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SADEQ\Documents\Master\Sadeq\Financial Modelling Using Excel\"/>
    </mc:Choice>
  </mc:AlternateContent>
  <xr:revisionPtr revIDLastSave="0" documentId="8_{4F30380B-1AC4-4051-AB53-9E3920F8148B}" xr6:coauthVersionLast="45" xr6:coauthVersionMax="45" xr10:uidLastSave="{00000000-0000-0000-0000-000000000000}"/>
  <bookViews>
    <workbookView xWindow="-120" yWindow="-120" windowWidth="29040" windowHeight="15840"/>
  </bookViews>
  <sheets>
    <sheet name="Inputs" sheetId="1" r:id="rId1"/>
    <sheet name="Vectors" sheetId="6" r:id="rId2"/>
    <sheet name="Cash Flow" sheetId="5" r:id="rId3"/>
    <sheet name="Loss Timing" sheetId="7" r:id="rId4"/>
    <sheet name="Analytics" sheetId="8" r:id="rId5"/>
    <sheet name="Output" sheetId="9" r:id="rId6"/>
    <sheet name="Scen Output 1" sheetId="10" r:id="rId7"/>
    <sheet name="Scen Output 2" sheetId="11" r:id="rId8"/>
    <sheet name="Scen Output 3" sheetId="12" r:id="rId9"/>
    <sheet name="Scen Output 4" sheetId="13" r:id="rId10"/>
    <sheet name="Scen Output 5" sheetId="14" r:id="rId11"/>
    <sheet name="Hidden" sheetId="4" r:id="rId12"/>
  </sheets>
  <definedNames>
    <definedName name="_Age1">Inputs!$I$12</definedName>
    <definedName name="AssetCurBal1">Inputs!$D$12</definedName>
    <definedName name="AssetDes1">Inputs!$B$12</definedName>
    <definedName name="AssetFee">Inputs!$C$29</definedName>
    <definedName name="AssetFltIndx1">Inputs!$J$12</definedName>
    <definedName name="AssetFxdRate1">Inputs!$F$12</definedName>
    <definedName name="AssetIntType1">Inputs!$E$12</definedName>
    <definedName name="AssetLifeCap1">Inputs!$M$12</definedName>
    <definedName name="AssetLifeFloor1">Inputs!$N$12</definedName>
    <definedName name="AssetMarg1">Inputs!$K$12</definedName>
    <definedName name="AssetOrgBal1">Inputs!$C$12</definedName>
    <definedName name="AssetPdCapFl1">Inputs!$L$12</definedName>
    <definedName name="AssetRateReset1">Inputs!$O$12</definedName>
    <definedName name="ClosingDate">Inputs!$C$4</definedName>
    <definedName name="DayCountSys">Inputs!$C$6</definedName>
    <definedName name="FinalLoanBal">'Cash Flow'!$CB$366</definedName>
    <definedName name="FirstPayDate">Inputs!$C$5</definedName>
    <definedName name="GlobalTrigger">Inputs!$C$31</definedName>
    <definedName name="LiabAdvRate1">Inputs!$C$24</definedName>
    <definedName name="LiabAdvRate2">Inputs!$C$25</definedName>
    <definedName name="LiabDes1">Inputs!$B$24</definedName>
    <definedName name="LiabDes2">Inputs!$B$25</definedName>
    <definedName name="LiabFees1">Inputs!$H$24</definedName>
    <definedName name="LiabFees2">Inputs!$H$25</definedName>
    <definedName name="LiabFxdRate1">Inputs!$F$24</definedName>
    <definedName name="LiabFxdRate2">Inputs!$F$25</definedName>
    <definedName name="LiabIntType1">Inputs!$D$24</definedName>
    <definedName name="LiabIntType2">Inputs!$D$25</definedName>
    <definedName name="LiabLoanIndex1">Inputs!$E$24</definedName>
    <definedName name="LiabLoanIndex2">Inputs!$E$25</definedName>
    <definedName name="LiabMarg1">Inputs!$G$24</definedName>
    <definedName name="LiabMarg2">Inputs!$G$25</definedName>
    <definedName name="LiabPrinType1">Inputs!$J$24</definedName>
    <definedName name="LiabPrinType2">Inputs!$J$25</definedName>
    <definedName name="LiabReserveOnOff1">Inputs!$I$24</definedName>
    <definedName name="LiabReserveOnOff2">Inputs!$I$25</definedName>
    <definedName name="lstDayCountSys">Hidden!$A$6:$A$8</definedName>
    <definedName name="lstDefaultCurve">Vectors!$S$4:$X$4</definedName>
    <definedName name="lstInterestRates">Vectors!$E$4:$K$4</definedName>
    <definedName name="lstIntType">Hidden!$A$17:$A$19</definedName>
    <definedName name="lstPaymentFreq">Hidden!$A$11:$A$14</definedName>
    <definedName name="lstPrepayCurve">Vectors!$M$4:$O$4</definedName>
    <definedName name="lstPrinType">Hidden!$A$22:$A$23</definedName>
    <definedName name="lstSDA">Vectors!$AF$4:$AH$4</definedName>
    <definedName name="lstYesNo">Hidden!$A$26:$A$27</definedName>
    <definedName name="OrgTerm1">Inputs!$G$12</definedName>
    <definedName name="pdrCumLoss1">Inputs!$E$18</definedName>
    <definedName name="pdrDes1">Inputs!$B$18</definedName>
    <definedName name="pdrLossStress1">Inputs!$F$18</definedName>
    <definedName name="pdrLossTime1">Inputs!$G$18</definedName>
    <definedName name="pdrPrepay1">Inputs!$C$18</definedName>
    <definedName name="pdrPrepayStress1">Inputs!$D$18</definedName>
    <definedName name="pdrRecovLag1">Inputs!$K$18</definedName>
    <definedName name="pdrRecovRate1">Inputs!$J$18</definedName>
    <definedName name="PmtFreq">Inputs!$C$7</definedName>
    <definedName name="PmtFreqAdd">Hidden!$C$11</definedName>
    <definedName name="PostDefTriggerMo">Inputs!$C$32</definedName>
    <definedName name="_xlnm.Print_Area" localSheetId="5">Output!$A$1:$P$57</definedName>
    <definedName name="ProjName">Inputs!$B$1</definedName>
    <definedName name="RemTerm1">Inputs!$H$12</definedName>
    <definedName name="rng_ScenGen1">Inputs!$C$37:$C$41</definedName>
    <definedName name="rng_ScenGen2">Inputs!$D$37:$D$41</definedName>
    <definedName name="rng_ScenGen3">Inputs!$E$37:$E$41</definedName>
    <definedName name="rngYieldChange">Analytics!$E$5:$G$5</definedName>
    <definedName name="rngYieldTarget">Analytics!$E$6:$G$6</definedName>
    <definedName name="RsrvPercent">Inputs!$C$30</definedName>
    <definedName name="ScenName">Inputs!$I$29</definedName>
    <definedName name="SDA_Loss">Inputs!$H$18</definedName>
    <definedName name="SnapshotEnd">Inputs!$I$31</definedName>
    <definedName name="SnapshotStart">Inputs!$I$30</definedName>
    <definedName name="Swap_Active">Inputs!$E$29</definedName>
    <definedName name="Swap_In">Inputs!$E$30</definedName>
    <definedName name="Swap_Out">Inputs!$E$31</definedName>
    <definedName name="Trigger_Def">Inputs!$C$33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9" l="1"/>
  <c r="C6" i="9"/>
  <c r="C5" i="9"/>
  <c r="A7" i="9"/>
  <c r="A6" i="9"/>
  <c r="F7" i="5"/>
  <c r="F8" i="5"/>
  <c r="S8" i="5" s="1"/>
  <c r="F9" i="5"/>
  <c r="S9" i="5" s="1"/>
  <c r="F10" i="5"/>
  <c r="F11" i="5"/>
  <c r="F12" i="5"/>
  <c r="F13" i="5"/>
  <c r="F14" i="5"/>
  <c r="S14" i="5" s="1"/>
  <c r="F15" i="5"/>
  <c r="F16" i="5"/>
  <c r="S16" i="5" s="1"/>
  <c r="F17" i="5"/>
  <c r="S17" i="5" s="1"/>
  <c r="F18" i="5"/>
  <c r="F19" i="5"/>
  <c r="F20" i="5"/>
  <c r="F21" i="5"/>
  <c r="F22" i="5"/>
  <c r="F23" i="5"/>
  <c r="F24" i="5"/>
  <c r="S24" i="5" s="1"/>
  <c r="F25" i="5"/>
  <c r="S25" i="5" s="1"/>
  <c r="F26" i="5"/>
  <c r="F27" i="5"/>
  <c r="F28" i="5"/>
  <c r="F29" i="5"/>
  <c r="F30" i="5"/>
  <c r="S30" i="5" s="1"/>
  <c r="F31" i="5"/>
  <c r="F32" i="5"/>
  <c r="S32" i="5" s="1"/>
  <c r="F33" i="5"/>
  <c r="S33" i="5" s="1"/>
  <c r="F34" i="5"/>
  <c r="F35" i="5"/>
  <c r="F36" i="5"/>
  <c r="F37" i="5"/>
  <c r="F38" i="5"/>
  <c r="F39" i="5"/>
  <c r="F40" i="5"/>
  <c r="S40" i="5" s="1"/>
  <c r="F41" i="5"/>
  <c r="S41" i="5" s="1"/>
  <c r="F42" i="5"/>
  <c r="F43" i="5"/>
  <c r="F44" i="5"/>
  <c r="F45" i="5"/>
  <c r="F46" i="5"/>
  <c r="F47" i="5"/>
  <c r="F48" i="5"/>
  <c r="S48" i="5" s="1"/>
  <c r="F49" i="5"/>
  <c r="S49" i="5" s="1"/>
  <c r="F50" i="5"/>
  <c r="F51" i="5"/>
  <c r="F52" i="5"/>
  <c r="F53" i="5"/>
  <c r="F54" i="5"/>
  <c r="F55" i="5"/>
  <c r="F56" i="5"/>
  <c r="S56" i="5" s="1"/>
  <c r="F57" i="5"/>
  <c r="S57" i="5" s="1"/>
  <c r="F58" i="5"/>
  <c r="F59" i="5"/>
  <c r="F60" i="5"/>
  <c r="F61" i="5"/>
  <c r="F62" i="5"/>
  <c r="S62" i="5" s="1"/>
  <c r="F63" i="5"/>
  <c r="F64" i="5"/>
  <c r="S64" i="5" s="1"/>
  <c r="F65" i="5"/>
  <c r="S65" i="5" s="1"/>
  <c r="F66" i="5"/>
  <c r="F67" i="5"/>
  <c r="F68" i="5"/>
  <c r="F69" i="5"/>
  <c r="F70" i="5"/>
  <c r="S70" i="5" s="1"/>
  <c r="F71" i="5"/>
  <c r="F72" i="5"/>
  <c r="S72" i="5" s="1"/>
  <c r="F73" i="5"/>
  <c r="S73" i="5" s="1"/>
  <c r="F74" i="5"/>
  <c r="F75" i="5"/>
  <c r="F76" i="5"/>
  <c r="F77" i="5"/>
  <c r="F78" i="5"/>
  <c r="S78" i="5" s="1"/>
  <c r="F79" i="5"/>
  <c r="F80" i="5"/>
  <c r="S80" i="5" s="1"/>
  <c r="F81" i="5"/>
  <c r="S81" i="5" s="1"/>
  <c r="F82" i="5"/>
  <c r="F83" i="5"/>
  <c r="F84" i="5"/>
  <c r="F85" i="5"/>
  <c r="F86" i="5"/>
  <c r="S86" i="5" s="1"/>
  <c r="F87" i="5"/>
  <c r="F88" i="5"/>
  <c r="S88" i="5" s="1"/>
  <c r="F89" i="5"/>
  <c r="S89" i="5" s="1"/>
  <c r="F90" i="5"/>
  <c r="F91" i="5"/>
  <c r="F92" i="5"/>
  <c r="F93" i="5"/>
  <c r="F94" i="5"/>
  <c r="S94" i="5" s="1"/>
  <c r="F95" i="5"/>
  <c r="F96" i="5"/>
  <c r="S96" i="5" s="1"/>
  <c r="F97" i="5"/>
  <c r="S97" i="5" s="1"/>
  <c r="F98" i="5"/>
  <c r="F99" i="5"/>
  <c r="F100" i="5"/>
  <c r="F101" i="5"/>
  <c r="F102" i="5"/>
  <c r="F103" i="5"/>
  <c r="F104" i="5"/>
  <c r="S104" i="5" s="1"/>
  <c r="F105" i="5"/>
  <c r="S105" i="5" s="1"/>
  <c r="F106" i="5"/>
  <c r="F107" i="5"/>
  <c r="F108" i="5"/>
  <c r="F109" i="5"/>
  <c r="F110" i="5"/>
  <c r="F111" i="5"/>
  <c r="F112" i="5"/>
  <c r="S112" i="5" s="1"/>
  <c r="F113" i="5"/>
  <c r="S113" i="5" s="1"/>
  <c r="F114" i="5"/>
  <c r="F115" i="5"/>
  <c r="F116" i="5"/>
  <c r="F117" i="5"/>
  <c r="F118" i="5"/>
  <c r="S118" i="5" s="1"/>
  <c r="F119" i="5"/>
  <c r="F120" i="5"/>
  <c r="S120" i="5" s="1"/>
  <c r="F121" i="5"/>
  <c r="S121" i="5" s="1"/>
  <c r="F122" i="5"/>
  <c r="F123" i="5"/>
  <c r="F124" i="5"/>
  <c r="F125" i="5"/>
  <c r="F126" i="5"/>
  <c r="S126" i="5" s="1"/>
  <c r="F127" i="5"/>
  <c r="F128" i="5"/>
  <c r="S128" i="5" s="1"/>
  <c r="F129" i="5"/>
  <c r="S129" i="5" s="1"/>
  <c r="F130" i="5"/>
  <c r="F131" i="5"/>
  <c r="F132" i="5"/>
  <c r="F133" i="5"/>
  <c r="F134" i="5"/>
  <c r="S134" i="5" s="1"/>
  <c r="F135" i="5"/>
  <c r="F136" i="5"/>
  <c r="S136" i="5" s="1"/>
  <c r="F137" i="5"/>
  <c r="S137" i="5" s="1"/>
  <c r="F138" i="5"/>
  <c r="F139" i="5"/>
  <c r="F140" i="5"/>
  <c r="F141" i="5"/>
  <c r="F142" i="5"/>
  <c r="S142" i="5" s="1"/>
  <c r="F143" i="5"/>
  <c r="F144" i="5"/>
  <c r="S144" i="5" s="1"/>
  <c r="F145" i="5"/>
  <c r="S145" i="5" s="1"/>
  <c r="F146" i="5"/>
  <c r="F147" i="5"/>
  <c r="F148" i="5"/>
  <c r="F149" i="5"/>
  <c r="F150" i="5"/>
  <c r="S150" i="5" s="1"/>
  <c r="F151" i="5"/>
  <c r="F152" i="5"/>
  <c r="S152" i="5" s="1"/>
  <c r="F153" i="5"/>
  <c r="S153" i="5" s="1"/>
  <c r="F154" i="5"/>
  <c r="F155" i="5"/>
  <c r="F156" i="5"/>
  <c r="F157" i="5"/>
  <c r="F158" i="5"/>
  <c r="S158" i="5" s="1"/>
  <c r="F159" i="5"/>
  <c r="F160" i="5"/>
  <c r="S160" i="5" s="1"/>
  <c r="F161" i="5"/>
  <c r="S161" i="5" s="1"/>
  <c r="F162" i="5"/>
  <c r="F163" i="5"/>
  <c r="F164" i="5"/>
  <c r="F165" i="5"/>
  <c r="F166" i="5"/>
  <c r="S166" i="5" s="1"/>
  <c r="F167" i="5"/>
  <c r="F168" i="5"/>
  <c r="S168" i="5" s="1"/>
  <c r="F169" i="5"/>
  <c r="S169" i="5" s="1"/>
  <c r="F170" i="5"/>
  <c r="F171" i="5"/>
  <c r="F172" i="5"/>
  <c r="F173" i="5"/>
  <c r="F174" i="5"/>
  <c r="S174" i="5" s="1"/>
  <c r="F175" i="5"/>
  <c r="F176" i="5"/>
  <c r="S176" i="5" s="1"/>
  <c r="F177" i="5"/>
  <c r="S177" i="5" s="1"/>
  <c r="F178" i="5"/>
  <c r="F179" i="5"/>
  <c r="F180" i="5"/>
  <c r="F181" i="5"/>
  <c r="F182" i="5"/>
  <c r="S182" i="5" s="1"/>
  <c r="F183" i="5"/>
  <c r="F184" i="5"/>
  <c r="S184" i="5" s="1"/>
  <c r="F185" i="5"/>
  <c r="S185" i="5" s="1"/>
  <c r="F186" i="5"/>
  <c r="F187" i="5"/>
  <c r="F188" i="5"/>
  <c r="F189" i="5"/>
  <c r="F190" i="5"/>
  <c r="F191" i="5"/>
  <c r="F192" i="5"/>
  <c r="S192" i="5" s="1"/>
  <c r="F193" i="5"/>
  <c r="S193" i="5" s="1"/>
  <c r="F194" i="5"/>
  <c r="F195" i="5"/>
  <c r="F196" i="5"/>
  <c r="F197" i="5"/>
  <c r="F198" i="5"/>
  <c r="F199" i="5"/>
  <c r="F200" i="5"/>
  <c r="S200" i="5" s="1"/>
  <c r="F201" i="5"/>
  <c r="S201" i="5" s="1"/>
  <c r="F202" i="5"/>
  <c r="F203" i="5"/>
  <c r="F204" i="5"/>
  <c r="F205" i="5"/>
  <c r="F206" i="5"/>
  <c r="S206" i="5" s="1"/>
  <c r="F207" i="5"/>
  <c r="F208" i="5"/>
  <c r="S208" i="5" s="1"/>
  <c r="F209" i="5"/>
  <c r="S209" i="5" s="1"/>
  <c r="F210" i="5"/>
  <c r="F211" i="5"/>
  <c r="F212" i="5"/>
  <c r="F213" i="5"/>
  <c r="F214" i="5"/>
  <c r="S214" i="5" s="1"/>
  <c r="F215" i="5"/>
  <c r="F216" i="5"/>
  <c r="S216" i="5" s="1"/>
  <c r="F217" i="5"/>
  <c r="S217" i="5" s="1"/>
  <c r="F218" i="5"/>
  <c r="F219" i="5"/>
  <c r="F220" i="5"/>
  <c r="F221" i="5"/>
  <c r="F222" i="5"/>
  <c r="S222" i="5" s="1"/>
  <c r="F223" i="5"/>
  <c r="F224" i="5"/>
  <c r="S224" i="5" s="1"/>
  <c r="F225" i="5"/>
  <c r="S225" i="5" s="1"/>
  <c r="F226" i="5"/>
  <c r="F227" i="5"/>
  <c r="F228" i="5"/>
  <c r="F229" i="5"/>
  <c r="F230" i="5"/>
  <c r="S230" i="5" s="1"/>
  <c r="F231" i="5"/>
  <c r="F232" i="5"/>
  <c r="S232" i="5" s="1"/>
  <c r="F233" i="5"/>
  <c r="S233" i="5" s="1"/>
  <c r="F234" i="5"/>
  <c r="F235" i="5"/>
  <c r="F236" i="5"/>
  <c r="F237" i="5"/>
  <c r="F238" i="5"/>
  <c r="F239" i="5"/>
  <c r="F240" i="5"/>
  <c r="S240" i="5" s="1"/>
  <c r="F241" i="5"/>
  <c r="S241" i="5" s="1"/>
  <c r="F242" i="5"/>
  <c r="F243" i="5"/>
  <c r="F244" i="5"/>
  <c r="F245" i="5"/>
  <c r="F246" i="5"/>
  <c r="F247" i="5"/>
  <c r="F248" i="5"/>
  <c r="S248" i="5" s="1"/>
  <c r="F249" i="5"/>
  <c r="S249" i="5" s="1"/>
  <c r="F250" i="5"/>
  <c r="F251" i="5"/>
  <c r="F252" i="5"/>
  <c r="F253" i="5"/>
  <c r="F254" i="5"/>
  <c r="S254" i="5" s="1"/>
  <c r="F255" i="5"/>
  <c r="F256" i="5"/>
  <c r="S256" i="5" s="1"/>
  <c r="F257" i="5"/>
  <c r="S257" i="5" s="1"/>
  <c r="F258" i="5"/>
  <c r="F259" i="5"/>
  <c r="F260" i="5"/>
  <c r="F261" i="5"/>
  <c r="F262" i="5"/>
  <c r="S262" i="5" s="1"/>
  <c r="F263" i="5"/>
  <c r="F264" i="5"/>
  <c r="S264" i="5" s="1"/>
  <c r="F265" i="5"/>
  <c r="S265" i="5" s="1"/>
  <c r="F266" i="5"/>
  <c r="F267" i="5"/>
  <c r="F268" i="5"/>
  <c r="F269" i="5"/>
  <c r="F270" i="5"/>
  <c r="S270" i="5" s="1"/>
  <c r="F271" i="5"/>
  <c r="F272" i="5"/>
  <c r="S272" i="5" s="1"/>
  <c r="F273" i="5"/>
  <c r="S273" i="5" s="1"/>
  <c r="F274" i="5"/>
  <c r="F275" i="5"/>
  <c r="F276" i="5"/>
  <c r="F277" i="5"/>
  <c r="F278" i="5"/>
  <c r="F279" i="5"/>
  <c r="F280" i="5"/>
  <c r="S280" i="5" s="1"/>
  <c r="F281" i="5"/>
  <c r="S281" i="5" s="1"/>
  <c r="F282" i="5"/>
  <c r="F283" i="5"/>
  <c r="F284" i="5"/>
  <c r="F285" i="5"/>
  <c r="F286" i="5"/>
  <c r="F287" i="5"/>
  <c r="F288" i="5"/>
  <c r="S288" i="5" s="1"/>
  <c r="F289" i="5"/>
  <c r="S289" i="5" s="1"/>
  <c r="F290" i="5"/>
  <c r="F291" i="5"/>
  <c r="F292" i="5"/>
  <c r="F293" i="5"/>
  <c r="F294" i="5"/>
  <c r="F295" i="5"/>
  <c r="F296" i="5"/>
  <c r="S296" i="5" s="1"/>
  <c r="F297" i="5"/>
  <c r="S297" i="5" s="1"/>
  <c r="F298" i="5"/>
  <c r="F299" i="5"/>
  <c r="F300" i="5"/>
  <c r="F301" i="5"/>
  <c r="F302" i="5"/>
  <c r="S302" i="5" s="1"/>
  <c r="F303" i="5"/>
  <c r="F304" i="5"/>
  <c r="S304" i="5" s="1"/>
  <c r="F305" i="5"/>
  <c r="S305" i="5" s="1"/>
  <c r="F306" i="5"/>
  <c r="F307" i="5"/>
  <c r="F308" i="5"/>
  <c r="F309" i="5"/>
  <c r="F310" i="5"/>
  <c r="S310" i="5" s="1"/>
  <c r="F311" i="5"/>
  <c r="F312" i="5"/>
  <c r="S312" i="5" s="1"/>
  <c r="F313" i="5"/>
  <c r="S313" i="5" s="1"/>
  <c r="F314" i="5"/>
  <c r="F315" i="5"/>
  <c r="F316" i="5"/>
  <c r="F317" i="5"/>
  <c r="F318" i="5"/>
  <c r="S318" i="5" s="1"/>
  <c r="F319" i="5"/>
  <c r="F320" i="5"/>
  <c r="S320" i="5" s="1"/>
  <c r="F321" i="5"/>
  <c r="S321" i="5" s="1"/>
  <c r="F322" i="5"/>
  <c r="F323" i="5"/>
  <c r="F324" i="5"/>
  <c r="F325" i="5"/>
  <c r="F326" i="5"/>
  <c r="F327" i="5"/>
  <c r="F328" i="5"/>
  <c r="S328" i="5" s="1"/>
  <c r="F329" i="5"/>
  <c r="S329" i="5" s="1"/>
  <c r="F330" i="5"/>
  <c r="F331" i="5"/>
  <c r="F332" i="5"/>
  <c r="F333" i="5"/>
  <c r="F334" i="5"/>
  <c r="S334" i="5" s="1"/>
  <c r="F335" i="5"/>
  <c r="F336" i="5"/>
  <c r="S336" i="5" s="1"/>
  <c r="F337" i="5"/>
  <c r="S337" i="5" s="1"/>
  <c r="F338" i="5"/>
  <c r="F339" i="5"/>
  <c r="F340" i="5"/>
  <c r="F341" i="5"/>
  <c r="F342" i="5"/>
  <c r="F343" i="5"/>
  <c r="F344" i="5"/>
  <c r="S344" i="5" s="1"/>
  <c r="F345" i="5"/>
  <c r="S345" i="5" s="1"/>
  <c r="F346" i="5"/>
  <c r="F347" i="5"/>
  <c r="F348" i="5"/>
  <c r="F349" i="5"/>
  <c r="F350" i="5"/>
  <c r="S350" i="5" s="1"/>
  <c r="F351" i="5"/>
  <c r="F352" i="5"/>
  <c r="S352" i="5" s="1"/>
  <c r="F353" i="5"/>
  <c r="S353" i="5" s="1"/>
  <c r="F354" i="5"/>
  <c r="F355" i="5"/>
  <c r="F356" i="5"/>
  <c r="F357" i="5"/>
  <c r="F358" i="5"/>
  <c r="S358" i="5" s="1"/>
  <c r="F359" i="5"/>
  <c r="F360" i="5"/>
  <c r="S360" i="5" s="1"/>
  <c r="F361" i="5"/>
  <c r="S361" i="5" s="1"/>
  <c r="F362" i="5"/>
  <c r="F363" i="5"/>
  <c r="F364" i="5"/>
  <c r="F365" i="5"/>
  <c r="F366" i="5"/>
  <c r="S366" i="5" s="1"/>
  <c r="V6" i="5"/>
  <c r="CB6" i="5" s="1"/>
  <c r="F4" i="8" s="1"/>
  <c r="C25" i="1"/>
  <c r="G7" i="8"/>
  <c r="F7" i="8"/>
  <c r="E7" i="8"/>
  <c r="E3" i="8"/>
  <c r="F3" i="8"/>
  <c r="G3" i="8"/>
  <c r="E4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13" i="8"/>
  <c r="B13" i="8"/>
  <c r="C13" i="8"/>
  <c r="E13" i="8"/>
  <c r="F13" i="8"/>
  <c r="G13" i="8"/>
  <c r="B6" i="5"/>
  <c r="B7" i="5"/>
  <c r="C11" i="4"/>
  <c r="L7" i="5"/>
  <c r="I12" i="1"/>
  <c r="A7" i="6"/>
  <c r="V7" i="6" s="1"/>
  <c r="AB7" i="6" s="1"/>
  <c r="J6" i="5"/>
  <c r="E7" i="5" s="1"/>
  <c r="O6" i="5"/>
  <c r="S7" i="5"/>
  <c r="U7" i="5"/>
  <c r="A8" i="6"/>
  <c r="T8" i="6" s="1"/>
  <c r="Z8" i="6" s="1"/>
  <c r="V8" i="6"/>
  <c r="AB8" i="6" s="1"/>
  <c r="U8" i="5"/>
  <c r="A9" i="6"/>
  <c r="T9" i="6" s="1"/>
  <c r="Z9" i="6" s="1"/>
  <c r="M9" i="5" s="1"/>
  <c r="V9" i="6"/>
  <c r="AB9" i="6" s="1"/>
  <c r="U9" i="5"/>
  <c r="A10" i="6"/>
  <c r="T10" i="6" s="1"/>
  <c r="Z10" i="6" s="1"/>
  <c r="M10" i="5" s="1"/>
  <c r="V10" i="6"/>
  <c r="AB10" i="6" s="1"/>
  <c r="S10" i="5"/>
  <c r="U10" i="5"/>
  <c r="A11" i="6"/>
  <c r="T11" i="6" s="1"/>
  <c r="Z11" i="6" s="1"/>
  <c r="M11" i="5" s="1"/>
  <c r="V11" i="6"/>
  <c r="AB11" i="6" s="1"/>
  <c r="S11" i="5"/>
  <c r="U11" i="5"/>
  <c r="A12" i="6"/>
  <c r="T12" i="6" s="1"/>
  <c r="Z12" i="6" s="1"/>
  <c r="M12" i="5" s="1"/>
  <c r="V12" i="6"/>
  <c r="AB12" i="6" s="1"/>
  <c r="S12" i="5"/>
  <c r="A13" i="6"/>
  <c r="T13" i="6" s="1"/>
  <c r="Z13" i="6" s="1"/>
  <c r="M13" i="5" s="1"/>
  <c r="V13" i="6"/>
  <c r="AB13" i="6" s="1"/>
  <c r="S13" i="5"/>
  <c r="A14" i="6"/>
  <c r="V14" i="6" s="1"/>
  <c r="AB14" i="6" s="1"/>
  <c r="A15" i="6"/>
  <c r="V15" i="6"/>
  <c r="AB15" i="6" s="1"/>
  <c r="T15" i="6"/>
  <c r="Z15" i="6" s="1"/>
  <c r="M15" i="5" s="1"/>
  <c r="S15" i="5"/>
  <c r="A16" i="6"/>
  <c r="T16" i="6" s="1"/>
  <c r="Z16" i="6" s="1"/>
  <c r="M16" i="5" s="1"/>
  <c r="A17" i="6"/>
  <c r="V17" i="6"/>
  <c r="AB17" i="6" s="1"/>
  <c r="T17" i="6"/>
  <c r="Z17" i="6" s="1"/>
  <c r="M17" i="5" s="1"/>
  <c r="A18" i="6"/>
  <c r="S18" i="5"/>
  <c r="A19" i="6"/>
  <c r="V19" i="6"/>
  <c r="AB19" i="6" s="1"/>
  <c r="T19" i="6"/>
  <c r="Z19" i="6" s="1"/>
  <c r="M19" i="5" s="1"/>
  <c r="S19" i="5"/>
  <c r="A20" i="6"/>
  <c r="V20" i="6" s="1"/>
  <c r="AB20" i="6" s="1"/>
  <c r="S20" i="5"/>
  <c r="A21" i="6"/>
  <c r="V21" i="6"/>
  <c r="AB21" i="6" s="1"/>
  <c r="T21" i="6"/>
  <c r="Z21" i="6" s="1"/>
  <c r="M21" i="5" s="1"/>
  <c r="S21" i="5"/>
  <c r="A22" i="6"/>
  <c r="V22" i="6" s="1"/>
  <c r="AB22" i="6" s="1"/>
  <c r="S22" i="5"/>
  <c r="A23" i="6"/>
  <c r="S23" i="5"/>
  <c r="A24" i="6"/>
  <c r="T24" i="6" s="1"/>
  <c r="Z24" i="6" s="1"/>
  <c r="M24" i="5" s="1"/>
  <c r="V24" i="6"/>
  <c r="AB24" i="6" s="1"/>
  <c r="A25" i="6"/>
  <c r="V25" i="6"/>
  <c r="AB25" i="6" s="1"/>
  <c r="T25" i="6"/>
  <c r="Z25" i="6" s="1"/>
  <c r="M25" i="5" s="1"/>
  <c r="A26" i="6"/>
  <c r="V26" i="6" s="1"/>
  <c r="AB26" i="6" s="1"/>
  <c r="T26" i="6"/>
  <c r="Z26" i="6" s="1"/>
  <c r="M26" i="5" s="1"/>
  <c r="S26" i="5"/>
  <c r="A27" i="6"/>
  <c r="V27" i="6"/>
  <c r="AB27" i="6" s="1"/>
  <c r="T27" i="6"/>
  <c r="Z27" i="6" s="1"/>
  <c r="M27" i="5" s="1"/>
  <c r="S27" i="5"/>
  <c r="A28" i="6"/>
  <c r="V28" i="6" s="1"/>
  <c r="AB28" i="6" s="1"/>
  <c r="S28" i="5"/>
  <c r="A29" i="6"/>
  <c r="V29" i="6"/>
  <c r="AB29" i="6" s="1"/>
  <c r="T29" i="6"/>
  <c r="Z29" i="6" s="1"/>
  <c r="M29" i="5" s="1"/>
  <c r="S29" i="5"/>
  <c r="A30" i="6"/>
  <c r="V30" i="6" s="1"/>
  <c r="AB30" i="6" s="1"/>
  <c r="A31" i="6"/>
  <c r="S31" i="5"/>
  <c r="A32" i="6"/>
  <c r="T32" i="6" s="1"/>
  <c r="Z32" i="6" s="1"/>
  <c r="M32" i="5" s="1"/>
  <c r="V32" i="6"/>
  <c r="AB32" i="6" s="1"/>
  <c r="A33" i="6"/>
  <c r="V33" i="6"/>
  <c r="AB33" i="6" s="1"/>
  <c r="T33" i="6"/>
  <c r="Z33" i="6" s="1"/>
  <c r="M33" i="5" s="1"/>
  <c r="A34" i="6"/>
  <c r="V34" i="6" s="1"/>
  <c r="AB34" i="6" s="1"/>
  <c r="T34" i="6"/>
  <c r="Z34" i="6" s="1"/>
  <c r="M34" i="5" s="1"/>
  <c r="S34" i="5"/>
  <c r="A35" i="6"/>
  <c r="V35" i="6"/>
  <c r="AB35" i="6" s="1"/>
  <c r="T35" i="6"/>
  <c r="Z35" i="6" s="1"/>
  <c r="M35" i="5" s="1"/>
  <c r="S35" i="5"/>
  <c r="A36" i="6"/>
  <c r="S36" i="5"/>
  <c r="A37" i="6"/>
  <c r="V37" i="6"/>
  <c r="AB37" i="6" s="1"/>
  <c r="T37" i="6"/>
  <c r="Z37" i="6" s="1"/>
  <c r="M37" i="5" s="1"/>
  <c r="S37" i="5"/>
  <c r="A38" i="6"/>
  <c r="S38" i="5"/>
  <c r="A39" i="6"/>
  <c r="S39" i="5"/>
  <c r="A40" i="6"/>
  <c r="T40" i="6" s="1"/>
  <c r="Z40" i="6" s="1"/>
  <c r="M40" i="5" s="1"/>
  <c r="A41" i="6"/>
  <c r="V41" i="6"/>
  <c r="AB41" i="6" s="1"/>
  <c r="T41" i="6"/>
  <c r="Z41" i="6" s="1"/>
  <c r="M41" i="5" s="1"/>
  <c r="A42" i="6"/>
  <c r="S42" i="5"/>
  <c r="A43" i="6"/>
  <c r="V43" i="6"/>
  <c r="AB43" i="6" s="1"/>
  <c r="T43" i="6"/>
  <c r="Z43" i="6" s="1"/>
  <c r="M43" i="5" s="1"/>
  <c r="S43" i="5"/>
  <c r="A44" i="6"/>
  <c r="S44" i="5"/>
  <c r="A45" i="6"/>
  <c r="V45" i="6"/>
  <c r="AB45" i="6" s="1"/>
  <c r="T45" i="6"/>
  <c r="Z45" i="6" s="1"/>
  <c r="M45" i="5" s="1"/>
  <c r="S45" i="5"/>
  <c r="A46" i="6"/>
  <c r="S46" i="5"/>
  <c r="A47" i="6"/>
  <c r="V47" i="6"/>
  <c r="AB47" i="6" s="1"/>
  <c r="T47" i="6"/>
  <c r="Z47" i="6" s="1"/>
  <c r="M47" i="5" s="1"/>
  <c r="S47" i="5"/>
  <c r="A48" i="6"/>
  <c r="T48" i="6" s="1"/>
  <c r="Z48" i="6" s="1"/>
  <c r="M48" i="5" s="1"/>
  <c r="V48" i="6"/>
  <c r="AB48" i="6" s="1"/>
  <c r="A49" i="6"/>
  <c r="V49" i="6"/>
  <c r="AB49" i="6" s="1"/>
  <c r="T49" i="6"/>
  <c r="Z49" i="6" s="1"/>
  <c r="M49" i="5"/>
  <c r="A50" i="6"/>
  <c r="V50" i="6" s="1"/>
  <c r="AB50" i="6" s="1"/>
  <c r="T50" i="6"/>
  <c r="Z50" i="6" s="1"/>
  <c r="M50" i="5" s="1"/>
  <c r="S50" i="5"/>
  <c r="A51" i="6"/>
  <c r="V51" i="6"/>
  <c r="AB51" i="6" s="1"/>
  <c r="T51" i="6"/>
  <c r="Z51" i="6" s="1"/>
  <c r="M51" i="5" s="1"/>
  <c r="S51" i="5"/>
  <c r="A52" i="6"/>
  <c r="S52" i="5"/>
  <c r="A53" i="6"/>
  <c r="V53" i="6"/>
  <c r="AB53" i="6" s="1"/>
  <c r="T53" i="6"/>
  <c r="Z53" i="6" s="1"/>
  <c r="M53" i="5" s="1"/>
  <c r="S53" i="5"/>
  <c r="A54" i="6"/>
  <c r="S54" i="5"/>
  <c r="A55" i="6"/>
  <c r="V55" i="6"/>
  <c r="AB55" i="6" s="1"/>
  <c r="T55" i="6"/>
  <c r="Z55" i="6" s="1"/>
  <c r="M55" i="5" s="1"/>
  <c r="S55" i="5"/>
  <c r="A56" i="6"/>
  <c r="T56" i="6" s="1"/>
  <c r="Z56" i="6" s="1"/>
  <c r="M56" i="5" s="1"/>
  <c r="V56" i="6"/>
  <c r="AB56" i="6" s="1"/>
  <c r="A57" i="6"/>
  <c r="T57" i="6" s="1"/>
  <c r="Z57" i="6" s="1"/>
  <c r="M57" i="5" s="1"/>
  <c r="V57" i="6"/>
  <c r="AB57" i="6" s="1"/>
  <c r="A58" i="6"/>
  <c r="V58" i="6" s="1"/>
  <c r="AB58" i="6" s="1"/>
  <c r="T58" i="6"/>
  <c r="Z58" i="6" s="1"/>
  <c r="M58" i="5" s="1"/>
  <c r="S58" i="5"/>
  <c r="A59" i="6"/>
  <c r="V59" i="6" s="1"/>
  <c r="AB59" i="6" s="1"/>
  <c r="S59" i="5"/>
  <c r="A60" i="6"/>
  <c r="S60" i="5"/>
  <c r="A61" i="6"/>
  <c r="V61" i="6"/>
  <c r="AB61" i="6" s="1"/>
  <c r="T61" i="6"/>
  <c r="Z61" i="6" s="1"/>
  <c r="M61" i="5" s="1"/>
  <c r="S61" i="5"/>
  <c r="A62" i="6"/>
  <c r="V62" i="6"/>
  <c r="AB62" i="6" s="1"/>
  <c r="T62" i="6"/>
  <c r="Z62" i="6" s="1"/>
  <c r="M62" i="5" s="1"/>
  <c r="A63" i="6"/>
  <c r="V63" i="6" s="1"/>
  <c r="AB63" i="6" s="1"/>
  <c r="S63" i="5"/>
  <c r="A64" i="6"/>
  <c r="T64" i="6" s="1"/>
  <c r="Z64" i="6" s="1"/>
  <c r="M64" i="5" s="1"/>
  <c r="V64" i="6"/>
  <c r="AB64" i="6" s="1"/>
  <c r="A65" i="6"/>
  <c r="T65" i="6" s="1"/>
  <c r="Z65" i="6" s="1"/>
  <c r="M65" i="5" s="1"/>
  <c r="V65" i="6"/>
  <c r="AB65" i="6" s="1"/>
  <c r="A66" i="6"/>
  <c r="V66" i="6" s="1"/>
  <c r="AB66" i="6" s="1"/>
  <c r="T66" i="6"/>
  <c r="Z66" i="6" s="1"/>
  <c r="M66" i="5" s="1"/>
  <c r="S66" i="5"/>
  <c r="A67" i="6"/>
  <c r="V67" i="6" s="1"/>
  <c r="AB67" i="6" s="1"/>
  <c r="S67" i="5"/>
  <c r="A68" i="6"/>
  <c r="S68" i="5"/>
  <c r="A69" i="6"/>
  <c r="V69" i="6"/>
  <c r="AB69" i="6" s="1"/>
  <c r="T69" i="6"/>
  <c r="Z69" i="6" s="1"/>
  <c r="M69" i="5" s="1"/>
  <c r="S69" i="5"/>
  <c r="A70" i="6"/>
  <c r="V70" i="6" s="1"/>
  <c r="AB70" i="6" s="1"/>
  <c r="T70" i="6"/>
  <c r="Z70" i="6" s="1"/>
  <c r="M70" i="5" s="1"/>
  <c r="A71" i="6"/>
  <c r="V71" i="6" s="1"/>
  <c r="AB71" i="6" s="1"/>
  <c r="S71" i="5"/>
  <c r="A72" i="6"/>
  <c r="T72" i="6" s="1"/>
  <c r="Z72" i="6" s="1"/>
  <c r="M72" i="5" s="1"/>
  <c r="V72" i="6"/>
  <c r="AB72" i="6" s="1"/>
  <c r="A73" i="6"/>
  <c r="V73" i="6"/>
  <c r="AB73" i="6" s="1"/>
  <c r="T73" i="6"/>
  <c r="Z73" i="6" s="1"/>
  <c r="M73" i="5" s="1"/>
  <c r="A74" i="6"/>
  <c r="V74" i="6" s="1"/>
  <c r="AB74" i="6" s="1"/>
  <c r="T74" i="6"/>
  <c r="Z74" i="6" s="1"/>
  <c r="M74" i="5" s="1"/>
  <c r="S74" i="5"/>
  <c r="A75" i="6"/>
  <c r="V75" i="6" s="1"/>
  <c r="AB75" i="6" s="1"/>
  <c r="S75" i="5"/>
  <c r="A76" i="6"/>
  <c r="S76" i="5"/>
  <c r="A77" i="6"/>
  <c r="V77" i="6"/>
  <c r="AB77" i="6" s="1"/>
  <c r="T77" i="6"/>
  <c r="Z77" i="6" s="1"/>
  <c r="M77" i="5" s="1"/>
  <c r="S77" i="5"/>
  <c r="A78" i="6"/>
  <c r="V78" i="6" s="1"/>
  <c r="AB78" i="6" s="1"/>
  <c r="T78" i="6"/>
  <c r="Z78" i="6" s="1"/>
  <c r="M78" i="5" s="1"/>
  <c r="A79" i="6"/>
  <c r="V79" i="6" s="1"/>
  <c r="AB79" i="6" s="1"/>
  <c r="T79" i="6"/>
  <c r="Z79" i="6" s="1"/>
  <c r="M79" i="5" s="1"/>
  <c r="S79" i="5"/>
  <c r="A80" i="6"/>
  <c r="T80" i="6" s="1"/>
  <c r="Z80" i="6" s="1"/>
  <c r="M80" i="5" s="1"/>
  <c r="V80" i="6"/>
  <c r="AB80" i="6" s="1"/>
  <c r="A81" i="6"/>
  <c r="V81" i="6"/>
  <c r="AB81" i="6" s="1"/>
  <c r="T81" i="6"/>
  <c r="Z81" i="6" s="1"/>
  <c r="M81" i="5" s="1"/>
  <c r="A82" i="6"/>
  <c r="V82" i="6" s="1"/>
  <c r="AB82" i="6" s="1"/>
  <c r="T82" i="6"/>
  <c r="Z82" i="6" s="1"/>
  <c r="M82" i="5" s="1"/>
  <c r="S82" i="5"/>
  <c r="A83" i="6"/>
  <c r="V83" i="6" s="1"/>
  <c r="AB83" i="6" s="1"/>
  <c r="S83" i="5"/>
  <c r="A84" i="6"/>
  <c r="S84" i="5"/>
  <c r="A85" i="6"/>
  <c r="V85" i="6"/>
  <c r="AB85" i="6" s="1"/>
  <c r="T85" i="6"/>
  <c r="Z85" i="6" s="1"/>
  <c r="M85" i="5" s="1"/>
  <c r="S85" i="5"/>
  <c r="A86" i="6"/>
  <c r="V86" i="6" s="1"/>
  <c r="AB86" i="6" s="1"/>
  <c r="T86" i="6"/>
  <c r="Z86" i="6" s="1"/>
  <c r="M86" i="5" s="1"/>
  <c r="A87" i="6"/>
  <c r="V87" i="6" s="1"/>
  <c r="AB87" i="6" s="1"/>
  <c r="S87" i="5"/>
  <c r="A88" i="6"/>
  <c r="T88" i="6" s="1"/>
  <c r="Z88" i="6" s="1"/>
  <c r="M88" i="5" s="1"/>
  <c r="V88" i="6"/>
  <c r="AB88" i="6" s="1"/>
  <c r="A89" i="6"/>
  <c r="V89" i="6"/>
  <c r="AB89" i="6" s="1"/>
  <c r="T89" i="6"/>
  <c r="Z89" i="6" s="1"/>
  <c r="M89" i="5" s="1"/>
  <c r="A90" i="6"/>
  <c r="V90" i="6" s="1"/>
  <c r="AB90" i="6" s="1"/>
  <c r="T90" i="6"/>
  <c r="Z90" i="6" s="1"/>
  <c r="M90" i="5" s="1"/>
  <c r="S90" i="5"/>
  <c r="A91" i="6"/>
  <c r="V91" i="6" s="1"/>
  <c r="AB91" i="6" s="1"/>
  <c r="S91" i="5"/>
  <c r="A92" i="6"/>
  <c r="S92" i="5"/>
  <c r="A93" i="6"/>
  <c r="V93" i="6"/>
  <c r="AB93" i="6" s="1"/>
  <c r="T93" i="6"/>
  <c r="Z93" i="6" s="1"/>
  <c r="M93" i="5" s="1"/>
  <c r="S93" i="5"/>
  <c r="A94" i="6"/>
  <c r="V94" i="6" s="1"/>
  <c r="AB94" i="6" s="1"/>
  <c r="T94" i="6"/>
  <c r="Z94" i="6" s="1"/>
  <c r="M94" i="5" s="1"/>
  <c r="A95" i="6"/>
  <c r="S95" i="5"/>
  <c r="A96" i="6"/>
  <c r="T96" i="6" s="1"/>
  <c r="Z96" i="6" s="1"/>
  <c r="M96" i="5" s="1"/>
  <c r="V96" i="6"/>
  <c r="AB96" i="6" s="1"/>
  <c r="A97" i="6"/>
  <c r="V97" i="6"/>
  <c r="AB97" i="6" s="1"/>
  <c r="T97" i="6"/>
  <c r="Z97" i="6" s="1"/>
  <c r="M97" i="5" s="1"/>
  <c r="A98" i="6"/>
  <c r="V98" i="6" s="1"/>
  <c r="AB98" i="6" s="1"/>
  <c r="T98" i="6"/>
  <c r="Z98" i="6" s="1"/>
  <c r="M98" i="5" s="1"/>
  <c r="S98" i="5"/>
  <c r="A99" i="6"/>
  <c r="V99" i="6" s="1"/>
  <c r="AB99" i="6" s="1"/>
  <c r="S99" i="5"/>
  <c r="A100" i="6"/>
  <c r="S100" i="5"/>
  <c r="A101" i="6"/>
  <c r="V101" i="6"/>
  <c r="AB101" i="6" s="1"/>
  <c r="T101" i="6"/>
  <c r="Z101" i="6" s="1"/>
  <c r="M101" i="5" s="1"/>
  <c r="S101" i="5"/>
  <c r="A102" i="6"/>
  <c r="V102" i="6" s="1"/>
  <c r="AB102" i="6" s="1"/>
  <c r="T102" i="6"/>
  <c r="Z102" i="6" s="1"/>
  <c r="M102" i="5" s="1"/>
  <c r="S102" i="5"/>
  <c r="A103" i="6"/>
  <c r="V103" i="6" s="1"/>
  <c r="AB103" i="6" s="1"/>
  <c r="S103" i="5"/>
  <c r="A104" i="6"/>
  <c r="T104" i="6" s="1"/>
  <c r="Z104" i="6" s="1"/>
  <c r="M104" i="5" s="1"/>
  <c r="V104" i="6"/>
  <c r="AB104" i="6" s="1"/>
  <c r="A105" i="6"/>
  <c r="V105" i="6"/>
  <c r="AB105" i="6" s="1"/>
  <c r="T105" i="6"/>
  <c r="Z105" i="6" s="1"/>
  <c r="M105" i="5" s="1"/>
  <c r="A106" i="6"/>
  <c r="V106" i="6" s="1"/>
  <c r="AB106" i="6" s="1"/>
  <c r="T106" i="6"/>
  <c r="Z106" i="6" s="1"/>
  <c r="M106" i="5" s="1"/>
  <c r="S106" i="5"/>
  <c r="A107" i="6"/>
  <c r="V107" i="6" s="1"/>
  <c r="AB107" i="6" s="1"/>
  <c r="S107" i="5"/>
  <c r="A108" i="6"/>
  <c r="S108" i="5"/>
  <c r="A109" i="6"/>
  <c r="V109" i="6"/>
  <c r="AB109" i="6" s="1"/>
  <c r="T109" i="6"/>
  <c r="Z109" i="6" s="1"/>
  <c r="M109" i="5" s="1"/>
  <c r="S109" i="5"/>
  <c r="A110" i="6"/>
  <c r="V110" i="6" s="1"/>
  <c r="AB110" i="6" s="1"/>
  <c r="T110" i="6"/>
  <c r="Z110" i="6" s="1"/>
  <c r="M110" i="5" s="1"/>
  <c r="S110" i="5"/>
  <c r="A111" i="6"/>
  <c r="V111" i="6" s="1"/>
  <c r="AB111" i="6" s="1"/>
  <c r="T111" i="6"/>
  <c r="Z111" i="6" s="1"/>
  <c r="M111" i="5" s="1"/>
  <c r="S111" i="5"/>
  <c r="A112" i="6"/>
  <c r="T112" i="6" s="1"/>
  <c r="V112" i="6"/>
  <c r="AB112" i="6" s="1"/>
  <c r="Z112" i="6"/>
  <c r="M112" i="5" s="1"/>
  <c r="A113" i="6"/>
  <c r="V113" i="6"/>
  <c r="AB113" i="6" s="1"/>
  <c r="T113" i="6"/>
  <c r="Z113" i="6" s="1"/>
  <c r="M113" i="5" s="1"/>
  <c r="A114" i="6"/>
  <c r="V114" i="6" s="1"/>
  <c r="AB114" i="6" s="1"/>
  <c r="T114" i="6"/>
  <c r="Z114" i="6" s="1"/>
  <c r="M114" i="5" s="1"/>
  <c r="S114" i="5"/>
  <c r="A115" i="6"/>
  <c r="V115" i="6" s="1"/>
  <c r="AB115" i="6" s="1"/>
  <c r="S115" i="5"/>
  <c r="A116" i="6"/>
  <c r="S116" i="5"/>
  <c r="A117" i="6"/>
  <c r="V117" i="6"/>
  <c r="AB117" i="6" s="1"/>
  <c r="T117" i="6"/>
  <c r="Z117" i="6" s="1"/>
  <c r="M117" i="5" s="1"/>
  <c r="S117" i="5"/>
  <c r="A118" i="6"/>
  <c r="V118" i="6" s="1"/>
  <c r="AB118" i="6" s="1"/>
  <c r="T118" i="6"/>
  <c r="Z118" i="6" s="1"/>
  <c r="M118" i="5" s="1"/>
  <c r="A119" i="6"/>
  <c r="V119" i="6" s="1"/>
  <c r="AB119" i="6" s="1"/>
  <c r="S119" i="5"/>
  <c r="A120" i="6"/>
  <c r="T120" i="6" s="1"/>
  <c r="Z120" i="6" s="1"/>
  <c r="M120" i="5" s="1"/>
  <c r="V120" i="6"/>
  <c r="AB120" i="6" s="1"/>
  <c r="A121" i="6"/>
  <c r="V121" i="6"/>
  <c r="AB121" i="6" s="1"/>
  <c r="T121" i="6"/>
  <c r="Z121" i="6" s="1"/>
  <c r="M121" i="5"/>
  <c r="A122" i="6"/>
  <c r="V122" i="6" s="1"/>
  <c r="AB122" i="6" s="1"/>
  <c r="T122" i="6"/>
  <c r="Z122" i="6" s="1"/>
  <c r="M122" i="5" s="1"/>
  <c r="S122" i="5"/>
  <c r="A123" i="6"/>
  <c r="V123" i="6" s="1"/>
  <c r="AB123" i="6" s="1"/>
  <c r="S123" i="5"/>
  <c r="A124" i="6"/>
  <c r="S124" i="5"/>
  <c r="A125" i="6"/>
  <c r="V125" i="6"/>
  <c r="AB125" i="6" s="1"/>
  <c r="T125" i="6"/>
  <c r="Z125" i="6" s="1"/>
  <c r="M125" i="5" s="1"/>
  <c r="S125" i="5"/>
  <c r="A126" i="6"/>
  <c r="V126" i="6" s="1"/>
  <c r="AB126" i="6" s="1"/>
  <c r="T126" i="6"/>
  <c r="Z126" i="6" s="1"/>
  <c r="M126" i="5" s="1"/>
  <c r="A127" i="6"/>
  <c r="S127" i="5"/>
  <c r="A128" i="6"/>
  <c r="T128" i="6" s="1"/>
  <c r="Z128" i="6" s="1"/>
  <c r="M128" i="5" s="1"/>
  <c r="V128" i="6"/>
  <c r="AB128" i="6" s="1"/>
  <c r="A129" i="6"/>
  <c r="V129" i="6"/>
  <c r="AB129" i="6" s="1"/>
  <c r="T129" i="6"/>
  <c r="Z129" i="6" s="1"/>
  <c r="M129" i="5" s="1"/>
  <c r="A130" i="6"/>
  <c r="V130" i="6" s="1"/>
  <c r="AB130" i="6" s="1"/>
  <c r="T130" i="6"/>
  <c r="Z130" i="6" s="1"/>
  <c r="M130" i="5" s="1"/>
  <c r="S130" i="5"/>
  <c r="A131" i="6"/>
  <c r="V131" i="6" s="1"/>
  <c r="AB131" i="6" s="1"/>
  <c r="S131" i="5"/>
  <c r="A132" i="6"/>
  <c r="S132" i="5"/>
  <c r="A133" i="6"/>
  <c r="V133" i="6"/>
  <c r="AB133" i="6" s="1"/>
  <c r="T133" i="6"/>
  <c r="Z133" i="6" s="1"/>
  <c r="M133" i="5" s="1"/>
  <c r="S133" i="5"/>
  <c r="A134" i="6"/>
  <c r="V134" i="6" s="1"/>
  <c r="AB134" i="6" s="1"/>
  <c r="T134" i="6"/>
  <c r="Z134" i="6" s="1"/>
  <c r="M134" i="5" s="1"/>
  <c r="A135" i="6"/>
  <c r="V135" i="6" s="1"/>
  <c r="AB135" i="6" s="1"/>
  <c r="S135" i="5"/>
  <c r="A136" i="6"/>
  <c r="T136" i="6" s="1"/>
  <c r="Z136" i="6" s="1"/>
  <c r="M136" i="5" s="1"/>
  <c r="V136" i="6"/>
  <c r="AB136" i="6" s="1"/>
  <c r="A137" i="6"/>
  <c r="V137" i="6"/>
  <c r="AB137" i="6" s="1"/>
  <c r="T137" i="6"/>
  <c r="Z137" i="6" s="1"/>
  <c r="M137" i="5" s="1"/>
  <c r="A138" i="6"/>
  <c r="V138" i="6" s="1"/>
  <c r="AB138" i="6" s="1"/>
  <c r="T138" i="6"/>
  <c r="Z138" i="6" s="1"/>
  <c r="M138" i="5" s="1"/>
  <c r="S138" i="5"/>
  <c r="A139" i="6"/>
  <c r="V139" i="6" s="1"/>
  <c r="AB139" i="6" s="1"/>
  <c r="S139" i="5"/>
  <c r="A140" i="6"/>
  <c r="S140" i="5"/>
  <c r="A141" i="6"/>
  <c r="V141" i="6"/>
  <c r="AB141" i="6" s="1"/>
  <c r="T141" i="6"/>
  <c r="Z141" i="6" s="1"/>
  <c r="M141" i="5" s="1"/>
  <c r="S141" i="5"/>
  <c r="A142" i="6"/>
  <c r="V142" i="6" s="1"/>
  <c r="AB142" i="6" s="1"/>
  <c r="T142" i="6"/>
  <c r="Z142" i="6" s="1"/>
  <c r="M142" i="5" s="1"/>
  <c r="A143" i="6"/>
  <c r="V143" i="6" s="1"/>
  <c r="AB143" i="6" s="1"/>
  <c r="T143" i="6"/>
  <c r="Z143" i="6" s="1"/>
  <c r="M143" i="5" s="1"/>
  <c r="S143" i="5"/>
  <c r="A144" i="6"/>
  <c r="T144" i="6" s="1"/>
  <c r="Z144" i="6" s="1"/>
  <c r="M144" i="5" s="1"/>
  <c r="V144" i="6"/>
  <c r="AB144" i="6" s="1"/>
  <c r="A145" i="6"/>
  <c r="V145" i="6"/>
  <c r="AB145" i="6" s="1"/>
  <c r="T145" i="6"/>
  <c r="Z145" i="6" s="1"/>
  <c r="M145" i="5" s="1"/>
  <c r="A146" i="6"/>
  <c r="V146" i="6" s="1"/>
  <c r="AB146" i="6" s="1"/>
  <c r="T146" i="6"/>
  <c r="Z146" i="6" s="1"/>
  <c r="M146" i="5" s="1"/>
  <c r="S146" i="5"/>
  <c r="A147" i="6"/>
  <c r="S147" i="5"/>
  <c r="A148" i="6"/>
  <c r="S148" i="5"/>
  <c r="A149" i="6"/>
  <c r="V149" i="6"/>
  <c r="AB149" i="6" s="1"/>
  <c r="T149" i="6"/>
  <c r="Z149" i="6" s="1"/>
  <c r="M149" i="5" s="1"/>
  <c r="S149" i="5"/>
  <c r="A150" i="6"/>
  <c r="V150" i="6" s="1"/>
  <c r="AB150" i="6" s="1"/>
  <c r="T150" i="6"/>
  <c r="Z150" i="6" s="1"/>
  <c r="M150" i="5" s="1"/>
  <c r="A151" i="6"/>
  <c r="S151" i="5"/>
  <c r="A152" i="6"/>
  <c r="T152" i="6" s="1"/>
  <c r="Z152" i="6" s="1"/>
  <c r="M152" i="5" s="1"/>
  <c r="V152" i="6"/>
  <c r="AB152" i="6" s="1"/>
  <c r="A153" i="6"/>
  <c r="V153" i="6"/>
  <c r="AB153" i="6" s="1"/>
  <c r="T153" i="6"/>
  <c r="Z153" i="6" s="1"/>
  <c r="M153" i="5" s="1"/>
  <c r="A154" i="6"/>
  <c r="V154" i="6" s="1"/>
  <c r="AB154" i="6" s="1"/>
  <c r="T154" i="6"/>
  <c r="Z154" i="6" s="1"/>
  <c r="M154" i="5" s="1"/>
  <c r="S154" i="5"/>
  <c r="A155" i="6"/>
  <c r="S155" i="5"/>
  <c r="A156" i="6"/>
  <c r="T156" i="6" s="1"/>
  <c r="Z156" i="6" s="1"/>
  <c r="M156" i="5" s="1"/>
  <c r="S156" i="5"/>
  <c r="A157" i="6"/>
  <c r="V157" i="6"/>
  <c r="AB157" i="6" s="1"/>
  <c r="T157" i="6"/>
  <c r="Z157" i="6" s="1"/>
  <c r="M157" i="5" s="1"/>
  <c r="S157" i="5"/>
  <c r="A158" i="6"/>
  <c r="V158" i="6" s="1"/>
  <c r="AB158" i="6" s="1"/>
  <c r="T158" i="6"/>
  <c r="Z158" i="6" s="1"/>
  <c r="M158" i="5" s="1"/>
  <c r="A159" i="6"/>
  <c r="V159" i="6" s="1"/>
  <c r="AB159" i="6" s="1"/>
  <c r="T159" i="6"/>
  <c r="Z159" i="6" s="1"/>
  <c r="M159" i="5" s="1"/>
  <c r="S159" i="5"/>
  <c r="A160" i="6"/>
  <c r="T160" i="6" s="1"/>
  <c r="Z160" i="6" s="1"/>
  <c r="M160" i="5" s="1"/>
  <c r="V160" i="6"/>
  <c r="AB160" i="6" s="1"/>
  <c r="A161" i="6"/>
  <c r="V161" i="6"/>
  <c r="AB161" i="6" s="1"/>
  <c r="T161" i="6"/>
  <c r="Z161" i="6" s="1"/>
  <c r="M161" i="5"/>
  <c r="A162" i="6"/>
  <c r="V162" i="6" s="1"/>
  <c r="AB162" i="6" s="1"/>
  <c r="T162" i="6"/>
  <c r="Z162" i="6" s="1"/>
  <c r="M162" i="5" s="1"/>
  <c r="S162" i="5"/>
  <c r="A163" i="6"/>
  <c r="S163" i="5"/>
  <c r="A164" i="6"/>
  <c r="T164" i="6" s="1"/>
  <c r="Z164" i="6" s="1"/>
  <c r="M164" i="5" s="1"/>
  <c r="V164" i="6"/>
  <c r="AB164" i="6" s="1"/>
  <c r="S164" i="5"/>
  <c r="A165" i="6"/>
  <c r="V165" i="6"/>
  <c r="AB165" i="6" s="1"/>
  <c r="T165" i="6"/>
  <c r="Z165" i="6" s="1"/>
  <c r="M165" i="5" s="1"/>
  <c r="S165" i="5"/>
  <c r="A166" i="6"/>
  <c r="V166" i="6" s="1"/>
  <c r="AB166" i="6" s="1"/>
  <c r="T166" i="6"/>
  <c r="Z166" i="6" s="1"/>
  <c r="M166" i="5" s="1"/>
  <c r="A167" i="6"/>
  <c r="V167" i="6" s="1"/>
  <c r="AB167" i="6" s="1"/>
  <c r="T167" i="6"/>
  <c r="Z167" i="6" s="1"/>
  <c r="M167" i="5" s="1"/>
  <c r="S167" i="5"/>
  <c r="A168" i="6"/>
  <c r="T168" i="6" s="1"/>
  <c r="Z168" i="6" s="1"/>
  <c r="M168" i="5" s="1"/>
  <c r="V168" i="6"/>
  <c r="AB168" i="6" s="1"/>
  <c r="A169" i="6"/>
  <c r="V169" i="6"/>
  <c r="AB169" i="6"/>
  <c r="T169" i="6"/>
  <c r="Z169" i="6" s="1"/>
  <c r="M169" i="5" s="1"/>
  <c r="A170" i="6"/>
  <c r="V170" i="6" s="1"/>
  <c r="AB170" i="6" s="1"/>
  <c r="T170" i="6"/>
  <c r="Z170" i="6" s="1"/>
  <c r="M170" i="5" s="1"/>
  <c r="S170" i="5"/>
  <c r="A171" i="6"/>
  <c r="S171" i="5"/>
  <c r="A172" i="6"/>
  <c r="T172" i="6" s="1"/>
  <c r="Z172" i="6" s="1"/>
  <c r="M172" i="5"/>
  <c r="S172" i="5"/>
  <c r="A173" i="6"/>
  <c r="V173" i="6"/>
  <c r="AB173" i="6" s="1"/>
  <c r="T173" i="6"/>
  <c r="Z173" i="6" s="1"/>
  <c r="M173" i="5" s="1"/>
  <c r="S173" i="5"/>
  <c r="A174" i="6"/>
  <c r="V174" i="6" s="1"/>
  <c r="AB174" i="6"/>
  <c r="T174" i="6"/>
  <c r="Z174" i="6" s="1"/>
  <c r="M174" i="5" s="1"/>
  <c r="A175" i="6"/>
  <c r="V175" i="6" s="1"/>
  <c r="AB175" i="6" s="1"/>
  <c r="T175" i="6"/>
  <c r="Z175" i="6" s="1"/>
  <c r="M175" i="5" s="1"/>
  <c r="S175" i="5"/>
  <c r="A176" i="6"/>
  <c r="T176" i="6" s="1"/>
  <c r="Z176" i="6" s="1"/>
  <c r="M176" i="5" s="1"/>
  <c r="V176" i="6"/>
  <c r="AB176" i="6" s="1"/>
  <c r="A177" i="6"/>
  <c r="V177" i="6"/>
  <c r="AB177" i="6" s="1"/>
  <c r="T177" i="6"/>
  <c r="Z177" i="6" s="1"/>
  <c r="M177" i="5" s="1"/>
  <c r="A178" i="6"/>
  <c r="V178" i="6" s="1"/>
  <c r="AB178" i="6" s="1"/>
  <c r="T178" i="6"/>
  <c r="Z178" i="6" s="1"/>
  <c r="M178" i="5" s="1"/>
  <c r="S178" i="5"/>
  <c r="A179" i="6"/>
  <c r="S179" i="5"/>
  <c r="A180" i="6"/>
  <c r="S180" i="5"/>
  <c r="A181" i="6"/>
  <c r="V181" i="6"/>
  <c r="AB181" i="6" s="1"/>
  <c r="T181" i="6"/>
  <c r="Z181" i="6" s="1"/>
  <c r="M181" i="5" s="1"/>
  <c r="S181" i="5"/>
  <c r="A182" i="6"/>
  <c r="V182" i="6" s="1"/>
  <c r="AB182" i="6" s="1"/>
  <c r="T182" i="6"/>
  <c r="Z182" i="6" s="1"/>
  <c r="M182" i="5" s="1"/>
  <c r="A183" i="6"/>
  <c r="S183" i="5"/>
  <c r="A184" i="6"/>
  <c r="T184" i="6" s="1"/>
  <c r="Z184" i="6" s="1"/>
  <c r="M184" i="5" s="1"/>
  <c r="A185" i="6"/>
  <c r="V185" i="6"/>
  <c r="AB185" i="6" s="1"/>
  <c r="T185" i="6"/>
  <c r="Z185" i="6" s="1"/>
  <c r="M185" i="5" s="1"/>
  <c r="A186" i="6"/>
  <c r="V186" i="6" s="1"/>
  <c r="AB186" i="6"/>
  <c r="T186" i="6"/>
  <c r="Z186" i="6" s="1"/>
  <c r="M186" i="5" s="1"/>
  <c r="S186" i="5"/>
  <c r="A187" i="6"/>
  <c r="S187" i="5"/>
  <c r="A188" i="6"/>
  <c r="T188" i="6" s="1"/>
  <c r="Z188" i="6" s="1"/>
  <c r="M188" i="5" s="1"/>
  <c r="V188" i="6"/>
  <c r="AB188" i="6" s="1"/>
  <c r="S188" i="5"/>
  <c r="A189" i="6"/>
  <c r="V189" i="6"/>
  <c r="AB189" i="6" s="1"/>
  <c r="T189" i="6"/>
  <c r="Z189" i="6" s="1"/>
  <c r="M189" i="5" s="1"/>
  <c r="S189" i="5"/>
  <c r="A190" i="6"/>
  <c r="V190" i="6" s="1"/>
  <c r="AB190" i="6" s="1"/>
  <c r="T190" i="6"/>
  <c r="Z190" i="6" s="1"/>
  <c r="M190" i="5" s="1"/>
  <c r="S190" i="5"/>
  <c r="A191" i="6"/>
  <c r="V191" i="6" s="1"/>
  <c r="AB191" i="6" s="1"/>
  <c r="T191" i="6"/>
  <c r="Z191" i="6" s="1"/>
  <c r="M191" i="5" s="1"/>
  <c r="S191" i="5"/>
  <c r="A192" i="6"/>
  <c r="T192" i="6" s="1"/>
  <c r="V192" i="6"/>
  <c r="AB192" i="6" s="1"/>
  <c r="Z192" i="6"/>
  <c r="M192" i="5" s="1"/>
  <c r="A193" i="6"/>
  <c r="V193" i="6"/>
  <c r="AB193" i="6" s="1"/>
  <c r="T193" i="6"/>
  <c r="Z193" i="6" s="1"/>
  <c r="M193" i="5" s="1"/>
  <c r="A194" i="6"/>
  <c r="V194" i="6" s="1"/>
  <c r="AB194" i="6" s="1"/>
  <c r="T194" i="6"/>
  <c r="Z194" i="6" s="1"/>
  <c r="M194" i="5" s="1"/>
  <c r="S194" i="5"/>
  <c r="A195" i="6"/>
  <c r="V195" i="6" s="1"/>
  <c r="AB195" i="6" s="1"/>
  <c r="S195" i="5"/>
  <c r="A196" i="6"/>
  <c r="T196" i="6" s="1"/>
  <c r="Z196" i="6" s="1"/>
  <c r="M196" i="5" s="1"/>
  <c r="S196" i="5"/>
  <c r="A197" i="6"/>
  <c r="V197" i="6"/>
  <c r="AB197" i="6" s="1"/>
  <c r="T197" i="6"/>
  <c r="Z197" i="6" s="1"/>
  <c r="M197" i="5" s="1"/>
  <c r="S197" i="5"/>
  <c r="A198" i="6"/>
  <c r="V198" i="6" s="1"/>
  <c r="AB198" i="6" s="1"/>
  <c r="T198" i="6"/>
  <c r="Z198" i="6" s="1"/>
  <c r="M198" i="5" s="1"/>
  <c r="S198" i="5"/>
  <c r="A199" i="6"/>
  <c r="V199" i="6" s="1"/>
  <c r="AB199" i="6" s="1"/>
  <c r="S199" i="5"/>
  <c r="A200" i="6"/>
  <c r="A201" i="6"/>
  <c r="V201" i="6"/>
  <c r="AB201" i="6"/>
  <c r="T201" i="6"/>
  <c r="Z201" i="6" s="1"/>
  <c r="M201" i="5" s="1"/>
  <c r="A202" i="6"/>
  <c r="V202" i="6" s="1"/>
  <c r="AB202" i="6" s="1"/>
  <c r="T202" i="6"/>
  <c r="Z202" i="6" s="1"/>
  <c r="M202" i="5" s="1"/>
  <c r="S202" i="5"/>
  <c r="A203" i="6"/>
  <c r="V203" i="6" s="1"/>
  <c r="AB203" i="6" s="1"/>
  <c r="T203" i="6"/>
  <c r="Z203" i="6" s="1"/>
  <c r="M203" i="5" s="1"/>
  <c r="S203" i="5"/>
  <c r="A204" i="6"/>
  <c r="S204" i="5"/>
  <c r="A205" i="6"/>
  <c r="V205" i="6"/>
  <c r="AB205" i="6" s="1"/>
  <c r="T205" i="6"/>
  <c r="Z205" i="6" s="1"/>
  <c r="M205" i="5" s="1"/>
  <c r="S205" i="5"/>
  <c r="A206" i="6"/>
  <c r="V206" i="6" s="1"/>
  <c r="AB206" i="6" s="1"/>
  <c r="T206" i="6"/>
  <c r="Z206" i="6" s="1"/>
  <c r="M206" i="5" s="1"/>
  <c r="A207" i="6"/>
  <c r="V207" i="6"/>
  <c r="AB207" i="6" s="1"/>
  <c r="T207" i="6"/>
  <c r="Z207" i="6" s="1"/>
  <c r="M207" i="5" s="1"/>
  <c r="S207" i="5"/>
  <c r="A208" i="6"/>
  <c r="T208" i="6" s="1"/>
  <c r="Z208" i="6" s="1"/>
  <c r="M208" i="5" s="1"/>
  <c r="V208" i="6"/>
  <c r="AB208" i="6" s="1"/>
  <c r="A209" i="6"/>
  <c r="V209" i="6"/>
  <c r="AB209" i="6" s="1"/>
  <c r="T209" i="6"/>
  <c r="Z209" i="6" s="1"/>
  <c r="M209" i="5" s="1"/>
  <c r="A210" i="6"/>
  <c r="V210" i="6" s="1"/>
  <c r="AB210" i="6" s="1"/>
  <c r="T210" i="6"/>
  <c r="Z210" i="6" s="1"/>
  <c r="M210" i="5" s="1"/>
  <c r="S210" i="5"/>
  <c r="A211" i="6"/>
  <c r="S211" i="5"/>
  <c r="A212" i="6"/>
  <c r="T212" i="6" s="1"/>
  <c r="Z212" i="6" s="1"/>
  <c r="M212" i="5" s="1"/>
  <c r="S212" i="5"/>
  <c r="A213" i="6"/>
  <c r="V213" i="6"/>
  <c r="AB213" i="6" s="1"/>
  <c r="T213" i="6"/>
  <c r="Z213" i="6" s="1"/>
  <c r="M213" i="5" s="1"/>
  <c r="S213" i="5"/>
  <c r="A214" i="6"/>
  <c r="A215" i="6"/>
  <c r="T215" i="6" s="1"/>
  <c r="Z215" i="6" s="1"/>
  <c r="M215" i="5" s="1"/>
  <c r="V215" i="6"/>
  <c r="AB215" i="6" s="1"/>
  <c r="S215" i="5"/>
  <c r="A216" i="6"/>
  <c r="T216" i="6" s="1"/>
  <c r="Z216" i="6" s="1"/>
  <c r="M216" i="5" s="1"/>
  <c r="A217" i="6"/>
  <c r="V217" i="6"/>
  <c r="AB217" i="6" s="1"/>
  <c r="T217" i="6"/>
  <c r="Z217" i="6" s="1"/>
  <c r="M217" i="5" s="1"/>
  <c r="A218" i="6"/>
  <c r="V218" i="6" s="1"/>
  <c r="AB218" i="6" s="1"/>
  <c r="T218" i="6"/>
  <c r="Z218" i="6" s="1"/>
  <c r="M218" i="5" s="1"/>
  <c r="S218" i="5"/>
  <c r="A219" i="6"/>
  <c r="V219" i="6" s="1"/>
  <c r="AB219" i="6" s="1"/>
  <c r="T219" i="6"/>
  <c r="Z219" i="6" s="1"/>
  <c r="M219" i="5" s="1"/>
  <c r="S219" i="5"/>
  <c r="A220" i="6"/>
  <c r="T220" i="6" s="1"/>
  <c r="Z220" i="6" s="1"/>
  <c r="M220" i="5" s="1"/>
  <c r="V220" i="6"/>
  <c r="AB220" i="6" s="1"/>
  <c r="S220" i="5"/>
  <c r="A221" i="6"/>
  <c r="V221" i="6"/>
  <c r="AB221" i="6" s="1"/>
  <c r="T221" i="6"/>
  <c r="Z221" i="6" s="1"/>
  <c r="M221" i="5" s="1"/>
  <c r="S221" i="5"/>
  <c r="A222" i="6"/>
  <c r="V222" i="6" s="1"/>
  <c r="AB222" i="6" s="1"/>
  <c r="T222" i="6"/>
  <c r="Z222" i="6" s="1"/>
  <c r="M222" i="5" s="1"/>
  <c r="A223" i="6"/>
  <c r="V223" i="6"/>
  <c r="AB223" i="6" s="1"/>
  <c r="T223" i="6"/>
  <c r="Z223" i="6" s="1"/>
  <c r="M223" i="5" s="1"/>
  <c r="S223" i="5"/>
  <c r="A224" i="6"/>
  <c r="A225" i="6"/>
  <c r="V225" i="6"/>
  <c r="AB225" i="6" s="1"/>
  <c r="T225" i="6"/>
  <c r="Z225" i="6" s="1"/>
  <c r="M225" i="5" s="1"/>
  <c r="A226" i="6"/>
  <c r="V226" i="6" s="1"/>
  <c r="AB226" i="6" s="1"/>
  <c r="T226" i="6"/>
  <c r="Z226" i="6" s="1"/>
  <c r="M226" i="5" s="1"/>
  <c r="S226" i="5"/>
  <c r="A227" i="6"/>
  <c r="V227" i="6" s="1"/>
  <c r="AB227" i="6" s="1"/>
  <c r="T227" i="6"/>
  <c r="Z227" i="6" s="1"/>
  <c r="M227" i="5" s="1"/>
  <c r="S227" i="5"/>
  <c r="A228" i="6"/>
  <c r="T228" i="6" s="1"/>
  <c r="Z228" i="6" s="1"/>
  <c r="M228" i="5" s="1"/>
  <c r="V228" i="6"/>
  <c r="AB228" i="6" s="1"/>
  <c r="S228" i="5"/>
  <c r="A229" i="6"/>
  <c r="V229" i="6"/>
  <c r="AB229" i="6" s="1"/>
  <c r="T229" i="6"/>
  <c r="Z229" i="6" s="1"/>
  <c r="M229" i="5" s="1"/>
  <c r="S229" i="5"/>
  <c r="A230" i="6"/>
  <c r="V230" i="6" s="1"/>
  <c r="AB230" i="6" s="1"/>
  <c r="A231" i="6"/>
  <c r="S231" i="5"/>
  <c r="A232" i="6"/>
  <c r="T232" i="6" s="1"/>
  <c r="Z232" i="6" s="1"/>
  <c r="M232" i="5" s="1"/>
  <c r="A233" i="6"/>
  <c r="V233" i="6"/>
  <c r="AB233" i="6" s="1"/>
  <c r="T233" i="6"/>
  <c r="Z233" i="6" s="1"/>
  <c r="M233" i="5"/>
  <c r="A234" i="6"/>
  <c r="V234" i="6" s="1"/>
  <c r="AB234" i="6" s="1"/>
  <c r="T234" i="6"/>
  <c r="Z234" i="6" s="1"/>
  <c r="M234" i="5" s="1"/>
  <c r="S234" i="5"/>
  <c r="A235" i="6"/>
  <c r="V235" i="6"/>
  <c r="AB235" i="6" s="1"/>
  <c r="T235" i="6"/>
  <c r="Z235" i="6" s="1"/>
  <c r="M235" i="5" s="1"/>
  <c r="S235" i="5"/>
  <c r="A236" i="6"/>
  <c r="T236" i="6" s="1"/>
  <c r="Z236" i="6" s="1"/>
  <c r="M236" i="5" s="1"/>
  <c r="S236" i="5"/>
  <c r="A237" i="6"/>
  <c r="V237" i="6"/>
  <c r="AB237" i="6" s="1"/>
  <c r="T237" i="6"/>
  <c r="Z237" i="6" s="1"/>
  <c r="M237" i="5" s="1"/>
  <c r="S237" i="5"/>
  <c r="A238" i="6"/>
  <c r="S238" i="5"/>
  <c r="A239" i="6"/>
  <c r="V239" i="6" s="1"/>
  <c r="AB239" i="6" s="1"/>
  <c r="S239" i="5"/>
  <c r="A240" i="6"/>
  <c r="A241" i="6"/>
  <c r="V241" i="6"/>
  <c r="AB241" i="6" s="1"/>
  <c r="T241" i="6"/>
  <c r="Z241" i="6" s="1"/>
  <c r="M241" i="5" s="1"/>
  <c r="A242" i="6"/>
  <c r="V242" i="6" s="1"/>
  <c r="AB242" i="6"/>
  <c r="S242" i="5"/>
  <c r="A243" i="6"/>
  <c r="V243" i="6" s="1"/>
  <c r="AB243" i="6" s="1"/>
  <c r="S243" i="5"/>
  <c r="A244" i="6"/>
  <c r="T244" i="6" s="1"/>
  <c r="Z244" i="6" s="1"/>
  <c r="M244" i="5" s="1"/>
  <c r="V244" i="6"/>
  <c r="AB244" i="6" s="1"/>
  <c r="S244" i="5"/>
  <c r="A245" i="6"/>
  <c r="V245" i="6"/>
  <c r="AB245" i="6" s="1"/>
  <c r="T245" i="6"/>
  <c r="Z245" i="6" s="1"/>
  <c r="M245" i="5" s="1"/>
  <c r="S245" i="5"/>
  <c r="A246" i="6"/>
  <c r="V246" i="6" s="1"/>
  <c r="AB246" i="6" s="1"/>
  <c r="T246" i="6"/>
  <c r="Z246" i="6" s="1"/>
  <c r="M246" i="5" s="1"/>
  <c r="S246" i="5"/>
  <c r="A247" i="6"/>
  <c r="S247" i="5"/>
  <c r="A248" i="6"/>
  <c r="T248" i="6" s="1"/>
  <c r="Z248" i="6" s="1"/>
  <c r="M248" i="5" s="1"/>
  <c r="V248" i="6"/>
  <c r="AB248" i="6" s="1"/>
  <c r="A249" i="6"/>
  <c r="V249" i="6"/>
  <c r="AB249" i="6" s="1"/>
  <c r="T249" i="6"/>
  <c r="Z249" i="6" s="1"/>
  <c r="M249" i="5" s="1"/>
  <c r="A250" i="6"/>
  <c r="V250" i="6" s="1"/>
  <c r="AB250" i="6" s="1"/>
  <c r="S250" i="5"/>
  <c r="A251" i="6"/>
  <c r="V251" i="6"/>
  <c r="AB251" i="6" s="1"/>
  <c r="T251" i="6"/>
  <c r="Z251" i="6" s="1"/>
  <c r="M251" i="5" s="1"/>
  <c r="S251" i="5"/>
  <c r="A252" i="6"/>
  <c r="S252" i="5"/>
  <c r="A253" i="6"/>
  <c r="V253" i="6"/>
  <c r="AB253" i="6" s="1"/>
  <c r="T253" i="6"/>
  <c r="Z253" i="6" s="1"/>
  <c r="M253" i="5" s="1"/>
  <c r="S253" i="5"/>
  <c r="A254" i="6"/>
  <c r="V254" i="6" s="1"/>
  <c r="AB254" i="6" s="1"/>
  <c r="A255" i="6"/>
  <c r="V255" i="6"/>
  <c r="AB255" i="6" s="1"/>
  <c r="T255" i="6"/>
  <c r="Z255" i="6" s="1"/>
  <c r="M255" i="5" s="1"/>
  <c r="S255" i="5"/>
  <c r="A256" i="6"/>
  <c r="T256" i="6" s="1"/>
  <c r="Z256" i="6" s="1"/>
  <c r="M256" i="5" s="1"/>
  <c r="V256" i="6"/>
  <c r="AB256" i="6" s="1"/>
  <c r="A257" i="6"/>
  <c r="V257" i="6" s="1"/>
  <c r="AB257" i="6" s="1"/>
  <c r="T257" i="6"/>
  <c r="Z257" i="6" s="1"/>
  <c r="M257" i="5" s="1"/>
  <c r="A258" i="6"/>
  <c r="S258" i="5"/>
  <c r="A259" i="6"/>
  <c r="V259" i="6" s="1"/>
  <c r="AB259" i="6" s="1"/>
  <c r="T259" i="6"/>
  <c r="Z259" i="6" s="1"/>
  <c r="M259" i="5" s="1"/>
  <c r="S259" i="5"/>
  <c r="A260" i="6"/>
  <c r="V260" i="6" s="1"/>
  <c r="AB260" i="6" s="1"/>
  <c r="T260" i="6"/>
  <c r="Z260" i="6" s="1"/>
  <c r="M260" i="5" s="1"/>
  <c r="S260" i="5"/>
  <c r="A261" i="6"/>
  <c r="V261" i="6"/>
  <c r="AB261" i="6" s="1"/>
  <c r="T261" i="6"/>
  <c r="Z261" i="6" s="1"/>
  <c r="M261" i="5" s="1"/>
  <c r="S261" i="5"/>
  <c r="A262" i="6"/>
  <c r="V262" i="6" s="1"/>
  <c r="AB262" i="6" s="1"/>
  <c r="T262" i="6"/>
  <c r="Z262" i="6" s="1"/>
  <c r="M262" i="5" s="1"/>
  <c r="A263" i="6"/>
  <c r="V263" i="6" s="1"/>
  <c r="AB263" i="6" s="1"/>
  <c r="S263" i="5"/>
  <c r="A264" i="6"/>
  <c r="T264" i="6" s="1"/>
  <c r="Z264" i="6" s="1"/>
  <c r="M264" i="5" s="1"/>
  <c r="V264" i="6"/>
  <c r="AB264" i="6" s="1"/>
  <c r="A265" i="6"/>
  <c r="V265" i="6" s="1"/>
  <c r="AB265" i="6" s="1"/>
  <c r="T265" i="6"/>
  <c r="Z265" i="6" s="1"/>
  <c r="M265" i="5" s="1"/>
  <c r="A266" i="6"/>
  <c r="T266" i="6" s="1"/>
  <c r="Z266" i="6" s="1"/>
  <c r="M266" i="5" s="1"/>
  <c r="V266" i="6"/>
  <c r="AB266" i="6" s="1"/>
  <c r="S266" i="5"/>
  <c r="A267" i="6"/>
  <c r="V267" i="6" s="1"/>
  <c r="AB267" i="6" s="1"/>
  <c r="S267" i="5"/>
  <c r="A268" i="6"/>
  <c r="S268" i="5"/>
  <c r="A269" i="6"/>
  <c r="V269" i="6"/>
  <c r="AB269" i="6" s="1"/>
  <c r="T269" i="6"/>
  <c r="Z269" i="6" s="1"/>
  <c r="M269" i="5" s="1"/>
  <c r="S269" i="5"/>
  <c r="A270" i="6"/>
  <c r="V270" i="6" s="1"/>
  <c r="AB270" i="6" s="1"/>
  <c r="T270" i="6"/>
  <c r="Z270" i="6" s="1"/>
  <c r="M270" i="5" s="1"/>
  <c r="A271" i="6"/>
  <c r="T271" i="6" s="1"/>
  <c r="Z271" i="6" s="1"/>
  <c r="M271" i="5" s="1"/>
  <c r="V271" i="6"/>
  <c r="AB271" i="6" s="1"/>
  <c r="S271" i="5"/>
  <c r="A272" i="6"/>
  <c r="T272" i="6" s="1"/>
  <c r="Z272" i="6" s="1"/>
  <c r="M272" i="5" s="1"/>
  <c r="A273" i="6"/>
  <c r="A274" i="6"/>
  <c r="V274" i="6" s="1"/>
  <c r="AB274" i="6" s="1"/>
  <c r="T274" i="6"/>
  <c r="Z274" i="6" s="1"/>
  <c r="M274" i="5" s="1"/>
  <c r="S274" i="5"/>
  <c r="A275" i="6"/>
  <c r="T275" i="6" s="1"/>
  <c r="Z275" i="6" s="1"/>
  <c r="M275" i="5" s="1"/>
  <c r="V275" i="6"/>
  <c r="AB275" i="6" s="1"/>
  <c r="S275" i="5"/>
  <c r="A276" i="6"/>
  <c r="T276" i="6" s="1"/>
  <c r="Z276" i="6" s="1"/>
  <c r="M276" i="5" s="1"/>
  <c r="V276" i="6"/>
  <c r="AB276" i="6"/>
  <c r="S276" i="5"/>
  <c r="A277" i="6"/>
  <c r="V277" i="6"/>
  <c r="AB277" i="6" s="1"/>
  <c r="T277" i="6"/>
  <c r="Z277" i="6" s="1"/>
  <c r="M277" i="5" s="1"/>
  <c r="S277" i="5"/>
  <c r="A278" i="6"/>
  <c r="V278" i="6" s="1"/>
  <c r="AB278" i="6" s="1"/>
  <c r="S278" i="5"/>
  <c r="A279" i="6"/>
  <c r="V279" i="6"/>
  <c r="AB279" i="6" s="1"/>
  <c r="T279" i="6"/>
  <c r="Z279" i="6" s="1"/>
  <c r="M279" i="5" s="1"/>
  <c r="S279" i="5"/>
  <c r="A280" i="6"/>
  <c r="A281" i="6"/>
  <c r="T281" i="6" s="1"/>
  <c r="Z281" i="6" s="1"/>
  <c r="M281" i="5" s="1"/>
  <c r="V281" i="6"/>
  <c r="AB281" i="6" s="1"/>
  <c r="A282" i="6"/>
  <c r="V282" i="6" s="1"/>
  <c r="AB282" i="6" s="1"/>
  <c r="S282" i="5"/>
  <c r="A283" i="6"/>
  <c r="V283" i="6"/>
  <c r="AB283" i="6" s="1"/>
  <c r="T283" i="6"/>
  <c r="Z283" i="6" s="1"/>
  <c r="M283" i="5" s="1"/>
  <c r="S283" i="5"/>
  <c r="A284" i="6"/>
  <c r="V284" i="6"/>
  <c r="AB284" i="6"/>
  <c r="T284" i="6"/>
  <c r="Z284" i="6" s="1"/>
  <c r="M284" i="5" s="1"/>
  <c r="S284" i="5"/>
  <c r="A285" i="6"/>
  <c r="V285" i="6"/>
  <c r="AB285" i="6" s="1"/>
  <c r="T285" i="6"/>
  <c r="Z285" i="6" s="1"/>
  <c r="M285" i="5" s="1"/>
  <c r="S285" i="5"/>
  <c r="A286" i="6"/>
  <c r="V286" i="6" s="1"/>
  <c r="AB286" i="6"/>
  <c r="S286" i="5"/>
  <c r="A287" i="6"/>
  <c r="V287" i="6" s="1"/>
  <c r="AB287" i="6" s="1"/>
  <c r="S287" i="5"/>
  <c r="A288" i="6"/>
  <c r="A289" i="6"/>
  <c r="V289" i="6" s="1"/>
  <c r="AB289" i="6" s="1"/>
  <c r="T289" i="6"/>
  <c r="Z289" i="6" s="1"/>
  <c r="M289" i="5" s="1"/>
  <c r="A290" i="6"/>
  <c r="T290" i="6" s="1"/>
  <c r="Z290" i="6" s="1"/>
  <c r="M290" i="5" s="1"/>
  <c r="V290" i="6"/>
  <c r="AB290" i="6" s="1"/>
  <c r="S290" i="5"/>
  <c r="A291" i="6"/>
  <c r="V291" i="6" s="1"/>
  <c r="AB291" i="6" s="1"/>
  <c r="T291" i="6"/>
  <c r="Z291" i="6" s="1"/>
  <c r="M291" i="5" s="1"/>
  <c r="S291" i="5"/>
  <c r="A292" i="6"/>
  <c r="T292" i="6" s="1"/>
  <c r="Z292" i="6" s="1"/>
  <c r="M292" i="5" s="1"/>
  <c r="V292" i="6"/>
  <c r="AB292" i="6" s="1"/>
  <c r="S292" i="5"/>
  <c r="A293" i="6"/>
  <c r="V293" i="6"/>
  <c r="AB293" i="6" s="1"/>
  <c r="T293" i="6"/>
  <c r="Z293" i="6" s="1"/>
  <c r="M293" i="5" s="1"/>
  <c r="S293" i="5"/>
  <c r="A294" i="6"/>
  <c r="V294" i="6" s="1"/>
  <c r="AB294" i="6" s="1"/>
  <c r="T294" i="6"/>
  <c r="Z294" i="6" s="1"/>
  <c r="M294" i="5" s="1"/>
  <c r="S294" i="5"/>
  <c r="A295" i="6"/>
  <c r="S295" i="5"/>
  <c r="A296" i="6"/>
  <c r="T296" i="6" s="1"/>
  <c r="Z296" i="6" s="1"/>
  <c r="M296" i="5" s="1"/>
  <c r="V296" i="6"/>
  <c r="AB296" i="6" s="1"/>
  <c r="A297" i="6"/>
  <c r="T297" i="6" s="1"/>
  <c r="Z297" i="6" s="1"/>
  <c r="M297" i="5" s="1"/>
  <c r="V297" i="6"/>
  <c r="AB297" i="6" s="1"/>
  <c r="A298" i="6"/>
  <c r="V298" i="6"/>
  <c r="AB298" i="6" s="1"/>
  <c r="T298" i="6"/>
  <c r="Z298" i="6" s="1"/>
  <c r="M298" i="5" s="1"/>
  <c r="S298" i="5"/>
  <c r="A299" i="6"/>
  <c r="V299" i="6" s="1"/>
  <c r="AB299" i="6" s="1"/>
  <c r="S299" i="5"/>
  <c r="A300" i="6"/>
  <c r="T300" i="6" s="1"/>
  <c r="Z300" i="6" s="1"/>
  <c r="M300" i="5" s="1"/>
  <c r="V300" i="6"/>
  <c r="AB300" i="6" s="1"/>
  <c r="S300" i="5"/>
  <c r="A301" i="6"/>
  <c r="V301" i="6"/>
  <c r="AB301" i="6" s="1"/>
  <c r="T301" i="6"/>
  <c r="Z301" i="6" s="1"/>
  <c r="M301" i="5" s="1"/>
  <c r="S301" i="5"/>
  <c r="A302" i="6"/>
  <c r="V302" i="6" s="1"/>
  <c r="AB302" i="6" s="1"/>
  <c r="A303" i="6"/>
  <c r="S303" i="5"/>
  <c r="A304" i="6"/>
  <c r="T304" i="6" s="1"/>
  <c r="Z304" i="6" s="1"/>
  <c r="M304" i="5" s="1"/>
  <c r="A305" i="6"/>
  <c r="T305" i="6" s="1"/>
  <c r="Z305" i="6" s="1"/>
  <c r="M305" i="5" s="1"/>
  <c r="V305" i="6"/>
  <c r="AB305" i="6" s="1"/>
  <c r="A306" i="6"/>
  <c r="V306" i="6" s="1"/>
  <c r="AB306" i="6" s="1"/>
  <c r="T306" i="6"/>
  <c r="Z306" i="6" s="1"/>
  <c r="M306" i="5" s="1"/>
  <c r="S306" i="5"/>
  <c r="A307" i="6"/>
  <c r="T307" i="6" s="1"/>
  <c r="Z307" i="6" s="1"/>
  <c r="M307" i="5" s="1"/>
  <c r="V307" i="6"/>
  <c r="AB307" i="6" s="1"/>
  <c r="S307" i="5"/>
  <c r="A308" i="6"/>
  <c r="S308" i="5"/>
  <c r="A309" i="6"/>
  <c r="V309" i="6"/>
  <c r="AB309" i="6" s="1"/>
  <c r="T309" i="6"/>
  <c r="Z309" i="6" s="1"/>
  <c r="M309" i="5" s="1"/>
  <c r="S309" i="5"/>
  <c r="A310" i="6"/>
  <c r="V310" i="6" s="1"/>
  <c r="AB310" i="6" s="1"/>
  <c r="T310" i="6"/>
  <c r="Z310" i="6" s="1"/>
  <c r="M310" i="5" s="1"/>
  <c r="A311" i="6"/>
  <c r="V311" i="6" s="1"/>
  <c r="AB311" i="6" s="1"/>
  <c r="T311" i="6"/>
  <c r="Z311" i="6" s="1"/>
  <c r="M311" i="5" s="1"/>
  <c r="S311" i="5"/>
  <c r="A312" i="6"/>
  <c r="T312" i="6" s="1"/>
  <c r="Z312" i="6" s="1"/>
  <c r="M312" i="5" s="1"/>
  <c r="V312" i="6"/>
  <c r="AB312" i="6" s="1"/>
  <c r="A313" i="6"/>
  <c r="T313" i="6" s="1"/>
  <c r="Z313" i="6" s="1"/>
  <c r="M313" i="5" s="1"/>
  <c r="V313" i="6"/>
  <c r="AB313" i="6" s="1"/>
  <c r="A314" i="6"/>
  <c r="V314" i="6" s="1"/>
  <c r="AB314" i="6" s="1"/>
  <c r="T314" i="6"/>
  <c r="Z314" i="6" s="1"/>
  <c r="M314" i="5" s="1"/>
  <c r="S314" i="5"/>
  <c r="A315" i="6"/>
  <c r="T315" i="6" s="1"/>
  <c r="Z315" i="6" s="1"/>
  <c r="M315" i="5" s="1"/>
  <c r="V315" i="6"/>
  <c r="AB315" i="6" s="1"/>
  <c r="S315" i="5"/>
  <c r="A316" i="6"/>
  <c r="S316" i="5"/>
  <c r="A317" i="6"/>
  <c r="V317" i="6"/>
  <c r="AB317" i="6" s="1"/>
  <c r="T317" i="6"/>
  <c r="Z317" i="6" s="1"/>
  <c r="M317" i="5" s="1"/>
  <c r="S317" i="5"/>
  <c r="A318" i="6"/>
  <c r="V318" i="6"/>
  <c r="AB318" i="6" s="1"/>
  <c r="T318" i="6"/>
  <c r="Z318" i="6" s="1"/>
  <c r="M318" i="5" s="1"/>
  <c r="A319" i="6"/>
  <c r="V319" i="6" s="1"/>
  <c r="AB319" i="6" s="1"/>
  <c r="T319" i="6"/>
  <c r="Z319" i="6" s="1"/>
  <c r="M319" i="5" s="1"/>
  <c r="S319" i="5"/>
  <c r="A320" i="6"/>
  <c r="T320" i="6" s="1"/>
  <c r="Z320" i="6" s="1"/>
  <c r="M320" i="5" s="1"/>
  <c r="V320" i="6"/>
  <c r="AB320" i="6" s="1"/>
  <c r="A321" i="6"/>
  <c r="T321" i="6" s="1"/>
  <c r="Z321" i="6" s="1"/>
  <c r="M321" i="5" s="1"/>
  <c r="V321" i="6"/>
  <c r="AB321" i="6" s="1"/>
  <c r="A322" i="6"/>
  <c r="V322" i="6" s="1"/>
  <c r="AB322" i="6" s="1"/>
  <c r="T322" i="6"/>
  <c r="Z322" i="6" s="1"/>
  <c r="M322" i="5" s="1"/>
  <c r="S322" i="5"/>
  <c r="A323" i="6"/>
  <c r="T323" i="6" s="1"/>
  <c r="Z323" i="6" s="1"/>
  <c r="M323" i="5" s="1"/>
  <c r="V323" i="6"/>
  <c r="AB323" i="6" s="1"/>
  <c r="S323" i="5"/>
  <c r="A324" i="6"/>
  <c r="S324" i="5"/>
  <c r="A325" i="6"/>
  <c r="V325" i="6"/>
  <c r="AB325" i="6" s="1"/>
  <c r="T325" i="6"/>
  <c r="Z325" i="6" s="1"/>
  <c r="M325" i="5" s="1"/>
  <c r="S325" i="5"/>
  <c r="A326" i="6"/>
  <c r="V326" i="6" s="1"/>
  <c r="AB326" i="6" s="1"/>
  <c r="T326" i="6"/>
  <c r="Z326" i="6"/>
  <c r="M326" i="5" s="1"/>
  <c r="S326" i="5"/>
  <c r="A327" i="6"/>
  <c r="V327" i="6" s="1"/>
  <c r="AB327" i="6" s="1"/>
  <c r="T327" i="6"/>
  <c r="Z327" i="6" s="1"/>
  <c r="M327" i="5" s="1"/>
  <c r="S327" i="5"/>
  <c r="A328" i="6"/>
  <c r="T328" i="6" s="1"/>
  <c r="Z328" i="6" s="1"/>
  <c r="M328" i="5" s="1"/>
  <c r="V328" i="6"/>
  <c r="AB328" i="6" s="1"/>
  <c r="A329" i="6"/>
  <c r="T329" i="6" s="1"/>
  <c r="Z329" i="6" s="1"/>
  <c r="M329" i="5" s="1"/>
  <c r="V329" i="6"/>
  <c r="AB329" i="6" s="1"/>
  <c r="A330" i="6"/>
  <c r="V330" i="6" s="1"/>
  <c r="AB330" i="6" s="1"/>
  <c r="T330" i="6"/>
  <c r="Z330" i="6" s="1"/>
  <c r="M330" i="5" s="1"/>
  <c r="S330" i="5"/>
  <c r="A331" i="6"/>
  <c r="T331" i="6" s="1"/>
  <c r="Z331" i="6" s="1"/>
  <c r="M331" i="5" s="1"/>
  <c r="V331" i="6"/>
  <c r="AB331" i="6" s="1"/>
  <c r="S331" i="5"/>
  <c r="A332" i="6"/>
  <c r="S332" i="5"/>
  <c r="A333" i="6"/>
  <c r="V333" i="6"/>
  <c r="AB333" i="6" s="1"/>
  <c r="T333" i="6"/>
  <c r="Z333" i="6" s="1"/>
  <c r="M333" i="5" s="1"/>
  <c r="S333" i="5"/>
  <c r="A334" i="6"/>
  <c r="V334" i="6" s="1"/>
  <c r="AB334" i="6" s="1"/>
  <c r="T334" i="6"/>
  <c r="Z334" i="6" s="1"/>
  <c r="M334" i="5" s="1"/>
  <c r="A335" i="6"/>
  <c r="V335" i="6" s="1"/>
  <c r="AB335" i="6" s="1"/>
  <c r="T335" i="6"/>
  <c r="Z335" i="6" s="1"/>
  <c r="M335" i="5" s="1"/>
  <c r="S335" i="5"/>
  <c r="A336" i="6"/>
  <c r="T336" i="6" s="1"/>
  <c r="Z336" i="6" s="1"/>
  <c r="M336" i="5" s="1"/>
  <c r="V336" i="6"/>
  <c r="AB336" i="6" s="1"/>
  <c r="A337" i="6"/>
  <c r="T337" i="6" s="1"/>
  <c r="Z337" i="6" s="1"/>
  <c r="M337" i="5" s="1"/>
  <c r="V337" i="6"/>
  <c r="AB337" i="6" s="1"/>
  <c r="A338" i="6"/>
  <c r="V338" i="6" s="1"/>
  <c r="AB338" i="6" s="1"/>
  <c r="T338" i="6"/>
  <c r="Z338" i="6" s="1"/>
  <c r="M338" i="5" s="1"/>
  <c r="S338" i="5"/>
  <c r="A339" i="6"/>
  <c r="T339" i="6" s="1"/>
  <c r="Z339" i="6" s="1"/>
  <c r="M339" i="5" s="1"/>
  <c r="V339" i="6"/>
  <c r="AB339" i="6" s="1"/>
  <c r="S339" i="5"/>
  <c r="A340" i="6"/>
  <c r="S340" i="5"/>
  <c r="A341" i="6"/>
  <c r="V341" i="6"/>
  <c r="AB341" i="6" s="1"/>
  <c r="T341" i="6"/>
  <c r="Z341" i="6" s="1"/>
  <c r="M341" i="5" s="1"/>
  <c r="S341" i="5"/>
  <c r="A342" i="6"/>
  <c r="V342" i="6" s="1"/>
  <c r="AB342" i="6" s="1"/>
  <c r="T342" i="6"/>
  <c r="Z342" i="6" s="1"/>
  <c r="M342" i="5" s="1"/>
  <c r="S342" i="5"/>
  <c r="A343" i="6"/>
  <c r="V343" i="6" s="1"/>
  <c r="AB343" i="6" s="1"/>
  <c r="T343" i="6"/>
  <c r="Z343" i="6" s="1"/>
  <c r="M343" i="5" s="1"/>
  <c r="S343" i="5"/>
  <c r="A344" i="6"/>
  <c r="T344" i="6" s="1"/>
  <c r="Z344" i="6" s="1"/>
  <c r="M344" i="5" s="1"/>
  <c r="V344" i="6"/>
  <c r="AB344" i="6" s="1"/>
  <c r="A345" i="6"/>
  <c r="T345" i="6" s="1"/>
  <c r="Z345" i="6" s="1"/>
  <c r="M345" i="5" s="1"/>
  <c r="V345" i="6"/>
  <c r="AB345" i="6" s="1"/>
  <c r="A346" i="6"/>
  <c r="V346" i="6" s="1"/>
  <c r="AB346" i="6" s="1"/>
  <c r="T346" i="6"/>
  <c r="Z346" i="6" s="1"/>
  <c r="M346" i="5" s="1"/>
  <c r="S346" i="5"/>
  <c r="A347" i="6"/>
  <c r="T347" i="6" s="1"/>
  <c r="Z347" i="6" s="1"/>
  <c r="M347" i="5" s="1"/>
  <c r="V347" i="6"/>
  <c r="AB347" i="6" s="1"/>
  <c r="S347" i="5"/>
  <c r="A348" i="6"/>
  <c r="S348" i="5"/>
  <c r="A349" i="6"/>
  <c r="V349" i="6"/>
  <c r="AB349" i="6" s="1"/>
  <c r="T349" i="6"/>
  <c r="Z349" i="6" s="1"/>
  <c r="M349" i="5" s="1"/>
  <c r="S349" i="5"/>
  <c r="A350" i="6"/>
  <c r="V350" i="6"/>
  <c r="AB350" i="6" s="1"/>
  <c r="T350" i="6"/>
  <c r="Z350" i="6" s="1"/>
  <c r="M350" i="5" s="1"/>
  <c r="A351" i="6"/>
  <c r="V351" i="6" s="1"/>
  <c r="AB351" i="6" s="1"/>
  <c r="T351" i="6"/>
  <c r="Z351" i="6" s="1"/>
  <c r="M351" i="5" s="1"/>
  <c r="S351" i="5"/>
  <c r="A352" i="6"/>
  <c r="T352" i="6" s="1"/>
  <c r="Z352" i="6" s="1"/>
  <c r="M352" i="5" s="1"/>
  <c r="V352" i="6"/>
  <c r="AB352" i="6" s="1"/>
  <c r="A353" i="6"/>
  <c r="T353" i="6" s="1"/>
  <c r="Z353" i="6" s="1"/>
  <c r="V353" i="6"/>
  <c r="AB353" i="6" s="1"/>
  <c r="M353" i="5"/>
  <c r="A354" i="6"/>
  <c r="V354" i="6" s="1"/>
  <c r="AB354" i="6" s="1"/>
  <c r="T354" i="6"/>
  <c r="Z354" i="6" s="1"/>
  <c r="M354" i="5" s="1"/>
  <c r="S354" i="5"/>
  <c r="A355" i="6"/>
  <c r="T355" i="6" s="1"/>
  <c r="Z355" i="6" s="1"/>
  <c r="M355" i="5" s="1"/>
  <c r="V355" i="6"/>
  <c r="AB355" i="6" s="1"/>
  <c r="S355" i="5"/>
  <c r="A356" i="6"/>
  <c r="S356" i="5"/>
  <c r="A357" i="6"/>
  <c r="V357" i="6"/>
  <c r="AB357" i="6" s="1"/>
  <c r="T357" i="6"/>
  <c r="Z357" i="6" s="1"/>
  <c r="M357" i="5" s="1"/>
  <c r="S357" i="5"/>
  <c r="A358" i="6"/>
  <c r="V358" i="6" s="1"/>
  <c r="AB358" i="6" s="1"/>
  <c r="T358" i="6"/>
  <c r="Z358" i="6" s="1"/>
  <c r="M358" i="5" s="1"/>
  <c r="A359" i="6"/>
  <c r="V359" i="6" s="1"/>
  <c r="AB359" i="6" s="1"/>
  <c r="S359" i="5"/>
  <c r="A360" i="6"/>
  <c r="T360" i="6" s="1"/>
  <c r="Z360" i="6" s="1"/>
  <c r="M360" i="5" s="1"/>
  <c r="V360" i="6"/>
  <c r="AB360" i="6" s="1"/>
  <c r="A361" i="6"/>
  <c r="T361" i="6" s="1"/>
  <c r="Z361" i="6" s="1"/>
  <c r="M361" i="5" s="1"/>
  <c r="V361" i="6"/>
  <c r="AB361" i="6" s="1"/>
  <c r="A362" i="6"/>
  <c r="V362" i="6" s="1"/>
  <c r="AB362" i="6" s="1"/>
  <c r="T362" i="6"/>
  <c r="Z362" i="6" s="1"/>
  <c r="M362" i="5" s="1"/>
  <c r="S362" i="5"/>
  <c r="A363" i="6"/>
  <c r="T363" i="6" s="1"/>
  <c r="Z363" i="6" s="1"/>
  <c r="M363" i="5" s="1"/>
  <c r="V363" i="6"/>
  <c r="AB363" i="6" s="1"/>
  <c r="S363" i="5"/>
  <c r="A364" i="6"/>
  <c r="S364" i="5"/>
  <c r="A365" i="6"/>
  <c r="V365" i="6"/>
  <c r="AB365" i="6" s="1"/>
  <c r="T365" i="6"/>
  <c r="Z365" i="6" s="1"/>
  <c r="M365" i="5" s="1"/>
  <c r="S365" i="5"/>
  <c r="A366" i="6"/>
  <c r="V366" i="6" s="1"/>
  <c r="AB366" i="6" s="1"/>
  <c r="T366" i="6"/>
  <c r="Z366" i="6" s="1"/>
  <c r="M366" i="5" s="1"/>
  <c r="AF7" i="5"/>
  <c r="AH7" i="5"/>
  <c r="AR7" i="5"/>
  <c r="BK6" i="5"/>
  <c r="BH7" i="5" s="1"/>
  <c r="AB7" i="5"/>
  <c r="AA7" i="5"/>
  <c r="BY7" i="5" s="1"/>
  <c r="AF8" i="5"/>
  <c r="AH8" i="5"/>
  <c r="BG7" i="5"/>
  <c r="BN7" i="5"/>
  <c r="AR8" i="5"/>
  <c r="AB8" i="5"/>
  <c r="AA8" i="5"/>
  <c r="BY8" i="5"/>
  <c r="AF9" i="5"/>
  <c r="AH9" i="5"/>
  <c r="BG8" i="5"/>
  <c r="BN8" i="5"/>
  <c r="AR9" i="5"/>
  <c r="AB9" i="5"/>
  <c r="AA9" i="5"/>
  <c r="BY9" i="5"/>
  <c r="AF10" i="5"/>
  <c r="AH10" i="5"/>
  <c r="BG9" i="5"/>
  <c r="BN9" i="5"/>
  <c r="AR10" i="5"/>
  <c r="AB10" i="5"/>
  <c r="AA10" i="5"/>
  <c r="BY10" i="5"/>
  <c r="AF11" i="5"/>
  <c r="AH11" i="5"/>
  <c r="BG10" i="5"/>
  <c r="BN10" i="5"/>
  <c r="AR11" i="5"/>
  <c r="AB11" i="5"/>
  <c r="AA11" i="5"/>
  <c r="BY11" i="5" s="1"/>
  <c r="AF12" i="5"/>
  <c r="AH12" i="5"/>
  <c r="BG11" i="5"/>
  <c r="BN11" i="5"/>
  <c r="AR12" i="5"/>
  <c r="AB12" i="5"/>
  <c r="AA12" i="5"/>
  <c r="BY12" i="5" s="1"/>
  <c r="AF13" i="5"/>
  <c r="AH13" i="5"/>
  <c r="BG12" i="5"/>
  <c r="BN12" i="5"/>
  <c r="AR13" i="5"/>
  <c r="AB13" i="5"/>
  <c r="AA13" i="5"/>
  <c r="BY13" i="5" s="1"/>
  <c r="AF14" i="5"/>
  <c r="AH14" i="5"/>
  <c r="BG13" i="5"/>
  <c r="BN13" i="5"/>
  <c r="AR14" i="5"/>
  <c r="AB14" i="5"/>
  <c r="AA14" i="5"/>
  <c r="BY14" i="5"/>
  <c r="AF15" i="5"/>
  <c r="AH15" i="5"/>
  <c r="BG14" i="5"/>
  <c r="BN14" i="5"/>
  <c r="AR15" i="5"/>
  <c r="AB15" i="5"/>
  <c r="AA15" i="5"/>
  <c r="BY15" i="5"/>
  <c r="AF16" i="5"/>
  <c r="AH16" i="5"/>
  <c r="BG15" i="5"/>
  <c r="BN15" i="5"/>
  <c r="AR16" i="5"/>
  <c r="AB16" i="5"/>
  <c r="AA16" i="5"/>
  <c r="BY16" i="5"/>
  <c r="AF17" i="5"/>
  <c r="AH17" i="5"/>
  <c r="BG16" i="5"/>
  <c r="BN16" i="5"/>
  <c r="AR17" i="5"/>
  <c r="AB17" i="5"/>
  <c r="AA17" i="5"/>
  <c r="BY17" i="5" s="1"/>
  <c r="AF18" i="5"/>
  <c r="AH18" i="5"/>
  <c r="BG17" i="5"/>
  <c r="BN17" i="5"/>
  <c r="AR18" i="5"/>
  <c r="AB18" i="5"/>
  <c r="AA18" i="5"/>
  <c r="BY18" i="5" s="1"/>
  <c r="AF19" i="5"/>
  <c r="AH19" i="5"/>
  <c r="BG18" i="5"/>
  <c r="BN18" i="5"/>
  <c r="AR19" i="5"/>
  <c r="AB19" i="5"/>
  <c r="AA19" i="5"/>
  <c r="BY19" i="5"/>
  <c r="AF20" i="5"/>
  <c r="AH20" i="5"/>
  <c r="BG19" i="5"/>
  <c r="BN19" i="5"/>
  <c r="AR20" i="5"/>
  <c r="AB20" i="5"/>
  <c r="AA20" i="5"/>
  <c r="BY20" i="5" s="1"/>
  <c r="AF21" i="5"/>
  <c r="AH21" i="5"/>
  <c r="BG20" i="5"/>
  <c r="BN20" i="5"/>
  <c r="AR21" i="5"/>
  <c r="AB21" i="5"/>
  <c r="AA21" i="5"/>
  <c r="BY21" i="5" s="1"/>
  <c r="AF22" i="5"/>
  <c r="AH22" i="5"/>
  <c r="BG21" i="5"/>
  <c r="BN21" i="5"/>
  <c r="AR22" i="5"/>
  <c r="AB22" i="5"/>
  <c r="AA22" i="5"/>
  <c r="BY22" i="5"/>
  <c r="AF23" i="5"/>
  <c r="AH23" i="5"/>
  <c r="BG22" i="5"/>
  <c r="BN22" i="5"/>
  <c r="AR23" i="5"/>
  <c r="AB23" i="5"/>
  <c r="AA23" i="5"/>
  <c r="BY23" i="5"/>
  <c r="AF24" i="5"/>
  <c r="AH24" i="5"/>
  <c r="BG23" i="5"/>
  <c r="BN23" i="5"/>
  <c r="AR24" i="5"/>
  <c r="AB24" i="5"/>
  <c r="AA24" i="5"/>
  <c r="BY24" i="5"/>
  <c r="AF25" i="5"/>
  <c r="AH25" i="5"/>
  <c r="BG24" i="5"/>
  <c r="BN24" i="5"/>
  <c r="AR25" i="5"/>
  <c r="AB25" i="5"/>
  <c r="AA25" i="5"/>
  <c r="BY25" i="5" s="1"/>
  <c r="AF26" i="5"/>
  <c r="AH26" i="5"/>
  <c r="BG25" i="5"/>
  <c r="BN25" i="5"/>
  <c r="AR26" i="5"/>
  <c r="AB26" i="5"/>
  <c r="AA26" i="5"/>
  <c r="BY26" i="5" s="1"/>
  <c r="AF27" i="5"/>
  <c r="AH27" i="5"/>
  <c r="BG26" i="5"/>
  <c r="BN26" i="5"/>
  <c r="AR27" i="5"/>
  <c r="AB27" i="5"/>
  <c r="AA27" i="5"/>
  <c r="BY27" i="5"/>
  <c r="AF28" i="5"/>
  <c r="AH28" i="5"/>
  <c r="BG27" i="5"/>
  <c r="BN27" i="5"/>
  <c r="AR28" i="5"/>
  <c r="AB28" i="5"/>
  <c r="AA28" i="5"/>
  <c r="BY28" i="5" s="1"/>
  <c r="AF29" i="5"/>
  <c r="AH29" i="5"/>
  <c r="BG28" i="5"/>
  <c r="BN28" i="5"/>
  <c r="AR29" i="5"/>
  <c r="AB29" i="5"/>
  <c r="AA29" i="5"/>
  <c r="BY29" i="5"/>
  <c r="AF30" i="5"/>
  <c r="AH30" i="5"/>
  <c r="BG29" i="5"/>
  <c r="BN29" i="5"/>
  <c r="AR30" i="5"/>
  <c r="AB30" i="5"/>
  <c r="AA30" i="5"/>
  <c r="BY30" i="5"/>
  <c r="AF31" i="5"/>
  <c r="AH31" i="5"/>
  <c r="BG30" i="5"/>
  <c r="BN30" i="5"/>
  <c r="AR31" i="5"/>
  <c r="AB31" i="5"/>
  <c r="AA31" i="5"/>
  <c r="BY31" i="5"/>
  <c r="AF32" i="5"/>
  <c r="AH32" i="5"/>
  <c r="BG31" i="5"/>
  <c r="BN31" i="5"/>
  <c r="AR32" i="5"/>
  <c r="AB32" i="5"/>
  <c r="AA32" i="5"/>
  <c r="BY32" i="5"/>
  <c r="AF33" i="5"/>
  <c r="AH33" i="5"/>
  <c r="BG32" i="5"/>
  <c r="BN32" i="5"/>
  <c r="AR33" i="5"/>
  <c r="AB33" i="5"/>
  <c r="AA33" i="5"/>
  <c r="BY33" i="5"/>
  <c r="AF34" i="5"/>
  <c r="AH34" i="5"/>
  <c r="BG33" i="5"/>
  <c r="BN33" i="5"/>
  <c r="AR34" i="5"/>
  <c r="AB34" i="5"/>
  <c r="AA34" i="5"/>
  <c r="BY34" i="5"/>
  <c r="AF35" i="5"/>
  <c r="AH35" i="5"/>
  <c r="BG34" i="5"/>
  <c r="BN34" i="5"/>
  <c r="AR35" i="5"/>
  <c r="AB35" i="5"/>
  <c r="AA35" i="5"/>
  <c r="BY35" i="5"/>
  <c r="AF36" i="5"/>
  <c r="AH36" i="5"/>
  <c r="BG35" i="5"/>
  <c r="BN35" i="5"/>
  <c r="AR36" i="5"/>
  <c r="AB36" i="5"/>
  <c r="AA36" i="5"/>
  <c r="BY36" i="5" s="1"/>
  <c r="AF37" i="5"/>
  <c r="AH37" i="5"/>
  <c r="BG36" i="5"/>
  <c r="BN36" i="5"/>
  <c r="AR37" i="5"/>
  <c r="AB37" i="5"/>
  <c r="AA37" i="5"/>
  <c r="BY37" i="5"/>
  <c r="AF38" i="5"/>
  <c r="AH38" i="5"/>
  <c r="BG37" i="5"/>
  <c r="BN37" i="5"/>
  <c r="AR38" i="5"/>
  <c r="AB38" i="5"/>
  <c r="AA38" i="5"/>
  <c r="BY38" i="5" s="1"/>
  <c r="AF39" i="5"/>
  <c r="AH39" i="5"/>
  <c r="BG38" i="5"/>
  <c r="BN38" i="5"/>
  <c r="AR39" i="5"/>
  <c r="AB39" i="5"/>
  <c r="AA39" i="5"/>
  <c r="BY39" i="5"/>
  <c r="AF40" i="5"/>
  <c r="AH40" i="5"/>
  <c r="BG39" i="5"/>
  <c r="BN39" i="5"/>
  <c r="AR40" i="5"/>
  <c r="AB40" i="5"/>
  <c r="AA40" i="5"/>
  <c r="BY40" i="5"/>
  <c r="AF41" i="5"/>
  <c r="AH41" i="5"/>
  <c r="BG40" i="5"/>
  <c r="BN40" i="5"/>
  <c r="AR41" i="5"/>
  <c r="AB41" i="5"/>
  <c r="AA41" i="5"/>
  <c r="BY41" i="5"/>
  <c r="AF42" i="5"/>
  <c r="AH42" i="5"/>
  <c r="BG41" i="5"/>
  <c r="BN41" i="5"/>
  <c r="AR42" i="5"/>
  <c r="AB42" i="5"/>
  <c r="AA42" i="5"/>
  <c r="BY42" i="5"/>
  <c r="AF43" i="5"/>
  <c r="AH43" i="5"/>
  <c r="BG42" i="5"/>
  <c r="BN42" i="5"/>
  <c r="AR43" i="5"/>
  <c r="AB43" i="5"/>
  <c r="AA43" i="5"/>
  <c r="BY43" i="5" s="1"/>
  <c r="AF44" i="5"/>
  <c r="AH44" i="5"/>
  <c r="BG43" i="5"/>
  <c r="BN43" i="5"/>
  <c r="AR44" i="5"/>
  <c r="AB44" i="5"/>
  <c r="AA44" i="5"/>
  <c r="BY44" i="5" s="1"/>
  <c r="AF45" i="5"/>
  <c r="AH45" i="5"/>
  <c r="BG44" i="5"/>
  <c r="BN44" i="5"/>
  <c r="AR45" i="5"/>
  <c r="AB45" i="5"/>
  <c r="AA45" i="5"/>
  <c r="BY45" i="5"/>
  <c r="AF46" i="5"/>
  <c r="AH46" i="5"/>
  <c r="BG45" i="5"/>
  <c r="BN45" i="5"/>
  <c r="AR46" i="5"/>
  <c r="AB46" i="5"/>
  <c r="AA46" i="5"/>
  <c r="BY46" i="5" s="1"/>
  <c r="AF47" i="5"/>
  <c r="AH47" i="5"/>
  <c r="BG46" i="5"/>
  <c r="BN46" i="5"/>
  <c r="AR47" i="5"/>
  <c r="AB47" i="5"/>
  <c r="AA47" i="5"/>
  <c r="BY47" i="5"/>
  <c r="AF48" i="5"/>
  <c r="AH48" i="5"/>
  <c r="BG47" i="5"/>
  <c r="BN47" i="5"/>
  <c r="AR48" i="5"/>
  <c r="AB48" i="5"/>
  <c r="AA48" i="5"/>
  <c r="BY48" i="5"/>
  <c r="AF49" i="5"/>
  <c r="AH49" i="5"/>
  <c r="BG48" i="5"/>
  <c r="BN48" i="5"/>
  <c r="AR49" i="5"/>
  <c r="AB49" i="5"/>
  <c r="AA49" i="5"/>
  <c r="BY49" i="5"/>
  <c r="AF50" i="5"/>
  <c r="AH50" i="5"/>
  <c r="BG49" i="5"/>
  <c r="BN49" i="5"/>
  <c r="AR50" i="5"/>
  <c r="AB50" i="5"/>
  <c r="AA50" i="5"/>
  <c r="BY50" i="5"/>
  <c r="AF51" i="5"/>
  <c r="AH51" i="5"/>
  <c r="BG50" i="5"/>
  <c r="BN50" i="5"/>
  <c r="AR51" i="5"/>
  <c r="AB51" i="5"/>
  <c r="AA51" i="5"/>
  <c r="BY51" i="5"/>
  <c r="AF52" i="5"/>
  <c r="AH52" i="5"/>
  <c r="BG51" i="5"/>
  <c r="BN51" i="5"/>
  <c r="AR52" i="5"/>
  <c r="AB52" i="5"/>
  <c r="AA52" i="5"/>
  <c r="BY52" i="5" s="1"/>
  <c r="AF53" i="5"/>
  <c r="AH53" i="5"/>
  <c r="BG52" i="5"/>
  <c r="BN52" i="5"/>
  <c r="AR53" i="5"/>
  <c r="AB53" i="5"/>
  <c r="AA53" i="5"/>
  <c r="BY53" i="5"/>
  <c r="AF54" i="5"/>
  <c r="AH54" i="5"/>
  <c r="BG53" i="5"/>
  <c r="BN53" i="5"/>
  <c r="AR54" i="5"/>
  <c r="AB54" i="5"/>
  <c r="AA54" i="5"/>
  <c r="BY54" i="5" s="1"/>
  <c r="AF55" i="5"/>
  <c r="AH55" i="5"/>
  <c r="BG54" i="5"/>
  <c r="BN54" i="5"/>
  <c r="AR55" i="5"/>
  <c r="AB55" i="5"/>
  <c r="AA55" i="5"/>
  <c r="BY55" i="5"/>
  <c r="AF56" i="5"/>
  <c r="AH56" i="5"/>
  <c r="BG55" i="5"/>
  <c r="BN55" i="5"/>
  <c r="AR56" i="5"/>
  <c r="AB56" i="5"/>
  <c r="AA56" i="5"/>
  <c r="BY56" i="5"/>
  <c r="AF57" i="5"/>
  <c r="AH57" i="5"/>
  <c r="BG56" i="5"/>
  <c r="BN56" i="5"/>
  <c r="AR57" i="5"/>
  <c r="AB57" i="5"/>
  <c r="AA57" i="5"/>
  <c r="BY57" i="5"/>
  <c r="AF58" i="5"/>
  <c r="AH58" i="5"/>
  <c r="BG57" i="5"/>
  <c r="BN57" i="5"/>
  <c r="AR58" i="5"/>
  <c r="AB58" i="5"/>
  <c r="AA58" i="5"/>
  <c r="BY58" i="5"/>
  <c r="AF59" i="5"/>
  <c r="AH59" i="5"/>
  <c r="BG58" i="5"/>
  <c r="BN58" i="5"/>
  <c r="AR59" i="5"/>
  <c r="AB59" i="5"/>
  <c r="AA59" i="5"/>
  <c r="BY59" i="5"/>
  <c r="AF60" i="5"/>
  <c r="AH60" i="5"/>
  <c r="BG59" i="5"/>
  <c r="BN59" i="5"/>
  <c r="AR60" i="5"/>
  <c r="AB60" i="5"/>
  <c r="AA60" i="5"/>
  <c r="BY60" i="5" s="1"/>
  <c r="AF61" i="5"/>
  <c r="AH61" i="5"/>
  <c r="BG60" i="5"/>
  <c r="BN60" i="5"/>
  <c r="AR61" i="5"/>
  <c r="AB61" i="5"/>
  <c r="AA61" i="5"/>
  <c r="BY61" i="5"/>
  <c r="AF62" i="5"/>
  <c r="AH62" i="5"/>
  <c r="BG61" i="5"/>
  <c r="BN61" i="5"/>
  <c r="AR62" i="5"/>
  <c r="AB62" i="5"/>
  <c r="AA62" i="5"/>
  <c r="BY62" i="5" s="1"/>
  <c r="AF63" i="5"/>
  <c r="AH63" i="5"/>
  <c r="BG62" i="5"/>
  <c r="BN62" i="5"/>
  <c r="AR63" i="5"/>
  <c r="AB63" i="5"/>
  <c r="AA63" i="5"/>
  <c r="BY63" i="5"/>
  <c r="AF64" i="5"/>
  <c r="AH64" i="5"/>
  <c r="BG63" i="5"/>
  <c r="BN63" i="5"/>
  <c r="AR64" i="5"/>
  <c r="AB64" i="5"/>
  <c r="AA64" i="5"/>
  <c r="BY64" i="5"/>
  <c r="AF65" i="5"/>
  <c r="AH65" i="5"/>
  <c r="BG64" i="5"/>
  <c r="BN64" i="5"/>
  <c r="AR65" i="5"/>
  <c r="AB65" i="5"/>
  <c r="AA65" i="5"/>
  <c r="BY65" i="5"/>
  <c r="AF66" i="5"/>
  <c r="AH66" i="5"/>
  <c r="BG65" i="5"/>
  <c r="BN65" i="5"/>
  <c r="AR66" i="5"/>
  <c r="AB66" i="5"/>
  <c r="AA66" i="5"/>
  <c r="BY66" i="5"/>
  <c r="AF67" i="5"/>
  <c r="AH67" i="5"/>
  <c r="BG66" i="5"/>
  <c r="BN66" i="5"/>
  <c r="AR67" i="5"/>
  <c r="AB67" i="5"/>
  <c r="AA67" i="5"/>
  <c r="BY67" i="5"/>
  <c r="AF68" i="5"/>
  <c r="AH68" i="5"/>
  <c r="BG67" i="5"/>
  <c r="BN67" i="5"/>
  <c r="AR68" i="5"/>
  <c r="AB68" i="5"/>
  <c r="AA68" i="5"/>
  <c r="BY68" i="5" s="1"/>
  <c r="AF69" i="5"/>
  <c r="AH69" i="5"/>
  <c r="BG68" i="5"/>
  <c r="BN68" i="5"/>
  <c r="AR69" i="5"/>
  <c r="AB69" i="5"/>
  <c r="AA69" i="5"/>
  <c r="BY69" i="5"/>
  <c r="AF70" i="5"/>
  <c r="AH70" i="5"/>
  <c r="BG69" i="5"/>
  <c r="BN69" i="5"/>
  <c r="AR70" i="5"/>
  <c r="AB70" i="5"/>
  <c r="AA70" i="5"/>
  <c r="BY70" i="5" s="1"/>
  <c r="AF71" i="5"/>
  <c r="AH71" i="5"/>
  <c r="BG70" i="5"/>
  <c r="BN70" i="5"/>
  <c r="AR71" i="5"/>
  <c r="AB71" i="5"/>
  <c r="AA71" i="5"/>
  <c r="BY71" i="5"/>
  <c r="AF72" i="5"/>
  <c r="AH72" i="5"/>
  <c r="BG71" i="5"/>
  <c r="BN71" i="5"/>
  <c r="AR72" i="5"/>
  <c r="AB72" i="5"/>
  <c r="AA72" i="5"/>
  <c r="BY72" i="5"/>
  <c r="AF73" i="5"/>
  <c r="AH73" i="5"/>
  <c r="BG72" i="5"/>
  <c r="BN72" i="5"/>
  <c r="AR73" i="5"/>
  <c r="AB73" i="5"/>
  <c r="AA73" i="5"/>
  <c r="BY73" i="5"/>
  <c r="AF74" i="5"/>
  <c r="AH74" i="5"/>
  <c r="BG73" i="5"/>
  <c r="BN73" i="5"/>
  <c r="AR74" i="5"/>
  <c r="AB74" i="5"/>
  <c r="AA74" i="5"/>
  <c r="BY74" i="5"/>
  <c r="AF75" i="5"/>
  <c r="AH75" i="5"/>
  <c r="BG74" i="5"/>
  <c r="BN74" i="5"/>
  <c r="AR75" i="5"/>
  <c r="AB75" i="5"/>
  <c r="AA75" i="5"/>
  <c r="BY75" i="5"/>
  <c r="AF76" i="5"/>
  <c r="AH76" i="5"/>
  <c r="BG75" i="5"/>
  <c r="BN75" i="5"/>
  <c r="AR76" i="5"/>
  <c r="AB76" i="5"/>
  <c r="AA76" i="5"/>
  <c r="BY76" i="5" s="1"/>
  <c r="AF77" i="5"/>
  <c r="AH77" i="5"/>
  <c r="BG76" i="5"/>
  <c r="BN76" i="5"/>
  <c r="AR77" i="5"/>
  <c r="AB77" i="5"/>
  <c r="AA77" i="5"/>
  <c r="BY77" i="5"/>
  <c r="AF78" i="5"/>
  <c r="AH78" i="5"/>
  <c r="BG77" i="5"/>
  <c r="BN77" i="5"/>
  <c r="AR78" i="5"/>
  <c r="AB78" i="5"/>
  <c r="AA78" i="5"/>
  <c r="BY78" i="5" s="1"/>
  <c r="AF79" i="5"/>
  <c r="AH79" i="5"/>
  <c r="BG78" i="5"/>
  <c r="BN78" i="5"/>
  <c r="AR79" i="5"/>
  <c r="AB79" i="5"/>
  <c r="AA79" i="5"/>
  <c r="BY79" i="5"/>
  <c r="AF80" i="5"/>
  <c r="AH80" i="5"/>
  <c r="BG79" i="5"/>
  <c r="BN79" i="5"/>
  <c r="AR80" i="5"/>
  <c r="AB80" i="5"/>
  <c r="AA80" i="5"/>
  <c r="BY80" i="5"/>
  <c r="AF81" i="5"/>
  <c r="AH81" i="5"/>
  <c r="BG80" i="5"/>
  <c r="BN80" i="5"/>
  <c r="AR81" i="5"/>
  <c r="AB81" i="5"/>
  <c r="AA81" i="5"/>
  <c r="BY81" i="5"/>
  <c r="AF82" i="5"/>
  <c r="AH82" i="5"/>
  <c r="BG81" i="5"/>
  <c r="BN81" i="5"/>
  <c r="AR82" i="5"/>
  <c r="AB82" i="5"/>
  <c r="AA82" i="5"/>
  <c r="BY82" i="5"/>
  <c r="AF83" i="5"/>
  <c r="AH83" i="5"/>
  <c r="BG82" i="5"/>
  <c r="BN82" i="5"/>
  <c r="AR83" i="5"/>
  <c r="AB83" i="5"/>
  <c r="AA83" i="5"/>
  <c r="BY83" i="5"/>
  <c r="AF84" i="5"/>
  <c r="AH84" i="5"/>
  <c r="BG83" i="5"/>
  <c r="BN83" i="5"/>
  <c r="AR84" i="5"/>
  <c r="AB84" i="5"/>
  <c r="AA84" i="5"/>
  <c r="BY84" i="5" s="1"/>
  <c r="AF85" i="5"/>
  <c r="AH85" i="5"/>
  <c r="BG84" i="5"/>
  <c r="BN84" i="5"/>
  <c r="AR85" i="5"/>
  <c r="AB85" i="5"/>
  <c r="AA85" i="5"/>
  <c r="BY85" i="5"/>
  <c r="AF86" i="5"/>
  <c r="AH86" i="5"/>
  <c r="BG85" i="5"/>
  <c r="BN85" i="5"/>
  <c r="AR86" i="5"/>
  <c r="AB86" i="5"/>
  <c r="AA86" i="5"/>
  <c r="BY86" i="5" s="1"/>
  <c r="AF87" i="5"/>
  <c r="AH87" i="5"/>
  <c r="BG86" i="5"/>
  <c r="BN86" i="5"/>
  <c r="AR87" i="5"/>
  <c r="AB87" i="5"/>
  <c r="AA87" i="5"/>
  <c r="BY87" i="5"/>
  <c r="AF88" i="5"/>
  <c r="AH88" i="5"/>
  <c r="BG87" i="5"/>
  <c r="BN87" i="5"/>
  <c r="AR88" i="5"/>
  <c r="AB88" i="5"/>
  <c r="AA88" i="5"/>
  <c r="BY88" i="5"/>
  <c r="AF89" i="5"/>
  <c r="AH89" i="5"/>
  <c r="BG88" i="5"/>
  <c r="BN88" i="5"/>
  <c r="AR89" i="5"/>
  <c r="AB89" i="5"/>
  <c r="AA89" i="5"/>
  <c r="BY89" i="5"/>
  <c r="AF90" i="5"/>
  <c r="AH90" i="5"/>
  <c r="BG89" i="5"/>
  <c r="BN89" i="5"/>
  <c r="AR90" i="5"/>
  <c r="AB90" i="5"/>
  <c r="AA90" i="5"/>
  <c r="BY90" i="5"/>
  <c r="AF91" i="5"/>
  <c r="AH91" i="5"/>
  <c r="BG90" i="5"/>
  <c r="BN90" i="5"/>
  <c r="AR91" i="5"/>
  <c r="AB91" i="5"/>
  <c r="AA91" i="5"/>
  <c r="BY91" i="5"/>
  <c r="AF92" i="5"/>
  <c r="AH92" i="5"/>
  <c r="BG91" i="5"/>
  <c r="BN91" i="5"/>
  <c r="AR92" i="5"/>
  <c r="AB92" i="5"/>
  <c r="AA92" i="5"/>
  <c r="BY92" i="5" s="1"/>
  <c r="AF93" i="5"/>
  <c r="AH93" i="5"/>
  <c r="BG92" i="5"/>
  <c r="BN92" i="5"/>
  <c r="AR93" i="5"/>
  <c r="AB93" i="5"/>
  <c r="AA93" i="5"/>
  <c r="BY93" i="5"/>
  <c r="AF94" i="5"/>
  <c r="AH94" i="5"/>
  <c r="BG93" i="5"/>
  <c r="BN93" i="5"/>
  <c r="AR94" i="5"/>
  <c r="AB94" i="5"/>
  <c r="AA94" i="5"/>
  <c r="BY94" i="5" s="1"/>
  <c r="AF95" i="5"/>
  <c r="AH95" i="5"/>
  <c r="BG94" i="5"/>
  <c r="BN94" i="5"/>
  <c r="AR95" i="5"/>
  <c r="AB95" i="5"/>
  <c r="AA95" i="5"/>
  <c r="BY95" i="5"/>
  <c r="AF96" i="5"/>
  <c r="AH96" i="5"/>
  <c r="BG95" i="5"/>
  <c r="BN95" i="5"/>
  <c r="AR96" i="5"/>
  <c r="AB96" i="5"/>
  <c r="AA96" i="5"/>
  <c r="BY96" i="5"/>
  <c r="AF97" i="5"/>
  <c r="AH97" i="5"/>
  <c r="BG96" i="5"/>
  <c r="BN96" i="5"/>
  <c r="AR97" i="5"/>
  <c r="AB97" i="5"/>
  <c r="AA97" i="5"/>
  <c r="BY97" i="5"/>
  <c r="AF98" i="5"/>
  <c r="AH98" i="5"/>
  <c r="BG97" i="5"/>
  <c r="BN97" i="5"/>
  <c r="AR98" i="5"/>
  <c r="AB98" i="5"/>
  <c r="AA98" i="5"/>
  <c r="BY98" i="5"/>
  <c r="AF99" i="5"/>
  <c r="AH99" i="5"/>
  <c r="BG98" i="5"/>
  <c r="BN98" i="5"/>
  <c r="AR99" i="5"/>
  <c r="AB99" i="5"/>
  <c r="AA99" i="5"/>
  <c r="BY99" i="5"/>
  <c r="AF100" i="5"/>
  <c r="AH100" i="5"/>
  <c r="BG99" i="5"/>
  <c r="BN99" i="5"/>
  <c r="AR100" i="5"/>
  <c r="AB100" i="5"/>
  <c r="AA100" i="5"/>
  <c r="BY100" i="5" s="1"/>
  <c r="AF101" i="5"/>
  <c r="AH101" i="5"/>
  <c r="BG100" i="5"/>
  <c r="BN100" i="5"/>
  <c r="AR101" i="5"/>
  <c r="AB101" i="5"/>
  <c r="AA101" i="5"/>
  <c r="BY101" i="5"/>
  <c r="AF102" i="5"/>
  <c r="AH102" i="5"/>
  <c r="BG101" i="5"/>
  <c r="BN101" i="5"/>
  <c r="AR102" i="5"/>
  <c r="AB102" i="5"/>
  <c r="AA102" i="5"/>
  <c r="BY102" i="5" s="1"/>
  <c r="AF103" i="5"/>
  <c r="AH103" i="5"/>
  <c r="BG102" i="5"/>
  <c r="BN102" i="5"/>
  <c r="AR103" i="5"/>
  <c r="AB103" i="5"/>
  <c r="AA103" i="5"/>
  <c r="BY103" i="5"/>
  <c r="AF104" i="5"/>
  <c r="AH104" i="5"/>
  <c r="BG103" i="5"/>
  <c r="BN103" i="5"/>
  <c r="AR104" i="5"/>
  <c r="AB104" i="5"/>
  <c r="AA104" i="5"/>
  <c r="BY104" i="5"/>
  <c r="AF105" i="5"/>
  <c r="AH105" i="5"/>
  <c r="BG104" i="5"/>
  <c r="BN104" i="5"/>
  <c r="AR105" i="5"/>
  <c r="AB105" i="5"/>
  <c r="AA105" i="5"/>
  <c r="BY105" i="5"/>
  <c r="AF106" i="5"/>
  <c r="AH106" i="5"/>
  <c r="BG105" i="5"/>
  <c r="BN105" i="5"/>
  <c r="AR106" i="5"/>
  <c r="AB106" i="5"/>
  <c r="AA106" i="5"/>
  <c r="BY106" i="5"/>
  <c r="AF107" i="5"/>
  <c r="AH107" i="5"/>
  <c r="BG106" i="5"/>
  <c r="BN106" i="5"/>
  <c r="AR107" i="5"/>
  <c r="AB107" i="5"/>
  <c r="AA107" i="5"/>
  <c r="BY107" i="5"/>
  <c r="AF108" i="5"/>
  <c r="AH108" i="5"/>
  <c r="BG107" i="5"/>
  <c r="BN107" i="5"/>
  <c r="AR108" i="5"/>
  <c r="AB108" i="5"/>
  <c r="AA108" i="5"/>
  <c r="BY108" i="5" s="1"/>
  <c r="AF109" i="5"/>
  <c r="AH109" i="5"/>
  <c r="BG108" i="5"/>
  <c r="BN108" i="5"/>
  <c r="AR109" i="5"/>
  <c r="AB109" i="5"/>
  <c r="AA109" i="5"/>
  <c r="BY109" i="5"/>
  <c r="AF110" i="5"/>
  <c r="AH110" i="5"/>
  <c r="BG109" i="5"/>
  <c r="BN109" i="5"/>
  <c r="AR110" i="5"/>
  <c r="AB110" i="5"/>
  <c r="AA110" i="5"/>
  <c r="BY110" i="5" s="1"/>
  <c r="AF111" i="5"/>
  <c r="AH111" i="5"/>
  <c r="BG110" i="5"/>
  <c r="BN110" i="5"/>
  <c r="AR111" i="5"/>
  <c r="AB111" i="5"/>
  <c r="AA111" i="5"/>
  <c r="BY111" i="5"/>
  <c r="AF112" i="5"/>
  <c r="AH112" i="5"/>
  <c r="BG111" i="5"/>
  <c r="BN111" i="5"/>
  <c r="AR112" i="5"/>
  <c r="AB112" i="5"/>
  <c r="AA112" i="5"/>
  <c r="BY112" i="5"/>
  <c r="AF113" i="5"/>
  <c r="AH113" i="5"/>
  <c r="BG112" i="5"/>
  <c r="BN112" i="5"/>
  <c r="AR113" i="5"/>
  <c r="AB113" i="5"/>
  <c r="AA113" i="5"/>
  <c r="BY113" i="5"/>
  <c r="AF114" i="5"/>
  <c r="AH114" i="5"/>
  <c r="BG113" i="5"/>
  <c r="BN113" i="5"/>
  <c r="AR114" i="5"/>
  <c r="AB114" i="5"/>
  <c r="AA114" i="5"/>
  <c r="BY114" i="5"/>
  <c r="AF115" i="5"/>
  <c r="AH115" i="5"/>
  <c r="BG114" i="5"/>
  <c r="BN114" i="5"/>
  <c r="AR115" i="5"/>
  <c r="AB115" i="5"/>
  <c r="AA115" i="5"/>
  <c r="BY115" i="5"/>
  <c r="AF116" i="5"/>
  <c r="AH116" i="5"/>
  <c r="BG115" i="5"/>
  <c r="BN115" i="5"/>
  <c r="AR116" i="5"/>
  <c r="AB116" i="5"/>
  <c r="AA116" i="5"/>
  <c r="BY116" i="5" s="1"/>
  <c r="AF117" i="5"/>
  <c r="AH117" i="5"/>
  <c r="BG116" i="5"/>
  <c r="BN116" i="5"/>
  <c r="AR117" i="5"/>
  <c r="AB117" i="5"/>
  <c r="AA117" i="5"/>
  <c r="BY117" i="5"/>
  <c r="AF118" i="5"/>
  <c r="AH118" i="5"/>
  <c r="BG117" i="5"/>
  <c r="BN117" i="5"/>
  <c r="AR118" i="5"/>
  <c r="AB118" i="5"/>
  <c r="AA118" i="5"/>
  <c r="BY118" i="5" s="1"/>
  <c r="AF119" i="5"/>
  <c r="AH119" i="5"/>
  <c r="BG118" i="5"/>
  <c r="BN118" i="5"/>
  <c r="AR119" i="5"/>
  <c r="AB119" i="5"/>
  <c r="AA119" i="5"/>
  <c r="BY119" i="5"/>
  <c r="AF120" i="5"/>
  <c r="AH120" i="5"/>
  <c r="BG119" i="5"/>
  <c r="BN119" i="5"/>
  <c r="AR120" i="5"/>
  <c r="AB120" i="5"/>
  <c r="AA120" i="5"/>
  <c r="BY120" i="5"/>
  <c r="AF121" i="5"/>
  <c r="AH121" i="5"/>
  <c r="BG120" i="5"/>
  <c r="BN120" i="5"/>
  <c r="AR121" i="5"/>
  <c r="AB121" i="5"/>
  <c r="AA121" i="5"/>
  <c r="BY121" i="5"/>
  <c r="AF122" i="5"/>
  <c r="AH122" i="5"/>
  <c r="BG121" i="5"/>
  <c r="BN121" i="5"/>
  <c r="AR122" i="5"/>
  <c r="AB122" i="5"/>
  <c r="AA122" i="5"/>
  <c r="BY122" i="5"/>
  <c r="AF123" i="5"/>
  <c r="AH123" i="5"/>
  <c r="BG122" i="5"/>
  <c r="BN122" i="5"/>
  <c r="AR123" i="5"/>
  <c r="AB123" i="5"/>
  <c r="AA123" i="5"/>
  <c r="BY123" i="5"/>
  <c r="AF124" i="5"/>
  <c r="BG123" i="5"/>
  <c r="BN123" i="5"/>
  <c r="AR124" i="5"/>
  <c r="AB124" i="5"/>
  <c r="AA124" i="5"/>
  <c r="BY124" i="5" s="1"/>
  <c r="AF125" i="5"/>
  <c r="AH125" i="5"/>
  <c r="BG124" i="5"/>
  <c r="BN124" i="5"/>
  <c r="AR125" i="5"/>
  <c r="AB125" i="5"/>
  <c r="AA125" i="5"/>
  <c r="BY125" i="5"/>
  <c r="AF126" i="5"/>
  <c r="AH126" i="5"/>
  <c r="BG125" i="5"/>
  <c r="BN125" i="5"/>
  <c r="AR126" i="5"/>
  <c r="AB126" i="5"/>
  <c r="AA126" i="5"/>
  <c r="BY126" i="5" s="1"/>
  <c r="AF127" i="5"/>
  <c r="AH127" i="5"/>
  <c r="BG126" i="5"/>
  <c r="BN126" i="5"/>
  <c r="AR127" i="5"/>
  <c r="AB127" i="5"/>
  <c r="AA127" i="5"/>
  <c r="BY127" i="5"/>
  <c r="AF128" i="5"/>
  <c r="AH128" i="5"/>
  <c r="BG127" i="5"/>
  <c r="BN127" i="5"/>
  <c r="AR128" i="5"/>
  <c r="AB128" i="5"/>
  <c r="AA128" i="5"/>
  <c r="BY128" i="5"/>
  <c r="AF129" i="5"/>
  <c r="AH129" i="5"/>
  <c r="BG128" i="5"/>
  <c r="BN128" i="5"/>
  <c r="AR129" i="5"/>
  <c r="AB129" i="5"/>
  <c r="AA129" i="5"/>
  <c r="BY129" i="5"/>
  <c r="AF130" i="5"/>
  <c r="AH130" i="5"/>
  <c r="BG129" i="5"/>
  <c r="BN129" i="5"/>
  <c r="AR130" i="5"/>
  <c r="AB130" i="5"/>
  <c r="AA130" i="5"/>
  <c r="BY130" i="5" s="1"/>
  <c r="AF131" i="5"/>
  <c r="AH131" i="5"/>
  <c r="BG130" i="5"/>
  <c r="BN130" i="5"/>
  <c r="AR131" i="5"/>
  <c r="AB131" i="5"/>
  <c r="AA131" i="5"/>
  <c r="BY131" i="5"/>
  <c r="AF132" i="5"/>
  <c r="AH132" i="5"/>
  <c r="BG131" i="5"/>
  <c r="BN131" i="5"/>
  <c r="AR132" i="5"/>
  <c r="AB132" i="5"/>
  <c r="AA132" i="5"/>
  <c r="BY132" i="5" s="1"/>
  <c r="AF133" i="5"/>
  <c r="AH133" i="5"/>
  <c r="BG132" i="5"/>
  <c r="BN132" i="5"/>
  <c r="AR133" i="5"/>
  <c r="AB133" i="5"/>
  <c r="AA133" i="5"/>
  <c r="BY133" i="5" s="1"/>
  <c r="AF134" i="5"/>
  <c r="AH134" i="5"/>
  <c r="BG133" i="5"/>
  <c r="BN133" i="5"/>
  <c r="AR134" i="5"/>
  <c r="AB134" i="5"/>
  <c r="AA134" i="5"/>
  <c r="BY134" i="5" s="1"/>
  <c r="AF135" i="5"/>
  <c r="AH135" i="5"/>
  <c r="BG134" i="5"/>
  <c r="BN134" i="5"/>
  <c r="AR135" i="5"/>
  <c r="AB135" i="5"/>
  <c r="AA135" i="5"/>
  <c r="BY135" i="5"/>
  <c r="AF136" i="5"/>
  <c r="AH136" i="5"/>
  <c r="BG135" i="5"/>
  <c r="BN135" i="5"/>
  <c r="AR136" i="5"/>
  <c r="AB136" i="5"/>
  <c r="AA136" i="5"/>
  <c r="BY136" i="5"/>
  <c r="AF137" i="5"/>
  <c r="AH137" i="5"/>
  <c r="BG136" i="5"/>
  <c r="BN136" i="5"/>
  <c r="AR137" i="5"/>
  <c r="AB137" i="5"/>
  <c r="AA137" i="5"/>
  <c r="BY137" i="5"/>
  <c r="AF138" i="5"/>
  <c r="AH138" i="5"/>
  <c r="BG137" i="5"/>
  <c r="BN137" i="5"/>
  <c r="AR138" i="5"/>
  <c r="AB138" i="5"/>
  <c r="AA138" i="5"/>
  <c r="BY138" i="5"/>
  <c r="AF139" i="5"/>
  <c r="AH139" i="5"/>
  <c r="BG138" i="5"/>
  <c r="BN138" i="5"/>
  <c r="AR139" i="5"/>
  <c r="AB139" i="5"/>
  <c r="AA139" i="5"/>
  <c r="BY139" i="5"/>
  <c r="AF140" i="5"/>
  <c r="AH140" i="5"/>
  <c r="BG139" i="5"/>
  <c r="BN139" i="5"/>
  <c r="AR140" i="5"/>
  <c r="AB140" i="5"/>
  <c r="AA140" i="5"/>
  <c r="BY140" i="5" s="1"/>
  <c r="AF141" i="5"/>
  <c r="AH141" i="5"/>
  <c r="BG140" i="5"/>
  <c r="BN140" i="5"/>
  <c r="AR141" i="5"/>
  <c r="AB141" i="5"/>
  <c r="AA141" i="5"/>
  <c r="BY141" i="5"/>
  <c r="AF142" i="5"/>
  <c r="AH142" i="5"/>
  <c r="BG141" i="5"/>
  <c r="BN141" i="5"/>
  <c r="AR142" i="5"/>
  <c r="AB142" i="5"/>
  <c r="AA142" i="5"/>
  <c r="BY142" i="5" s="1"/>
  <c r="AF143" i="5"/>
  <c r="AH143" i="5"/>
  <c r="BG142" i="5"/>
  <c r="BN142" i="5"/>
  <c r="AR143" i="5"/>
  <c r="AB143" i="5"/>
  <c r="AA143" i="5"/>
  <c r="BY143" i="5"/>
  <c r="AF144" i="5"/>
  <c r="AH144" i="5"/>
  <c r="BG143" i="5"/>
  <c r="BN143" i="5"/>
  <c r="AR144" i="5"/>
  <c r="AB144" i="5"/>
  <c r="AA144" i="5"/>
  <c r="BY144" i="5"/>
  <c r="AF145" i="5"/>
  <c r="AH145" i="5"/>
  <c r="BG144" i="5"/>
  <c r="BN144" i="5"/>
  <c r="AR145" i="5"/>
  <c r="AB145" i="5"/>
  <c r="AA145" i="5"/>
  <c r="BY145" i="5"/>
  <c r="AF146" i="5"/>
  <c r="AH146" i="5"/>
  <c r="BG145" i="5"/>
  <c r="BN145" i="5"/>
  <c r="AR146" i="5"/>
  <c r="AB146" i="5"/>
  <c r="AA146" i="5"/>
  <c r="BY146" i="5"/>
  <c r="AF147" i="5"/>
  <c r="AH147" i="5"/>
  <c r="BG146" i="5"/>
  <c r="BN146" i="5"/>
  <c r="AR147" i="5"/>
  <c r="AB147" i="5"/>
  <c r="AA147" i="5"/>
  <c r="BY147" i="5"/>
  <c r="AF148" i="5"/>
  <c r="AH148" i="5"/>
  <c r="BG147" i="5"/>
  <c r="BN147" i="5"/>
  <c r="AR148" i="5"/>
  <c r="AB148" i="5"/>
  <c r="AA148" i="5"/>
  <c r="BY148" i="5" s="1"/>
  <c r="AF149" i="5"/>
  <c r="AH149" i="5"/>
  <c r="BG148" i="5"/>
  <c r="BN148" i="5"/>
  <c r="AR149" i="5"/>
  <c r="AB149" i="5"/>
  <c r="AA149" i="5"/>
  <c r="BY149" i="5"/>
  <c r="AF150" i="5"/>
  <c r="AH150" i="5"/>
  <c r="BG149" i="5"/>
  <c r="BN149" i="5"/>
  <c r="AR150" i="5"/>
  <c r="AB150" i="5"/>
  <c r="AA150" i="5"/>
  <c r="BY150" i="5" s="1"/>
  <c r="AF151" i="5"/>
  <c r="BG150" i="5"/>
  <c r="BN150" i="5"/>
  <c r="AR151" i="5"/>
  <c r="AB151" i="5"/>
  <c r="AA151" i="5"/>
  <c r="BY151" i="5" s="1"/>
  <c r="AF152" i="5"/>
  <c r="AH152" i="5"/>
  <c r="BG151" i="5"/>
  <c r="AR152" i="5"/>
  <c r="AB152" i="5"/>
  <c r="AA152" i="5"/>
  <c r="BY152" i="5"/>
  <c r="AF153" i="5"/>
  <c r="AH153" i="5"/>
  <c r="BG152" i="5"/>
  <c r="BN152" i="5"/>
  <c r="AR153" i="5"/>
  <c r="AB153" i="5"/>
  <c r="AA153" i="5"/>
  <c r="BY153" i="5"/>
  <c r="AF154" i="5"/>
  <c r="AH154" i="5"/>
  <c r="BG153" i="5"/>
  <c r="BN153" i="5"/>
  <c r="AR154" i="5"/>
  <c r="AB154" i="5"/>
  <c r="AA154" i="5"/>
  <c r="BY154" i="5"/>
  <c r="AF155" i="5"/>
  <c r="AH155" i="5"/>
  <c r="BG154" i="5"/>
  <c r="BN154" i="5"/>
  <c r="AR155" i="5"/>
  <c r="AB155" i="5"/>
  <c r="AA155" i="5"/>
  <c r="BY155" i="5"/>
  <c r="AF156" i="5"/>
  <c r="AH156" i="5"/>
  <c r="BG155" i="5"/>
  <c r="BN155" i="5"/>
  <c r="AR156" i="5"/>
  <c r="AB156" i="5"/>
  <c r="AA156" i="5"/>
  <c r="BY156" i="5" s="1"/>
  <c r="AF157" i="5"/>
  <c r="AH157" i="5"/>
  <c r="BG156" i="5"/>
  <c r="BN156" i="5"/>
  <c r="AR157" i="5"/>
  <c r="AB157" i="5"/>
  <c r="AA157" i="5"/>
  <c r="BY157" i="5"/>
  <c r="AF158" i="5"/>
  <c r="AH158" i="5"/>
  <c r="BG157" i="5"/>
  <c r="BN157" i="5"/>
  <c r="AR158" i="5"/>
  <c r="AB158" i="5"/>
  <c r="AA158" i="5"/>
  <c r="BY158" i="5" s="1"/>
  <c r="AF159" i="5"/>
  <c r="AH159" i="5"/>
  <c r="BG158" i="5"/>
  <c r="BN158" i="5"/>
  <c r="AR159" i="5"/>
  <c r="AB159" i="5"/>
  <c r="AA159" i="5"/>
  <c r="BY159" i="5"/>
  <c r="AF160" i="5"/>
  <c r="AH160" i="5"/>
  <c r="BG159" i="5"/>
  <c r="BN159" i="5"/>
  <c r="AR160" i="5"/>
  <c r="AB160" i="5"/>
  <c r="AA160" i="5"/>
  <c r="BY160" i="5"/>
  <c r="AF161" i="5"/>
  <c r="AH161" i="5"/>
  <c r="BG160" i="5"/>
  <c r="BN160" i="5"/>
  <c r="AR161" i="5"/>
  <c r="AB161" i="5"/>
  <c r="AA161" i="5"/>
  <c r="BY161" i="5"/>
  <c r="AF162" i="5"/>
  <c r="AH162" i="5"/>
  <c r="BG161" i="5"/>
  <c r="BN161" i="5"/>
  <c r="AR162" i="5"/>
  <c r="AB162" i="5"/>
  <c r="AA162" i="5"/>
  <c r="BY162" i="5"/>
  <c r="AF163" i="5"/>
  <c r="AH163" i="5"/>
  <c r="BG162" i="5"/>
  <c r="BN162" i="5"/>
  <c r="AR163" i="5"/>
  <c r="AB163" i="5"/>
  <c r="AA163" i="5"/>
  <c r="BY163" i="5"/>
  <c r="AF164" i="5"/>
  <c r="AH164" i="5"/>
  <c r="BG163" i="5"/>
  <c r="BN163" i="5"/>
  <c r="AR164" i="5"/>
  <c r="AB164" i="5"/>
  <c r="AA164" i="5"/>
  <c r="BY164" i="5" s="1"/>
  <c r="AF165" i="5"/>
  <c r="AH165" i="5"/>
  <c r="BG164" i="5"/>
  <c r="BN164" i="5"/>
  <c r="AR165" i="5"/>
  <c r="AB165" i="5"/>
  <c r="AA165" i="5"/>
  <c r="BY165" i="5"/>
  <c r="AF166" i="5"/>
  <c r="AH166" i="5"/>
  <c r="BG165" i="5"/>
  <c r="BN165" i="5"/>
  <c r="AR166" i="5"/>
  <c r="AB166" i="5"/>
  <c r="AA166" i="5"/>
  <c r="BY166" i="5" s="1"/>
  <c r="AF167" i="5"/>
  <c r="AH167" i="5"/>
  <c r="BG166" i="5"/>
  <c r="BN166" i="5"/>
  <c r="AR167" i="5"/>
  <c r="AB167" i="5"/>
  <c r="AA167" i="5"/>
  <c r="BY167" i="5"/>
  <c r="AF168" i="5"/>
  <c r="AH168" i="5"/>
  <c r="BG167" i="5"/>
  <c r="BN167" i="5"/>
  <c r="AR168" i="5"/>
  <c r="AB168" i="5"/>
  <c r="AA168" i="5"/>
  <c r="BY168" i="5"/>
  <c r="AF169" i="5"/>
  <c r="AH169" i="5"/>
  <c r="BG168" i="5"/>
  <c r="BN168" i="5"/>
  <c r="AR169" i="5"/>
  <c r="AB169" i="5"/>
  <c r="AA169" i="5"/>
  <c r="BY169" i="5"/>
  <c r="AF170" i="5"/>
  <c r="AH170" i="5"/>
  <c r="BG169" i="5"/>
  <c r="BN169" i="5"/>
  <c r="AR170" i="5"/>
  <c r="AB170" i="5"/>
  <c r="AA170" i="5"/>
  <c r="BY170" i="5"/>
  <c r="AF171" i="5"/>
  <c r="AH171" i="5"/>
  <c r="BG170" i="5"/>
  <c r="BN170" i="5"/>
  <c r="AR171" i="5"/>
  <c r="AB171" i="5"/>
  <c r="AA171" i="5"/>
  <c r="BY171" i="5"/>
  <c r="AF172" i="5"/>
  <c r="AH172" i="5"/>
  <c r="BG171" i="5"/>
  <c r="BN171" i="5"/>
  <c r="AR172" i="5"/>
  <c r="AB172" i="5"/>
  <c r="AA172" i="5"/>
  <c r="BY172" i="5" s="1"/>
  <c r="AF173" i="5"/>
  <c r="AH173" i="5"/>
  <c r="BG172" i="5"/>
  <c r="BN172" i="5"/>
  <c r="AR173" i="5"/>
  <c r="AB173" i="5"/>
  <c r="AA173" i="5"/>
  <c r="BY173" i="5"/>
  <c r="AF174" i="5"/>
  <c r="AH174" i="5"/>
  <c r="BG173" i="5"/>
  <c r="BN173" i="5"/>
  <c r="AR174" i="5"/>
  <c r="AB174" i="5"/>
  <c r="AA174" i="5"/>
  <c r="BY174" i="5" s="1"/>
  <c r="AF175" i="5"/>
  <c r="AH175" i="5"/>
  <c r="BG174" i="5"/>
  <c r="BN174" i="5"/>
  <c r="AR175" i="5"/>
  <c r="AB175" i="5"/>
  <c r="AA175" i="5"/>
  <c r="BY175" i="5"/>
  <c r="AF176" i="5"/>
  <c r="AH176" i="5"/>
  <c r="BG175" i="5"/>
  <c r="BN175" i="5"/>
  <c r="AR176" i="5"/>
  <c r="AB176" i="5"/>
  <c r="AA176" i="5"/>
  <c r="BY176" i="5"/>
  <c r="AF177" i="5"/>
  <c r="AH177" i="5"/>
  <c r="BG176" i="5"/>
  <c r="BN176" i="5"/>
  <c r="AR177" i="5"/>
  <c r="AB177" i="5"/>
  <c r="AA177" i="5"/>
  <c r="BY177" i="5"/>
  <c r="AF178" i="5"/>
  <c r="AH178" i="5"/>
  <c r="BG177" i="5"/>
  <c r="BN177" i="5"/>
  <c r="AR178" i="5"/>
  <c r="AB178" i="5"/>
  <c r="AA178" i="5"/>
  <c r="BY178" i="5"/>
  <c r="AF179" i="5"/>
  <c r="AH179" i="5"/>
  <c r="BG178" i="5"/>
  <c r="BN178" i="5"/>
  <c r="AR179" i="5"/>
  <c r="AB179" i="5"/>
  <c r="AA179" i="5"/>
  <c r="BY179" i="5"/>
  <c r="AF180" i="5"/>
  <c r="AH180" i="5"/>
  <c r="BG179" i="5"/>
  <c r="BN179" i="5"/>
  <c r="AR180" i="5"/>
  <c r="AB180" i="5"/>
  <c r="AA180" i="5"/>
  <c r="BY180" i="5" s="1"/>
  <c r="AF181" i="5"/>
  <c r="AH181" i="5"/>
  <c r="BG180" i="5"/>
  <c r="BN180" i="5"/>
  <c r="AR181" i="5"/>
  <c r="AB181" i="5"/>
  <c r="AA181" i="5"/>
  <c r="BY181" i="5"/>
  <c r="AF182" i="5"/>
  <c r="AH182" i="5"/>
  <c r="BG181" i="5"/>
  <c r="BN181" i="5"/>
  <c r="AR182" i="5"/>
  <c r="AB182" i="5"/>
  <c r="AA182" i="5"/>
  <c r="BY182" i="5" s="1"/>
  <c r="AF183" i="5"/>
  <c r="AH183" i="5"/>
  <c r="BG182" i="5"/>
  <c r="BN182" i="5"/>
  <c r="AR183" i="5"/>
  <c r="AB183" i="5"/>
  <c r="AA183" i="5"/>
  <c r="BY183" i="5"/>
  <c r="AF184" i="5"/>
  <c r="AH184" i="5"/>
  <c r="BG183" i="5"/>
  <c r="BN183" i="5"/>
  <c r="AR184" i="5"/>
  <c r="AB184" i="5"/>
  <c r="AA184" i="5"/>
  <c r="BY184" i="5"/>
  <c r="AF185" i="5"/>
  <c r="AH185" i="5"/>
  <c r="BG184" i="5"/>
  <c r="BN184" i="5"/>
  <c r="AR185" i="5"/>
  <c r="AB185" i="5"/>
  <c r="AA185" i="5"/>
  <c r="BY185" i="5"/>
  <c r="AF186" i="5"/>
  <c r="AH186" i="5"/>
  <c r="BG185" i="5"/>
  <c r="BN185" i="5"/>
  <c r="AR186" i="5"/>
  <c r="AB186" i="5"/>
  <c r="AA186" i="5"/>
  <c r="BY186" i="5"/>
  <c r="AF187" i="5"/>
  <c r="AH187" i="5"/>
  <c r="BG186" i="5"/>
  <c r="BN186" i="5"/>
  <c r="AR187" i="5"/>
  <c r="AB187" i="5"/>
  <c r="AA187" i="5"/>
  <c r="BY187" i="5" s="1"/>
  <c r="AF188" i="5"/>
  <c r="AH188" i="5"/>
  <c r="BG187" i="5"/>
  <c r="BN187" i="5"/>
  <c r="AR188" i="5"/>
  <c r="AB188" i="5"/>
  <c r="AA188" i="5"/>
  <c r="BY188" i="5" s="1"/>
  <c r="AF189" i="5"/>
  <c r="AH189" i="5"/>
  <c r="BG188" i="5"/>
  <c r="BN188" i="5"/>
  <c r="AR189" i="5"/>
  <c r="AB189" i="5"/>
  <c r="AA189" i="5"/>
  <c r="BY189" i="5"/>
  <c r="AF190" i="5"/>
  <c r="AH190" i="5"/>
  <c r="BG189" i="5"/>
  <c r="BN189" i="5"/>
  <c r="AR190" i="5"/>
  <c r="AB190" i="5"/>
  <c r="AA190" i="5"/>
  <c r="BY190" i="5" s="1"/>
  <c r="AF191" i="5"/>
  <c r="AH191" i="5"/>
  <c r="BG190" i="5"/>
  <c r="BN190" i="5"/>
  <c r="AR191" i="5"/>
  <c r="AB191" i="5"/>
  <c r="AA191" i="5"/>
  <c r="BY191" i="5"/>
  <c r="AF192" i="5"/>
  <c r="AH192" i="5"/>
  <c r="BG191" i="5"/>
  <c r="BN191" i="5"/>
  <c r="AR192" i="5"/>
  <c r="AB192" i="5"/>
  <c r="AA192" i="5"/>
  <c r="BY192" i="5"/>
  <c r="AF193" i="5"/>
  <c r="AH193" i="5"/>
  <c r="BG192" i="5"/>
  <c r="BN192" i="5"/>
  <c r="AR193" i="5"/>
  <c r="AB193" i="5"/>
  <c r="AA193" i="5"/>
  <c r="BY193" i="5"/>
  <c r="AF194" i="5"/>
  <c r="AH194" i="5"/>
  <c r="BG193" i="5"/>
  <c r="BN193" i="5"/>
  <c r="AR194" i="5"/>
  <c r="AB194" i="5"/>
  <c r="AA194" i="5"/>
  <c r="BY194" i="5"/>
  <c r="AF195" i="5"/>
  <c r="AH195" i="5"/>
  <c r="BG194" i="5"/>
  <c r="BN194" i="5"/>
  <c r="AR195" i="5"/>
  <c r="AB195" i="5"/>
  <c r="AA195" i="5"/>
  <c r="BY195" i="5" s="1"/>
  <c r="AF196" i="5"/>
  <c r="AH196" i="5"/>
  <c r="BG195" i="5"/>
  <c r="BN195" i="5"/>
  <c r="AR196" i="5"/>
  <c r="AB196" i="5"/>
  <c r="AA196" i="5"/>
  <c r="BY196" i="5" s="1"/>
  <c r="AF197" i="5"/>
  <c r="AH197" i="5"/>
  <c r="BG196" i="5"/>
  <c r="BN196" i="5"/>
  <c r="AR197" i="5"/>
  <c r="AB197" i="5"/>
  <c r="AA197" i="5"/>
  <c r="BY197" i="5"/>
  <c r="AF198" i="5"/>
  <c r="AH198" i="5"/>
  <c r="BG197" i="5"/>
  <c r="BN197" i="5"/>
  <c r="AR198" i="5"/>
  <c r="AB198" i="5"/>
  <c r="AA198" i="5"/>
  <c r="BY198" i="5" s="1"/>
  <c r="AF199" i="5"/>
  <c r="AH199" i="5"/>
  <c r="BG198" i="5"/>
  <c r="BN198" i="5"/>
  <c r="AR199" i="5"/>
  <c r="AB199" i="5"/>
  <c r="AA199" i="5"/>
  <c r="BY199" i="5"/>
  <c r="AF200" i="5"/>
  <c r="AH200" i="5"/>
  <c r="BG199" i="5"/>
  <c r="BN199" i="5"/>
  <c r="AR200" i="5"/>
  <c r="AB200" i="5"/>
  <c r="AA200" i="5"/>
  <c r="BY200" i="5"/>
  <c r="AF201" i="5"/>
  <c r="AH201" i="5"/>
  <c r="BG200" i="5"/>
  <c r="BN200" i="5"/>
  <c r="AR201" i="5"/>
  <c r="AB201" i="5"/>
  <c r="AA201" i="5"/>
  <c r="BY201" i="5"/>
  <c r="AF202" i="5"/>
  <c r="AH202" i="5"/>
  <c r="BG201" i="5"/>
  <c r="BN201" i="5"/>
  <c r="AR202" i="5"/>
  <c r="AB202" i="5"/>
  <c r="AA202" i="5"/>
  <c r="BY202" i="5"/>
  <c r="AF203" i="5"/>
  <c r="AH203" i="5"/>
  <c r="BG202" i="5"/>
  <c r="BN202" i="5"/>
  <c r="AR203" i="5"/>
  <c r="AB203" i="5"/>
  <c r="AA203" i="5"/>
  <c r="BY203" i="5"/>
  <c r="AF204" i="5"/>
  <c r="AH204" i="5"/>
  <c r="BG203" i="5"/>
  <c r="BN203" i="5"/>
  <c r="AR204" i="5"/>
  <c r="AB204" i="5"/>
  <c r="AA204" i="5"/>
  <c r="BY204" i="5" s="1"/>
  <c r="AF205" i="5"/>
  <c r="AH205" i="5"/>
  <c r="BG204" i="5"/>
  <c r="BN204" i="5"/>
  <c r="AR205" i="5"/>
  <c r="AB205" i="5"/>
  <c r="AA205" i="5"/>
  <c r="BY205" i="5"/>
  <c r="AF206" i="5"/>
  <c r="AH206" i="5"/>
  <c r="BG205" i="5"/>
  <c r="BN205" i="5"/>
  <c r="AR206" i="5"/>
  <c r="AB206" i="5"/>
  <c r="AA206" i="5"/>
  <c r="BY206" i="5" s="1"/>
  <c r="AF207" i="5"/>
  <c r="AH207" i="5"/>
  <c r="BG206" i="5"/>
  <c r="BN206" i="5"/>
  <c r="AR207" i="5"/>
  <c r="AB207" i="5"/>
  <c r="AA207" i="5"/>
  <c r="BY207" i="5"/>
  <c r="AF208" i="5"/>
  <c r="AH208" i="5"/>
  <c r="BG207" i="5"/>
  <c r="BN207" i="5"/>
  <c r="AR208" i="5"/>
  <c r="AB208" i="5"/>
  <c r="AA208" i="5"/>
  <c r="BY208" i="5"/>
  <c r="AF209" i="5"/>
  <c r="AH209" i="5"/>
  <c r="BG208" i="5"/>
  <c r="BN208" i="5"/>
  <c r="AR209" i="5"/>
  <c r="AB209" i="5"/>
  <c r="AA209" i="5"/>
  <c r="BY209" i="5"/>
  <c r="AF210" i="5"/>
  <c r="AH210" i="5"/>
  <c r="BG209" i="5"/>
  <c r="BN209" i="5"/>
  <c r="AR210" i="5"/>
  <c r="AB210" i="5"/>
  <c r="AA210" i="5"/>
  <c r="BY210" i="5"/>
  <c r="AF211" i="5"/>
  <c r="AH211" i="5"/>
  <c r="BG210" i="5"/>
  <c r="BN210" i="5"/>
  <c r="AR211" i="5"/>
  <c r="AB211" i="5"/>
  <c r="AA211" i="5"/>
  <c r="BY211" i="5" s="1"/>
  <c r="AF212" i="5"/>
  <c r="AH212" i="5"/>
  <c r="BG211" i="5"/>
  <c r="BN211" i="5"/>
  <c r="AR212" i="5"/>
  <c r="AB212" i="5"/>
  <c r="AA212" i="5"/>
  <c r="BY212" i="5" s="1"/>
  <c r="AF213" i="5"/>
  <c r="AH213" i="5"/>
  <c r="BG212" i="5"/>
  <c r="BN212" i="5"/>
  <c r="AR213" i="5"/>
  <c r="AB213" i="5"/>
  <c r="AA213" i="5"/>
  <c r="BY213" i="5"/>
  <c r="AF214" i="5"/>
  <c r="AH214" i="5"/>
  <c r="BG213" i="5"/>
  <c r="BN213" i="5"/>
  <c r="AR214" i="5"/>
  <c r="AB214" i="5"/>
  <c r="AA214" i="5"/>
  <c r="BY214" i="5" s="1"/>
  <c r="AF215" i="5"/>
  <c r="AH215" i="5"/>
  <c r="BG214" i="5"/>
  <c r="BN214" i="5"/>
  <c r="AR215" i="5"/>
  <c r="AB215" i="5"/>
  <c r="AA215" i="5"/>
  <c r="BY215" i="5"/>
  <c r="AF216" i="5"/>
  <c r="AH216" i="5"/>
  <c r="BG215" i="5"/>
  <c r="BN215" i="5"/>
  <c r="AR216" i="5"/>
  <c r="AB216" i="5"/>
  <c r="AA216" i="5"/>
  <c r="BY216" i="5"/>
  <c r="AF217" i="5"/>
  <c r="AH217" i="5"/>
  <c r="BG216" i="5"/>
  <c r="BN216" i="5"/>
  <c r="AR217" i="5"/>
  <c r="AB217" i="5"/>
  <c r="AA217" i="5"/>
  <c r="BY217" i="5" s="1"/>
  <c r="AF218" i="5"/>
  <c r="AH218" i="5"/>
  <c r="BG217" i="5"/>
  <c r="BN217" i="5"/>
  <c r="AR218" i="5"/>
  <c r="AB218" i="5"/>
  <c r="AA218" i="5"/>
  <c r="BY218" i="5"/>
  <c r="AF219" i="5"/>
  <c r="AH219" i="5"/>
  <c r="BG218" i="5"/>
  <c r="BN218" i="5"/>
  <c r="AR219" i="5"/>
  <c r="AB219" i="5"/>
  <c r="AA219" i="5"/>
  <c r="BY219" i="5" s="1"/>
  <c r="AF220" i="5"/>
  <c r="AH220" i="5"/>
  <c r="BG219" i="5"/>
  <c r="BN219" i="5"/>
  <c r="AR220" i="5"/>
  <c r="AB220" i="5"/>
  <c r="AA220" i="5"/>
  <c r="BY220" i="5" s="1"/>
  <c r="AF221" i="5"/>
  <c r="AH221" i="5"/>
  <c r="BG220" i="5"/>
  <c r="BN220" i="5"/>
  <c r="AR221" i="5"/>
  <c r="AB221" i="5"/>
  <c r="AA221" i="5"/>
  <c r="BY221" i="5"/>
  <c r="AF222" i="5"/>
  <c r="AH222" i="5"/>
  <c r="BG221" i="5"/>
  <c r="BN221" i="5"/>
  <c r="AR222" i="5"/>
  <c r="AB222" i="5"/>
  <c r="AA222" i="5"/>
  <c r="BY222" i="5" s="1"/>
  <c r="AF223" i="5"/>
  <c r="AH223" i="5"/>
  <c r="BG222" i="5"/>
  <c r="BN222" i="5"/>
  <c r="AR223" i="5"/>
  <c r="AB223" i="5"/>
  <c r="AA223" i="5"/>
  <c r="BY223" i="5"/>
  <c r="AF224" i="5"/>
  <c r="AH224" i="5"/>
  <c r="BG223" i="5"/>
  <c r="BN223" i="5"/>
  <c r="AR224" i="5"/>
  <c r="AB224" i="5"/>
  <c r="AA224" i="5"/>
  <c r="BY224" i="5"/>
  <c r="AF225" i="5"/>
  <c r="AH225" i="5"/>
  <c r="BG224" i="5"/>
  <c r="BN224" i="5"/>
  <c r="AR225" i="5"/>
  <c r="AB225" i="5"/>
  <c r="AA225" i="5"/>
  <c r="BY225" i="5" s="1"/>
  <c r="AF226" i="5"/>
  <c r="AH226" i="5"/>
  <c r="BG225" i="5"/>
  <c r="BN225" i="5"/>
  <c r="AR226" i="5"/>
  <c r="AB226" i="5"/>
  <c r="AA226" i="5"/>
  <c r="BY226" i="5"/>
  <c r="AF227" i="5"/>
  <c r="AH227" i="5"/>
  <c r="BG226" i="5"/>
  <c r="BN226" i="5"/>
  <c r="AR227" i="5"/>
  <c r="AB227" i="5"/>
  <c r="AA227" i="5"/>
  <c r="BY227" i="5"/>
  <c r="AF228" i="5"/>
  <c r="AH228" i="5"/>
  <c r="BG227" i="5"/>
  <c r="BN227" i="5"/>
  <c r="AR228" i="5"/>
  <c r="AB228" i="5"/>
  <c r="AA228" i="5"/>
  <c r="BY228" i="5" s="1"/>
  <c r="AF229" i="5"/>
  <c r="AH229" i="5"/>
  <c r="BG228" i="5"/>
  <c r="BN228" i="5"/>
  <c r="AR229" i="5"/>
  <c r="AB229" i="5"/>
  <c r="AA229" i="5"/>
  <c r="BY229" i="5"/>
  <c r="AF230" i="5"/>
  <c r="AH230" i="5"/>
  <c r="BG229" i="5"/>
  <c r="BN229" i="5"/>
  <c r="AR230" i="5"/>
  <c r="AB230" i="5"/>
  <c r="AA230" i="5"/>
  <c r="BY230" i="5" s="1"/>
  <c r="AF231" i="5"/>
  <c r="AH231" i="5"/>
  <c r="BG230" i="5"/>
  <c r="BN230" i="5"/>
  <c r="AR231" i="5"/>
  <c r="AB231" i="5"/>
  <c r="AA231" i="5"/>
  <c r="BY231" i="5"/>
  <c r="AF232" i="5"/>
  <c r="AH232" i="5"/>
  <c r="BG231" i="5"/>
  <c r="BN231" i="5"/>
  <c r="AR232" i="5"/>
  <c r="AB232" i="5"/>
  <c r="AA232" i="5"/>
  <c r="BY232" i="5"/>
  <c r="AF233" i="5"/>
  <c r="AH233" i="5"/>
  <c r="BG232" i="5"/>
  <c r="BN232" i="5"/>
  <c r="AR233" i="5"/>
  <c r="AB233" i="5"/>
  <c r="AA233" i="5"/>
  <c r="BY233" i="5"/>
  <c r="AF234" i="5"/>
  <c r="AH234" i="5"/>
  <c r="BG233" i="5"/>
  <c r="BN233" i="5"/>
  <c r="AR234" i="5"/>
  <c r="AB234" i="5"/>
  <c r="AA234" i="5"/>
  <c r="BY234" i="5"/>
  <c r="AF235" i="5"/>
  <c r="AH235" i="5"/>
  <c r="BG234" i="5"/>
  <c r="BN234" i="5"/>
  <c r="AR235" i="5"/>
  <c r="AB235" i="5"/>
  <c r="AA235" i="5"/>
  <c r="BY235" i="5"/>
  <c r="AF236" i="5"/>
  <c r="AH236" i="5"/>
  <c r="BG235" i="5"/>
  <c r="BN235" i="5"/>
  <c r="AR236" i="5"/>
  <c r="AB236" i="5"/>
  <c r="AA236" i="5"/>
  <c r="BY236" i="5" s="1"/>
  <c r="AF237" i="5"/>
  <c r="AH237" i="5"/>
  <c r="BG236" i="5"/>
  <c r="BN236" i="5"/>
  <c r="AR237" i="5"/>
  <c r="AB237" i="5"/>
  <c r="AA237" i="5"/>
  <c r="BY237" i="5"/>
  <c r="AF238" i="5"/>
  <c r="AH238" i="5"/>
  <c r="BG237" i="5"/>
  <c r="BN237" i="5"/>
  <c r="AR238" i="5"/>
  <c r="AB238" i="5"/>
  <c r="AA238" i="5"/>
  <c r="BY238" i="5"/>
  <c r="AF239" i="5"/>
  <c r="AH239" i="5"/>
  <c r="BG238" i="5"/>
  <c r="BN238" i="5"/>
  <c r="AR239" i="5"/>
  <c r="AB239" i="5"/>
  <c r="AA239" i="5"/>
  <c r="BY239" i="5"/>
  <c r="AF240" i="5"/>
  <c r="AH240" i="5"/>
  <c r="BG239" i="5"/>
  <c r="BN239" i="5"/>
  <c r="AR240" i="5"/>
  <c r="AB240" i="5"/>
  <c r="AA240" i="5"/>
  <c r="BY240" i="5"/>
  <c r="AF241" i="5"/>
  <c r="AH241" i="5"/>
  <c r="BG240" i="5"/>
  <c r="BN240" i="5"/>
  <c r="AR241" i="5"/>
  <c r="AB241" i="5"/>
  <c r="AA241" i="5"/>
  <c r="BY241" i="5" s="1"/>
  <c r="AF242" i="5"/>
  <c r="AH242" i="5"/>
  <c r="BG241" i="5"/>
  <c r="BN241" i="5"/>
  <c r="AR242" i="5"/>
  <c r="AB242" i="5"/>
  <c r="AA242" i="5"/>
  <c r="BY242" i="5"/>
  <c r="AF243" i="5"/>
  <c r="AH243" i="5"/>
  <c r="BG242" i="5"/>
  <c r="BN242" i="5"/>
  <c r="AR243" i="5"/>
  <c r="AB243" i="5"/>
  <c r="AA243" i="5"/>
  <c r="BY243" i="5"/>
  <c r="AF244" i="5"/>
  <c r="AH244" i="5"/>
  <c r="BG243" i="5"/>
  <c r="BN243" i="5"/>
  <c r="AR244" i="5"/>
  <c r="AB244" i="5"/>
  <c r="AA244" i="5"/>
  <c r="BY244" i="5" s="1"/>
  <c r="AF245" i="5"/>
  <c r="AH245" i="5"/>
  <c r="BG244" i="5"/>
  <c r="BN244" i="5"/>
  <c r="AR245" i="5"/>
  <c r="AB245" i="5"/>
  <c r="AA245" i="5"/>
  <c r="BY245" i="5"/>
  <c r="AF246" i="5"/>
  <c r="AH246" i="5"/>
  <c r="BG245" i="5"/>
  <c r="BN245" i="5"/>
  <c r="AR246" i="5"/>
  <c r="AB246" i="5"/>
  <c r="AA246" i="5"/>
  <c r="BY246" i="5" s="1"/>
  <c r="AF247" i="5"/>
  <c r="AH247" i="5"/>
  <c r="BG246" i="5"/>
  <c r="BN246" i="5"/>
  <c r="AR247" i="5"/>
  <c r="AB247" i="5"/>
  <c r="AA247" i="5"/>
  <c r="BY247" i="5"/>
  <c r="AF248" i="5"/>
  <c r="AH248" i="5"/>
  <c r="BG247" i="5"/>
  <c r="BN247" i="5"/>
  <c r="AR248" i="5"/>
  <c r="AB248" i="5"/>
  <c r="AA248" i="5"/>
  <c r="BY248" i="5"/>
  <c r="AF249" i="5"/>
  <c r="AH249" i="5"/>
  <c r="BG248" i="5"/>
  <c r="BN248" i="5"/>
  <c r="AR249" i="5"/>
  <c r="AB249" i="5"/>
  <c r="AA249" i="5"/>
  <c r="BY249" i="5" s="1"/>
  <c r="AF250" i="5"/>
  <c r="AH250" i="5"/>
  <c r="BG249" i="5"/>
  <c r="BN249" i="5"/>
  <c r="AR250" i="5"/>
  <c r="AB250" i="5"/>
  <c r="AA250" i="5"/>
  <c r="BY250" i="5"/>
  <c r="AF251" i="5"/>
  <c r="AH251" i="5"/>
  <c r="BG250" i="5"/>
  <c r="BN250" i="5"/>
  <c r="AR251" i="5"/>
  <c r="AB251" i="5"/>
  <c r="AA251" i="5"/>
  <c r="BY251" i="5" s="1"/>
  <c r="AF252" i="5"/>
  <c r="AH252" i="5"/>
  <c r="BG251" i="5"/>
  <c r="BN251" i="5"/>
  <c r="AR252" i="5"/>
  <c r="AB252" i="5"/>
  <c r="AA252" i="5"/>
  <c r="BY252" i="5" s="1"/>
  <c r="AF253" i="5"/>
  <c r="AH253" i="5"/>
  <c r="BG252" i="5"/>
  <c r="BN252" i="5"/>
  <c r="AR253" i="5"/>
  <c r="AB253" i="5"/>
  <c r="AA253" i="5"/>
  <c r="BY253" i="5"/>
  <c r="AF254" i="5"/>
  <c r="AH254" i="5"/>
  <c r="BG253" i="5"/>
  <c r="BN253" i="5"/>
  <c r="AR254" i="5"/>
  <c r="AB254" i="5"/>
  <c r="AA254" i="5"/>
  <c r="BY254" i="5" s="1"/>
  <c r="AF255" i="5"/>
  <c r="AH255" i="5"/>
  <c r="BG254" i="5"/>
  <c r="BN254" i="5"/>
  <c r="AR255" i="5"/>
  <c r="AB255" i="5"/>
  <c r="AA255" i="5"/>
  <c r="BY255" i="5"/>
  <c r="AF256" i="5"/>
  <c r="AH256" i="5"/>
  <c r="BG255" i="5"/>
  <c r="BN255" i="5"/>
  <c r="AR256" i="5"/>
  <c r="AB256" i="5"/>
  <c r="AA256" i="5"/>
  <c r="BY256" i="5"/>
  <c r="AF257" i="5"/>
  <c r="AH257" i="5"/>
  <c r="BG256" i="5"/>
  <c r="BN256" i="5"/>
  <c r="AR257" i="5"/>
  <c r="AB257" i="5"/>
  <c r="AA257" i="5"/>
  <c r="BY257" i="5"/>
  <c r="AF258" i="5"/>
  <c r="AH258" i="5"/>
  <c r="BG257" i="5"/>
  <c r="BN257" i="5"/>
  <c r="AR258" i="5"/>
  <c r="AB258" i="5"/>
  <c r="AA258" i="5"/>
  <c r="BY258" i="5"/>
  <c r="AF259" i="5"/>
  <c r="AH259" i="5"/>
  <c r="BG258" i="5"/>
  <c r="BN258" i="5"/>
  <c r="AR259" i="5"/>
  <c r="AB259" i="5"/>
  <c r="AA259" i="5"/>
  <c r="BY259" i="5" s="1"/>
  <c r="AF260" i="5"/>
  <c r="AH260" i="5"/>
  <c r="BG259" i="5"/>
  <c r="BN259" i="5"/>
  <c r="AR260" i="5"/>
  <c r="AB260" i="5"/>
  <c r="AA260" i="5"/>
  <c r="BY260" i="5" s="1"/>
  <c r="AF261" i="5"/>
  <c r="AH261" i="5"/>
  <c r="BG260" i="5"/>
  <c r="BN260" i="5"/>
  <c r="AR261" i="5"/>
  <c r="AB261" i="5"/>
  <c r="AA261" i="5"/>
  <c r="BY261" i="5"/>
  <c r="AF262" i="5"/>
  <c r="AH262" i="5"/>
  <c r="BG261" i="5"/>
  <c r="BN261" i="5"/>
  <c r="AR262" i="5"/>
  <c r="AB262" i="5"/>
  <c r="AA262" i="5"/>
  <c r="BY262" i="5"/>
  <c r="AF263" i="5"/>
  <c r="AH263" i="5"/>
  <c r="BG262" i="5"/>
  <c r="BN262" i="5"/>
  <c r="AR263" i="5"/>
  <c r="AB263" i="5"/>
  <c r="AA263" i="5"/>
  <c r="BY263" i="5"/>
  <c r="AF264" i="5"/>
  <c r="AH264" i="5"/>
  <c r="BG263" i="5"/>
  <c r="BN263" i="5"/>
  <c r="AR264" i="5"/>
  <c r="AB264" i="5"/>
  <c r="AA264" i="5"/>
  <c r="BY264" i="5"/>
  <c r="AF265" i="5"/>
  <c r="AH265" i="5"/>
  <c r="BG264" i="5"/>
  <c r="BN264" i="5"/>
  <c r="AR265" i="5"/>
  <c r="AB265" i="5"/>
  <c r="AA265" i="5"/>
  <c r="BY265" i="5"/>
  <c r="AF266" i="5"/>
  <c r="AH266" i="5"/>
  <c r="BG265" i="5"/>
  <c r="BN265" i="5"/>
  <c r="AR266" i="5"/>
  <c r="AB266" i="5"/>
  <c r="AA266" i="5"/>
  <c r="BY266" i="5"/>
  <c r="AF267" i="5"/>
  <c r="AH267" i="5"/>
  <c r="BG266" i="5"/>
  <c r="BN266" i="5"/>
  <c r="AR267" i="5"/>
  <c r="AB267" i="5"/>
  <c r="AA267" i="5"/>
  <c r="BY267" i="5"/>
  <c r="AF268" i="5"/>
  <c r="BG267" i="5"/>
  <c r="BN267" i="5"/>
  <c r="AR268" i="5"/>
  <c r="AB268" i="5"/>
  <c r="AA268" i="5"/>
  <c r="BY268" i="5" s="1"/>
  <c r="AF269" i="5"/>
  <c r="AH269" i="5"/>
  <c r="BG268" i="5"/>
  <c r="BN268" i="5"/>
  <c r="AR269" i="5"/>
  <c r="AB269" i="5"/>
  <c r="AA269" i="5"/>
  <c r="BY269" i="5"/>
  <c r="AF270" i="5"/>
  <c r="AH270" i="5"/>
  <c r="BG269" i="5"/>
  <c r="BN269" i="5"/>
  <c r="AR270" i="5"/>
  <c r="AB270" i="5"/>
  <c r="AA270" i="5"/>
  <c r="BY270" i="5" s="1"/>
  <c r="AF271" i="5"/>
  <c r="AH271" i="5"/>
  <c r="BG270" i="5"/>
  <c r="BN270" i="5"/>
  <c r="AR271" i="5"/>
  <c r="AB271" i="5"/>
  <c r="AA271" i="5"/>
  <c r="BY271" i="5"/>
  <c r="AF272" i="5"/>
  <c r="AH272" i="5"/>
  <c r="BG271" i="5"/>
  <c r="BN271" i="5"/>
  <c r="AR272" i="5"/>
  <c r="AB272" i="5"/>
  <c r="AA272" i="5"/>
  <c r="BY272" i="5"/>
  <c r="AF273" i="5"/>
  <c r="AH273" i="5"/>
  <c r="BG272" i="5"/>
  <c r="BN272" i="5"/>
  <c r="AR273" i="5"/>
  <c r="AB273" i="5"/>
  <c r="AA273" i="5"/>
  <c r="BY273" i="5" s="1"/>
  <c r="AF274" i="5"/>
  <c r="AH274" i="5"/>
  <c r="BG273" i="5"/>
  <c r="BN273" i="5"/>
  <c r="AR274" i="5"/>
  <c r="AB274" i="5"/>
  <c r="AA274" i="5"/>
  <c r="BY274" i="5"/>
  <c r="AF275" i="5"/>
  <c r="AH275" i="5"/>
  <c r="BG274" i="5"/>
  <c r="BN274" i="5"/>
  <c r="AR275" i="5"/>
  <c r="AB275" i="5"/>
  <c r="AA275" i="5"/>
  <c r="AF276" i="5"/>
  <c r="AH276" i="5"/>
  <c r="BG275" i="5"/>
  <c r="BN275" i="5"/>
  <c r="AR276" i="5"/>
  <c r="AB276" i="5"/>
  <c r="AA276" i="5"/>
  <c r="BY276" i="5" s="1"/>
  <c r="AF277" i="5"/>
  <c r="AH277" i="5"/>
  <c r="BG276" i="5"/>
  <c r="BN276" i="5"/>
  <c r="AR277" i="5"/>
  <c r="AB277" i="5"/>
  <c r="AA277" i="5"/>
  <c r="BY277" i="5"/>
  <c r="AF278" i="5"/>
  <c r="AH278" i="5"/>
  <c r="BG277" i="5"/>
  <c r="BN277" i="5"/>
  <c r="AR278" i="5"/>
  <c r="AB278" i="5"/>
  <c r="AA278" i="5"/>
  <c r="BY278" i="5" s="1"/>
  <c r="AF279" i="5"/>
  <c r="AH279" i="5"/>
  <c r="BG278" i="5"/>
  <c r="BN278" i="5"/>
  <c r="AR279" i="5"/>
  <c r="AB279" i="5"/>
  <c r="AA279" i="5"/>
  <c r="BY279" i="5"/>
  <c r="AF280" i="5"/>
  <c r="AH280" i="5"/>
  <c r="BG279" i="5"/>
  <c r="BN279" i="5"/>
  <c r="AR280" i="5"/>
  <c r="AB280" i="5"/>
  <c r="AA280" i="5"/>
  <c r="BY280" i="5"/>
  <c r="AF281" i="5"/>
  <c r="AH281" i="5"/>
  <c r="BG280" i="5"/>
  <c r="BN280" i="5"/>
  <c r="AR281" i="5"/>
  <c r="AB281" i="5"/>
  <c r="AA281" i="5"/>
  <c r="BY281" i="5"/>
  <c r="AF282" i="5"/>
  <c r="AH282" i="5"/>
  <c r="BG281" i="5"/>
  <c r="BN281" i="5"/>
  <c r="AR282" i="5"/>
  <c r="AB282" i="5"/>
  <c r="AA282" i="5"/>
  <c r="BY282" i="5"/>
  <c r="AF283" i="5"/>
  <c r="AH283" i="5"/>
  <c r="BG282" i="5"/>
  <c r="BN282" i="5"/>
  <c r="AR283" i="5"/>
  <c r="AB283" i="5"/>
  <c r="AA283" i="5"/>
  <c r="BY283" i="5" s="1"/>
  <c r="AF284" i="5"/>
  <c r="AH284" i="5"/>
  <c r="BG283" i="5"/>
  <c r="BN283" i="5"/>
  <c r="AR284" i="5"/>
  <c r="AB284" i="5"/>
  <c r="AA284" i="5"/>
  <c r="BY284" i="5" s="1"/>
  <c r="AF285" i="5"/>
  <c r="AH285" i="5"/>
  <c r="BG284" i="5"/>
  <c r="BN284" i="5"/>
  <c r="AR285" i="5"/>
  <c r="AB285" i="5"/>
  <c r="AA285" i="5"/>
  <c r="BY285" i="5"/>
  <c r="AF286" i="5"/>
  <c r="AH286" i="5"/>
  <c r="BG285" i="5"/>
  <c r="BN285" i="5"/>
  <c r="AR286" i="5"/>
  <c r="AB286" i="5"/>
  <c r="AA286" i="5"/>
  <c r="BY286" i="5"/>
  <c r="AF287" i="5"/>
  <c r="AH287" i="5"/>
  <c r="BG286" i="5"/>
  <c r="BN286" i="5"/>
  <c r="AR287" i="5"/>
  <c r="AB287" i="5"/>
  <c r="AA287" i="5"/>
  <c r="BY287" i="5"/>
  <c r="AF288" i="5"/>
  <c r="AH288" i="5"/>
  <c r="BG287" i="5"/>
  <c r="BN287" i="5"/>
  <c r="AR288" i="5"/>
  <c r="AB288" i="5"/>
  <c r="AA288" i="5"/>
  <c r="BY288" i="5"/>
  <c r="AF289" i="5"/>
  <c r="AH289" i="5"/>
  <c r="BG288" i="5"/>
  <c r="BN288" i="5"/>
  <c r="AR289" i="5"/>
  <c r="AB289" i="5"/>
  <c r="AA289" i="5"/>
  <c r="BY289" i="5"/>
  <c r="AF290" i="5"/>
  <c r="AH290" i="5"/>
  <c r="BG289" i="5"/>
  <c r="BN289" i="5"/>
  <c r="AR290" i="5"/>
  <c r="AB290" i="5"/>
  <c r="AA290" i="5"/>
  <c r="BY290" i="5"/>
  <c r="AF291" i="5"/>
  <c r="AH291" i="5"/>
  <c r="BG290" i="5"/>
  <c r="BN290" i="5"/>
  <c r="AR291" i="5"/>
  <c r="AB291" i="5"/>
  <c r="AA291" i="5"/>
  <c r="BY291" i="5"/>
  <c r="AF292" i="5"/>
  <c r="AH292" i="5"/>
  <c r="BG291" i="5"/>
  <c r="BN291" i="5"/>
  <c r="AR292" i="5"/>
  <c r="AB292" i="5"/>
  <c r="AA292" i="5"/>
  <c r="BY292" i="5" s="1"/>
  <c r="AF293" i="5"/>
  <c r="AH293" i="5"/>
  <c r="BG292" i="5"/>
  <c r="BN292" i="5"/>
  <c r="AR293" i="5"/>
  <c r="AB293" i="5"/>
  <c r="AA293" i="5"/>
  <c r="BY293" i="5"/>
  <c r="AF294" i="5"/>
  <c r="AH294" i="5"/>
  <c r="BG293" i="5"/>
  <c r="BN293" i="5"/>
  <c r="AR294" i="5"/>
  <c r="AB294" i="5"/>
  <c r="AA294" i="5"/>
  <c r="BY294" i="5"/>
  <c r="AF295" i="5"/>
  <c r="AH295" i="5"/>
  <c r="BG294" i="5"/>
  <c r="BN294" i="5"/>
  <c r="AR295" i="5"/>
  <c r="AB295" i="5"/>
  <c r="AA295" i="5"/>
  <c r="BY295" i="5" s="1"/>
  <c r="AF296" i="5"/>
  <c r="AH296" i="5"/>
  <c r="BG295" i="5"/>
  <c r="BN295" i="5"/>
  <c r="AR296" i="5"/>
  <c r="AB296" i="5"/>
  <c r="AA296" i="5"/>
  <c r="BY296" i="5"/>
  <c r="AF297" i="5"/>
  <c r="AH297" i="5"/>
  <c r="BG296" i="5"/>
  <c r="BN296" i="5"/>
  <c r="AR297" i="5"/>
  <c r="AB297" i="5"/>
  <c r="CO297" i="5" s="1"/>
  <c r="AA297" i="5"/>
  <c r="BY297" i="5" s="1"/>
  <c r="AF298" i="5"/>
  <c r="AH298" i="5"/>
  <c r="BG297" i="5"/>
  <c r="BN297" i="5"/>
  <c r="AR298" i="5"/>
  <c r="AB298" i="5"/>
  <c r="AA298" i="5"/>
  <c r="BY298" i="5"/>
  <c r="AF299" i="5"/>
  <c r="AH299" i="5"/>
  <c r="BG298" i="5"/>
  <c r="BN298" i="5"/>
  <c r="AR299" i="5"/>
  <c r="AB299" i="5"/>
  <c r="AA299" i="5"/>
  <c r="BY299" i="5" s="1"/>
  <c r="AF300" i="5"/>
  <c r="AH300" i="5"/>
  <c r="BG299" i="5"/>
  <c r="BN299" i="5"/>
  <c r="AR300" i="5"/>
  <c r="AB300" i="5"/>
  <c r="AA300" i="5"/>
  <c r="BY300" i="5" s="1"/>
  <c r="AF301" i="5"/>
  <c r="AH301" i="5"/>
  <c r="BG300" i="5"/>
  <c r="BN300" i="5"/>
  <c r="AR301" i="5"/>
  <c r="AB301" i="5"/>
  <c r="AA301" i="5"/>
  <c r="BY301" i="5"/>
  <c r="AF302" i="5"/>
  <c r="AH302" i="5"/>
  <c r="BG301" i="5"/>
  <c r="BN301" i="5"/>
  <c r="AR302" i="5"/>
  <c r="AB302" i="5"/>
  <c r="AA302" i="5"/>
  <c r="BY302" i="5" s="1"/>
  <c r="AF303" i="5"/>
  <c r="AH303" i="5"/>
  <c r="BG302" i="5"/>
  <c r="BN302" i="5"/>
  <c r="AR303" i="5"/>
  <c r="AB303" i="5"/>
  <c r="AA303" i="5"/>
  <c r="BY303" i="5" s="1"/>
  <c r="AF304" i="5"/>
  <c r="AH304" i="5"/>
  <c r="BG303" i="5"/>
  <c r="BN303" i="5"/>
  <c r="AR304" i="5"/>
  <c r="AB304" i="5"/>
  <c r="AA304" i="5"/>
  <c r="BY304" i="5"/>
  <c r="AF305" i="5"/>
  <c r="AH305" i="5"/>
  <c r="BG304" i="5"/>
  <c r="BN304" i="5"/>
  <c r="AR305" i="5"/>
  <c r="AB305" i="5"/>
  <c r="AA305" i="5"/>
  <c r="BY305" i="5"/>
  <c r="AF306" i="5"/>
  <c r="AH306" i="5"/>
  <c r="BG305" i="5"/>
  <c r="BN305" i="5"/>
  <c r="AR306" i="5"/>
  <c r="AB306" i="5"/>
  <c r="AA306" i="5"/>
  <c r="BY306" i="5"/>
  <c r="AF307" i="5"/>
  <c r="AH307" i="5"/>
  <c r="BG306" i="5"/>
  <c r="BN306" i="5"/>
  <c r="AR307" i="5"/>
  <c r="AB307" i="5"/>
  <c r="AA307" i="5"/>
  <c r="BY307" i="5" s="1"/>
  <c r="AF308" i="5"/>
  <c r="AH308" i="5"/>
  <c r="BG307" i="5"/>
  <c r="BN307" i="5"/>
  <c r="AR308" i="5"/>
  <c r="AB308" i="5"/>
  <c r="AA308" i="5"/>
  <c r="BY308" i="5" s="1"/>
  <c r="AF309" i="5"/>
  <c r="AH309" i="5"/>
  <c r="BG308" i="5"/>
  <c r="BN308" i="5"/>
  <c r="AR309" i="5"/>
  <c r="AB309" i="5"/>
  <c r="AA309" i="5"/>
  <c r="BY309" i="5"/>
  <c r="AF310" i="5"/>
  <c r="AH310" i="5"/>
  <c r="BG309" i="5"/>
  <c r="BN309" i="5"/>
  <c r="AR310" i="5"/>
  <c r="AB310" i="5"/>
  <c r="AA310" i="5"/>
  <c r="BY310" i="5"/>
  <c r="AF311" i="5"/>
  <c r="AH311" i="5"/>
  <c r="BG310" i="5"/>
  <c r="BN310" i="5"/>
  <c r="AR311" i="5"/>
  <c r="AB311" i="5"/>
  <c r="AA311" i="5"/>
  <c r="BY311" i="5" s="1"/>
  <c r="AF312" i="5"/>
  <c r="AH312" i="5"/>
  <c r="BG311" i="5"/>
  <c r="BN311" i="5"/>
  <c r="AR312" i="5"/>
  <c r="AB312" i="5"/>
  <c r="AA312" i="5"/>
  <c r="BY312" i="5"/>
  <c r="AF313" i="5"/>
  <c r="AH313" i="5"/>
  <c r="BG312" i="5"/>
  <c r="BN312" i="5"/>
  <c r="AR313" i="5"/>
  <c r="AB313" i="5"/>
  <c r="AA313" i="5"/>
  <c r="BY313" i="5" s="1"/>
  <c r="AF314" i="5"/>
  <c r="AH314" i="5"/>
  <c r="BG313" i="5"/>
  <c r="BN313" i="5"/>
  <c r="AR314" i="5"/>
  <c r="AB314" i="5"/>
  <c r="AA314" i="5"/>
  <c r="BY314" i="5"/>
  <c r="AF315" i="5"/>
  <c r="AH315" i="5"/>
  <c r="BG314" i="5"/>
  <c r="BN314" i="5"/>
  <c r="AR315" i="5"/>
  <c r="AB315" i="5"/>
  <c r="AA315" i="5"/>
  <c r="BY315" i="5" s="1"/>
  <c r="AF316" i="5"/>
  <c r="AH316" i="5"/>
  <c r="BG315" i="5"/>
  <c r="BN315" i="5"/>
  <c r="AR316" i="5"/>
  <c r="AB316" i="5"/>
  <c r="CO316" i="5" s="1"/>
  <c r="AA316" i="5"/>
  <c r="BY316" i="5" s="1"/>
  <c r="AF317" i="5"/>
  <c r="AH317" i="5"/>
  <c r="BG316" i="5"/>
  <c r="BN316" i="5"/>
  <c r="AR317" i="5"/>
  <c r="AB317" i="5"/>
  <c r="AA317" i="5"/>
  <c r="BY317" i="5"/>
  <c r="AF318" i="5"/>
  <c r="AH318" i="5"/>
  <c r="BG317" i="5"/>
  <c r="BN317" i="5"/>
  <c r="AR318" i="5"/>
  <c r="AB318" i="5"/>
  <c r="AA318" i="5"/>
  <c r="BY318" i="5" s="1"/>
  <c r="AF319" i="5"/>
  <c r="AH319" i="5"/>
  <c r="BG318" i="5"/>
  <c r="BN318" i="5"/>
  <c r="AR319" i="5"/>
  <c r="AB319" i="5"/>
  <c r="AA319" i="5"/>
  <c r="BY319" i="5" s="1"/>
  <c r="AF320" i="5"/>
  <c r="AH320" i="5"/>
  <c r="BG319" i="5"/>
  <c r="BN319" i="5"/>
  <c r="AR320" i="5"/>
  <c r="AB320" i="5"/>
  <c r="AA320" i="5"/>
  <c r="BY320" i="5"/>
  <c r="AF321" i="5"/>
  <c r="AH321" i="5"/>
  <c r="BG320" i="5"/>
  <c r="BN320" i="5"/>
  <c r="AR321" i="5"/>
  <c r="AB321" i="5"/>
  <c r="AA321" i="5"/>
  <c r="BY321" i="5" s="1"/>
  <c r="AF322" i="5"/>
  <c r="AH322" i="5"/>
  <c r="BG321" i="5"/>
  <c r="BN321" i="5"/>
  <c r="AR322" i="5"/>
  <c r="AB322" i="5"/>
  <c r="AA322" i="5"/>
  <c r="BY322" i="5"/>
  <c r="AF323" i="5"/>
  <c r="AH323" i="5"/>
  <c r="BG322" i="5"/>
  <c r="BN322" i="5"/>
  <c r="AR323" i="5"/>
  <c r="AB323" i="5"/>
  <c r="AA323" i="5"/>
  <c r="BY323" i="5"/>
  <c r="AF324" i="5"/>
  <c r="AH324" i="5"/>
  <c r="BG323" i="5"/>
  <c r="BN323" i="5"/>
  <c r="AR324" i="5"/>
  <c r="AB324" i="5"/>
  <c r="CO324" i="5" s="1"/>
  <c r="AA324" i="5"/>
  <c r="BY324" i="5"/>
  <c r="AF325" i="5"/>
  <c r="AH325" i="5"/>
  <c r="BG324" i="5"/>
  <c r="BN324" i="5"/>
  <c r="AR325" i="5"/>
  <c r="AB325" i="5"/>
  <c r="AA325" i="5"/>
  <c r="BY325" i="5"/>
  <c r="AF326" i="5"/>
  <c r="AH326" i="5"/>
  <c r="BG325" i="5"/>
  <c r="BN325" i="5"/>
  <c r="AR326" i="5"/>
  <c r="AB326" i="5"/>
  <c r="AA326" i="5"/>
  <c r="BY326" i="5" s="1"/>
  <c r="AF327" i="5"/>
  <c r="AH327" i="5"/>
  <c r="BG326" i="5"/>
  <c r="BN326" i="5"/>
  <c r="AR327" i="5"/>
  <c r="AB327" i="5"/>
  <c r="AA327" i="5"/>
  <c r="BY327" i="5" s="1"/>
  <c r="AF328" i="5"/>
  <c r="AH328" i="5"/>
  <c r="BG327" i="5"/>
  <c r="BN327" i="5"/>
  <c r="AR328" i="5"/>
  <c r="AB328" i="5"/>
  <c r="AA328" i="5"/>
  <c r="BY328" i="5"/>
  <c r="AF329" i="5"/>
  <c r="AH329" i="5"/>
  <c r="BG328" i="5"/>
  <c r="BN328" i="5"/>
  <c r="AR329" i="5"/>
  <c r="AB329" i="5"/>
  <c r="AA329" i="5"/>
  <c r="BY329" i="5" s="1"/>
  <c r="AF330" i="5"/>
  <c r="AH330" i="5"/>
  <c r="BG329" i="5"/>
  <c r="BN329" i="5"/>
  <c r="AR330" i="5"/>
  <c r="AB330" i="5"/>
  <c r="CO330" i="5" s="1"/>
  <c r="AA330" i="5"/>
  <c r="BY330" i="5"/>
  <c r="AF331" i="5"/>
  <c r="AH331" i="5"/>
  <c r="BG330" i="5"/>
  <c r="BN330" i="5"/>
  <c r="AR331" i="5"/>
  <c r="AB331" i="5"/>
  <c r="AA331" i="5"/>
  <c r="BY331" i="5" s="1"/>
  <c r="AF332" i="5"/>
  <c r="AH332" i="5"/>
  <c r="BG331" i="5"/>
  <c r="BN331" i="5"/>
  <c r="AR332" i="5"/>
  <c r="AB332" i="5"/>
  <c r="AA332" i="5"/>
  <c r="BY332" i="5"/>
  <c r="AF333" i="5"/>
  <c r="AH333" i="5"/>
  <c r="BG332" i="5"/>
  <c r="BN332" i="5"/>
  <c r="AR333" i="5"/>
  <c r="AB333" i="5"/>
  <c r="AA333" i="5"/>
  <c r="BY333" i="5"/>
  <c r="AF334" i="5"/>
  <c r="AH334" i="5"/>
  <c r="BG333" i="5"/>
  <c r="BN333" i="5"/>
  <c r="AR334" i="5"/>
  <c r="AB334" i="5"/>
  <c r="AA334" i="5"/>
  <c r="BY334" i="5"/>
  <c r="AF335" i="5"/>
  <c r="AH335" i="5"/>
  <c r="BG334" i="5"/>
  <c r="BN334" i="5"/>
  <c r="AR335" i="5"/>
  <c r="AB335" i="5"/>
  <c r="AA335" i="5"/>
  <c r="BY335" i="5" s="1"/>
  <c r="AF336" i="5"/>
  <c r="AH336" i="5"/>
  <c r="BG335" i="5"/>
  <c r="BN335" i="5"/>
  <c r="AR336" i="5"/>
  <c r="AB336" i="5"/>
  <c r="AA336" i="5"/>
  <c r="BY336" i="5"/>
  <c r="AF337" i="5"/>
  <c r="AH337" i="5"/>
  <c r="BG336" i="5"/>
  <c r="BN336" i="5"/>
  <c r="AR337" i="5"/>
  <c r="AB337" i="5"/>
  <c r="AA337" i="5"/>
  <c r="BY337" i="5" s="1"/>
  <c r="AF338" i="5"/>
  <c r="AH338" i="5"/>
  <c r="BG337" i="5"/>
  <c r="BN337" i="5"/>
  <c r="AR338" i="5"/>
  <c r="AB338" i="5"/>
  <c r="CO338" i="5" s="1"/>
  <c r="AA338" i="5"/>
  <c r="BY338" i="5"/>
  <c r="AF339" i="5"/>
  <c r="AH339" i="5"/>
  <c r="BG338" i="5"/>
  <c r="BN338" i="5"/>
  <c r="AR339" i="5"/>
  <c r="AB339" i="5"/>
  <c r="AA339" i="5"/>
  <c r="BY339" i="5" s="1"/>
  <c r="AF340" i="5"/>
  <c r="AH340" i="5"/>
  <c r="BG339" i="5"/>
  <c r="BN339" i="5"/>
  <c r="AR340" i="5"/>
  <c r="AB340" i="5"/>
  <c r="AA340" i="5"/>
  <c r="BY340" i="5"/>
  <c r="AF341" i="5"/>
  <c r="AH341" i="5"/>
  <c r="BG340" i="5"/>
  <c r="BN340" i="5"/>
  <c r="AR341" i="5"/>
  <c r="AB341" i="5"/>
  <c r="AA341" i="5"/>
  <c r="BY341" i="5"/>
  <c r="AF342" i="5"/>
  <c r="AH342" i="5"/>
  <c r="BG341" i="5"/>
  <c r="BN341" i="5"/>
  <c r="AR342" i="5"/>
  <c r="AB342" i="5"/>
  <c r="CO342" i="5" s="1"/>
  <c r="AA342" i="5"/>
  <c r="BY342" i="5"/>
  <c r="AF343" i="5"/>
  <c r="AH343" i="5"/>
  <c r="BG342" i="5"/>
  <c r="BN342" i="5"/>
  <c r="AR343" i="5"/>
  <c r="AB343" i="5"/>
  <c r="AA343" i="5"/>
  <c r="BY343" i="5" s="1"/>
  <c r="AF344" i="5"/>
  <c r="AH344" i="5"/>
  <c r="BG343" i="5"/>
  <c r="BN343" i="5"/>
  <c r="AR344" i="5"/>
  <c r="AB344" i="5"/>
  <c r="AA344" i="5"/>
  <c r="BY344" i="5"/>
  <c r="AF345" i="5"/>
  <c r="AH345" i="5"/>
  <c r="BG344" i="5"/>
  <c r="BN344" i="5"/>
  <c r="AR345" i="5"/>
  <c r="AB345" i="5"/>
  <c r="AA345" i="5"/>
  <c r="BY345" i="5" s="1"/>
  <c r="AF346" i="5"/>
  <c r="AH346" i="5"/>
  <c r="BG345" i="5"/>
  <c r="BN345" i="5"/>
  <c r="AR346" i="5"/>
  <c r="AB346" i="5"/>
  <c r="CO346" i="5" s="1"/>
  <c r="AA346" i="5"/>
  <c r="BY346" i="5"/>
  <c r="AF347" i="5"/>
  <c r="AH347" i="5"/>
  <c r="BG346" i="5"/>
  <c r="BN346" i="5"/>
  <c r="AR347" i="5"/>
  <c r="AB347" i="5"/>
  <c r="AA347" i="5"/>
  <c r="BY347" i="5" s="1"/>
  <c r="AF348" i="5"/>
  <c r="AH348" i="5"/>
  <c r="BG347" i="5"/>
  <c r="BN347" i="5"/>
  <c r="AR348" i="5"/>
  <c r="AB348" i="5"/>
  <c r="AA348" i="5"/>
  <c r="BY348" i="5"/>
  <c r="AF349" i="5"/>
  <c r="AH349" i="5"/>
  <c r="BG348" i="5"/>
  <c r="BN348" i="5"/>
  <c r="AR349" i="5"/>
  <c r="AB349" i="5"/>
  <c r="AA349" i="5"/>
  <c r="BY349" i="5"/>
  <c r="AF350" i="5"/>
  <c r="AH350" i="5"/>
  <c r="BG349" i="5"/>
  <c r="BN349" i="5"/>
  <c r="AR350" i="5"/>
  <c r="AB350" i="5"/>
  <c r="CO350" i="5" s="1"/>
  <c r="AA350" i="5"/>
  <c r="BY350" i="5"/>
  <c r="AF351" i="5"/>
  <c r="AH351" i="5"/>
  <c r="BG350" i="5"/>
  <c r="BN350" i="5"/>
  <c r="AR351" i="5"/>
  <c r="AB351" i="5"/>
  <c r="AA351" i="5"/>
  <c r="BY351" i="5" s="1"/>
  <c r="AF352" i="5"/>
  <c r="AH352" i="5"/>
  <c r="BG351" i="5"/>
  <c r="BN351" i="5"/>
  <c r="AR352" i="5"/>
  <c r="AB352" i="5"/>
  <c r="AA352" i="5"/>
  <c r="BY352" i="5"/>
  <c r="AF353" i="5"/>
  <c r="AH353" i="5"/>
  <c r="BG352" i="5"/>
  <c r="BN352" i="5"/>
  <c r="AR353" i="5"/>
  <c r="AB353" i="5"/>
  <c r="AA353" i="5"/>
  <c r="BY353" i="5" s="1"/>
  <c r="AF354" i="5"/>
  <c r="AH354" i="5"/>
  <c r="BG353" i="5"/>
  <c r="BN353" i="5"/>
  <c r="AR354" i="5"/>
  <c r="AB354" i="5"/>
  <c r="CO354" i="5" s="1"/>
  <c r="AA354" i="5"/>
  <c r="BY354" i="5"/>
  <c r="AF355" i="5"/>
  <c r="AH355" i="5"/>
  <c r="BG354" i="5"/>
  <c r="BN354" i="5"/>
  <c r="AR355" i="5"/>
  <c r="AB355" i="5"/>
  <c r="AA355" i="5"/>
  <c r="BY355" i="5" s="1"/>
  <c r="AF356" i="5"/>
  <c r="AH356" i="5"/>
  <c r="BG355" i="5"/>
  <c r="BN355" i="5"/>
  <c r="AR356" i="5"/>
  <c r="AB356" i="5"/>
  <c r="AA356" i="5"/>
  <c r="BY356" i="5"/>
  <c r="AF357" i="5"/>
  <c r="AH357" i="5"/>
  <c r="BG356" i="5"/>
  <c r="BN356" i="5"/>
  <c r="AR357" i="5"/>
  <c r="AB357" i="5"/>
  <c r="AA357" i="5"/>
  <c r="BY357" i="5"/>
  <c r="AF358" i="5"/>
  <c r="AH358" i="5"/>
  <c r="BG357" i="5"/>
  <c r="BN357" i="5"/>
  <c r="AR358" i="5"/>
  <c r="AB358" i="5"/>
  <c r="CO358" i="5" s="1"/>
  <c r="AA358" i="5"/>
  <c r="BY358" i="5"/>
  <c r="AF359" i="5"/>
  <c r="AH359" i="5"/>
  <c r="BG358" i="5"/>
  <c r="BN358" i="5"/>
  <c r="AR359" i="5"/>
  <c r="AB359" i="5"/>
  <c r="AA359" i="5"/>
  <c r="BY359" i="5" s="1"/>
  <c r="AF360" i="5"/>
  <c r="AH360" i="5"/>
  <c r="BG359" i="5"/>
  <c r="BN359" i="5"/>
  <c r="AR360" i="5"/>
  <c r="AB360" i="5"/>
  <c r="AA360" i="5"/>
  <c r="BY360" i="5"/>
  <c r="AF361" i="5"/>
  <c r="AH361" i="5"/>
  <c r="BG360" i="5"/>
  <c r="BN360" i="5"/>
  <c r="AR361" i="5"/>
  <c r="AB361" i="5"/>
  <c r="AA361" i="5"/>
  <c r="BY361" i="5" s="1"/>
  <c r="AF362" i="5"/>
  <c r="AH362" i="5"/>
  <c r="BG361" i="5"/>
  <c r="BN361" i="5"/>
  <c r="AR362" i="5"/>
  <c r="AB362" i="5"/>
  <c r="CO362" i="5" s="1"/>
  <c r="AA362" i="5"/>
  <c r="BY362" i="5"/>
  <c r="AF363" i="5"/>
  <c r="AH363" i="5"/>
  <c r="BG362" i="5"/>
  <c r="BN362" i="5"/>
  <c r="AR363" i="5"/>
  <c r="AB363" i="5"/>
  <c r="AA363" i="5"/>
  <c r="BY363" i="5" s="1"/>
  <c r="AF364" i="5"/>
  <c r="AH364" i="5"/>
  <c r="BG363" i="5"/>
  <c r="BN363" i="5"/>
  <c r="AR364" i="5"/>
  <c r="AB364" i="5"/>
  <c r="CO364" i="5" s="1"/>
  <c r="AA364" i="5"/>
  <c r="BY364" i="5"/>
  <c r="AF365" i="5"/>
  <c r="AH365" i="5"/>
  <c r="BG364" i="5"/>
  <c r="BN364" i="5"/>
  <c r="AR365" i="5"/>
  <c r="AB365" i="5"/>
  <c r="AA365" i="5"/>
  <c r="BY365" i="5"/>
  <c r="AF366" i="5"/>
  <c r="AH366" i="5"/>
  <c r="BG365" i="5"/>
  <c r="BN365" i="5"/>
  <c r="AR366" i="5"/>
  <c r="AB366" i="5"/>
  <c r="CO366" i="5" s="1"/>
  <c r="AA366" i="5"/>
  <c r="BY366" i="5"/>
  <c r="BG366" i="5"/>
  <c r="BN366" i="5"/>
  <c r="CO365" i="5"/>
  <c r="CO363" i="5"/>
  <c r="CO361" i="5"/>
  <c r="CO360" i="5"/>
  <c r="CO359" i="5"/>
  <c r="CO357" i="5"/>
  <c r="CO356" i="5"/>
  <c r="CO355" i="5"/>
  <c r="CO353" i="5"/>
  <c r="CO352" i="5"/>
  <c r="CO351" i="5"/>
  <c r="CO349" i="5"/>
  <c r="CO348" i="5"/>
  <c r="CO347" i="5"/>
  <c r="CO345" i="5"/>
  <c r="CO344" i="5"/>
  <c r="CO341" i="5"/>
  <c r="CO340" i="5"/>
  <c r="CO339" i="5"/>
  <c r="CO337" i="5"/>
  <c r="CO336" i="5"/>
  <c r="CO335" i="5"/>
  <c r="CO334" i="5"/>
  <c r="CO333" i="5"/>
  <c r="CO332" i="5"/>
  <c r="CO331" i="5"/>
  <c r="CO329" i="5"/>
  <c r="CO328" i="5"/>
  <c r="CO327" i="5"/>
  <c r="CO326" i="5"/>
  <c r="CO325" i="5"/>
  <c r="CO323" i="5"/>
  <c r="CO322" i="5"/>
  <c r="CO321" i="5"/>
  <c r="CO320" i="5"/>
  <c r="CO319" i="5"/>
  <c r="CO318" i="5"/>
  <c r="CO317" i="5"/>
  <c r="CO315" i="5"/>
  <c r="CO314" i="5"/>
  <c r="CO313" i="5"/>
  <c r="CO312" i="5"/>
  <c r="CO311" i="5"/>
  <c r="CO310" i="5"/>
  <c r="CO309" i="5"/>
  <c r="CO308" i="5"/>
  <c r="CO307" i="5"/>
  <c r="CO306" i="5"/>
  <c r="CO305" i="5"/>
  <c r="CO304" i="5"/>
  <c r="CO303" i="5"/>
  <c r="CO302" i="5"/>
  <c r="CO301" i="5"/>
  <c r="CO300" i="5"/>
  <c r="CO299" i="5"/>
  <c r="CO298" i="5"/>
  <c r="CO296" i="5"/>
  <c r="CO295" i="5"/>
  <c r="CO294" i="5"/>
  <c r="CO293" i="5"/>
  <c r="CO292" i="5"/>
  <c r="CO291" i="5"/>
  <c r="CO290" i="5"/>
  <c r="CO289" i="5"/>
  <c r="CO288" i="5"/>
  <c r="CO287" i="5"/>
  <c r="CO286" i="5"/>
  <c r="CO285" i="5"/>
  <c r="CO284" i="5"/>
  <c r="CO283" i="5"/>
  <c r="CO282" i="5"/>
  <c r="CO281" i="5"/>
  <c r="CO280" i="5"/>
  <c r="CO279" i="5"/>
  <c r="CO278" i="5"/>
  <c r="CO277" i="5"/>
  <c r="CO276" i="5"/>
  <c r="CO274" i="5"/>
  <c r="CO273" i="5"/>
  <c r="CO272" i="5"/>
  <c r="CO271" i="5"/>
  <c r="CO270" i="5"/>
  <c r="CO269" i="5"/>
  <c r="CO268" i="5"/>
  <c r="CO267" i="5"/>
  <c r="CO266" i="5"/>
  <c r="CO265" i="5"/>
  <c r="CO264" i="5"/>
  <c r="CO263" i="5"/>
  <c r="CO262" i="5"/>
  <c r="CO261" i="5"/>
  <c r="CO260" i="5"/>
  <c r="CO259" i="5"/>
  <c r="CO258" i="5"/>
  <c r="CO257" i="5"/>
  <c r="CO256" i="5"/>
  <c r="CO255" i="5"/>
  <c r="CO254" i="5"/>
  <c r="CO253" i="5"/>
  <c r="CO252" i="5"/>
  <c r="CO251" i="5"/>
  <c r="CO250" i="5"/>
  <c r="CO249" i="5"/>
  <c r="CO248" i="5"/>
  <c r="CO247" i="5"/>
  <c r="CO246" i="5"/>
  <c r="CO245" i="5"/>
  <c r="CO244" i="5"/>
  <c r="CO243" i="5"/>
  <c r="CO242" i="5"/>
  <c r="CO241" i="5"/>
  <c r="CO240" i="5"/>
  <c r="CO239" i="5"/>
  <c r="CO238" i="5"/>
  <c r="CO237" i="5"/>
  <c r="CO236" i="5"/>
  <c r="CO235" i="5"/>
  <c r="CO234" i="5"/>
  <c r="CO233" i="5"/>
  <c r="CO232" i="5"/>
  <c r="CO231" i="5"/>
  <c r="CO230" i="5"/>
  <c r="CO229" i="5"/>
  <c r="CO228" i="5"/>
  <c r="CO227" i="5"/>
  <c r="CO226" i="5"/>
  <c r="CO225" i="5"/>
  <c r="CO224" i="5"/>
  <c r="CO223" i="5"/>
  <c r="CO222" i="5"/>
  <c r="CO221" i="5"/>
  <c r="CO220" i="5"/>
  <c r="CO219" i="5"/>
  <c r="CO218" i="5"/>
  <c r="CO217" i="5"/>
  <c r="CO216" i="5"/>
  <c r="CO215" i="5"/>
  <c r="CO214" i="5"/>
  <c r="CO213" i="5"/>
  <c r="CO212" i="5"/>
  <c r="CO211" i="5"/>
  <c r="CO210" i="5"/>
  <c r="CO209" i="5"/>
  <c r="CO208" i="5"/>
  <c r="CO207" i="5"/>
  <c r="CO206" i="5"/>
  <c r="CO205" i="5"/>
  <c r="CO204" i="5"/>
  <c r="CO203" i="5"/>
  <c r="CO202" i="5"/>
  <c r="CO201" i="5"/>
  <c r="CO200" i="5"/>
  <c r="CO199" i="5"/>
  <c r="CO198" i="5"/>
  <c r="CO197" i="5"/>
  <c r="CO196" i="5"/>
  <c r="CO195" i="5"/>
  <c r="CO194" i="5"/>
  <c r="CO193" i="5"/>
  <c r="CO192" i="5"/>
  <c r="CO191" i="5"/>
  <c r="CO190" i="5"/>
  <c r="CO189" i="5"/>
  <c r="CO188" i="5"/>
  <c r="CO187" i="5"/>
  <c r="CO186" i="5"/>
  <c r="CO185" i="5"/>
  <c r="CO184" i="5"/>
  <c r="CO183" i="5"/>
  <c r="CO182" i="5"/>
  <c r="CO181" i="5"/>
  <c r="CO180" i="5"/>
  <c r="CO179" i="5"/>
  <c r="CO178" i="5"/>
  <c r="CO177" i="5"/>
  <c r="CO176" i="5"/>
  <c r="CO175" i="5"/>
  <c r="CO174" i="5"/>
  <c r="CO173" i="5"/>
  <c r="CO172" i="5"/>
  <c r="CO171" i="5"/>
  <c r="CO170" i="5"/>
  <c r="CO169" i="5"/>
  <c r="CO168" i="5"/>
  <c r="CO167" i="5"/>
  <c r="CO166" i="5"/>
  <c r="CO165" i="5"/>
  <c r="CO164" i="5"/>
  <c r="CO163" i="5"/>
  <c r="CO162" i="5"/>
  <c r="CO161" i="5"/>
  <c r="CO160" i="5"/>
  <c r="CO159" i="5"/>
  <c r="CO158" i="5"/>
  <c r="CO157" i="5"/>
  <c r="CO156" i="5"/>
  <c r="CO155" i="5"/>
  <c r="CO154" i="5"/>
  <c r="CO153" i="5"/>
  <c r="CO152" i="5"/>
  <c r="CO151" i="5"/>
  <c r="CO150" i="5"/>
  <c r="CO149" i="5"/>
  <c r="CO148" i="5"/>
  <c r="CO147" i="5"/>
  <c r="CO146" i="5"/>
  <c r="CO145" i="5"/>
  <c r="CO144" i="5"/>
  <c r="CO143" i="5"/>
  <c r="CO142" i="5"/>
  <c r="CO141" i="5"/>
  <c r="CO140" i="5"/>
  <c r="CO139" i="5"/>
  <c r="CO138" i="5"/>
  <c r="CO137" i="5"/>
  <c r="CO136" i="5"/>
  <c r="CO135" i="5"/>
  <c r="CO134" i="5"/>
  <c r="CO133" i="5"/>
  <c r="CO132" i="5"/>
  <c r="CO131" i="5"/>
  <c r="CO130" i="5"/>
  <c r="CO129" i="5"/>
  <c r="CO128" i="5"/>
  <c r="CO127" i="5"/>
  <c r="CO126" i="5"/>
  <c r="CO125" i="5"/>
  <c r="CO124" i="5"/>
  <c r="CO123" i="5"/>
  <c r="CO122" i="5"/>
  <c r="CO121" i="5"/>
  <c r="CO120" i="5"/>
  <c r="CO119" i="5"/>
  <c r="CO118" i="5"/>
  <c r="CO117" i="5"/>
  <c r="CO116" i="5"/>
  <c r="CO115" i="5"/>
  <c r="CO114" i="5"/>
  <c r="CO113" i="5"/>
  <c r="CO112" i="5"/>
  <c r="CO111" i="5"/>
  <c r="CO110" i="5"/>
  <c r="CO109" i="5"/>
  <c r="CO108" i="5"/>
  <c r="CO107" i="5"/>
  <c r="CO106" i="5"/>
  <c r="CO105" i="5"/>
  <c r="CO104" i="5"/>
  <c r="CO103" i="5"/>
  <c r="CO102" i="5"/>
  <c r="CO101" i="5"/>
  <c r="CO100" i="5"/>
  <c r="CO99" i="5"/>
  <c r="CO98" i="5"/>
  <c r="CO97" i="5"/>
  <c r="CO96" i="5"/>
  <c r="CO95" i="5"/>
  <c r="CO94" i="5"/>
  <c r="CO93" i="5"/>
  <c r="CO92" i="5"/>
  <c r="CO91" i="5"/>
  <c r="CO90" i="5"/>
  <c r="CO89" i="5"/>
  <c r="CO88" i="5"/>
  <c r="CO87" i="5"/>
  <c r="CO86" i="5"/>
  <c r="CO85" i="5"/>
  <c r="CO84" i="5"/>
  <c r="CO83" i="5"/>
  <c r="CO82" i="5"/>
  <c r="CO81" i="5"/>
  <c r="CO80" i="5"/>
  <c r="CO79" i="5"/>
  <c r="CO78" i="5"/>
  <c r="CO77" i="5"/>
  <c r="CO76" i="5"/>
  <c r="CO75" i="5"/>
  <c r="CO74" i="5"/>
  <c r="CO73" i="5"/>
  <c r="CO72" i="5"/>
  <c r="CO71" i="5"/>
  <c r="CO70" i="5"/>
  <c r="CO69" i="5"/>
  <c r="CO68" i="5"/>
  <c r="CO67" i="5"/>
  <c r="CO66" i="5"/>
  <c r="CO65" i="5"/>
  <c r="CO64" i="5"/>
  <c r="CO63" i="5"/>
  <c r="CO62" i="5"/>
  <c r="CO61" i="5"/>
  <c r="CO60" i="5"/>
  <c r="CO59" i="5"/>
  <c r="CO58" i="5"/>
  <c r="CO57" i="5"/>
  <c r="CO56" i="5"/>
  <c r="CO55" i="5"/>
  <c r="CO54" i="5"/>
  <c r="CO53" i="5"/>
  <c r="CO52" i="5"/>
  <c r="CO51" i="5"/>
  <c r="CO50" i="5"/>
  <c r="CO49" i="5"/>
  <c r="CO48" i="5"/>
  <c r="CO47" i="5"/>
  <c r="CO46" i="5"/>
  <c r="CO45" i="5"/>
  <c r="CO44" i="5"/>
  <c r="CO43" i="5"/>
  <c r="CO42" i="5"/>
  <c r="CO41" i="5"/>
  <c r="CO40" i="5"/>
  <c r="CO39" i="5"/>
  <c r="CO38" i="5"/>
  <c r="CO37" i="5"/>
  <c r="CO36" i="5"/>
  <c r="CO35" i="5"/>
  <c r="CO34" i="5"/>
  <c r="CO33" i="5"/>
  <c r="CO32" i="5"/>
  <c r="CO31" i="5"/>
  <c r="CO30" i="5"/>
  <c r="CO29" i="5"/>
  <c r="CO28" i="5"/>
  <c r="CO27" i="5"/>
  <c r="CO26" i="5"/>
  <c r="CO25" i="5"/>
  <c r="CO24" i="5"/>
  <c r="CO23" i="5"/>
  <c r="CO22" i="5"/>
  <c r="CO21" i="5"/>
  <c r="CO20" i="5"/>
  <c r="CO19" i="5"/>
  <c r="CO18" i="5"/>
  <c r="CO17" i="5"/>
  <c r="CO16" i="5"/>
  <c r="CO15" i="5"/>
  <c r="CO14" i="5"/>
  <c r="CO13" i="5"/>
  <c r="CO12" i="5"/>
  <c r="CO11" i="5"/>
  <c r="CO10" i="5"/>
  <c r="CO9" i="5"/>
  <c r="CO8" i="5"/>
  <c r="CO7" i="5"/>
  <c r="C6" i="5"/>
  <c r="B18" i="1"/>
  <c r="D37" i="7"/>
  <c r="E37" i="7"/>
  <c r="F37" i="7"/>
  <c r="G37" i="7"/>
  <c r="H37" i="7"/>
  <c r="B28" i="9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16" i="9"/>
  <c r="K16" i="9" s="1"/>
  <c r="B17" i="9"/>
  <c r="B18" i="9" s="1"/>
  <c r="P16" i="9"/>
  <c r="L16" i="9"/>
  <c r="I16" i="9"/>
  <c r="F16" i="9"/>
  <c r="C16" i="9"/>
  <c r="O14" i="9"/>
  <c r="N14" i="9"/>
  <c r="L14" i="9"/>
  <c r="K14" i="9"/>
  <c r="I14" i="9"/>
  <c r="P13" i="9"/>
  <c r="O13" i="9"/>
  <c r="N13" i="9"/>
  <c r="L13" i="9"/>
  <c r="K13" i="9"/>
  <c r="I13" i="9"/>
  <c r="H13" i="9"/>
  <c r="F13" i="9"/>
  <c r="E13" i="9"/>
  <c r="C13" i="9"/>
  <c r="A9" i="9"/>
  <c r="O8" i="9"/>
  <c r="H8" i="9"/>
  <c r="A8" i="9"/>
  <c r="H7" i="9"/>
  <c r="E7" i="9"/>
  <c r="K6" i="9"/>
  <c r="H6" i="9"/>
  <c r="E6" i="9"/>
  <c r="K5" i="9"/>
  <c r="H5" i="9"/>
  <c r="E5" i="9"/>
  <c r="A5" i="9"/>
  <c r="K4" i="9"/>
  <c r="H4" i="9"/>
  <c r="E4" i="9"/>
  <c r="A4" i="9"/>
  <c r="K1" i="9"/>
  <c r="A1" i="9"/>
  <c r="C9" i="9"/>
  <c r="I8" i="9"/>
  <c r="C8" i="9"/>
  <c r="I7" i="9"/>
  <c r="F7" i="9"/>
  <c r="L6" i="9"/>
  <c r="I6" i="9"/>
  <c r="F6" i="9"/>
  <c r="L5" i="9"/>
  <c r="F5" i="9"/>
  <c r="F4" i="9"/>
  <c r="O4" i="9"/>
  <c r="L4" i="9"/>
  <c r="I4" i="9"/>
  <c r="C4" i="9"/>
  <c r="X366" i="6"/>
  <c r="AD366" i="6" s="1"/>
  <c r="X7" i="6"/>
  <c r="AD7" i="6" s="1"/>
  <c r="X8" i="6"/>
  <c r="AD8" i="6" s="1"/>
  <c r="X9" i="6"/>
  <c r="AD9" i="6" s="1"/>
  <c r="X10" i="6"/>
  <c r="AD10" i="6" s="1"/>
  <c r="X11" i="6"/>
  <c r="AD11" i="6" s="1"/>
  <c r="X12" i="6"/>
  <c r="AD12" i="6" s="1"/>
  <c r="X13" i="6"/>
  <c r="AD13" i="6" s="1"/>
  <c r="X14" i="6"/>
  <c r="AD14" i="6" s="1"/>
  <c r="X15" i="6"/>
  <c r="AD15" i="6" s="1"/>
  <c r="X16" i="6"/>
  <c r="AD16" i="6" s="1"/>
  <c r="X17" i="6"/>
  <c r="AD17" i="6" s="1"/>
  <c r="X18" i="6"/>
  <c r="AD18" i="6" s="1"/>
  <c r="X19" i="6"/>
  <c r="AD19" i="6" s="1"/>
  <c r="X20" i="6"/>
  <c r="AD20" i="6" s="1"/>
  <c r="X21" i="6"/>
  <c r="AD21" i="6" s="1"/>
  <c r="X22" i="6"/>
  <c r="AD22" i="6"/>
  <c r="X23" i="6"/>
  <c r="AD23" i="6" s="1"/>
  <c r="X24" i="6"/>
  <c r="AD24" i="6" s="1"/>
  <c r="X25" i="6"/>
  <c r="AD25" i="6" s="1"/>
  <c r="X26" i="6"/>
  <c r="AD26" i="6" s="1"/>
  <c r="X27" i="6"/>
  <c r="AD27" i="6" s="1"/>
  <c r="X28" i="6"/>
  <c r="AD28" i="6" s="1"/>
  <c r="X29" i="6"/>
  <c r="AD29" i="6" s="1"/>
  <c r="X30" i="6"/>
  <c r="AD30" i="6" s="1"/>
  <c r="X31" i="6"/>
  <c r="AD31" i="6" s="1"/>
  <c r="X32" i="6"/>
  <c r="AD32" i="6" s="1"/>
  <c r="X33" i="6"/>
  <c r="AD33" i="6" s="1"/>
  <c r="X34" i="6"/>
  <c r="AD34" i="6" s="1"/>
  <c r="X35" i="6"/>
  <c r="AD35" i="6" s="1"/>
  <c r="X36" i="6"/>
  <c r="AD36" i="6" s="1"/>
  <c r="X37" i="6"/>
  <c r="AD37" i="6" s="1"/>
  <c r="X38" i="6"/>
  <c r="AD38" i="6" s="1"/>
  <c r="X39" i="6"/>
  <c r="AD39" i="6" s="1"/>
  <c r="X40" i="6"/>
  <c r="AD40" i="6" s="1"/>
  <c r="X41" i="6"/>
  <c r="AD41" i="6" s="1"/>
  <c r="X42" i="6"/>
  <c r="AD42" i="6" s="1"/>
  <c r="X43" i="6"/>
  <c r="AD43" i="6" s="1"/>
  <c r="X44" i="6"/>
  <c r="AD44" i="6" s="1"/>
  <c r="X45" i="6"/>
  <c r="AD45" i="6" s="1"/>
  <c r="X46" i="6"/>
  <c r="AD46" i="6" s="1"/>
  <c r="X47" i="6"/>
  <c r="AD47" i="6" s="1"/>
  <c r="X48" i="6"/>
  <c r="AD48" i="6" s="1"/>
  <c r="X49" i="6"/>
  <c r="AD49" i="6" s="1"/>
  <c r="X50" i="6"/>
  <c r="AD50" i="6" s="1"/>
  <c r="X51" i="6"/>
  <c r="AD51" i="6" s="1"/>
  <c r="X52" i="6"/>
  <c r="AD52" i="6" s="1"/>
  <c r="X53" i="6"/>
  <c r="AD53" i="6" s="1"/>
  <c r="X54" i="6"/>
  <c r="AD54" i="6" s="1"/>
  <c r="X55" i="6"/>
  <c r="AD55" i="6" s="1"/>
  <c r="X56" i="6"/>
  <c r="AD56" i="6" s="1"/>
  <c r="X57" i="6"/>
  <c r="AD57" i="6" s="1"/>
  <c r="X58" i="6"/>
  <c r="AD58" i="6" s="1"/>
  <c r="X59" i="6"/>
  <c r="AD59" i="6"/>
  <c r="X60" i="6"/>
  <c r="AD60" i="6" s="1"/>
  <c r="X61" i="6"/>
  <c r="AD61" i="6" s="1"/>
  <c r="X62" i="6"/>
  <c r="AD62" i="6" s="1"/>
  <c r="X63" i="6"/>
  <c r="AD63" i="6" s="1"/>
  <c r="X64" i="6"/>
  <c r="AD64" i="6" s="1"/>
  <c r="X65" i="6"/>
  <c r="AD65" i="6" s="1"/>
  <c r="X66" i="6"/>
  <c r="AD66" i="6"/>
  <c r="X67" i="6"/>
  <c r="AD67" i="6" s="1"/>
  <c r="X68" i="6"/>
  <c r="AD68" i="6" s="1"/>
  <c r="X69" i="6"/>
  <c r="AD69" i="6" s="1"/>
  <c r="X70" i="6"/>
  <c r="AD70" i="6" s="1"/>
  <c r="X71" i="6"/>
  <c r="AD71" i="6"/>
  <c r="X72" i="6"/>
  <c r="AD72" i="6" s="1"/>
  <c r="X73" i="6"/>
  <c r="AD73" i="6" s="1"/>
  <c r="X74" i="6"/>
  <c r="AD74" i="6" s="1"/>
  <c r="X75" i="6"/>
  <c r="AD75" i="6" s="1"/>
  <c r="X76" i="6"/>
  <c r="AD76" i="6" s="1"/>
  <c r="X77" i="6"/>
  <c r="AD77" i="6" s="1"/>
  <c r="X78" i="6"/>
  <c r="AD78" i="6" s="1"/>
  <c r="X79" i="6"/>
  <c r="AD79" i="6" s="1"/>
  <c r="X80" i="6"/>
  <c r="AD80" i="6" s="1"/>
  <c r="X81" i="6"/>
  <c r="AD81" i="6" s="1"/>
  <c r="X82" i="6"/>
  <c r="AD82" i="6"/>
  <c r="X83" i="6"/>
  <c r="AD83" i="6" s="1"/>
  <c r="X84" i="6"/>
  <c r="AD84" i="6" s="1"/>
  <c r="X85" i="6"/>
  <c r="AD85" i="6" s="1"/>
  <c r="X86" i="6"/>
  <c r="AD86" i="6" s="1"/>
  <c r="X87" i="6"/>
  <c r="AD87" i="6" s="1"/>
  <c r="X88" i="6"/>
  <c r="AD88" i="6" s="1"/>
  <c r="X89" i="6"/>
  <c r="AD89" i="6"/>
  <c r="X90" i="6"/>
  <c r="AD90" i="6" s="1"/>
  <c r="X91" i="6"/>
  <c r="AD91" i="6" s="1"/>
  <c r="X92" i="6"/>
  <c r="AD92" i="6" s="1"/>
  <c r="X93" i="6"/>
  <c r="AD93" i="6" s="1"/>
  <c r="X94" i="6"/>
  <c r="AD94" i="6" s="1"/>
  <c r="X95" i="6"/>
  <c r="AD95" i="6" s="1"/>
  <c r="X96" i="6"/>
  <c r="AD96" i="6" s="1"/>
  <c r="X97" i="6"/>
  <c r="AD97" i="6" s="1"/>
  <c r="X98" i="6"/>
  <c r="AD98" i="6" s="1"/>
  <c r="X99" i="6"/>
  <c r="AD99" i="6" s="1"/>
  <c r="X100" i="6"/>
  <c r="AD100" i="6" s="1"/>
  <c r="X101" i="6"/>
  <c r="AD101" i="6" s="1"/>
  <c r="X102" i="6"/>
  <c r="AD102" i="6" s="1"/>
  <c r="X103" i="6"/>
  <c r="AD103" i="6" s="1"/>
  <c r="X104" i="6"/>
  <c r="AD104" i="6" s="1"/>
  <c r="X105" i="6"/>
  <c r="AD105" i="6" s="1"/>
  <c r="X106" i="6"/>
  <c r="AD106" i="6" s="1"/>
  <c r="X107" i="6"/>
  <c r="AD107" i="6"/>
  <c r="X108" i="6"/>
  <c r="AD108" i="6" s="1"/>
  <c r="X109" i="6"/>
  <c r="AD109" i="6" s="1"/>
  <c r="X110" i="6"/>
  <c r="AD110" i="6" s="1"/>
  <c r="X111" i="6"/>
  <c r="AD111" i="6" s="1"/>
  <c r="X112" i="6"/>
  <c r="AD112" i="6" s="1"/>
  <c r="X113" i="6"/>
  <c r="AD113" i="6" s="1"/>
  <c r="X114" i="6"/>
  <c r="AD114" i="6" s="1"/>
  <c r="X115" i="6"/>
  <c r="AD115" i="6" s="1"/>
  <c r="X116" i="6"/>
  <c r="AD116" i="6" s="1"/>
  <c r="X117" i="6"/>
  <c r="AD117" i="6" s="1"/>
  <c r="X118" i="6"/>
  <c r="AD118" i="6" s="1"/>
  <c r="X119" i="6"/>
  <c r="AD119" i="6" s="1"/>
  <c r="X120" i="6"/>
  <c r="AD120" i="6" s="1"/>
  <c r="X121" i="6"/>
  <c r="AD121" i="6" s="1"/>
  <c r="X122" i="6"/>
  <c r="AD122" i="6" s="1"/>
  <c r="X123" i="6"/>
  <c r="AD123" i="6"/>
  <c r="X124" i="6"/>
  <c r="AD124" i="6" s="1"/>
  <c r="X125" i="6"/>
  <c r="AD125" i="6" s="1"/>
  <c r="X126" i="6"/>
  <c r="AD126" i="6" s="1"/>
  <c r="X127" i="6"/>
  <c r="AD127" i="6" s="1"/>
  <c r="X128" i="6"/>
  <c r="AD128" i="6" s="1"/>
  <c r="X129" i="6"/>
  <c r="AD129" i="6" s="1"/>
  <c r="X130" i="6"/>
  <c r="AD130" i="6" s="1"/>
  <c r="X131" i="6"/>
  <c r="AD131" i="6" s="1"/>
  <c r="X132" i="6"/>
  <c r="AD132" i="6" s="1"/>
  <c r="X133" i="6"/>
  <c r="AD133" i="6" s="1"/>
  <c r="X134" i="6"/>
  <c r="AD134" i="6" s="1"/>
  <c r="X135" i="6"/>
  <c r="AD135" i="6" s="1"/>
  <c r="X136" i="6"/>
  <c r="AD136" i="6" s="1"/>
  <c r="X137" i="6"/>
  <c r="AD137" i="6" s="1"/>
  <c r="X138" i="6"/>
  <c r="AD138" i="6" s="1"/>
  <c r="X139" i="6"/>
  <c r="AD139" i="6" s="1"/>
  <c r="X140" i="6"/>
  <c r="AD140" i="6" s="1"/>
  <c r="X141" i="6"/>
  <c r="AD141" i="6" s="1"/>
  <c r="X142" i="6"/>
  <c r="AD142" i="6" s="1"/>
  <c r="X143" i="6"/>
  <c r="AD143" i="6" s="1"/>
  <c r="X144" i="6"/>
  <c r="AD144" i="6" s="1"/>
  <c r="X145" i="6"/>
  <c r="AD145" i="6" s="1"/>
  <c r="X146" i="6"/>
  <c r="AD146" i="6"/>
  <c r="X147" i="6"/>
  <c r="AD147" i="6" s="1"/>
  <c r="X148" i="6"/>
  <c r="AD148" i="6" s="1"/>
  <c r="X149" i="6"/>
  <c r="AD149" i="6" s="1"/>
  <c r="X150" i="6"/>
  <c r="AD150" i="6" s="1"/>
  <c r="X151" i="6"/>
  <c r="AD151" i="6" s="1"/>
  <c r="X152" i="6"/>
  <c r="AD152" i="6" s="1"/>
  <c r="X153" i="6"/>
  <c r="AD153" i="6" s="1"/>
  <c r="X154" i="6"/>
  <c r="AD154" i="6" s="1"/>
  <c r="X155" i="6"/>
  <c r="AD155" i="6" s="1"/>
  <c r="X156" i="6"/>
  <c r="AD156" i="6" s="1"/>
  <c r="X157" i="6"/>
  <c r="AD157" i="6" s="1"/>
  <c r="X158" i="6"/>
  <c r="AD158" i="6" s="1"/>
  <c r="X159" i="6"/>
  <c r="AD159" i="6"/>
  <c r="X160" i="6"/>
  <c r="AD160" i="6" s="1"/>
  <c r="X161" i="6"/>
  <c r="AD161" i="6" s="1"/>
  <c r="X162" i="6"/>
  <c r="AD162" i="6" s="1"/>
  <c r="X163" i="6"/>
  <c r="AD163" i="6" s="1"/>
  <c r="X164" i="6"/>
  <c r="AD164" i="6" s="1"/>
  <c r="X165" i="6"/>
  <c r="AD165" i="6" s="1"/>
  <c r="X166" i="6"/>
  <c r="AD166" i="6"/>
  <c r="X167" i="6"/>
  <c r="AD167" i="6"/>
  <c r="X168" i="6"/>
  <c r="AD168" i="6" s="1"/>
  <c r="X169" i="6"/>
  <c r="AD169" i="6" s="1"/>
  <c r="X170" i="6"/>
  <c r="AD170" i="6" s="1"/>
  <c r="X171" i="6"/>
  <c r="AD171" i="6"/>
  <c r="X172" i="6"/>
  <c r="AD172" i="6" s="1"/>
  <c r="X173" i="6"/>
  <c r="AD173" i="6" s="1"/>
  <c r="X174" i="6"/>
  <c r="AD174" i="6" s="1"/>
  <c r="X175" i="6"/>
  <c r="AD175" i="6" s="1"/>
  <c r="X176" i="6"/>
  <c r="AD176" i="6" s="1"/>
  <c r="X177" i="6"/>
  <c r="AD177" i="6" s="1"/>
  <c r="X178" i="6"/>
  <c r="AD178" i="6" s="1"/>
  <c r="X179" i="6"/>
  <c r="AD179" i="6" s="1"/>
  <c r="X180" i="6"/>
  <c r="AD180" i="6" s="1"/>
  <c r="X181" i="6"/>
  <c r="AD181" i="6" s="1"/>
  <c r="X182" i="6"/>
  <c r="AD182" i="6" s="1"/>
  <c r="X183" i="6"/>
  <c r="AD183" i="6" s="1"/>
  <c r="X184" i="6"/>
  <c r="AD184" i="6" s="1"/>
  <c r="X185" i="6"/>
  <c r="AD185" i="6" s="1"/>
  <c r="X186" i="6"/>
  <c r="AD186" i="6" s="1"/>
  <c r="X187" i="6"/>
  <c r="AD187" i="6" s="1"/>
  <c r="X188" i="6"/>
  <c r="AD188" i="6" s="1"/>
  <c r="X189" i="6"/>
  <c r="AD189" i="6" s="1"/>
  <c r="X190" i="6"/>
  <c r="AD190" i="6" s="1"/>
  <c r="X191" i="6"/>
  <c r="AD191" i="6" s="1"/>
  <c r="X192" i="6"/>
  <c r="AD192" i="6" s="1"/>
  <c r="X193" i="6"/>
  <c r="AD193" i="6" s="1"/>
  <c r="X194" i="6"/>
  <c r="AD194" i="6" s="1"/>
  <c r="X195" i="6"/>
  <c r="AD195" i="6" s="1"/>
  <c r="X196" i="6"/>
  <c r="AD196" i="6" s="1"/>
  <c r="X197" i="6"/>
  <c r="AD197" i="6" s="1"/>
  <c r="X198" i="6"/>
  <c r="AD198" i="6" s="1"/>
  <c r="X199" i="6"/>
  <c r="AD199" i="6" s="1"/>
  <c r="X200" i="6"/>
  <c r="AD200" i="6" s="1"/>
  <c r="X201" i="6"/>
  <c r="AD201" i="6" s="1"/>
  <c r="X202" i="6"/>
  <c r="AD202" i="6"/>
  <c r="X203" i="6"/>
  <c r="AD203" i="6" s="1"/>
  <c r="X204" i="6"/>
  <c r="AD204" i="6" s="1"/>
  <c r="X205" i="6"/>
  <c r="AD205" i="6" s="1"/>
  <c r="X206" i="6"/>
  <c r="AD206" i="6" s="1"/>
  <c r="X207" i="6"/>
  <c r="AD207" i="6" s="1"/>
  <c r="X208" i="6"/>
  <c r="AD208" i="6" s="1"/>
  <c r="X209" i="6"/>
  <c r="AD209" i="6" s="1"/>
  <c r="X210" i="6"/>
  <c r="AD210" i="6" s="1"/>
  <c r="X211" i="6"/>
  <c r="AD211" i="6" s="1"/>
  <c r="X212" i="6"/>
  <c r="AD212" i="6" s="1"/>
  <c r="X213" i="6"/>
  <c r="AD213" i="6"/>
  <c r="X214" i="6"/>
  <c r="AD214" i="6"/>
  <c r="X215" i="6"/>
  <c r="AD215" i="6" s="1"/>
  <c r="X216" i="6"/>
  <c r="AD216" i="6" s="1"/>
  <c r="X217" i="6"/>
  <c r="AD217" i="6" s="1"/>
  <c r="X218" i="6"/>
  <c r="AD218" i="6" s="1"/>
  <c r="X219" i="6"/>
  <c r="AD219" i="6" s="1"/>
  <c r="X220" i="6"/>
  <c r="AD220" i="6" s="1"/>
  <c r="X221" i="6"/>
  <c r="AD221" i="6"/>
  <c r="X222" i="6"/>
  <c r="AD222" i="6"/>
  <c r="X223" i="6"/>
  <c r="AD223" i="6" s="1"/>
  <c r="X224" i="6"/>
  <c r="AD224" i="6" s="1"/>
  <c r="X225" i="6"/>
  <c r="AD225" i="6" s="1"/>
  <c r="X226" i="6"/>
  <c r="AD226" i="6" s="1"/>
  <c r="X227" i="6"/>
  <c r="AD227" i="6" s="1"/>
  <c r="X228" i="6"/>
  <c r="AD228" i="6" s="1"/>
  <c r="X229" i="6"/>
  <c r="AD229" i="6" s="1"/>
  <c r="X230" i="6"/>
  <c r="AD230" i="6" s="1"/>
  <c r="X231" i="6"/>
  <c r="AD231" i="6" s="1"/>
  <c r="X232" i="6"/>
  <c r="AD232" i="6" s="1"/>
  <c r="X233" i="6"/>
  <c r="AD233" i="6"/>
  <c r="X234" i="6"/>
  <c r="AD234" i="6"/>
  <c r="X235" i="6"/>
  <c r="AD235" i="6" s="1"/>
  <c r="X236" i="6"/>
  <c r="AD236" i="6" s="1"/>
  <c r="X237" i="6"/>
  <c r="AD237" i="6" s="1"/>
  <c r="X238" i="6"/>
  <c r="AD238" i="6" s="1"/>
  <c r="X239" i="6"/>
  <c r="AD239" i="6" s="1"/>
  <c r="X240" i="6"/>
  <c r="AD240" i="6" s="1"/>
  <c r="X241" i="6"/>
  <c r="AD241" i="6" s="1"/>
  <c r="X242" i="6"/>
  <c r="AD242" i="6" s="1"/>
  <c r="X243" i="6"/>
  <c r="AD243" i="6" s="1"/>
  <c r="X244" i="6"/>
  <c r="AD244" i="6" s="1"/>
  <c r="X245" i="6"/>
  <c r="AD245" i="6"/>
  <c r="X246" i="6"/>
  <c r="AD246" i="6"/>
  <c r="X247" i="6"/>
  <c r="AD247" i="6" s="1"/>
  <c r="X248" i="6"/>
  <c r="AD248" i="6" s="1"/>
  <c r="X249" i="6"/>
  <c r="AD249" i="6" s="1"/>
  <c r="X250" i="6"/>
  <c r="AD250" i="6" s="1"/>
  <c r="X251" i="6"/>
  <c r="AD251" i="6" s="1"/>
  <c r="X252" i="6"/>
  <c r="AD252" i="6" s="1"/>
  <c r="X253" i="6"/>
  <c r="AD253" i="6" s="1"/>
  <c r="X254" i="6"/>
  <c r="AD254" i="6" s="1"/>
  <c r="X255" i="6"/>
  <c r="AD255" i="6" s="1"/>
  <c r="X256" i="6"/>
  <c r="AD256" i="6" s="1"/>
  <c r="X257" i="6"/>
  <c r="AD257" i="6" s="1"/>
  <c r="X258" i="6"/>
  <c r="AD258" i="6" s="1"/>
  <c r="X259" i="6"/>
  <c r="AD259" i="6" s="1"/>
  <c r="X260" i="6"/>
  <c r="AD260" i="6" s="1"/>
  <c r="X261" i="6"/>
  <c r="AD261" i="6" s="1"/>
  <c r="X262" i="6"/>
  <c r="AD262" i="6" s="1"/>
  <c r="X263" i="6"/>
  <c r="AD263" i="6" s="1"/>
  <c r="X264" i="6"/>
  <c r="AD264" i="6" s="1"/>
  <c r="X265" i="6"/>
  <c r="AD265" i="6" s="1"/>
  <c r="X266" i="6"/>
  <c r="AD266" i="6" s="1"/>
  <c r="X267" i="6"/>
  <c r="AD267" i="6"/>
  <c r="X268" i="6"/>
  <c r="AD268" i="6" s="1"/>
  <c r="X269" i="6"/>
  <c r="AD269" i="6" s="1"/>
  <c r="X270" i="6"/>
  <c r="AD270" i="6" s="1"/>
  <c r="X271" i="6"/>
  <c r="AD271" i="6"/>
  <c r="X272" i="6"/>
  <c r="AD272" i="6" s="1"/>
  <c r="X273" i="6"/>
  <c r="AD273" i="6" s="1"/>
  <c r="X274" i="6"/>
  <c r="AD274" i="6" s="1"/>
  <c r="X275" i="6"/>
  <c r="AD275" i="6"/>
  <c r="X276" i="6"/>
  <c r="AD276" i="6" s="1"/>
  <c r="X277" i="6"/>
  <c r="AD277" i="6" s="1"/>
  <c r="X278" i="6"/>
  <c r="AD278" i="6" s="1"/>
  <c r="X279" i="6"/>
  <c r="AD279" i="6" s="1"/>
  <c r="X280" i="6"/>
  <c r="AD280" i="6" s="1"/>
  <c r="X281" i="6"/>
  <c r="AD281" i="6"/>
  <c r="X282" i="6"/>
  <c r="AD282" i="6" s="1"/>
  <c r="X283" i="6"/>
  <c r="AD283" i="6" s="1"/>
  <c r="X284" i="6"/>
  <c r="AD284" i="6" s="1"/>
  <c r="X285" i="6"/>
  <c r="AD285" i="6" s="1"/>
  <c r="X286" i="6"/>
  <c r="AD286" i="6" s="1"/>
  <c r="X287" i="6"/>
  <c r="AD287" i="6" s="1"/>
  <c r="X288" i="6"/>
  <c r="AD288" i="6" s="1"/>
  <c r="X289" i="6"/>
  <c r="AD289" i="6" s="1"/>
  <c r="X290" i="6"/>
  <c r="AD290" i="6" s="1"/>
  <c r="X291" i="6"/>
  <c r="AD291" i="6" s="1"/>
  <c r="X292" i="6"/>
  <c r="AD292" i="6" s="1"/>
  <c r="X293" i="6"/>
  <c r="AD293" i="6" s="1"/>
  <c r="X294" i="6"/>
  <c r="AD294" i="6" s="1"/>
  <c r="X295" i="6"/>
  <c r="AD295" i="6" s="1"/>
  <c r="X296" i="6"/>
  <c r="AD296" i="6" s="1"/>
  <c r="X297" i="6"/>
  <c r="AD297" i="6" s="1"/>
  <c r="X298" i="6"/>
  <c r="AD298" i="6" s="1"/>
  <c r="X299" i="6"/>
  <c r="AD299" i="6" s="1"/>
  <c r="X300" i="6"/>
  <c r="AD300" i="6" s="1"/>
  <c r="X301" i="6"/>
  <c r="AD301" i="6" s="1"/>
  <c r="X302" i="6"/>
  <c r="AD302" i="6" s="1"/>
  <c r="X303" i="6"/>
  <c r="AD303" i="6" s="1"/>
  <c r="X304" i="6"/>
  <c r="AD304" i="6" s="1"/>
  <c r="X305" i="6"/>
  <c r="AD305" i="6" s="1"/>
  <c r="X306" i="6"/>
  <c r="AD306" i="6" s="1"/>
  <c r="X307" i="6"/>
  <c r="AD307" i="6" s="1"/>
  <c r="X308" i="6"/>
  <c r="AD308" i="6" s="1"/>
  <c r="X309" i="6"/>
  <c r="AD309" i="6" s="1"/>
  <c r="X310" i="6"/>
  <c r="AD310" i="6" s="1"/>
  <c r="X311" i="6"/>
  <c r="AD311" i="6"/>
  <c r="X312" i="6"/>
  <c r="AD312" i="6" s="1"/>
  <c r="X313" i="6"/>
  <c r="AD313" i="6" s="1"/>
  <c r="X314" i="6"/>
  <c r="AD314" i="6" s="1"/>
  <c r="X315" i="6"/>
  <c r="AD315" i="6" s="1"/>
  <c r="X316" i="6"/>
  <c r="AD316" i="6" s="1"/>
  <c r="X317" i="6"/>
  <c r="AD317" i="6" s="1"/>
  <c r="X318" i="6"/>
  <c r="AD318" i="6" s="1"/>
  <c r="X319" i="6"/>
  <c r="AD319" i="6" s="1"/>
  <c r="X320" i="6"/>
  <c r="AD320" i="6" s="1"/>
  <c r="X321" i="6"/>
  <c r="AD321" i="6" s="1"/>
  <c r="X322" i="6"/>
  <c r="AD322" i="6"/>
  <c r="X323" i="6"/>
  <c r="AD323" i="6" s="1"/>
  <c r="X324" i="6"/>
  <c r="AD324" i="6" s="1"/>
  <c r="X325" i="6"/>
  <c r="AD325" i="6" s="1"/>
  <c r="X326" i="6"/>
  <c r="AD326" i="6" s="1"/>
  <c r="X327" i="6"/>
  <c r="AD327" i="6" s="1"/>
  <c r="X328" i="6"/>
  <c r="AD328" i="6" s="1"/>
  <c r="X329" i="6"/>
  <c r="AD329" i="6" s="1"/>
  <c r="X330" i="6"/>
  <c r="AD330" i="6" s="1"/>
  <c r="X331" i="6"/>
  <c r="AD331" i="6" s="1"/>
  <c r="X332" i="6"/>
  <c r="AD332" i="6" s="1"/>
  <c r="X333" i="6"/>
  <c r="AD333" i="6" s="1"/>
  <c r="X334" i="6"/>
  <c r="AD334" i="6"/>
  <c r="X335" i="6"/>
  <c r="AD335" i="6" s="1"/>
  <c r="X336" i="6"/>
  <c r="AD336" i="6" s="1"/>
  <c r="X337" i="6"/>
  <c r="AD337" i="6" s="1"/>
  <c r="X338" i="6"/>
  <c r="AD338" i="6" s="1"/>
  <c r="X339" i="6"/>
  <c r="AD339" i="6" s="1"/>
  <c r="X340" i="6"/>
  <c r="AD340" i="6" s="1"/>
  <c r="X341" i="6"/>
  <c r="AD341" i="6" s="1"/>
  <c r="X342" i="6"/>
  <c r="AD342" i="6" s="1"/>
  <c r="X343" i="6"/>
  <c r="AD343" i="6"/>
  <c r="X344" i="6"/>
  <c r="AD344" i="6" s="1"/>
  <c r="X345" i="6"/>
  <c r="AD345" i="6" s="1"/>
  <c r="X346" i="6"/>
  <c r="AD346" i="6" s="1"/>
  <c r="X347" i="6"/>
  <c r="AD347" i="6" s="1"/>
  <c r="X348" i="6"/>
  <c r="AD348" i="6" s="1"/>
  <c r="X349" i="6"/>
  <c r="AD349" i="6" s="1"/>
  <c r="X350" i="6"/>
  <c r="AD350" i="6" s="1"/>
  <c r="X351" i="6"/>
  <c r="AD351" i="6" s="1"/>
  <c r="X352" i="6"/>
  <c r="AD352" i="6" s="1"/>
  <c r="X353" i="6"/>
  <c r="AD353" i="6"/>
  <c r="X354" i="6"/>
  <c r="AD354" i="6" s="1"/>
  <c r="X355" i="6"/>
  <c r="AD355" i="6" s="1"/>
  <c r="X356" i="6"/>
  <c r="AD356" i="6" s="1"/>
  <c r="X357" i="6"/>
  <c r="AD357" i="6" s="1"/>
  <c r="X358" i="6"/>
  <c r="AD358" i="6" s="1"/>
  <c r="X359" i="6"/>
  <c r="AD359" i="6" s="1"/>
  <c r="X360" i="6"/>
  <c r="AD360" i="6" s="1"/>
  <c r="X361" i="6"/>
  <c r="AD361" i="6" s="1"/>
  <c r="X362" i="6"/>
  <c r="AD362" i="6" s="1"/>
  <c r="X363" i="6"/>
  <c r="AD363" i="6" s="1"/>
  <c r="X364" i="6"/>
  <c r="AD364" i="6" s="1"/>
  <c r="X365" i="6"/>
  <c r="AD365" i="6" s="1"/>
  <c r="A6" i="6"/>
  <c r="B6" i="6"/>
  <c r="C6" i="6"/>
  <c r="B7" i="6"/>
  <c r="U7" i="6"/>
  <c r="AA7" i="6" s="1"/>
  <c r="W7" i="6"/>
  <c r="AC7" i="6" s="1"/>
  <c r="U8" i="6"/>
  <c r="AA8" i="6" s="1"/>
  <c r="W8" i="6"/>
  <c r="AC8" i="6" s="1"/>
  <c r="U9" i="6"/>
  <c r="AA9" i="6" s="1"/>
  <c r="W9" i="6"/>
  <c r="AC9" i="6" s="1"/>
  <c r="U10" i="6"/>
  <c r="AA10" i="6" s="1"/>
  <c r="W10" i="6"/>
  <c r="AC10" i="6" s="1"/>
  <c r="U11" i="6"/>
  <c r="AA11" i="6" s="1"/>
  <c r="W11" i="6"/>
  <c r="AC11" i="6" s="1"/>
  <c r="U12" i="6"/>
  <c r="AA12" i="6" s="1"/>
  <c r="W12" i="6"/>
  <c r="AC12" i="6" s="1"/>
  <c r="U13" i="6"/>
  <c r="AA13" i="6" s="1"/>
  <c r="W13" i="6"/>
  <c r="AC13" i="6" s="1"/>
  <c r="U14" i="6"/>
  <c r="AA14" i="6" s="1"/>
  <c r="W14" i="6"/>
  <c r="AC14" i="6" s="1"/>
  <c r="U15" i="6"/>
  <c r="AA15" i="6" s="1"/>
  <c r="W15" i="6"/>
  <c r="AC15" i="6" s="1"/>
  <c r="U16" i="6"/>
  <c r="AA16" i="6" s="1"/>
  <c r="W16" i="6"/>
  <c r="AC16" i="6" s="1"/>
  <c r="U17" i="6"/>
  <c r="AA17" i="6" s="1"/>
  <c r="W17" i="6"/>
  <c r="AC17" i="6" s="1"/>
  <c r="U18" i="6"/>
  <c r="AA18" i="6" s="1"/>
  <c r="W18" i="6"/>
  <c r="AC18" i="6" s="1"/>
  <c r="U19" i="6"/>
  <c r="AA19" i="6" s="1"/>
  <c r="W19" i="6"/>
  <c r="AC19" i="6" s="1"/>
  <c r="U20" i="6"/>
  <c r="AA20" i="6" s="1"/>
  <c r="W20" i="6"/>
  <c r="AC20" i="6" s="1"/>
  <c r="U21" i="6"/>
  <c r="AA21" i="6" s="1"/>
  <c r="W21" i="6"/>
  <c r="AC21" i="6"/>
  <c r="U22" i="6"/>
  <c r="AA22" i="6" s="1"/>
  <c r="W22" i="6"/>
  <c r="AC22" i="6"/>
  <c r="U23" i="6"/>
  <c r="AA23" i="6" s="1"/>
  <c r="W23" i="6"/>
  <c r="AC23" i="6" s="1"/>
  <c r="U24" i="6"/>
  <c r="AA24" i="6" s="1"/>
  <c r="W24" i="6"/>
  <c r="AC24" i="6"/>
  <c r="U25" i="6"/>
  <c r="AA25" i="6" s="1"/>
  <c r="W25" i="6"/>
  <c r="AC25" i="6" s="1"/>
  <c r="U26" i="6"/>
  <c r="AA26" i="6" s="1"/>
  <c r="W26" i="6"/>
  <c r="AC26" i="6" s="1"/>
  <c r="U27" i="6"/>
  <c r="AA27" i="6" s="1"/>
  <c r="W27" i="6"/>
  <c r="AC27" i="6" s="1"/>
  <c r="U28" i="6"/>
  <c r="AA28" i="6" s="1"/>
  <c r="W28" i="6"/>
  <c r="AC28" i="6" s="1"/>
  <c r="U29" i="6"/>
  <c r="AA29" i="6" s="1"/>
  <c r="W29" i="6"/>
  <c r="AC29" i="6" s="1"/>
  <c r="U30" i="6"/>
  <c r="AA30" i="6" s="1"/>
  <c r="W30" i="6"/>
  <c r="AC30" i="6"/>
  <c r="U31" i="6"/>
  <c r="AA31" i="6" s="1"/>
  <c r="W31" i="6"/>
  <c r="AC31" i="6" s="1"/>
  <c r="U32" i="6"/>
  <c r="AA32" i="6" s="1"/>
  <c r="W32" i="6"/>
  <c r="AC32" i="6" s="1"/>
  <c r="U33" i="6"/>
  <c r="AA33" i="6" s="1"/>
  <c r="W33" i="6"/>
  <c r="AC33" i="6" s="1"/>
  <c r="U34" i="6"/>
  <c r="AA34" i="6" s="1"/>
  <c r="W34" i="6"/>
  <c r="AC34" i="6" s="1"/>
  <c r="U35" i="6"/>
  <c r="AA35" i="6" s="1"/>
  <c r="W35" i="6"/>
  <c r="AC35" i="6" s="1"/>
  <c r="U36" i="6"/>
  <c r="AA36" i="6" s="1"/>
  <c r="W36" i="6"/>
  <c r="AC36" i="6" s="1"/>
  <c r="U37" i="6"/>
  <c r="AA37" i="6" s="1"/>
  <c r="W37" i="6"/>
  <c r="AC37" i="6" s="1"/>
  <c r="U38" i="6"/>
  <c r="AA38" i="6" s="1"/>
  <c r="W38" i="6"/>
  <c r="AC38" i="6" s="1"/>
  <c r="U39" i="6"/>
  <c r="AA39" i="6" s="1"/>
  <c r="W39" i="6"/>
  <c r="AC39" i="6" s="1"/>
  <c r="U40" i="6"/>
  <c r="AA40" i="6" s="1"/>
  <c r="W40" i="6"/>
  <c r="AC40" i="6" s="1"/>
  <c r="U41" i="6"/>
  <c r="AA41" i="6" s="1"/>
  <c r="W41" i="6"/>
  <c r="AC41" i="6" s="1"/>
  <c r="U42" i="6"/>
  <c r="AA42" i="6" s="1"/>
  <c r="W42" i="6"/>
  <c r="AC42" i="6" s="1"/>
  <c r="U43" i="6"/>
  <c r="AA43" i="6" s="1"/>
  <c r="W43" i="6"/>
  <c r="AC43" i="6" s="1"/>
  <c r="U44" i="6"/>
  <c r="AA44" i="6" s="1"/>
  <c r="W44" i="6"/>
  <c r="AC44" i="6" s="1"/>
  <c r="U45" i="6"/>
  <c r="AA45" i="6" s="1"/>
  <c r="W45" i="6"/>
  <c r="AC45" i="6"/>
  <c r="U46" i="6"/>
  <c r="AA46" i="6" s="1"/>
  <c r="W46" i="6"/>
  <c r="AC46" i="6" s="1"/>
  <c r="U47" i="6"/>
  <c r="AA47" i="6" s="1"/>
  <c r="W47" i="6"/>
  <c r="AC47" i="6" s="1"/>
  <c r="U48" i="6"/>
  <c r="AA48" i="6" s="1"/>
  <c r="W48" i="6"/>
  <c r="AC48" i="6" s="1"/>
  <c r="U49" i="6"/>
  <c r="AA49" i="6" s="1"/>
  <c r="W49" i="6"/>
  <c r="AC49" i="6" s="1"/>
  <c r="U50" i="6"/>
  <c r="AA50" i="6" s="1"/>
  <c r="W50" i="6"/>
  <c r="AC50" i="6" s="1"/>
  <c r="U51" i="6"/>
  <c r="AA51" i="6" s="1"/>
  <c r="W51" i="6"/>
  <c r="AC51" i="6" s="1"/>
  <c r="U52" i="6"/>
  <c r="AA52" i="6" s="1"/>
  <c r="W52" i="6"/>
  <c r="AC52" i="6" s="1"/>
  <c r="U53" i="6"/>
  <c r="AA53" i="6" s="1"/>
  <c r="W53" i="6"/>
  <c r="AC53" i="6" s="1"/>
  <c r="U54" i="6"/>
  <c r="AA54" i="6" s="1"/>
  <c r="W54" i="6"/>
  <c r="AC54" i="6" s="1"/>
  <c r="U55" i="6"/>
  <c r="AA55" i="6" s="1"/>
  <c r="W55" i="6"/>
  <c r="AC55" i="6" s="1"/>
  <c r="U56" i="6"/>
  <c r="AA56" i="6" s="1"/>
  <c r="W56" i="6"/>
  <c r="AC56" i="6" s="1"/>
  <c r="U57" i="6"/>
  <c r="AA57" i="6" s="1"/>
  <c r="W57" i="6"/>
  <c r="AC57" i="6" s="1"/>
  <c r="U58" i="6"/>
  <c r="AA58" i="6" s="1"/>
  <c r="W58" i="6"/>
  <c r="AC58" i="6" s="1"/>
  <c r="U59" i="6"/>
  <c r="AA59" i="6" s="1"/>
  <c r="W59" i="6"/>
  <c r="AC59" i="6" s="1"/>
  <c r="U60" i="6"/>
  <c r="AA60" i="6" s="1"/>
  <c r="W60" i="6"/>
  <c r="AC60" i="6" s="1"/>
  <c r="U61" i="6"/>
  <c r="AA61" i="6" s="1"/>
  <c r="W61" i="6"/>
  <c r="AC61" i="6" s="1"/>
  <c r="U62" i="6"/>
  <c r="AA62" i="6" s="1"/>
  <c r="W62" i="6"/>
  <c r="AC62" i="6" s="1"/>
  <c r="U63" i="6"/>
  <c r="AA63" i="6" s="1"/>
  <c r="W63" i="6"/>
  <c r="AC63" i="6" s="1"/>
  <c r="U64" i="6"/>
  <c r="AA64" i="6" s="1"/>
  <c r="W64" i="6"/>
  <c r="AC64" i="6" s="1"/>
  <c r="U65" i="6"/>
  <c r="AA65" i="6" s="1"/>
  <c r="W65" i="6"/>
  <c r="AC65" i="6" s="1"/>
  <c r="U66" i="6"/>
  <c r="AA66" i="6" s="1"/>
  <c r="W66" i="6"/>
  <c r="AC66" i="6" s="1"/>
  <c r="U67" i="6"/>
  <c r="W67" i="6"/>
  <c r="AC67" i="6" s="1"/>
  <c r="AA67" i="6"/>
  <c r="U68" i="6"/>
  <c r="AA68" i="6" s="1"/>
  <c r="W68" i="6"/>
  <c r="AC68" i="6" s="1"/>
  <c r="U69" i="6"/>
  <c r="AA69" i="6" s="1"/>
  <c r="W69" i="6"/>
  <c r="AC69" i="6" s="1"/>
  <c r="U70" i="6"/>
  <c r="AA70" i="6" s="1"/>
  <c r="W70" i="6"/>
  <c r="AC70" i="6" s="1"/>
  <c r="U71" i="6"/>
  <c r="AA71" i="6" s="1"/>
  <c r="W71" i="6"/>
  <c r="AC71" i="6" s="1"/>
  <c r="U72" i="6"/>
  <c r="AA72" i="6" s="1"/>
  <c r="W72" i="6"/>
  <c r="AC72" i="6" s="1"/>
  <c r="U73" i="6"/>
  <c r="AA73" i="6" s="1"/>
  <c r="W73" i="6"/>
  <c r="AC73" i="6" s="1"/>
  <c r="U74" i="6"/>
  <c r="AA74" i="6" s="1"/>
  <c r="W74" i="6"/>
  <c r="AC74" i="6" s="1"/>
  <c r="U75" i="6"/>
  <c r="AA75" i="6" s="1"/>
  <c r="W75" i="6"/>
  <c r="AC75" i="6" s="1"/>
  <c r="U76" i="6"/>
  <c r="AA76" i="6" s="1"/>
  <c r="W76" i="6"/>
  <c r="AC76" i="6" s="1"/>
  <c r="U77" i="6"/>
  <c r="AA77" i="6" s="1"/>
  <c r="W77" i="6"/>
  <c r="AC77" i="6" s="1"/>
  <c r="U78" i="6"/>
  <c r="AA78" i="6" s="1"/>
  <c r="W78" i="6"/>
  <c r="AC78" i="6" s="1"/>
  <c r="U79" i="6"/>
  <c r="AA79" i="6" s="1"/>
  <c r="W79" i="6"/>
  <c r="AC79" i="6" s="1"/>
  <c r="U80" i="6"/>
  <c r="AA80" i="6" s="1"/>
  <c r="W80" i="6"/>
  <c r="AC80" i="6" s="1"/>
  <c r="U81" i="6"/>
  <c r="AA81" i="6" s="1"/>
  <c r="W81" i="6"/>
  <c r="AC81" i="6" s="1"/>
  <c r="U82" i="6"/>
  <c r="AA82" i="6" s="1"/>
  <c r="W82" i="6"/>
  <c r="AC82" i="6" s="1"/>
  <c r="U83" i="6"/>
  <c r="AA83" i="6" s="1"/>
  <c r="W83" i="6"/>
  <c r="AC83" i="6"/>
  <c r="U84" i="6"/>
  <c r="AA84" i="6" s="1"/>
  <c r="W84" i="6"/>
  <c r="AC84" i="6" s="1"/>
  <c r="U85" i="6"/>
  <c r="AA85" i="6" s="1"/>
  <c r="W85" i="6"/>
  <c r="AC85" i="6" s="1"/>
  <c r="U86" i="6"/>
  <c r="AA86" i="6" s="1"/>
  <c r="W86" i="6"/>
  <c r="AC86" i="6"/>
  <c r="U87" i="6"/>
  <c r="AA87" i="6" s="1"/>
  <c r="W87" i="6"/>
  <c r="AC87" i="6" s="1"/>
  <c r="U88" i="6"/>
  <c r="AA88" i="6" s="1"/>
  <c r="W88" i="6"/>
  <c r="AC88" i="6" s="1"/>
  <c r="U89" i="6"/>
  <c r="AA89" i="6" s="1"/>
  <c r="W89" i="6"/>
  <c r="AC89" i="6" s="1"/>
  <c r="U90" i="6"/>
  <c r="AA90" i="6" s="1"/>
  <c r="W90" i="6"/>
  <c r="AC90" i="6" s="1"/>
  <c r="U91" i="6"/>
  <c r="AA91" i="6" s="1"/>
  <c r="W91" i="6"/>
  <c r="AC91" i="6"/>
  <c r="U92" i="6"/>
  <c r="AA92" i="6" s="1"/>
  <c r="W92" i="6"/>
  <c r="AC92" i="6" s="1"/>
  <c r="U93" i="6"/>
  <c r="AA93" i="6" s="1"/>
  <c r="W93" i="6"/>
  <c r="AC93" i="6" s="1"/>
  <c r="U94" i="6"/>
  <c r="AA94" i="6" s="1"/>
  <c r="W94" i="6"/>
  <c r="AC94" i="6" s="1"/>
  <c r="U95" i="6"/>
  <c r="AA95" i="6" s="1"/>
  <c r="W95" i="6"/>
  <c r="AC95" i="6" s="1"/>
  <c r="U96" i="6"/>
  <c r="AA96" i="6" s="1"/>
  <c r="W96" i="6"/>
  <c r="AC96" i="6" s="1"/>
  <c r="U97" i="6"/>
  <c r="AA97" i="6" s="1"/>
  <c r="W97" i="6"/>
  <c r="AC97" i="6" s="1"/>
  <c r="U98" i="6"/>
  <c r="AA98" i="6" s="1"/>
  <c r="W98" i="6"/>
  <c r="AC98" i="6" s="1"/>
  <c r="U99" i="6"/>
  <c r="AA99" i="6" s="1"/>
  <c r="W99" i="6"/>
  <c r="AC99" i="6" s="1"/>
  <c r="U100" i="6"/>
  <c r="AA100" i="6" s="1"/>
  <c r="W100" i="6"/>
  <c r="AC100" i="6" s="1"/>
  <c r="U101" i="6"/>
  <c r="AA101" i="6" s="1"/>
  <c r="W101" i="6"/>
  <c r="AC101" i="6" s="1"/>
  <c r="U102" i="6"/>
  <c r="AA102" i="6" s="1"/>
  <c r="W102" i="6"/>
  <c r="AC102" i="6" s="1"/>
  <c r="U103" i="6"/>
  <c r="AA103" i="6" s="1"/>
  <c r="W103" i="6"/>
  <c r="AC103" i="6" s="1"/>
  <c r="U104" i="6"/>
  <c r="AA104" i="6" s="1"/>
  <c r="W104" i="6"/>
  <c r="AC104" i="6" s="1"/>
  <c r="U105" i="6"/>
  <c r="AA105" i="6" s="1"/>
  <c r="W105" i="6"/>
  <c r="AC105" i="6" s="1"/>
  <c r="U106" i="6"/>
  <c r="AA106" i="6" s="1"/>
  <c r="W106" i="6"/>
  <c r="AC106" i="6" s="1"/>
  <c r="U107" i="6"/>
  <c r="AA107" i="6" s="1"/>
  <c r="W107" i="6"/>
  <c r="AC107" i="6" s="1"/>
  <c r="U108" i="6"/>
  <c r="AA108" i="6" s="1"/>
  <c r="W108" i="6"/>
  <c r="AC108" i="6" s="1"/>
  <c r="U109" i="6"/>
  <c r="AA109" i="6" s="1"/>
  <c r="W109" i="6"/>
  <c r="AC109" i="6" s="1"/>
  <c r="U110" i="6"/>
  <c r="AA110" i="6" s="1"/>
  <c r="W110" i="6"/>
  <c r="AC110" i="6" s="1"/>
  <c r="U111" i="6"/>
  <c r="AA111" i="6" s="1"/>
  <c r="W111" i="6"/>
  <c r="AC111" i="6" s="1"/>
  <c r="U112" i="6"/>
  <c r="AA112" i="6" s="1"/>
  <c r="W112" i="6"/>
  <c r="AC112" i="6" s="1"/>
  <c r="U113" i="6"/>
  <c r="AA113" i="6" s="1"/>
  <c r="W113" i="6"/>
  <c r="AC113" i="6" s="1"/>
  <c r="U114" i="6"/>
  <c r="AA114" i="6" s="1"/>
  <c r="W114" i="6"/>
  <c r="AC114" i="6" s="1"/>
  <c r="U115" i="6"/>
  <c r="AA115" i="6" s="1"/>
  <c r="W115" i="6"/>
  <c r="AC115" i="6" s="1"/>
  <c r="U116" i="6"/>
  <c r="AA116" i="6" s="1"/>
  <c r="W116" i="6"/>
  <c r="AC116" i="6" s="1"/>
  <c r="U117" i="6"/>
  <c r="AA117" i="6" s="1"/>
  <c r="W117" i="6"/>
  <c r="AC117" i="6" s="1"/>
  <c r="U118" i="6"/>
  <c r="AA118" i="6" s="1"/>
  <c r="W118" i="6"/>
  <c r="AC118" i="6"/>
  <c r="U119" i="6"/>
  <c r="AA119" i="6" s="1"/>
  <c r="W119" i="6"/>
  <c r="AC119" i="6" s="1"/>
  <c r="U120" i="6"/>
  <c r="AA120" i="6" s="1"/>
  <c r="W120" i="6"/>
  <c r="AC120" i="6" s="1"/>
  <c r="U121" i="6"/>
  <c r="AA121" i="6" s="1"/>
  <c r="W121" i="6"/>
  <c r="AC121" i="6" s="1"/>
  <c r="U122" i="6"/>
  <c r="AA122" i="6" s="1"/>
  <c r="W122" i="6"/>
  <c r="AC122" i="6" s="1"/>
  <c r="U123" i="6"/>
  <c r="AA123" i="6" s="1"/>
  <c r="W123" i="6"/>
  <c r="AC123" i="6" s="1"/>
  <c r="U124" i="6"/>
  <c r="AA124" i="6" s="1"/>
  <c r="W124" i="6"/>
  <c r="AC124" i="6" s="1"/>
  <c r="U125" i="6"/>
  <c r="AA125" i="6" s="1"/>
  <c r="W125" i="6"/>
  <c r="AC125" i="6" s="1"/>
  <c r="U126" i="6"/>
  <c r="AA126" i="6" s="1"/>
  <c r="W126" i="6"/>
  <c r="AC126" i="6"/>
  <c r="U127" i="6"/>
  <c r="AA127" i="6" s="1"/>
  <c r="W127" i="6"/>
  <c r="AC127" i="6" s="1"/>
  <c r="U128" i="6"/>
  <c r="AA128" i="6" s="1"/>
  <c r="W128" i="6"/>
  <c r="AC128" i="6" s="1"/>
  <c r="U129" i="6"/>
  <c r="AA129" i="6" s="1"/>
  <c r="W129" i="6"/>
  <c r="AC129" i="6" s="1"/>
  <c r="U130" i="6"/>
  <c r="AA130" i="6" s="1"/>
  <c r="W130" i="6"/>
  <c r="AC130" i="6" s="1"/>
  <c r="U131" i="6"/>
  <c r="AA131" i="6" s="1"/>
  <c r="W131" i="6"/>
  <c r="AC131" i="6" s="1"/>
  <c r="U132" i="6"/>
  <c r="W132" i="6"/>
  <c r="AC132" i="6" s="1"/>
  <c r="AA132" i="6"/>
  <c r="U133" i="6"/>
  <c r="AA133" i="6" s="1"/>
  <c r="W133" i="6"/>
  <c r="AC133" i="6" s="1"/>
  <c r="U134" i="6"/>
  <c r="AA134" i="6" s="1"/>
  <c r="W134" i="6"/>
  <c r="AC134" i="6" s="1"/>
  <c r="U135" i="6"/>
  <c r="AA135" i="6" s="1"/>
  <c r="W135" i="6"/>
  <c r="AC135" i="6" s="1"/>
  <c r="U136" i="6"/>
  <c r="AA136" i="6" s="1"/>
  <c r="W136" i="6"/>
  <c r="AC136" i="6" s="1"/>
  <c r="U137" i="6"/>
  <c r="AA137" i="6" s="1"/>
  <c r="W137" i="6"/>
  <c r="AC137" i="6" s="1"/>
  <c r="U138" i="6"/>
  <c r="AA138" i="6" s="1"/>
  <c r="W138" i="6"/>
  <c r="AC138" i="6" s="1"/>
  <c r="U139" i="6"/>
  <c r="AA139" i="6" s="1"/>
  <c r="W139" i="6"/>
  <c r="AC139" i="6" s="1"/>
  <c r="U140" i="6"/>
  <c r="W140" i="6"/>
  <c r="AC140" i="6" s="1"/>
  <c r="AA140" i="6"/>
  <c r="U141" i="6"/>
  <c r="AA141" i="6" s="1"/>
  <c r="W141" i="6"/>
  <c r="AC141" i="6" s="1"/>
  <c r="U142" i="6"/>
  <c r="W142" i="6"/>
  <c r="AC142" i="6" s="1"/>
  <c r="AA142" i="6"/>
  <c r="U143" i="6"/>
  <c r="AA143" i="6" s="1"/>
  <c r="W143" i="6"/>
  <c r="AC143" i="6" s="1"/>
  <c r="U144" i="6"/>
  <c r="AA144" i="6" s="1"/>
  <c r="W144" i="6"/>
  <c r="AC144" i="6" s="1"/>
  <c r="U145" i="6"/>
  <c r="AA145" i="6" s="1"/>
  <c r="W145" i="6"/>
  <c r="AC145" i="6" s="1"/>
  <c r="U146" i="6"/>
  <c r="AA146" i="6" s="1"/>
  <c r="W146" i="6"/>
  <c r="AC146" i="6" s="1"/>
  <c r="U147" i="6"/>
  <c r="AA147" i="6" s="1"/>
  <c r="W147" i="6"/>
  <c r="AC147" i="6" s="1"/>
  <c r="U148" i="6"/>
  <c r="AA148" i="6" s="1"/>
  <c r="W148" i="6"/>
  <c r="AC148" i="6" s="1"/>
  <c r="U149" i="6"/>
  <c r="AA149" i="6" s="1"/>
  <c r="W149" i="6"/>
  <c r="AC149" i="6" s="1"/>
  <c r="U150" i="6"/>
  <c r="AA150" i="6" s="1"/>
  <c r="W150" i="6"/>
  <c r="AC150" i="6" s="1"/>
  <c r="U151" i="6"/>
  <c r="AA151" i="6" s="1"/>
  <c r="W151" i="6"/>
  <c r="AC151" i="6" s="1"/>
  <c r="U152" i="6"/>
  <c r="AA152" i="6" s="1"/>
  <c r="W152" i="6"/>
  <c r="AC152" i="6" s="1"/>
  <c r="U153" i="6"/>
  <c r="AA153" i="6" s="1"/>
  <c r="W153" i="6"/>
  <c r="AC153" i="6" s="1"/>
  <c r="U154" i="6"/>
  <c r="AA154" i="6" s="1"/>
  <c r="W154" i="6"/>
  <c r="AC154" i="6" s="1"/>
  <c r="U155" i="6"/>
  <c r="AA155" i="6" s="1"/>
  <c r="W155" i="6"/>
  <c r="AC155" i="6" s="1"/>
  <c r="U156" i="6"/>
  <c r="AA156" i="6" s="1"/>
  <c r="W156" i="6"/>
  <c r="AC156" i="6" s="1"/>
  <c r="U157" i="6"/>
  <c r="AA157" i="6" s="1"/>
  <c r="W157" i="6"/>
  <c r="AC157" i="6" s="1"/>
  <c r="U158" i="6"/>
  <c r="AA158" i="6" s="1"/>
  <c r="W158" i="6"/>
  <c r="AC158" i="6" s="1"/>
  <c r="U159" i="6"/>
  <c r="AA159" i="6" s="1"/>
  <c r="W159" i="6"/>
  <c r="AC159" i="6" s="1"/>
  <c r="U160" i="6"/>
  <c r="AA160" i="6" s="1"/>
  <c r="W160" i="6"/>
  <c r="AC160" i="6" s="1"/>
  <c r="U161" i="6"/>
  <c r="AA161" i="6" s="1"/>
  <c r="W161" i="6"/>
  <c r="AC161" i="6" s="1"/>
  <c r="U162" i="6"/>
  <c r="AA162" i="6" s="1"/>
  <c r="W162" i="6"/>
  <c r="AC162" i="6" s="1"/>
  <c r="U163" i="6"/>
  <c r="AA163" i="6" s="1"/>
  <c r="W163" i="6"/>
  <c r="AC163" i="6" s="1"/>
  <c r="U164" i="6"/>
  <c r="AA164" i="6" s="1"/>
  <c r="W164" i="6"/>
  <c r="AC164" i="6" s="1"/>
  <c r="U165" i="6"/>
  <c r="AA165" i="6" s="1"/>
  <c r="W165" i="6"/>
  <c r="AC165" i="6" s="1"/>
  <c r="U166" i="6"/>
  <c r="AA166" i="6" s="1"/>
  <c r="W166" i="6"/>
  <c r="AC166" i="6"/>
  <c r="U167" i="6"/>
  <c r="AA167" i="6" s="1"/>
  <c r="W167" i="6"/>
  <c r="AC167" i="6" s="1"/>
  <c r="U168" i="6"/>
  <c r="AA168" i="6" s="1"/>
  <c r="W168" i="6"/>
  <c r="AC168" i="6" s="1"/>
  <c r="U169" i="6"/>
  <c r="AA169" i="6" s="1"/>
  <c r="W169" i="6"/>
  <c r="AC169" i="6" s="1"/>
  <c r="U170" i="6"/>
  <c r="AA170" i="6" s="1"/>
  <c r="W170" i="6"/>
  <c r="AC170" i="6" s="1"/>
  <c r="U171" i="6"/>
  <c r="AA171" i="6" s="1"/>
  <c r="W171" i="6"/>
  <c r="AC171" i="6" s="1"/>
  <c r="U172" i="6"/>
  <c r="AA172" i="6" s="1"/>
  <c r="W172" i="6"/>
  <c r="AC172" i="6" s="1"/>
  <c r="U173" i="6"/>
  <c r="AA173" i="6" s="1"/>
  <c r="W173" i="6"/>
  <c r="AC173" i="6" s="1"/>
  <c r="U174" i="6"/>
  <c r="AA174" i="6" s="1"/>
  <c r="W174" i="6"/>
  <c r="AC174" i="6" s="1"/>
  <c r="U175" i="6"/>
  <c r="AA175" i="6" s="1"/>
  <c r="W175" i="6"/>
  <c r="AC175" i="6" s="1"/>
  <c r="U176" i="6"/>
  <c r="AA176" i="6" s="1"/>
  <c r="W176" i="6"/>
  <c r="AC176" i="6" s="1"/>
  <c r="U177" i="6"/>
  <c r="AA177" i="6" s="1"/>
  <c r="W177" i="6"/>
  <c r="AC177" i="6" s="1"/>
  <c r="U178" i="6"/>
  <c r="AA178" i="6" s="1"/>
  <c r="W178" i="6"/>
  <c r="AC178" i="6" s="1"/>
  <c r="U179" i="6"/>
  <c r="AA179" i="6" s="1"/>
  <c r="W179" i="6"/>
  <c r="AC179" i="6" s="1"/>
  <c r="U180" i="6"/>
  <c r="AA180" i="6" s="1"/>
  <c r="W180" i="6"/>
  <c r="AC180" i="6" s="1"/>
  <c r="U181" i="6"/>
  <c r="AA181" i="6" s="1"/>
  <c r="W181" i="6"/>
  <c r="AC181" i="6" s="1"/>
  <c r="U182" i="6"/>
  <c r="AA182" i="6" s="1"/>
  <c r="W182" i="6"/>
  <c r="AC182" i="6"/>
  <c r="U183" i="6"/>
  <c r="AA183" i="6" s="1"/>
  <c r="W183" i="6"/>
  <c r="AC183" i="6" s="1"/>
  <c r="U184" i="6"/>
  <c r="AA184" i="6" s="1"/>
  <c r="W184" i="6"/>
  <c r="AC184" i="6" s="1"/>
  <c r="U185" i="6"/>
  <c r="AA185" i="6" s="1"/>
  <c r="W185" i="6"/>
  <c r="AC185" i="6" s="1"/>
  <c r="U186" i="6"/>
  <c r="AA186" i="6" s="1"/>
  <c r="W186" i="6"/>
  <c r="AC186" i="6" s="1"/>
  <c r="U187" i="6"/>
  <c r="AA187" i="6" s="1"/>
  <c r="W187" i="6"/>
  <c r="AC187" i="6" s="1"/>
  <c r="U188" i="6"/>
  <c r="AA188" i="6" s="1"/>
  <c r="W188" i="6"/>
  <c r="AC188" i="6" s="1"/>
  <c r="U189" i="6"/>
  <c r="AA189" i="6" s="1"/>
  <c r="W189" i="6"/>
  <c r="AC189" i="6" s="1"/>
  <c r="U190" i="6"/>
  <c r="W190" i="6"/>
  <c r="AC190" i="6" s="1"/>
  <c r="AA190" i="6"/>
  <c r="U191" i="6"/>
  <c r="AA191" i="6" s="1"/>
  <c r="W191" i="6"/>
  <c r="AC191" i="6" s="1"/>
  <c r="U192" i="6"/>
  <c r="AA192" i="6" s="1"/>
  <c r="W192" i="6"/>
  <c r="AC192" i="6" s="1"/>
  <c r="U193" i="6"/>
  <c r="AA193" i="6" s="1"/>
  <c r="W193" i="6"/>
  <c r="AC193" i="6" s="1"/>
  <c r="U194" i="6"/>
  <c r="AA194" i="6" s="1"/>
  <c r="W194" i="6"/>
  <c r="AC194" i="6" s="1"/>
  <c r="U195" i="6"/>
  <c r="AA195" i="6" s="1"/>
  <c r="W195" i="6"/>
  <c r="AC195" i="6" s="1"/>
  <c r="U196" i="6"/>
  <c r="AA196" i="6" s="1"/>
  <c r="W196" i="6"/>
  <c r="AC196" i="6" s="1"/>
  <c r="U197" i="6"/>
  <c r="AA197" i="6" s="1"/>
  <c r="W197" i="6"/>
  <c r="AC197" i="6" s="1"/>
  <c r="U198" i="6"/>
  <c r="AA198" i="6" s="1"/>
  <c r="W198" i="6"/>
  <c r="AC198" i="6" s="1"/>
  <c r="U199" i="6"/>
  <c r="AA199" i="6" s="1"/>
  <c r="W199" i="6"/>
  <c r="AC199" i="6" s="1"/>
  <c r="U200" i="6"/>
  <c r="AA200" i="6" s="1"/>
  <c r="W200" i="6"/>
  <c r="AC200" i="6" s="1"/>
  <c r="U201" i="6"/>
  <c r="AA201" i="6" s="1"/>
  <c r="W201" i="6"/>
  <c r="AC201" i="6" s="1"/>
  <c r="U202" i="6"/>
  <c r="AA202" i="6" s="1"/>
  <c r="W202" i="6"/>
  <c r="AC202" i="6" s="1"/>
  <c r="U203" i="6"/>
  <c r="AA203" i="6" s="1"/>
  <c r="W203" i="6"/>
  <c r="AC203" i="6" s="1"/>
  <c r="U204" i="6"/>
  <c r="AA204" i="6" s="1"/>
  <c r="W204" i="6"/>
  <c r="AC204" i="6" s="1"/>
  <c r="U205" i="6"/>
  <c r="AA205" i="6" s="1"/>
  <c r="W205" i="6"/>
  <c r="AC205" i="6" s="1"/>
  <c r="U206" i="6"/>
  <c r="AA206" i="6" s="1"/>
  <c r="W206" i="6"/>
  <c r="AC206" i="6" s="1"/>
  <c r="U207" i="6"/>
  <c r="AA207" i="6" s="1"/>
  <c r="W207" i="6"/>
  <c r="AC207" i="6" s="1"/>
  <c r="U208" i="6"/>
  <c r="AA208" i="6" s="1"/>
  <c r="W208" i="6"/>
  <c r="AC208" i="6" s="1"/>
  <c r="U209" i="6"/>
  <c r="AA209" i="6" s="1"/>
  <c r="W209" i="6"/>
  <c r="AC209" i="6" s="1"/>
  <c r="U210" i="6"/>
  <c r="AA210" i="6" s="1"/>
  <c r="W210" i="6"/>
  <c r="AC210" i="6" s="1"/>
  <c r="U211" i="6"/>
  <c r="AA211" i="6" s="1"/>
  <c r="W211" i="6"/>
  <c r="AC211" i="6" s="1"/>
  <c r="U212" i="6"/>
  <c r="AA212" i="6" s="1"/>
  <c r="W212" i="6"/>
  <c r="AC212" i="6" s="1"/>
  <c r="U213" i="6"/>
  <c r="AA213" i="6" s="1"/>
  <c r="W213" i="6"/>
  <c r="AC213" i="6" s="1"/>
  <c r="U214" i="6"/>
  <c r="AA214" i="6" s="1"/>
  <c r="W214" i="6"/>
  <c r="AC214" i="6" s="1"/>
  <c r="U215" i="6"/>
  <c r="AA215" i="6" s="1"/>
  <c r="W215" i="6"/>
  <c r="AC215" i="6" s="1"/>
  <c r="U216" i="6"/>
  <c r="AA216" i="6" s="1"/>
  <c r="W216" i="6"/>
  <c r="AC216" i="6" s="1"/>
  <c r="U217" i="6"/>
  <c r="AA217" i="6" s="1"/>
  <c r="W217" i="6"/>
  <c r="AC217" i="6" s="1"/>
  <c r="U218" i="6"/>
  <c r="AA218" i="6" s="1"/>
  <c r="W218" i="6"/>
  <c r="AC218" i="6" s="1"/>
  <c r="U219" i="6"/>
  <c r="AA219" i="6" s="1"/>
  <c r="W219" i="6"/>
  <c r="AC219" i="6" s="1"/>
  <c r="U220" i="6"/>
  <c r="AA220" i="6" s="1"/>
  <c r="W220" i="6"/>
  <c r="AC220" i="6" s="1"/>
  <c r="U221" i="6"/>
  <c r="AA221" i="6" s="1"/>
  <c r="W221" i="6"/>
  <c r="AC221" i="6" s="1"/>
  <c r="U222" i="6"/>
  <c r="AA222" i="6" s="1"/>
  <c r="W222" i="6"/>
  <c r="AC222" i="6" s="1"/>
  <c r="U223" i="6"/>
  <c r="AA223" i="6" s="1"/>
  <c r="W223" i="6"/>
  <c r="AC223" i="6" s="1"/>
  <c r="U224" i="6"/>
  <c r="AA224" i="6" s="1"/>
  <c r="W224" i="6"/>
  <c r="AC224" i="6" s="1"/>
  <c r="U225" i="6"/>
  <c r="AA225" i="6" s="1"/>
  <c r="W225" i="6"/>
  <c r="AC225" i="6" s="1"/>
  <c r="U226" i="6"/>
  <c r="AA226" i="6" s="1"/>
  <c r="W226" i="6"/>
  <c r="AC226" i="6" s="1"/>
  <c r="U227" i="6"/>
  <c r="AA227" i="6" s="1"/>
  <c r="W227" i="6"/>
  <c r="AC227" i="6" s="1"/>
  <c r="U228" i="6"/>
  <c r="AA228" i="6" s="1"/>
  <c r="W228" i="6"/>
  <c r="AC228" i="6" s="1"/>
  <c r="U229" i="6"/>
  <c r="AA229" i="6" s="1"/>
  <c r="W229" i="6"/>
  <c r="AC229" i="6" s="1"/>
  <c r="U230" i="6"/>
  <c r="AA230" i="6" s="1"/>
  <c r="W230" i="6"/>
  <c r="AC230" i="6" s="1"/>
  <c r="U231" i="6"/>
  <c r="AA231" i="6" s="1"/>
  <c r="W231" i="6"/>
  <c r="AC231" i="6" s="1"/>
  <c r="U232" i="6"/>
  <c r="AA232" i="6" s="1"/>
  <c r="W232" i="6"/>
  <c r="AC232" i="6" s="1"/>
  <c r="U233" i="6"/>
  <c r="AA233" i="6" s="1"/>
  <c r="W233" i="6"/>
  <c r="AC233" i="6" s="1"/>
  <c r="U234" i="6"/>
  <c r="AA234" i="6" s="1"/>
  <c r="W234" i="6"/>
  <c r="AC234" i="6" s="1"/>
  <c r="U235" i="6"/>
  <c r="AA235" i="6" s="1"/>
  <c r="W235" i="6"/>
  <c r="AC235" i="6" s="1"/>
  <c r="U236" i="6"/>
  <c r="W236" i="6"/>
  <c r="AC236" i="6" s="1"/>
  <c r="AA236" i="6"/>
  <c r="U237" i="6"/>
  <c r="AA237" i="6" s="1"/>
  <c r="W237" i="6"/>
  <c r="AC237" i="6" s="1"/>
  <c r="U238" i="6"/>
  <c r="AA238" i="6" s="1"/>
  <c r="W238" i="6"/>
  <c r="AC238" i="6"/>
  <c r="U239" i="6"/>
  <c r="AA239" i="6" s="1"/>
  <c r="W239" i="6"/>
  <c r="AC239" i="6" s="1"/>
  <c r="U240" i="6"/>
  <c r="AA240" i="6" s="1"/>
  <c r="W240" i="6"/>
  <c r="AC240" i="6"/>
  <c r="U241" i="6"/>
  <c r="AA241" i="6" s="1"/>
  <c r="W241" i="6"/>
  <c r="AC241" i="6" s="1"/>
  <c r="U242" i="6"/>
  <c r="AA242" i="6" s="1"/>
  <c r="W242" i="6"/>
  <c r="AC242" i="6" s="1"/>
  <c r="U243" i="6"/>
  <c r="AA243" i="6" s="1"/>
  <c r="W243" i="6"/>
  <c r="AC243" i="6" s="1"/>
  <c r="U244" i="6"/>
  <c r="AA244" i="6" s="1"/>
  <c r="W244" i="6"/>
  <c r="AC244" i="6" s="1"/>
  <c r="U245" i="6"/>
  <c r="AA245" i="6" s="1"/>
  <c r="W245" i="6"/>
  <c r="AC245" i="6" s="1"/>
  <c r="U246" i="6"/>
  <c r="AA246" i="6" s="1"/>
  <c r="W246" i="6"/>
  <c r="AC246" i="6" s="1"/>
  <c r="U247" i="6"/>
  <c r="AA247" i="6" s="1"/>
  <c r="W247" i="6"/>
  <c r="AC247" i="6" s="1"/>
  <c r="U248" i="6"/>
  <c r="AA248" i="6" s="1"/>
  <c r="W248" i="6"/>
  <c r="AC248" i="6" s="1"/>
  <c r="U249" i="6"/>
  <c r="AA249" i="6" s="1"/>
  <c r="W249" i="6"/>
  <c r="AC249" i="6" s="1"/>
  <c r="U250" i="6"/>
  <c r="AA250" i="6" s="1"/>
  <c r="W250" i="6"/>
  <c r="AC250" i="6" s="1"/>
  <c r="U251" i="6"/>
  <c r="AA251" i="6" s="1"/>
  <c r="W251" i="6"/>
  <c r="AC251" i="6" s="1"/>
  <c r="U252" i="6"/>
  <c r="AA252" i="6" s="1"/>
  <c r="W252" i="6"/>
  <c r="AC252" i="6" s="1"/>
  <c r="U253" i="6"/>
  <c r="AA253" i="6" s="1"/>
  <c r="W253" i="6"/>
  <c r="AC253" i="6" s="1"/>
  <c r="U254" i="6"/>
  <c r="AA254" i="6" s="1"/>
  <c r="W254" i="6"/>
  <c r="AC254" i="6" s="1"/>
  <c r="U255" i="6"/>
  <c r="AA255" i="6" s="1"/>
  <c r="W255" i="6"/>
  <c r="AC255" i="6" s="1"/>
  <c r="U256" i="6"/>
  <c r="AA256" i="6" s="1"/>
  <c r="W256" i="6"/>
  <c r="AC256" i="6" s="1"/>
  <c r="U257" i="6"/>
  <c r="AA257" i="6" s="1"/>
  <c r="W257" i="6"/>
  <c r="AC257" i="6" s="1"/>
  <c r="U258" i="6"/>
  <c r="AA258" i="6" s="1"/>
  <c r="W258" i="6"/>
  <c r="AC258" i="6" s="1"/>
  <c r="U259" i="6"/>
  <c r="AA259" i="6" s="1"/>
  <c r="W259" i="6"/>
  <c r="AC259" i="6" s="1"/>
  <c r="U260" i="6"/>
  <c r="AA260" i="6" s="1"/>
  <c r="W260" i="6"/>
  <c r="AC260" i="6" s="1"/>
  <c r="U261" i="6"/>
  <c r="AA261" i="6" s="1"/>
  <c r="W261" i="6"/>
  <c r="AC261" i="6" s="1"/>
  <c r="U262" i="6"/>
  <c r="AA262" i="6" s="1"/>
  <c r="W262" i="6"/>
  <c r="AC262" i="6" s="1"/>
  <c r="U263" i="6"/>
  <c r="AA263" i="6" s="1"/>
  <c r="W263" i="6"/>
  <c r="AC263" i="6" s="1"/>
  <c r="U264" i="6"/>
  <c r="AA264" i="6" s="1"/>
  <c r="W264" i="6"/>
  <c r="AC264" i="6" s="1"/>
  <c r="U265" i="6"/>
  <c r="AA265" i="6" s="1"/>
  <c r="W265" i="6"/>
  <c r="AC265" i="6" s="1"/>
  <c r="U266" i="6"/>
  <c r="AA266" i="6" s="1"/>
  <c r="W266" i="6"/>
  <c r="AC266" i="6" s="1"/>
  <c r="U267" i="6"/>
  <c r="AA267" i="6" s="1"/>
  <c r="W267" i="6"/>
  <c r="AC267" i="6" s="1"/>
  <c r="U268" i="6"/>
  <c r="AA268" i="6" s="1"/>
  <c r="W268" i="6"/>
  <c r="AC268" i="6" s="1"/>
  <c r="U269" i="6"/>
  <c r="AA269" i="6" s="1"/>
  <c r="W269" i="6"/>
  <c r="AC269" i="6" s="1"/>
  <c r="U270" i="6"/>
  <c r="AA270" i="6" s="1"/>
  <c r="W270" i="6"/>
  <c r="AC270" i="6" s="1"/>
  <c r="U271" i="6"/>
  <c r="AA271" i="6" s="1"/>
  <c r="W271" i="6"/>
  <c r="AC271" i="6" s="1"/>
  <c r="U272" i="6"/>
  <c r="AA272" i="6" s="1"/>
  <c r="W272" i="6"/>
  <c r="AC272" i="6" s="1"/>
  <c r="U273" i="6"/>
  <c r="AA273" i="6" s="1"/>
  <c r="W273" i="6"/>
  <c r="AC273" i="6" s="1"/>
  <c r="U274" i="6"/>
  <c r="AA274" i="6" s="1"/>
  <c r="W274" i="6"/>
  <c r="AC274" i="6" s="1"/>
  <c r="U275" i="6"/>
  <c r="AA275" i="6" s="1"/>
  <c r="W275" i="6"/>
  <c r="AC275" i="6" s="1"/>
  <c r="U276" i="6"/>
  <c r="AA276" i="6" s="1"/>
  <c r="W276" i="6"/>
  <c r="AC276" i="6" s="1"/>
  <c r="U277" i="6"/>
  <c r="AA277" i="6" s="1"/>
  <c r="W277" i="6"/>
  <c r="AC277" i="6" s="1"/>
  <c r="U278" i="6"/>
  <c r="AA278" i="6" s="1"/>
  <c r="W278" i="6"/>
  <c r="AC278" i="6" s="1"/>
  <c r="U279" i="6"/>
  <c r="AA279" i="6" s="1"/>
  <c r="W279" i="6"/>
  <c r="AC279" i="6" s="1"/>
  <c r="U280" i="6"/>
  <c r="AA280" i="6" s="1"/>
  <c r="W280" i="6"/>
  <c r="AC280" i="6" s="1"/>
  <c r="U281" i="6"/>
  <c r="AA281" i="6" s="1"/>
  <c r="W281" i="6"/>
  <c r="AC281" i="6" s="1"/>
  <c r="U282" i="6"/>
  <c r="AA282" i="6" s="1"/>
  <c r="W282" i="6"/>
  <c r="AC282" i="6" s="1"/>
  <c r="U283" i="6"/>
  <c r="AA283" i="6" s="1"/>
  <c r="W283" i="6"/>
  <c r="AC283" i="6" s="1"/>
  <c r="U284" i="6"/>
  <c r="AA284" i="6" s="1"/>
  <c r="W284" i="6"/>
  <c r="AC284" i="6" s="1"/>
  <c r="U285" i="6"/>
  <c r="AA285" i="6" s="1"/>
  <c r="W285" i="6"/>
  <c r="AC285" i="6" s="1"/>
  <c r="U286" i="6"/>
  <c r="AA286" i="6" s="1"/>
  <c r="W286" i="6"/>
  <c r="AC286" i="6" s="1"/>
  <c r="U287" i="6"/>
  <c r="AA287" i="6" s="1"/>
  <c r="W287" i="6"/>
  <c r="AC287" i="6" s="1"/>
  <c r="U288" i="6"/>
  <c r="AA288" i="6" s="1"/>
  <c r="W288" i="6"/>
  <c r="AC288" i="6" s="1"/>
  <c r="U289" i="6"/>
  <c r="AA289" i="6" s="1"/>
  <c r="W289" i="6"/>
  <c r="AC289" i="6" s="1"/>
  <c r="U290" i="6"/>
  <c r="AA290" i="6" s="1"/>
  <c r="W290" i="6"/>
  <c r="AC290" i="6" s="1"/>
  <c r="U291" i="6"/>
  <c r="AA291" i="6" s="1"/>
  <c r="W291" i="6"/>
  <c r="AC291" i="6" s="1"/>
  <c r="U292" i="6"/>
  <c r="AA292" i="6" s="1"/>
  <c r="W292" i="6"/>
  <c r="AC292" i="6" s="1"/>
  <c r="U293" i="6"/>
  <c r="AA293" i="6" s="1"/>
  <c r="W293" i="6"/>
  <c r="AC293" i="6" s="1"/>
  <c r="U294" i="6"/>
  <c r="AA294" i="6" s="1"/>
  <c r="W294" i="6"/>
  <c r="AC294" i="6" s="1"/>
  <c r="U295" i="6"/>
  <c r="AA295" i="6" s="1"/>
  <c r="W295" i="6"/>
  <c r="AC295" i="6" s="1"/>
  <c r="U296" i="6"/>
  <c r="AA296" i="6" s="1"/>
  <c r="W296" i="6"/>
  <c r="AC296" i="6" s="1"/>
  <c r="U297" i="6"/>
  <c r="AA297" i="6" s="1"/>
  <c r="W297" i="6"/>
  <c r="AC297" i="6" s="1"/>
  <c r="U298" i="6"/>
  <c r="AA298" i="6" s="1"/>
  <c r="W298" i="6"/>
  <c r="AC298" i="6" s="1"/>
  <c r="U299" i="6"/>
  <c r="AA299" i="6" s="1"/>
  <c r="W299" i="6"/>
  <c r="AC299" i="6" s="1"/>
  <c r="U300" i="6"/>
  <c r="AA300" i="6" s="1"/>
  <c r="W300" i="6"/>
  <c r="AC300" i="6" s="1"/>
  <c r="U301" i="6"/>
  <c r="AA301" i="6" s="1"/>
  <c r="W301" i="6"/>
  <c r="AC301" i="6" s="1"/>
  <c r="U302" i="6"/>
  <c r="AA302" i="6" s="1"/>
  <c r="W302" i="6"/>
  <c r="AC302" i="6" s="1"/>
  <c r="U303" i="6"/>
  <c r="AA303" i="6" s="1"/>
  <c r="W303" i="6"/>
  <c r="AC303" i="6" s="1"/>
  <c r="U304" i="6"/>
  <c r="AA304" i="6" s="1"/>
  <c r="W304" i="6"/>
  <c r="AC304" i="6" s="1"/>
  <c r="U305" i="6"/>
  <c r="AA305" i="6" s="1"/>
  <c r="W305" i="6"/>
  <c r="AC305" i="6" s="1"/>
  <c r="U306" i="6"/>
  <c r="AA306" i="6" s="1"/>
  <c r="W306" i="6"/>
  <c r="AC306" i="6" s="1"/>
  <c r="U307" i="6"/>
  <c r="AA307" i="6" s="1"/>
  <c r="W307" i="6"/>
  <c r="AC307" i="6" s="1"/>
  <c r="U308" i="6"/>
  <c r="AA308" i="6" s="1"/>
  <c r="W308" i="6"/>
  <c r="AC308" i="6" s="1"/>
  <c r="U309" i="6"/>
  <c r="AA309" i="6" s="1"/>
  <c r="W309" i="6"/>
  <c r="AC309" i="6" s="1"/>
  <c r="U310" i="6"/>
  <c r="W310" i="6"/>
  <c r="AC310" i="6" s="1"/>
  <c r="AA310" i="6"/>
  <c r="U311" i="6"/>
  <c r="AA311" i="6" s="1"/>
  <c r="W311" i="6"/>
  <c r="AC311" i="6" s="1"/>
  <c r="U312" i="6"/>
  <c r="AA312" i="6" s="1"/>
  <c r="W312" i="6"/>
  <c r="AC312" i="6"/>
  <c r="U313" i="6"/>
  <c r="AA313" i="6" s="1"/>
  <c r="W313" i="6"/>
  <c r="AC313" i="6" s="1"/>
  <c r="U314" i="6"/>
  <c r="AA314" i="6" s="1"/>
  <c r="W314" i="6"/>
  <c r="AC314" i="6" s="1"/>
  <c r="U315" i="6"/>
  <c r="AA315" i="6" s="1"/>
  <c r="W315" i="6"/>
  <c r="AC315" i="6" s="1"/>
  <c r="U316" i="6"/>
  <c r="AA316" i="6" s="1"/>
  <c r="W316" i="6"/>
  <c r="AC316" i="6" s="1"/>
  <c r="U317" i="6"/>
  <c r="AA317" i="6" s="1"/>
  <c r="W317" i="6"/>
  <c r="AC317" i="6" s="1"/>
  <c r="U318" i="6"/>
  <c r="AA318" i="6" s="1"/>
  <c r="W318" i="6"/>
  <c r="AC318" i="6" s="1"/>
  <c r="U319" i="6"/>
  <c r="AA319" i="6" s="1"/>
  <c r="W319" i="6"/>
  <c r="AC319" i="6" s="1"/>
  <c r="U320" i="6"/>
  <c r="AA320" i="6" s="1"/>
  <c r="W320" i="6"/>
  <c r="AC320" i="6" s="1"/>
  <c r="U321" i="6"/>
  <c r="AA321" i="6" s="1"/>
  <c r="W321" i="6"/>
  <c r="AC321" i="6" s="1"/>
  <c r="U322" i="6"/>
  <c r="AA322" i="6" s="1"/>
  <c r="W322" i="6"/>
  <c r="AC322" i="6" s="1"/>
  <c r="U323" i="6"/>
  <c r="W323" i="6"/>
  <c r="AC323" i="6" s="1"/>
  <c r="AA323" i="6"/>
  <c r="U324" i="6"/>
  <c r="AA324" i="6" s="1"/>
  <c r="W324" i="6"/>
  <c r="AC324" i="6" s="1"/>
  <c r="U325" i="6"/>
  <c r="W325" i="6"/>
  <c r="AC325" i="6" s="1"/>
  <c r="AA325" i="6"/>
  <c r="U326" i="6"/>
  <c r="AA326" i="6" s="1"/>
  <c r="W326" i="6"/>
  <c r="AC326" i="6" s="1"/>
  <c r="U327" i="6"/>
  <c r="AA327" i="6" s="1"/>
  <c r="W327" i="6"/>
  <c r="AC327" i="6" s="1"/>
  <c r="U328" i="6"/>
  <c r="AA328" i="6" s="1"/>
  <c r="W328" i="6"/>
  <c r="AC328" i="6"/>
  <c r="U329" i="6"/>
  <c r="AA329" i="6" s="1"/>
  <c r="W329" i="6"/>
  <c r="AC329" i="6" s="1"/>
  <c r="U330" i="6"/>
  <c r="AA330" i="6" s="1"/>
  <c r="W330" i="6"/>
  <c r="AC330" i="6" s="1"/>
  <c r="U331" i="6"/>
  <c r="AA331" i="6" s="1"/>
  <c r="W331" i="6"/>
  <c r="AC331" i="6" s="1"/>
  <c r="U332" i="6"/>
  <c r="AA332" i="6" s="1"/>
  <c r="W332" i="6"/>
  <c r="AC332" i="6" s="1"/>
  <c r="U333" i="6"/>
  <c r="AA333" i="6" s="1"/>
  <c r="W333" i="6"/>
  <c r="AC333" i="6" s="1"/>
  <c r="U334" i="6"/>
  <c r="AA334" i="6" s="1"/>
  <c r="W334" i="6"/>
  <c r="AC334" i="6" s="1"/>
  <c r="U335" i="6"/>
  <c r="AA335" i="6" s="1"/>
  <c r="W335" i="6"/>
  <c r="AC335" i="6" s="1"/>
  <c r="U336" i="6"/>
  <c r="AA336" i="6" s="1"/>
  <c r="W336" i="6"/>
  <c r="AC336" i="6" s="1"/>
  <c r="U337" i="6"/>
  <c r="AA337" i="6" s="1"/>
  <c r="W337" i="6"/>
  <c r="AC337" i="6" s="1"/>
  <c r="U338" i="6"/>
  <c r="AA338" i="6" s="1"/>
  <c r="W338" i="6"/>
  <c r="AC338" i="6" s="1"/>
  <c r="U339" i="6"/>
  <c r="AA339" i="6" s="1"/>
  <c r="W339" i="6"/>
  <c r="AC339" i="6"/>
  <c r="U340" i="6"/>
  <c r="AA340" i="6" s="1"/>
  <c r="W340" i="6"/>
  <c r="AC340" i="6" s="1"/>
  <c r="U341" i="6"/>
  <c r="AA341" i="6" s="1"/>
  <c r="W341" i="6"/>
  <c r="AC341" i="6"/>
  <c r="U342" i="6"/>
  <c r="AA342" i="6" s="1"/>
  <c r="W342" i="6"/>
  <c r="AC342" i="6" s="1"/>
  <c r="U343" i="6"/>
  <c r="AA343" i="6" s="1"/>
  <c r="W343" i="6"/>
  <c r="AC343" i="6" s="1"/>
  <c r="U344" i="6"/>
  <c r="AA344" i="6" s="1"/>
  <c r="W344" i="6"/>
  <c r="AC344" i="6"/>
  <c r="U345" i="6"/>
  <c r="AA345" i="6" s="1"/>
  <c r="W345" i="6"/>
  <c r="AC345" i="6" s="1"/>
  <c r="U346" i="6"/>
  <c r="AA346" i="6" s="1"/>
  <c r="W346" i="6"/>
  <c r="AC346" i="6" s="1"/>
  <c r="U347" i="6"/>
  <c r="AA347" i="6" s="1"/>
  <c r="W347" i="6"/>
  <c r="AC347" i="6" s="1"/>
  <c r="U348" i="6"/>
  <c r="AA348" i="6" s="1"/>
  <c r="W348" i="6"/>
  <c r="AC348" i="6" s="1"/>
  <c r="U349" i="6"/>
  <c r="AA349" i="6" s="1"/>
  <c r="W349" i="6"/>
  <c r="AC349" i="6"/>
  <c r="U350" i="6"/>
  <c r="AA350" i="6" s="1"/>
  <c r="W350" i="6"/>
  <c r="AC350" i="6" s="1"/>
  <c r="U351" i="6"/>
  <c r="AA351" i="6" s="1"/>
  <c r="W351" i="6"/>
  <c r="AC351" i="6"/>
  <c r="U352" i="6"/>
  <c r="AA352" i="6" s="1"/>
  <c r="W352" i="6"/>
  <c r="AC352" i="6" s="1"/>
  <c r="U353" i="6"/>
  <c r="AA353" i="6" s="1"/>
  <c r="W353" i="6"/>
  <c r="AC353" i="6" s="1"/>
  <c r="U354" i="6"/>
  <c r="AA354" i="6" s="1"/>
  <c r="W354" i="6"/>
  <c r="AC354" i="6" s="1"/>
  <c r="U355" i="6"/>
  <c r="AA355" i="6" s="1"/>
  <c r="W355" i="6"/>
  <c r="AC355" i="6"/>
  <c r="U356" i="6"/>
  <c r="AA356" i="6" s="1"/>
  <c r="W356" i="6"/>
  <c r="AC356" i="6" s="1"/>
  <c r="U357" i="6"/>
  <c r="AA357" i="6" s="1"/>
  <c r="W357" i="6"/>
  <c r="AC357" i="6" s="1"/>
  <c r="U358" i="6"/>
  <c r="AA358" i="6" s="1"/>
  <c r="W358" i="6"/>
  <c r="AC358" i="6" s="1"/>
  <c r="U359" i="6"/>
  <c r="AA359" i="6" s="1"/>
  <c r="W359" i="6"/>
  <c r="AC359" i="6" s="1"/>
  <c r="U360" i="6"/>
  <c r="AA360" i="6" s="1"/>
  <c r="W360" i="6"/>
  <c r="AC360" i="6" s="1"/>
  <c r="U361" i="6"/>
  <c r="AA361" i="6" s="1"/>
  <c r="W361" i="6"/>
  <c r="AC361" i="6" s="1"/>
  <c r="U362" i="6"/>
  <c r="AA362" i="6" s="1"/>
  <c r="W362" i="6"/>
  <c r="AC362" i="6" s="1"/>
  <c r="U363" i="6"/>
  <c r="AA363" i="6" s="1"/>
  <c r="W363" i="6"/>
  <c r="AC363" i="6" s="1"/>
  <c r="U364" i="6"/>
  <c r="AA364" i="6" s="1"/>
  <c r="W364" i="6"/>
  <c r="AC364" i="6" s="1"/>
  <c r="U365" i="6"/>
  <c r="AA365" i="6" s="1"/>
  <c r="W365" i="6"/>
  <c r="AC365" i="6" s="1"/>
  <c r="U366" i="6"/>
  <c r="AA366" i="6" s="1"/>
  <c r="W366" i="6"/>
  <c r="AC366" i="6" s="1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7" i="5"/>
  <c r="M8" i="5" l="1"/>
  <c r="CO343" i="5"/>
  <c r="B19" i="9"/>
  <c r="K18" i="9"/>
  <c r="BY275" i="5"/>
  <c r="CO275" i="5"/>
  <c r="O9" i="9" s="1" a="1"/>
  <c r="O9" i="9" s="1"/>
  <c r="K17" i="9"/>
  <c r="E16" i="9"/>
  <c r="H16" i="9"/>
  <c r="V340" i="6"/>
  <c r="AB340" i="6" s="1"/>
  <c r="T340" i="6"/>
  <c r="Z340" i="6" s="1"/>
  <c r="M340" i="5" s="1"/>
  <c r="V268" i="6"/>
  <c r="AB268" i="6" s="1"/>
  <c r="T268" i="6"/>
  <c r="Z268" i="6" s="1"/>
  <c r="M268" i="5" s="1"/>
  <c r="AH268" i="5"/>
  <c r="T240" i="6"/>
  <c r="Z240" i="6" s="1"/>
  <c r="M240" i="5" s="1"/>
  <c r="V240" i="6"/>
  <c r="AB240" i="6" s="1"/>
  <c r="V231" i="6"/>
  <c r="AB231" i="6" s="1"/>
  <c r="T231" i="6"/>
  <c r="Z231" i="6" s="1"/>
  <c r="M231" i="5" s="1"/>
  <c r="V151" i="6"/>
  <c r="AB151" i="6" s="1"/>
  <c r="T151" i="6"/>
  <c r="Z151" i="6" s="1"/>
  <c r="M151" i="5" s="1"/>
  <c r="V124" i="6"/>
  <c r="AB124" i="6" s="1"/>
  <c r="T124" i="6"/>
  <c r="Z124" i="6" s="1"/>
  <c r="M124" i="5" s="1"/>
  <c r="V348" i="6"/>
  <c r="AB348" i="6" s="1"/>
  <c r="T348" i="6"/>
  <c r="Z348" i="6" s="1"/>
  <c r="M348" i="5" s="1"/>
  <c r="T252" i="6"/>
  <c r="Z252" i="6" s="1"/>
  <c r="M252" i="5" s="1"/>
  <c r="V252" i="6"/>
  <c r="AB252" i="6" s="1"/>
  <c r="V187" i="6"/>
  <c r="AB187" i="6" s="1"/>
  <c r="T187" i="6"/>
  <c r="Z187" i="6" s="1"/>
  <c r="M187" i="5" s="1"/>
  <c r="V179" i="6"/>
  <c r="AB179" i="6" s="1"/>
  <c r="T179" i="6"/>
  <c r="Z179" i="6" s="1"/>
  <c r="M179" i="5" s="1"/>
  <c r="V356" i="6"/>
  <c r="AB356" i="6" s="1"/>
  <c r="T356" i="6"/>
  <c r="Z356" i="6" s="1"/>
  <c r="M356" i="5" s="1"/>
  <c r="V214" i="6"/>
  <c r="AB214" i="6" s="1"/>
  <c r="T214" i="6"/>
  <c r="Z214" i="6" s="1"/>
  <c r="M214" i="5" s="1"/>
  <c r="T148" i="6"/>
  <c r="Z148" i="6" s="1"/>
  <c r="M148" i="5" s="1"/>
  <c r="V148" i="6"/>
  <c r="AB148" i="6" s="1"/>
  <c r="T280" i="6"/>
  <c r="Z280" i="6" s="1"/>
  <c r="M280" i="5" s="1"/>
  <c r="V280" i="6"/>
  <c r="AB280" i="6" s="1"/>
  <c r="V258" i="6"/>
  <c r="AB258" i="6" s="1"/>
  <c r="T258" i="6"/>
  <c r="Z258" i="6" s="1"/>
  <c r="M258" i="5" s="1"/>
  <c r="V364" i="6"/>
  <c r="AB364" i="6" s="1"/>
  <c r="T364" i="6"/>
  <c r="Z364" i="6" s="1"/>
  <c r="M364" i="5" s="1"/>
  <c r="T288" i="6"/>
  <c r="Z288" i="6" s="1"/>
  <c r="M288" i="5" s="1"/>
  <c r="V288" i="6"/>
  <c r="AB288" i="6" s="1"/>
  <c r="T224" i="6"/>
  <c r="Z224" i="6" s="1"/>
  <c r="M224" i="5" s="1"/>
  <c r="V224" i="6"/>
  <c r="AB224" i="6" s="1"/>
  <c r="V211" i="6"/>
  <c r="AB211" i="6" s="1"/>
  <c r="T211" i="6"/>
  <c r="Z211" i="6" s="1"/>
  <c r="M211" i="5" s="1"/>
  <c r="T200" i="6"/>
  <c r="Z200" i="6" s="1"/>
  <c r="M200" i="5" s="1"/>
  <c r="V200" i="6"/>
  <c r="AB200" i="6" s="1"/>
  <c r="V147" i="6"/>
  <c r="AB147" i="6" s="1"/>
  <c r="T147" i="6"/>
  <c r="Z147" i="6" s="1"/>
  <c r="M147" i="5" s="1"/>
  <c r="V308" i="6"/>
  <c r="AB308" i="6" s="1"/>
  <c r="T308" i="6"/>
  <c r="Z308" i="6" s="1"/>
  <c r="M308" i="5" s="1"/>
  <c r="V95" i="6"/>
  <c r="AB95" i="6" s="1"/>
  <c r="T95" i="6"/>
  <c r="Z95" i="6" s="1"/>
  <c r="M95" i="5" s="1"/>
  <c r="AH151" i="5"/>
  <c r="T359" i="6"/>
  <c r="Z359" i="6" s="1"/>
  <c r="M359" i="5" s="1"/>
  <c r="V324" i="6"/>
  <c r="AB324" i="6" s="1"/>
  <c r="T324" i="6"/>
  <c r="Z324" i="6" s="1"/>
  <c r="M324" i="5" s="1"/>
  <c r="V316" i="6"/>
  <c r="AB316" i="6" s="1"/>
  <c r="T316" i="6"/>
  <c r="Z316" i="6" s="1"/>
  <c r="M316" i="5" s="1"/>
  <c r="T299" i="6"/>
  <c r="Z299" i="6" s="1"/>
  <c r="M299" i="5" s="1"/>
  <c r="V295" i="6"/>
  <c r="AB295" i="6" s="1"/>
  <c r="T295" i="6"/>
  <c r="Z295" i="6" s="1"/>
  <c r="M295" i="5" s="1"/>
  <c r="V247" i="6"/>
  <c r="AB247" i="6" s="1"/>
  <c r="T247" i="6"/>
  <c r="Z247" i="6" s="1"/>
  <c r="M247" i="5" s="1"/>
  <c r="V238" i="6"/>
  <c r="AB238" i="6" s="1"/>
  <c r="T238" i="6"/>
  <c r="Z238" i="6" s="1"/>
  <c r="M238" i="5" s="1"/>
  <c r="T204" i="6"/>
  <c r="Z204" i="6" s="1"/>
  <c r="M204" i="5" s="1"/>
  <c r="V204" i="6"/>
  <c r="AB204" i="6" s="1"/>
  <c r="V183" i="6"/>
  <c r="AB183" i="6" s="1"/>
  <c r="T183" i="6"/>
  <c r="Z183" i="6" s="1"/>
  <c r="M183" i="5" s="1"/>
  <c r="V127" i="6"/>
  <c r="AB127" i="6" s="1"/>
  <c r="T127" i="6"/>
  <c r="Z127" i="6" s="1"/>
  <c r="M127" i="5" s="1"/>
  <c r="V60" i="6"/>
  <c r="AB60" i="6" s="1"/>
  <c r="T60" i="6"/>
  <c r="Z60" i="6" s="1"/>
  <c r="M60" i="5" s="1"/>
  <c r="BN151" i="5"/>
  <c r="AH124" i="5"/>
  <c r="V332" i="6"/>
  <c r="AB332" i="6" s="1"/>
  <c r="T332" i="6"/>
  <c r="Z332" i="6" s="1"/>
  <c r="M332" i="5" s="1"/>
  <c r="V303" i="6"/>
  <c r="AB303" i="6" s="1"/>
  <c r="T303" i="6"/>
  <c r="Z303" i="6" s="1"/>
  <c r="M303" i="5" s="1"/>
  <c r="V273" i="6"/>
  <c r="AB273" i="6" s="1"/>
  <c r="T273" i="6"/>
  <c r="Z273" i="6" s="1"/>
  <c r="M273" i="5" s="1"/>
  <c r="T180" i="6"/>
  <c r="Z180" i="6" s="1"/>
  <c r="M180" i="5" s="1"/>
  <c r="V180" i="6"/>
  <c r="AB180" i="6" s="1"/>
  <c r="V92" i="6"/>
  <c r="AB92" i="6" s="1"/>
  <c r="T92" i="6"/>
  <c r="Z92" i="6" s="1"/>
  <c r="M92" i="5" s="1"/>
  <c r="V304" i="6"/>
  <c r="AB304" i="6" s="1"/>
  <c r="V216" i="6"/>
  <c r="AB216" i="6" s="1"/>
  <c r="T195" i="6"/>
  <c r="Z195" i="6" s="1"/>
  <c r="M195" i="5" s="1"/>
  <c r="V172" i="6"/>
  <c r="AB172" i="6" s="1"/>
  <c r="V155" i="6"/>
  <c r="AB155" i="6" s="1"/>
  <c r="T155" i="6"/>
  <c r="Z155" i="6" s="1"/>
  <c r="M155" i="5" s="1"/>
  <c r="T135" i="6"/>
  <c r="Z135" i="6" s="1"/>
  <c r="M135" i="5" s="1"/>
  <c r="V116" i="6"/>
  <c r="AB116" i="6" s="1"/>
  <c r="T116" i="6"/>
  <c r="Z116" i="6" s="1"/>
  <c r="M116" i="5" s="1"/>
  <c r="T103" i="6"/>
  <c r="Z103" i="6" s="1"/>
  <c r="M103" i="5" s="1"/>
  <c r="V84" i="6"/>
  <c r="AB84" i="6" s="1"/>
  <c r="T84" i="6"/>
  <c r="Z84" i="6" s="1"/>
  <c r="M84" i="5" s="1"/>
  <c r="T71" i="6"/>
  <c r="Z71" i="6" s="1"/>
  <c r="M71" i="5" s="1"/>
  <c r="T286" i="6"/>
  <c r="Z286" i="6" s="1"/>
  <c r="M286" i="5" s="1"/>
  <c r="T242" i="6"/>
  <c r="Z242" i="6" s="1"/>
  <c r="M242" i="5" s="1"/>
  <c r="T302" i="6"/>
  <c r="Z302" i="6" s="1"/>
  <c r="M302" i="5" s="1"/>
  <c r="T287" i="6"/>
  <c r="Z287" i="6" s="1"/>
  <c r="M287" i="5" s="1"/>
  <c r="T282" i="6"/>
  <c r="Z282" i="6" s="1"/>
  <c r="M282" i="5" s="1"/>
  <c r="T267" i="6"/>
  <c r="Z267" i="6" s="1"/>
  <c r="M267" i="5" s="1"/>
  <c r="T250" i="6"/>
  <c r="Z250" i="6" s="1"/>
  <c r="M250" i="5" s="1"/>
  <c r="T239" i="6"/>
  <c r="Z239" i="6" s="1"/>
  <c r="M239" i="5" s="1"/>
  <c r="V31" i="6"/>
  <c r="AB31" i="6" s="1"/>
  <c r="T31" i="6"/>
  <c r="Z31" i="6" s="1"/>
  <c r="M31" i="5" s="1"/>
  <c r="T278" i="6"/>
  <c r="Z278" i="6" s="1"/>
  <c r="M278" i="5" s="1"/>
  <c r="V272" i="6"/>
  <c r="AB272" i="6" s="1"/>
  <c r="T263" i="6"/>
  <c r="Z263" i="6" s="1"/>
  <c r="M263" i="5" s="1"/>
  <c r="T254" i="6"/>
  <c r="Z254" i="6" s="1"/>
  <c r="M254" i="5" s="1"/>
  <c r="T243" i="6"/>
  <c r="Z243" i="6" s="1"/>
  <c r="M243" i="5" s="1"/>
  <c r="V232" i="6"/>
  <c r="AB232" i="6" s="1"/>
  <c r="T230" i="6"/>
  <c r="Z230" i="6" s="1"/>
  <c r="M230" i="5" s="1"/>
  <c r="V212" i="6"/>
  <c r="AB212" i="6" s="1"/>
  <c r="V196" i="6"/>
  <c r="AB196" i="6" s="1"/>
  <c r="V171" i="6"/>
  <c r="AB171" i="6" s="1"/>
  <c r="T171" i="6"/>
  <c r="Z171" i="6" s="1"/>
  <c r="M171" i="5" s="1"/>
  <c r="V156" i="6"/>
  <c r="AB156" i="6" s="1"/>
  <c r="V132" i="6"/>
  <c r="AB132" i="6" s="1"/>
  <c r="T132" i="6"/>
  <c r="Z132" i="6" s="1"/>
  <c r="M132" i="5" s="1"/>
  <c r="T119" i="6"/>
  <c r="Z119" i="6" s="1"/>
  <c r="M119" i="5" s="1"/>
  <c r="V100" i="6"/>
  <c r="AB100" i="6" s="1"/>
  <c r="T100" i="6"/>
  <c r="Z100" i="6" s="1"/>
  <c r="M100" i="5" s="1"/>
  <c r="T87" i="6"/>
  <c r="Z87" i="6" s="1"/>
  <c r="M87" i="5" s="1"/>
  <c r="V68" i="6"/>
  <c r="AB68" i="6" s="1"/>
  <c r="T68" i="6"/>
  <c r="Z68" i="6" s="1"/>
  <c r="M68" i="5" s="1"/>
  <c r="V44" i="6"/>
  <c r="AB44" i="6" s="1"/>
  <c r="T44" i="6"/>
  <c r="Z44" i="6" s="1"/>
  <c r="M44" i="5" s="1"/>
  <c r="V42" i="6"/>
  <c r="AB42" i="6" s="1"/>
  <c r="T42" i="6"/>
  <c r="Z42" i="6" s="1"/>
  <c r="M42" i="5" s="1"/>
  <c r="V236" i="6"/>
  <c r="AB236" i="6" s="1"/>
  <c r="T199" i="6"/>
  <c r="Z199" i="6" s="1"/>
  <c r="M199" i="5" s="1"/>
  <c r="V184" i="6"/>
  <c r="AB184" i="6" s="1"/>
  <c r="T63" i="6"/>
  <c r="Z63" i="6" s="1"/>
  <c r="M63" i="5" s="1"/>
  <c r="V163" i="6"/>
  <c r="AB163" i="6" s="1"/>
  <c r="T163" i="6"/>
  <c r="Z163" i="6" s="1"/>
  <c r="M163" i="5" s="1"/>
  <c r="V140" i="6"/>
  <c r="AB140" i="6" s="1"/>
  <c r="T140" i="6"/>
  <c r="Z140" i="6" s="1"/>
  <c r="M140" i="5" s="1"/>
  <c r="V108" i="6"/>
  <c r="AB108" i="6" s="1"/>
  <c r="T108" i="6"/>
  <c r="Z108" i="6" s="1"/>
  <c r="M108" i="5" s="1"/>
  <c r="V76" i="6"/>
  <c r="AB76" i="6" s="1"/>
  <c r="T76" i="6"/>
  <c r="Z76" i="6" s="1"/>
  <c r="M76" i="5" s="1"/>
  <c r="V39" i="6"/>
  <c r="AB39" i="6" s="1"/>
  <c r="T39" i="6"/>
  <c r="Z39" i="6" s="1"/>
  <c r="M39" i="5" s="1"/>
  <c r="V36" i="6"/>
  <c r="AB36" i="6" s="1"/>
  <c r="T36" i="6"/>
  <c r="Z36" i="6" s="1"/>
  <c r="M36" i="5" s="1"/>
  <c r="T139" i="6"/>
  <c r="Z139" i="6" s="1"/>
  <c r="M139" i="5" s="1"/>
  <c r="T131" i="6"/>
  <c r="Z131" i="6" s="1"/>
  <c r="M131" i="5" s="1"/>
  <c r="T123" i="6"/>
  <c r="Z123" i="6" s="1"/>
  <c r="M123" i="5" s="1"/>
  <c r="T115" i="6"/>
  <c r="Z115" i="6" s="1"/>
  <c r="M115" i="5" s="1"/>
  <c r="T107" i="6"/>
  <c r="Z107" i="6" s="1"/>
  <c r="M107" i="5" s="1"/>
  <c r="T99" i="6"/>
  <c r="Z99" i="6" s="1"/>
  <c r="M99" i="5" s="1"/>
  <c r="T91" i="6"/>
  <c r="Z91" i="6" s="1"/>
  <c r="M91" i="5" s="1"/>
  <c r="T83" i="6"/>
  <c r="Z83" i="6" s="1"/>
  <c r="M83" i="5" s="1"/>
  <c r="T75" i="6"/>
  <c r="Z75" i="6" s="1"/>
  <c r="M75" i="5" s="1"/>
  <c r="T67" i="6"/>
  <c r="Z67" i="6" s="1"/>
  <c r="M67" i="5" s="1"/>
  <c r="T59" i="6"/>
  <c r="Z59" i="6" s="1"/>
  <c r="M59" i="5" s="1"/>
  <c r="V54" i="6"/>
  <c r="AB54" i="6" s="1"/>
  <c r="T54" i="6"/>
  <c r="Z54" i="6" s="1"/>
  <c r="M54" i="5" s="1"/>
  <c r="V40" i="6"/>
  <c r="AB40" i="6" s="1"/>
  <c r="V46" i="6"/>
  <c r="AB46" i="6" s="1"/>
  <c r="T46" i="6"/>
  <c r="Z46" i="6" s="1"/>
  <c r="M46" i="5" s="1"/>
  <c r="V52" i="6"/>
  <c r="AB52" i="6" s="1"/>
  <c r="T52" i="6"/>
  <c r="Z52" i="6" s="1"/>
  <c r="M52" i="5" s="1"/>
  <c r="V38" i="6"/>
  <c r="AB38" i="6" s="1"/>
  <c r="T38" i="6"/>
  <c r="Z38" i="6" s="1"/>
  <c r="M38" i="5" s="1"/>
  <c r="T23" i="6"/>
  <c r="Z23" i="6" s="1"/>
  <c r="M23" i="5" s="1"/>
  <c r="V23" i="6"/>
  <c r="AB23" i="6" s="1"/>
  <c r="V18" i="6"/>
  <c r="AB18" i="6" s="1"/>
  <c r="T18" i="6"/>
  <c r="Z18" i="6" s="1"/>
  <c r="M18" i="5" s="1"/>
  <c r="V16" i="6"/>
  <c r="AB16" i="6" s="1"/>
  <c r="T7" i="6"/>
  <c r="Z7" i="6" s="1"/>
  <c r="M7" i="5" s="1"/>
  <c r="N7" i="5" s="1"/>
  <c r="T28" i="6"/>
  <c r="Z28" i="6" s="1"/>
  <c r="M28" i="5" s="1"/>
  <c r="T20" i="6"/>
  <c r="Z20" i="6" s="1"/>
  <c r="M20" i="5" s="1"/>
  <c r="T30" i="6"/>
  <c r="Z30" i="6" s="1"/>
  <c r="M30" i="5" s="1"/>
  <c r="T22" i="6"/>
  <c r="Z22" i="6" s="1"/>
  <c r="M22" i="5" s="1"/>
  <c r="T14" i="6"/>
  <c r="Z14" i="6" s="1"/>
  <c r="M14" i="5" s="1"/>
  <c r="B16" i="8"/>
  <c r="B8" i="5"/>
  <c r="C7" i="5"/>
  <c r="AG7" i="5" s="1"/>
  <c r="C8" i="5"/>
  <c r="CF6" i="5"/>
  <c r="C16" i="8" l="1"/>
  <c r="G7" i="5"/>
  <c r="I7" i="5" s="1"/>
  <c r="J7" i="5" s="1"/>
  <c r="T7" i="5"/>
  <c r="I17" i="9" s="1"/>
  <c r="AM7" i="5"/>
  <c r="BO7" i="5"/>
  <c r="AS7" i="5"/>
  <c r="AI7" i="5"/>
  <c r="C7" i="6"/>
  <c r="H7" i="5"/>
  <c r="U12" i="5"/>
  <c r="CP7" i="5"/>
  <c r="AC7" i="5" s="1"/>
  <c r="E17" i="9"/>
  <c r="C17" i="8"/>
  <c r="AG8" i="5"/>
  <c r="AI8" i="5"/>
  <c r="C8" i="6"/>
  <c r="C9" i="5"/>
  <c r="B9" i="5"/>
  <c r="B17" i="8"/>
  <c r="B8" i="6"/>
  <c r="B20" i="9"/>
  <c r="K19" i="9"/>
  <c r="G4" i="8"/>
  <c r="AJ8" i="5" l="1"/>
  <c r="C18" i="8"/>
  <c r="AG9" i="5"/>
  <c r="C9" i="6"/>
  <c r="AI9" i="5"/>
  <c r="G8" i="5"/>
  <c r="O7" i="5"/>
  <c r="E8" i="5"/>
  <c r="K20" i="9"/>
  <c r="B21" i="9"/>
  <c r="B18" i="8"/>
  <c r="B10" i="5"/>
  <c r="C10" i="5" s="1"/>
  <c r="B9" i="6"/>
  <c r="AJ7" i="5"/>
  <c r="C19" i="8" l="1"/>
  <c r="AG10" i="5"/>
  <c r="C10" i="6"/>
  <c r="AI10" i="5"/>
  <c r="Q7" i="5"/>
  <c r="R7" i="5"/>
  <c r="K21" i="9"/>
  <c r="B22" i="9"/>
  <c r="B11" i="5"/>
  <c r="B19" i="8"/>
  <c r="B10" i="6"/>
  <c r="AJ9" i="5"/>
  <c r="H8" i="5"/>
  <c r="I8" i="5" s="1"/>
  <c r="J8" i="5" s="1"/>
  <c r="G9" i="5" l="1"/>
  <c r="E9" i="5"/>
  <c r="O8" i="5"/>
  <c r="B20" i="8"/>
  <c r="B12" i="5"/>
  <c r="C12" i="5" s="1"/>
  <c r="B11" i="6"/>
  <c r="K22" i="9"/>
  <c r="B23" i="9"/>
  <c r="F17" i="9"/>
  <c r="F14" i="9"/>
  <c r="H17" i="9"/>
  <c r="X7" i="5"/>
  <c r="E16" i="8"/>
  <c r="CN7" i="5"/>
  <c r="BT7" i="5"/>
  <c r="V7" i="5"/>
  <c r="AZ7" i="5"/>
  <c r="AJ10" i="5"/>
  <c r="C11" i="5"/>
  <c r="C21" i="8" l="1"/>
  <c r="C12" i="6"/>
  <c r="AG12" i="5"/>
  <c r="AI12" i="5"/>
  <c r="C20" i="8"/>
  <c r="AG11" i="5"/>
  <c r="AI11" i="5"/>
  <c r="C11" i="6"/>
  <c r="AK7" i="5"/>
  <c r="AN7" i="5"/>
  <c r="B21" i="8"/>
  <c r="B13" i="5"/>
  <c r="B12" i="6"/>
  <c r="L8" i="5"/>
  <c r="C17" i="9"/>
  <c r="H9" i="5"/>
  <c r="I9" i="5" s="1"/>
  <c r="J9" i="5" s="1"/>
  <c r="B24" i="9"/>
  <c r="G10" i="5" l="1"/>
  <c r="E10" i="5"/>
  <c r="O9" i="5"/>
  <c r="B22" i="8"/>
  <c r="B14" i="5"/>
  <c r="C14" i="5"/>
  <c r="B13" i="6"/>
  <c r="AJ12" i="5"/>
  <c r="C13" i="5"/>
  <c r="L17" i="9"/>
  <c r="AO7" i="5"/>
  <c r="AP7" i="5"/>
  <c r="AJ11" i="5"/>
  <c r="N8" i="5"/>
  <c r="R8" i="5" s="1"/>
  <c r="B25" i="9"/>
  <c r="F18" i="9" l="1"/>
  <c r="C22" i="8"/>
  <c r="AG13" i="5"/>
  <c r="AI13" i="5"/>
  <c r="C13" i="6"/>
  <c r="E18" i="9"/>
  <c r="U13" i="5"/>
  <c r="K23" i="9" s="1"/>
  <c r="CP8" i="5"/>
  <c r="AC8" i="5" s="1"/>
  <c r="B26" i="9"/>
  <c r="AT7" i="5"/>
  <c r="AX7" i="5" s="1"/>
  <c r="T8" i="5"/>
  <c r="I18" i="9" s="1"/>
  <c r="B23" i="8"/>
  <c r="B15" i="5"/>
  <c r="C15" i="5"/>
  <c r="B14" i="6"/>
  <c r="C23" i="8"/>
  <c r="AG14" i="5"/>
  <c r="AI14" i="5"/>
  <c r="C14" i="6"/>
  <c r="Q8" i="5"/>
  <c r="CN8" i="5" s="1"/>
  <c r="H10" i="5"/>
  <c r="I10" i="5"/>
  <c r="J10" i="5" s="1"/>
  <c r="V8" i="5" l="1"/>
  <c r="L9" i="5" s="1"/>
  <c r="G11" i="5"/>
  <c r="E11" i="5"/>
  <c r="O10" i="5"/>
  <c r="BA7" i="5"/>
  <c r="B24" i="8"/>
  <c r="B16" i="5"/>
  <c r="B15" i="6"/>
  <c r="AJ13" i="5"/>
  <c r="C24" i="8"/>
  <c r="C15" i="6"/>
  <c r="AG15" i="5"/>
  <c r="AI15" i="5"/>
  <c r="AJ14" i="5"/>
  <c r="AU7" i="5"/>
  <c r="H18" i="9"/>
  <c r="E17" i="8"/>
  <c r="X8" i="5"/>
  <c r="C18" i="9" l="1"/>
  <c r="B25" i="8"/>
  <c r="B17" i="5"/>
  <c r="C17" i="5" s="1"/>
  <c r="B16" i="6"/>
  <c r="N9" i="5"/>
  <c r="BB7" i="5"/>
  <c r="AV7" i="5"/>
  <c r="AJ15" i="5"/>
  <c r="BE7" i="5"/>
  <c r="H11" i="5"/>
  <c r="I11" i="5" s="1"/>
  <c r="J11" i="5" s="1"/>
  <c r="AK8" i="5"/>
  <c r="C16" i="5"/>
  <c r="C26" i="8" l="1"/>
  <c r="C17" i="6"/>
  <c r="AG17" i="5"/>
  <c r="AI17" i="5"/>
  <c r="O11" i="5"/>
  <c r="G12" i="5"/>
  <c r="E12" i="5"/>
  <c r="U14" i="5"/>
  <c r="K24" i="9" s="1"/>
  <c r="CP9" i="5"/>
  <c r="AC9" i="5" s="1"/>
  <c r="E19" i="9"/>
  <c r="R9" i="5"/>
  <c r="BC7" i="5"/>
  <c r="CD7" i="5" s="1"/>
  <c r="CC7" i="5"/>
  <c r="AW7" i="5"/>
  <c r="B26" i="8"/>
  <c r="B18" i="5"/>
  <c r="B17" i="6"/>
  <c r="C25" i="8"/>
  <c r="AI16" i="5"/>
  <c r="C16" i="6"/>
  <c r="AG16" i="5"/>
  <c r="AJ16" i="5" s="1"/>
  <c r="Q9" i="5"/>
  <c r="T9" i="5"/>
  <c r="I19" i="9" s="1"/>
  <c r="BJ7" i="5"/>
  <c r="BL7" i="5" s="1"/>
  <c r="AJ17" i="5" l="1"/>
  <c r="BP7" i="5"/>
  <c r="BR7" i="5" s="1"/>
  <c r="N16" i="9"/>
  <c r="F16" i="8"/>
  <c r="B27" i="8"/>
  <c r="B19" i="5"/>
  <c r="C19" i="5"/>
  <c r="B18" i="6"/>
  <c r="X9" i="5"/>
  <c r="E18" i="8"/>
  <c r="H19" i="9"/>
  <c r="C18" i="5"/>
  <c r="BI7" i="5"/>
  <c r="F19" i="9"/>
  <c r="H12" i="5"/>
  <c r="I12" i="5" s="1"/>
  <c r="J12" i="5" s="1"/>
  <c r="BD7" i="5"/>
  <c r="O16" i="9"/>
  <c r="CB7" i="5"/>
  <c r="CN9" i="5"/>
  <c r="V9" i="5"/>
  <c r="E13" i="5" l="1"/>
  <c r="O12" i="5"/>
  <c r="G13" i="5"/>
  <c r="BU7" i="5"/>
  <c r="C28" i="8"/>
  <c r="AG19" i="5"/>
  <c r="C19" i="6"/>
  <c r="AI19" i="5"/>
  <c r="B28" i="8"/>
  <c r="C20" i="5"/>
  <c r="B20" i="5"/>
  <c r="B19" i="6"/>
  <c r="C27" i="8"/>
  <c r="AG18" i="5"/>
  <c r="C18" i="6"/>
  <c r="AI18" i="5"/>
  <c r="L10" i="5"/>
  <c r="C19" i="9"/>
  <c r="P17" i="9"/>
  <c r="AS8" i="5"/>
  <c r="AZ8" i="5"/>
  <c r="BK7" i="5"/>
  <c r="BH8" i="5" s="1"/>
  <c r="CJ7" i="5"/>
  <c r="AK9" i="5"/>
  <c r="CG7" i="5"/>
  <c r="BQ7" i="5"/>
  <c r="AJ19" i="5" l="1"/>
  <c r="C29" i="8"/>
  <c r="AI20" i="5"/>
  <c r="AG20" i="5"/>
  <c r="AJ20" i="5" s="1"/>
  <c r="C20" i="6"/>
  <c r="CH7" i="5"/>
  <c r="CF7" i="5" s="1"/>
  <c r="BV7" i="5"/>
  <c r="N10" i="5"/>
  <c r="AJ18" i="5"/>
  <c r="BW7" i="5"/>
  <c r="BZ7" i="5" s="1"/>
  <c r="CK7" i="5" s="1"/>
  <c r="CL7" i="5" s="1"/>
  <c r="B29" i="8"/>
  <c r="B21" i="5"/>
  <c r="B20" i="6"/>
  <c r="H13" i="5"/>
  <c r="I13" i="5" s="1"/>
  <c r="J13" i="5" s="1"/>
  <c r="G14" i="5" l="1"/>
  <c r="E14" i="5"/>
  <c r="O13" i="5"/>
  <c r="B30" i="8"/>
  <c r="B22" i="5"/>
  <c r="B21" i="6"/>
  <c r="CP10" i="5"/>
  <c r="AC10" i="5" s="1"/>
  <c r="U15" i="5"/>
  <c r="K25" i="9" s="1"/>
  <c r="E20" i="9"/>
  <c r="BO8" i="5"/>
  <c r="BT8" i="5"/>
  <c r="AM8" i="5"/>
  <c r="G16" i="8"/>
  <c r="R10" i="5"/>
  <c r="T10" i="5"/>
  <c r="I20" i="9" s="1"/>
  <c r="C21" i="5"/>
  <c r="Q10" i="5"/>
  <c r="B23" i="5" l="1"/>
  <c r="C23" i="5" s="1"/>
  <c r="B31" i="8"/>
  <c r="B22" i="6"/>
  <c r="C30" i="8"/>
  <c r="AG21" i="5"/>
  <c r="AI21" i="5"/>
  <c r="C21" i="6"/>
  <c r="E19" i="8"/>
  <c r="X10" i="5"/>
  <c r="H20" i="9"/>
  <c r="C22" i="5"/>
  <c r="F20" i="9"/>
  <c r="V10" i="5"/>
  <c r="CN10" i="5"/>
  <c r="AN8" i="5"/>
  <c r="H14" i="5"/>
  <c r="I14" i="5" s="1"/>
  <c r="J14" i="5" s="1"/>
  <c r="G15" i="5" l="1"/>
  <c r="E15" i="5"/>
  <c r="O14" i="5"/>
  <c r="C32" i="8"/>
  <c r="C23" i="6"/>
  <c r="AG23" i="5"/>
  <c r="AI23" i="5"/>
  <c r="AJ21" i="5"/>
  <c r="C31" i="8"/>
  <c r="AG22" i="5"/>
  <c r="AI22" i="5"/>
  <c r="C22" i="6"/>
  <c r="L18" i="9"/>
  <c r="AP8" i="5"/>
  <c r="AO8" i="5"/>
  <c r="L11" i="5"/>
  <c r="C20" i="9"/>
  <c r="AK10" i="5"/>
  <c r="B32" i="8"/>
  <c r="B24" i="5"/>
  <c r="C24" i="5" s="1"/>
  <c r="B23" i="6"/>
  <c r="C33" i="8" l="1"/>
  <c r="AI24" i="5"/>
  <c r="C24" i="6"/>
  <c r="AG24" i="5"/>
  <c r="N11" i="5"/>
  <c r="T11" i="5" s="1"/>
  <c r="I21" i="9" s="1"/>
  <c r="AT8" i="5"/>
  <c r="B25" i="5"/>
  <c r="B33" i="8"/>
  <c r="B24" i="6"/>
  <c r="AJ23" i="5"/>
  <c r="AJ22" i="5"/>
  <c r="H15" i="5"/>
  <c r="I15" i="5" s="1"/>
  <c r="J15" i="5" s="1"/>
  <c r="AJ24" i="5" l="1"/>
  <c r="G16" i="5"/>
  <c r="E16" i="5"/>
  <c r="O15" i="5"/>
  <c r="AU8" i="5"/>
  <c r="CP11" i="5"/>
  <c r="AC11" i="5" s="1"/>
  <c r="U16" i="5"/>
  <c r="K26" i="9" s="1"/>
  <c r="E21" i="9"/>
  <c r="B34" i="8"/>
  <c r="B26" i="5"/>
  <c r="C26" i="5" s="1"/>
  <c r="B25" i="6"/>
  <c r="C25" i="5"/>
  <c r="R11" i="5"/>
  <c r="Q11" i="5"/>
  <c r="CN11" i="5" s="1"/>
  <c r="AX8" i="5"/>
  <c r="C35" i="8" l="1"/>
  <c r="AG26" i="5"/>
  <c r="C26" i="6"/>
  <c r="AI26" i="5"/>
  <c r="B27" i="5"/>
  <c r="C27" i="5" s="1"/>
  <c r="B35" i="8"/>
  <c r="B26" i="6"/>
  <c r="AV8" i="5"/>
  <c r="AW8" i="5" s="1"/>
  <c r="X11" i="5"/>
  <c r="E20" i="8"/>
  <c r="H21" i="9"/>
  <c r="C34" i="8"/>
  <c r="C25" i="6"/>
  <c r="AI25" i="5"/>
  <c r="AG25" i="5"/>
  <c r="AJ25" i="5" s="1"/>
  <c r="F21" i="9"/>
  <c r="BA8" i="5"/>
  <c r="V11" i="5"/>
  <c r="H16" i="5"/>
  <c r="I16" i="5" s="1"/>
  <c r="J16" i="5" s="1"/>
  <c r="C36" i="8" l="1"/>
  <c r="AG27" i="5"/>
  <c r="C27" i="6"/>
  <c r="AI27" i="5"/>
  <c r="B36" i="8"/>
  <c r="B28" i="5"/>
  <c r="C28" i="5" s="1"/>
  <c r="B27" i="6"/>
  <c r="G17" i="5"/>
  <c r="O16" i="5"/>
  <c r="E17" i="5"/>
  <c r="AJ26" i="5"/>
  <c r="CC8" i="5"/>
  <c r="L12" i="5"/>
  <c r="C21" i="9"/>
  <c r="BB8" i="5"/>
  <c r="BC8" i="5" s="1"/>
  <c r="CD8" i="5" s="1"/>
  <c r="BE8" i="5"/>
  <c r="AK11" i="5"/>
  <c r="AJ27" i="5" l="1"/>
  <c r="C37" i="8"/>
  <c r="AI28" i="5"/>
  <c r="AG28" i="5"/>
  <c r="C28" i="6"/>
  <c r="O17" i="9"/>
  <c r="CB8" i="5"/>
  <c r="BI8" i="5"/>
  <c r="C29" i="5"/>
  <c r="B37" i="8"/>
  <c r="B29" i="5"/>
  <c r="B28" i="6"/>
  <c r="F17" i="8"/>
  <c r="N17" i="9"/>
  <c r="BJ8" i="5"/>
  <c r="BD8" i="5"/>
  <c r="N12" i="5"/>
  <c r="R12" i="5" s="1"/>
  <c r="F22" i="9" s="1"/>
  <c r="H17" i="5"/>
  <c r="I17" i="5" s="1"/>
  <c r="J17" i="5" s="1"/>
  <c r="E18" i="5" l="1"/>
  <c r="G18" i="5"/>
  <c r="O17" i="5"/>
  <c r="C38" i="8"/>
  <c r="AI29" i="5"/>
  <c r="C29" i="6"/>
  <c r="AG29" i="5"/>
  <c r="T12" i="5"/>
  <c r="I22" i="9" s="1"/>
  <c r="BL8" i="5"/>
  <c r="CJ8" i="5"/>
  <c r="BK8" i="5"/>
  <c r="BH9" i="5" s="1"/>
  <c r="P18" i="9"/>
  <c r="AS9" i="5"/>
  <c r="AJ28" i="5"/>
  <c r="U17" i="5"/>
  <c r="CP12" i="5"/>
  <c r="AC12" i="5" s="1"/>
  <c r="E22" i="9"/>
  <c r="Q12" i="5"/>
  <c r="V12" i="5" s="1"/>
  <c r="B38" i="8"/>
  <c r="B30" i="5"/>
  <c r="C30" i="5" s="1"/>
  <c r="B29" i="6"/>
  <c r="CN12" i="5" l="1"/>
  <c r="AJ29" i="5"/>
  <c r="C39" i="8"/>
  <c r="AG30" i="5"/>
  <c r="AI30" i="5"/>
  <c r="C30" i="6"/>
  <c r="BP8" i="5"/>
  <c r="BR8" i="5" s="1"/>
  <c r="L13" i="5"/>
  <c r="C22" i="9"/>
  <c r="B39" i="8"/>
  <c r="B31" i="5"/>
  <c r="C31" i="5" s="1"/>
  <c r="B30" i="6"/>
  <c r="X12" i="5"/>
  <c r="E21" i="8"/>
  <c r="H22" i="9"/>
  <c r="H18" i="5"/>
  <c r="I18" i="5" s="1"/>
  <c r="J18" i="5" s="1"/>
  <c r="O18" i="5" l="1"/>
  <c r="G19" i="5"/>
  <c r="E19" i="5"/>
  <c r="BU8" i="5"/>
  <c r="C40" i="8"/>
  <c r="C31" i="6"/>
  <c r="AI31" i="5"/>
  <c r="AG31" i="5"/>
  <c r="AJ31" i="5" s="1"/>
  <c r="AK12" i="5"/>
  <c r="CG8" i="5"/>
  <c r="BQ8" i="5"/>
  <c r="N13" i="5"/>
  <c r="R13" i="5" s="1"/>
  <c r="F23" i="9" s="1"/>
  <c r="AJ30" i="5"/>
  <c r="B40" i="8"/>
  <c r="B32" i="5"/>
  <c r="B31" i="6"/>
  <c r="Q13" i="5" l="1"/>
  <c r="V13" i="5" s="1"/>
  <c r="CH8" i="5"/>
  <c r="CF8" i="5" s="1"/>
  <c r="BV8" i="5"/>
  <c r="B41" i="8"/>
  <c r="B33" i="5"/>
  <c r="C33" i="5" s="1"/>
  <c r="B32" i="6"/>
  <c r="BW8" i="5"/>
  <c r="BZ8" i="5" s="1"/>
  <c r="CK8" i="5" s="1"/>
  <c r="CL8" i="5" s="1"/>
  <c r="U18" i="5"/>
  <c r="CP13" i="5"/>
  <c r="AC13" i="5" s="1"/>
  <c r="E23" i="9"/>
  <c r="H19" i="5"/>
  <c r="I19" i="5" s="1"/>
  <c r="J19" i="5" s="1"/>
  <c r="C32" i="5"/>
  <c r="T13" i="5"/>
  <c r="I23" i="9" s="1"/>
  <c r="G17" i="8"/>
  <c r="CN13" i="5" l="1"/>
  <c r="C42" i="8"/>
  <c r="C33" i="6"/>
  <c r="AG33" i="5"/>
  <c r="AI33" i="5"/>
  <c r="BO9" i="5"/>
  <c r="AM9" i="5"/>
  <c r="BT9" i="5"/>
  <c r="G20" i="5"/>
  <c r="O19" i="5"/>
  <c r="E20" i="5"/>
  <c r="X13" i="5"/>
  <c r="E22" i="8"/>
  <c r="H23" i="9"/>
  <c r="B42" i="8"/>
  <c r="B34" i="5"/>
  <c r="C34" i="5"/>
  <c r="B33" i="6"/>
  <c r="C41" i="8"/>
  <c r="AG32" i="5"/>
  <c r="C32" i="6"/>
  <c r="AI32" i="5"/>
  <c r="L14" i="5"/>
  <c r="C23" i="9"/>
  <c r="AJ33" i="5" l="1"/>
  <c r="AJ32" i="5"/>
  <c r="AN9" i="5"/>
  <c r="AK13" i="5"/>
  <c r="N14" i="5"/>
  <c r="T14" i="5" s="1"/>
  <c r="I24" i="9" s="1"/>
  <c r="B43" i="8"/>
  <c r="B35" i="5"/>
  <c r="C35" i="5" s="1"/>
  <c r="B34" i="6"/>
  <c r="C43" i="8"/>
  <c r="AI34" i="5"/>
  <c r="C34" i="6"/>
  <c r="AG34" i="5"/>
  <c r="AJ34" i="5" s="1"/>
  <c r="H20" i="5"/>
  <c r="I20" i="5" s="1"/>
  <c r="J20" i="5" s="1"/>
  <c r="R14" i="5" l="1"/>
  <c r="F24" i="9" s="1"/>
  <c r="C44" i="8"/>
  <c r="AG35" i="5"/>
  <c r="C35" i="6"/>
  <c r="AI35" i="5"/>
  <c r="G21" i="5"/>
  <c r="O20" i="5"/>
  <c r="E21" i="5"/>
  <c r="CP14" i="5"/>
  <c r="AC14" i="5" s="1"/>
  <c r="U19" i="5"/>
  <c r="E24" i="9"/>
  <c r="B44" i="8"/>
  <c r="B36" i="5"/>
  <c r="B35" i="6"/>
  <c r="Q14" i="5"/>
  <c r="L19" i="9"/>
  <c r="AP9" i="5"/>
  <c r="AO9" i="5"/>
  <c r="CN14" i="5" l="1"/>
  <c r="AJ35" i="5"/>
  <c r="X14" i="5"/>
  <c r="E23" i="8"/>
  <c r="H24" i="9"/>
  <c r="H21" i="5"/>
  <c r="I21" i="5" s="1"/>
  <c r="J21" i="5" s="1"/>
  <c r="B45" i="8"/>
  <c r="B37" i="5"/>
  <c r="B36" i="6"/>
  <c r="V14" i="5"/>
  <c r="C36" i="5"/>
  <c r="AT9" i="5"/>
  <c r="AX9" i="5" s="1"/>
  <c r="O21" i="5" l="1"/>
  <c r="E22" i="5"/>
  <c r="G22" i="5"/>
  <c r="C45" i="8"/>
  <c r="AG36" i="5"/>
  <c r="C36" i="6"/>
  <c r="AI36" i="5"/>
  <c r="L15" i="5"/>
  <c r="C24" i="9"/>
  <c r="AU9" i="5"/>
  <c r="B46" i="8"/>
  <c r="B38" i="5"/>
  <c r="B37" i="6"/>
  <c r="C37" i="5"/>
  <c r="AK14" i="5"/>
  <c r="AJ36" i="5" l="1"/>
  <c r="B39" i="5"/>
  <c r="C39" i="5" s="1"/>
  <c r="B47" i="8"/>
  <c r="B38" i="6"/>
  <c r="H22" i="5"/>
  <c r="I22" i="5" s="1"/>
  <c r="J22" i="5" s="1"/>
  <c r="AV9" i="5"/>
  <c r="N15" i="5"/>
  <c r="Q15" i="5" s="1"/>
  <c r="C38" i="5"/>
  <c r="C46" i="8"/>
  <c r="AI37" i="5"/>
  <c r="C37" i="6"/>
  <c r="AG37" i="5"/>
  <c r="T15" i="5" l="1"/>
  <c r="I25" i="9" s="1"/>
  <c r="G23" i="5"/>
  <c r="E23" i="5"/>
  <c r="O22" i="5"/>
  <c r="H25" i="9"/>
  <c r="C48" i="8"/>
  <c r="C39" i="6"/>
  <c r="AI39" i="5"/>
  <c r="AG39" i="5"/>
  <c r="R15" i="5"/>
  <c r="F25" i="9" s="1"/>
  <c r="CP15" i="5"/>
  <c r="AC15" i="5" s="1"/>
  <c r="U20" i="5"/>
  <c r="E25" i="9"/>
  <c r="B48" i="8"/>
  <c r="B40" i="5"/>
  <c r="B39" i="6"/>
  <c r="AJ37" i="5"/>
  <c r="CC9" i="5"/>
  <c r="AZ9" i="5"/>
  <c r="C47" i="8"/>
  <c r="AI38" i="5"/>
  <c r="C38" i="6"/>
  <c r="AG38" i="5"/>
  <c r="AW9" i="5"/>
  <c r="AJ38" i="5" l="1"/>
  <c r="V15" i="5"/>
  <c r="L16" i="5" s="1"/>
  <c r="AJ39" i="5"/>
  <c r="N18" i="9"/>
  <c r="E24" i="8"/>
  <c r="B41" i="5"/>
  <c r="B49" i="8"/>
  <c r="B40" i="6"/>
  <c r="X15" i="5"/>
  <c r="BA9" i="5"/>
  <c r="CN15" i="5"/>
  <c r="H23" i="5"/>
  <c r="C40" i="5"/>
  <c r="I23" i="5"/>
  <c r="J23" i="5" s="1"/>
  <c r="C25" i="9" l="1"/>
  <c r="E24" i="5"/>
  <c r="O23" i="5"/>
  <c r="G24" i="5"/>
  <c r="B50" i="8"/>
  <c r="B42" i="5"/>
  <c r="C42" i="5" s="1"/>
  <c r="B41" i="6"/>
  <c r="C41" i="5"/>
  <c r="BE9" i="5"/>
  <c r="BB9" i="5"/>
  <c r="N16" i="5"/>
  <c r="AK15" i="5"/>
  <c r="C49" i="8"/>
  <c r="C40" i="6"/>
  <c r="AI40" i="5"/>
  <c r="AG40" i="5"/>
  <c r="AJ40" i="5" l="1"/>
  <c r="C51" i="8"/>
  <c r="C42" i="6"/>
  <c r="AG42" i="5"/>
  <c r="AI42" i="5"/>
  <c r="C50" i="8"/>
  <c r="C41" i="6"/>
  <c r="AG41" i="5"/>
  <c r="AI41" i="5"/>
  <c r="Q16" i="5"/>
  <c r="B43" i="5"/>
  <c r="C43" i="5" s="1"/>
  <c r="B51" i="8"/>
  <c r="B42" i="6"/>
  <c r="R16" i="5"/>
  <c r="F26" i="9" s="1"/>
  <c r="U21" i="5"/>
  <c r="CP16" i="5"/>
  <c r="AC16" i="5" s="1"/>
  <c r="E26" i="9"/>
  <c r="BC9" i="5"/>
  <c r="BD9" i="5" s="1"/>
  <c r="BJ9" i="5"/>
  <c r="BL9" i="5" s="1"/>
  <c r="T16" i="5"/>
  <c r="I26" i="9" s="1"/>
  <c r="H24" i="5"/>
  <c r="I24" i="5" s="1"/>
  <c r="J24" i="5" s="1"/>
  <c r="AJ42" i="5" l="1"/>
  <c r="AJ41" i="5"/>
  <c r="G25" i="5"/>
  <c r="E25" i="5"/>
  <c r="O24" i="5"/>
  <c r="C52" i="8"/>
  <c r="AG43" i="5"/>
  <c r="C43" i="6"/>
  <c r="AI43" i="5"/>
  <c r="BI9" i="5"/>
  <c r="CD9" i="5"/>
  <c r="B52" i="8"/>
  <c r="B44" i="5"/>
  <c r="C44" i="5" s="1"/>
  <c r="B43" i="6"/>
  <c r="E25" i="8"/>
  <c r="X16" i="5"/>
  <c r="H26" i="9"/>
  <c r="CN16" i="5"/>
  <c r="V16" i="5"/>
  <c r="BP9" i="5"/>
  <c r="BR9" i="5" s="1"/>
  <c r="C53" i="8" l="1"/>
  <c r="AG44" i="5"/>
  <c r="C44" i="6"/>
  <c r="AI44" i="5"/>
  <c r="BU9" i="5"/>
  <c r="BW9" i="5" s="1"/>
  <c r="BZ9" i="5" s="1"/>
  <c r="O18" i="9"/>
  <c r="CB9" i="5"/>
  <c r="F18" i="8"/>
  <c r="AK16" i="5"/>
  <c r="CJ9" i="5"/>
  <c r="BK9" i="5"/>
  <c r="BH10" i="5" s="1"/>
  <c r="AJ43" i="5"/>
  <c r="CG9" i="5"/>
  <c r="BQ9" i="5"/>
  <c r="L17" i="5"/>
  <c r="C26" i="9"/>
  <c r="H25" i="5"/>
  <c r="I25" i="5" s="1"/>
  <c r="J25" i="5" s="1"/>
  <c r="B53" i="8"/>
  <c r="B45" i="5"/>
  <c r="C45" i="5" s="1"/>
  <c r="B44" i="6"/>
  <c r="CK9" i="5" l="1"/>
  <c r="CL9" i="5" s="1"/>
  <c r="AJ44" i="5"/>
  <c r="C54" i="8"/>
  <c r="AI45" i="5"/>
  <c r="C45" i="6"/>
  <c r="AG45" i="5"/>
  <c r="G26" i="5"/>
  <c r="O25" i="5"/>
  <c r="E26" i="5"/>
  <c r="P19" i="9"/>
  <c r="AS10" i="5"/>
  <c r="B54" i="8"/>
  <c r="B46" i="5"/>
  <c r="B45" i="6"/>
  <c r="CH9" i="5"/>
  <c r="CF9" i="5" s="1"/>
  <c r="BT10" i="5" s="1"/>
  <c r="BV9" i="5"/>
  <c r="N17" i="5"/>
  <c r="U22" i="5" l="1"/>
  <c r="CP17" i="5"/>
  <c r="AC17" i="5" s="1"/>
  <c r="B55" i="8"/>
  <c r="B47" i="5"/>
  <c r="C47" i="5" s="1"/>
  <c r="B46" i="6"/>
  <c r="G18" i="8"/>
  <c r="T17" i="5"/>
  <c r="H26" i="5"/>
  <c r="I26" i="5" s="1"/>
  <c r="J26" i="5" s="1"/>
  <c r="C46" i="5"/>
  <c r="BO10" i="5"/>
  <c r="R17" i="5"/>
  <c r="AM10" i="5"/>
  <c r="Q17" i="5"/>
  <c r="V17" i="5" s="1"/>
  <c r="L18" i="5" s="1"/>
  <c r="AJ45" i="5"/>
  <c r="E27" i="5" l="1"/>
  <c r="G27" i="5"/>
  <c r="O26" i="5"/>
  <c r="N18" i="5"/>
  <c r="C56" i="8"/>
  <c r="C47" i="6"/>
  <c r="AI47" i="5"/>
  <c r="AG47" i="5"/>
  <c r="AJ47" i="5" s="1"/>
  <c r="C55" i="8"/>
  <c r="AI46" i="5"/>
  <c r="C46" i="6"/>
  <c r="AG46" i="5"/>
  <c r="B56" i="8"/>
  <c r="B48" i="5"/>
  <c r="C48" i="5"/>
  <c r="B47" i="6"/>
  <c r="X17" i="5"/>
  <c r="E26" i="8"/>
  <c r="AN10" i="5"/>
  <c r="CN17" i="5"/>
  <c r="AJ46" i="5" l="1"/>
  <c r="U23" i="5"/>
  <c r="CP18" i="5"/>
  <c r="AC18" i="5" s="1"/>
  <c r="B57" i="8"/>
  <c r="B49" i="5"/>
  <c r="C49" i="5"/>
  <c r="B48" i="6"/>
  <c r="Q18" i="5"/>
  <c r="CN18" i="5" s="1"/>
  <c r="C57" i="8"/>
  <c r="AI48" i="5"/>
  <c r="C48" i="6"/>
  <c r="AG48" i="5"/>
  <c r="L20" i="9"/>
  <c r="AP10" i="5"/>
  <c r="AO10" i="5"/>
  <c r="R18" i="5"/>
  <c r="AK17" i="5"/>
  <c r="T18" i="5"/>
  <c r="H27" i="5"/>
  <c r="I27" i="5" s="1"/>
  <c r="J27" i="5" s="1"/>
  <c r="G28" i="5" l="1"/>
  <c r="O27" i="5"/>
  <c r="E28" i="5"/>
  <c r="C58" i="8"/>
  <c r="C49" i="6"/>
  <c r="AI49" i="5"/>
  <c r="AG49" i="5"/>
  <c r="B58" i="8"/>
  <c r="B50" i="5"/>
  <c r="B49" i="6"/>
  <c r="AT10" i="5"/>
  <c r="AX10" i="5" s="1"/>
  <c r="V18" i="5"/>
  <c r="L19" i="5" s="1"/>
  <c r="AJ48" i="5"/>
  <c r="X18" i="5"/>
  <c r="E27" i="8"/>
  <c r="AJ49" i="5" l="1"/>
  <c r="B59" i="8"/>
  <c r="B51" i="5"/>
  <c r="B50" i="6"/>
  <c r="C50" i="5"/>
  <c r="H28" i="5"/>
  <c r="I28" i="5" s="1"/>
  <c r="J28" i="5" s="1"/>
  <c r="N19" i="5"/>
  <c r="AK18" i="5"/>
  <c r="AU10" i="5"/>
  <c r="E29" i="5" l="1"/>
  <c r="O28" i="5"/>
  <c r="G29" i="5"/>
  <c r="B60" i="8"/>
  <c r="B52" i="5"/>
  <c r="B51" i="6"/>
  <c r="U24" i="5"/>
  <c r="CP19" i="5"/>
  <c r="AC19" i="5" s="1"/>
  <c r="C51" i="5"/>
  <c r="T19" i="5"/>
  <c r="Q19" i="5"/>
  <c r="AV10" i="5"/>
  <c r="AW10" i="5" s="1"/>
  <c r="C59" i="8"/>
  <c r="C50" i="6"/>
  <c r="AI50" i="5"/>
  <c r="AG50" i="5"/>
  <c r="AJ50" i="5" s="1"/>
  <c r="R19" i="5"/>
  <c r="CN19" i="5" l="1"/>
  <c r="B61" i="8"/>
  <c r="B53" i="5"/>
  <c r="C53" i="5" s="1"/>
  <c r="B52" i="6"/>
  <c r="X19" i="5"/>
  <c r="E28" i="8"/>
  <c r="AZ10" i="5"/>
  <c r="CC10" i="5"/>
  <c r="C52" i="5"/>
  <c r="C60" i="8"/>
  <c r="AG51" i="5"/>
  <c r="C51" i="6"/>
  <c r="AI51" i="5"/>
  <c r="V19" i="5"/>
  <c r="L20" i="5" s="1"/>
  <c r="H29" i="5"/>
  <c r="I29" i="5" s="1"/>
  <c r="J29" i="5" s="1"/>
  <c r="AJ51" i="5" l="1"/>
  <c r="C62" i="8"/>
  <c r="AI53" i="5"/>
  <c r="C53" i="6"/>
  <c r="AG53" i="5"/>
  <c r="O29" i="5"/>
  <c r="G30" i="5"/>
  <c r="E30" i="5"/>
  <c r="AK19" i="5"/>
  <c r="BA10" i="5"/>
  <c r="C61" i="8"/>
  <c r="AG52" i="5"/>
  <c r="C52" i="6"/>
  <c r="AI52" i="5"/>
  <c r="B62" i="8"/>
  <c r="B54" i="5"/>
  <c r="B53" i="6"/>
  <c r="N19" i="9"/>
  <c r="N20" i="5"/>
  <c r="AJ52" i="5" l="1"/>
  <c r="B55" i="5"/>
  <c r="C55" i="5"/>
  <c r="B63" i="8"/>
  <c r="B54" i="6"/>
  <c r="H30" i="5"/>
  <c r="I30" i="5" s="1"/>
  <c r="J30" i="5" s="1"/>
  <c r="BE10" i="5"/>
  <c r="BB10" i="5"/>
  <c r="U25" i="5"/>
  <c r="CP20" i="5"/>
  <c r="AC20" i="5" s="1"/>
  <c r="T20" i="5"/>
  <c r="C54" i="5"/>
  <c r="R20" i="5"/>
  <c r="Q20" i="5"/>
  <c r="CN20" i="5" s="1"/>
  <c r="AJ53" i="5"/>
  <c r="E31" i="5" l="1"/>
  <c r="O30" i="5"/>
  <c r="G31" i="5"/>
  <c r="E29" i="8"/>
  <c r="X20" i="5"/>
  <c r="V20" i="5"/>
  <c r="L21" i="5" s="1"/>
  <c r="C63" i="8"/>
  <c r="AG54" i="5"/>
  <c r="AI54" i="5"/>
  <c r="C54" i="6"/>
  <c r="C64" i="8"/>
  <c r="C55" i="6"/>
  <c r="AI55" i="5"/>
  <c r="AG55" i="5"/>
  <c r="BJ10" i="5"/>
  <c r="BL10" i="5" s="1"/>
  <c r="BC10" i="5"/>
  <c r="B64" i="8"/>
  <c r="B56" i="5"/>
  <c r="B55" i="6"/>
  <c r="AJ55" i="5" l="1"/>
  <c r="B57" i="5"/>
  <c r="C57" i="5"/>
  <c r="B65" i="8"/>
  <c r="B56" i="6"/>
  <c r="AK20" i="5"/>
  <c r="BI10" i="5"/>
  <c r="CD10" i="5"/>
  <c r="BD10" i="5"/>
  <c r="AJ54" i="5"/>
  <c r="N21" i="5"/>
  <c r="R21" i="5" s="1"/>
  <c r="BP10" i="5"/>
  <c r="C56" i="5"/>
  <c r="H31" i="5"/>
  <c r="I31" i="5" s="1"/>
  <c r="J31" i="5" s="1"/>
  <c r="C65" i="8" l="1"/>
  <c r="AI56" i="5"/>
  <c r="C56" i="6"/>
  <c r="AG56" i="5"/>
  <c r="AJ56" i="5" s="1"/>
  <c r="E32" i="5"/>
  <c r="G32" i="5"/>
  <c r="O31" i="5"/>
  <c r="CG10" i="5"/>
  <c r="BQ10" i="5"/>
  <c r="CP21" i="5"/>
  <c r="AC21" i="5" s="1"/>
  <c r="U26" i="5"/>
  <c r="BR10" i="5"/>
  <c r="T21" i="5"/>
  <c r="C66" i="8"/>
  <c r="C57" i="6"/>
  <c r="AI57" i="5"/>
  <c r="AG57" i="5"/>
  <c r="CJ10" i="5"/>
  <c r="BK10" i="5"/>
  <c r="BH11" i="5" s="1"/>
  <c r="O19" i="9"/>
  <c r="CB10" i="5"/>
  <c r="F19" i="8"/>
  <c r="Q21" i="5"/>
  <c r="V21" i="5" s="1"/>
  <c r="L22" i="5" s="1"/>
  <c r="B66" i="8"/>
  <c r="B58" i="5"/>
  <c r="B57" i="6"/>
  <c r="AJ57" i="5" l="1"/>
  <c r="N22" i="5"/>
  <c r="T22" i="5" s="1"/>
  <c r="B59" i="5"/>
  <c r="C59" i="5"/>
  <c r="B67" i="8"/>
  <c r="B58" i="6"/>
  <c r="E30" i="8"/>
  <c r="X21" i="5"/>
  <c r="BU10" i="5"/>
  <c r="P20" i="9"/>
  <c r="AS11" i="5"/>
  <c r="CN21" i="5"/>
  <c r="H32" i="5"/>
  <c r="I32" i="5" s="1"/>
  <c r="J32" i="5" s="1"/>
  <c r="C58" i="5"/>
  <c r="G33" i="5" l="1"/>
  <c r="O32" i="5"/>
  <c r="E33" i="5"/>
  <c r="B68" i="8"/>
  <c r="B60" i="5"/>
  <c r="C60" i="5" s="1"/>
  <c r="B59" i="6"/>
  <c r="CH10" i="5"/>
  <c r="BV10" i="5"/>
  <c r="CK10" i="5"/>
  <c r="CL10" i="5" s="1"/>
  <c r="BW10" i="5"/>
  <c r="BZ10" i="5" s="1"/>
  <c r="CP22" i="5"/>
  <c r="AC22" i="5" s="1"/>
  <c r="U27" i="5"/>
  <c r="R22" i="5"/>
  <c r="C68" i="8"/>
  <c r="AG59" i="5"/>
  <c r="AJ59" i="5" s="1"/>
  <c r="C59" i="6"/>
  <c r="AI59" i="5"/>
  <c r="C67" i="8"/>
  <c r="C58" i="6"/>
  <c r="AI58" i="5"/>
  <c r="AG58" i="5"/>
  <c r="AJ58" i="5" s="1"/>
  <c r="AK21" i="5"/>
  <c r="Q22" i="5"/>
  <c r="CN22" i="5" s="1"/>
  <c r="C69" i="8" l="1"/>
  <c r="AG60" i="5"/>
  <c r="C60" i="6"/>
  <c r="AI60" i="5"/>
  <c r="CF10" i="5"/>
  <c r="G19" i="8"/>
  <c r="V22" i="5"/>
  <c r="L23" i="5" s="1"/>
  <c r="E31" i="8"/>
  <c r="X22" i="5"/>
  <c r="C61" i="5"/>
  <c r="B69" i="8"/>
  <c r="B61" i="5"/>
  <c r="B60" i="6"/>
  <c r="H33" i="5"/>
  <c r="I33" i="5" s="1"/>
  <c r="J33" i="5" s="1"/>
  <c r="E34" i="5" l="1"/>
  <c r="G34" i="5"/>
  <c r="O33" i="5"/>
  <c r="C70" i="8"/>
  <c r="AI61" i="5"/>
  <c r="C61" i="6"/>
  <c r="AG61" i="5"/>
  <c r="N23" i="5"/>
  <c r="R23" i="5" s="1"/>
  <c r="AK22" i="5"/>
  <c r="B70" i="8"/>
  <c r="B62" i="5"/>
  <c r="C62" i="5"/>
  <c r="B61" i="6"/>
  <c r="BO11" i="5"/>
  <c r="BT11" i="5"/>
  <c r="AM11" i="5"/>
  <c r="AJ60" i="5"/>
  <c r="B71" i="8" l="1"/>
  <c r="B63" i="5"/>
  <c r="C63" i="5"/>
  <c r="B62" i="6"/>
  <c r="U28" i="5"/>
  <c r="CP23" i="5"/>
  <c r="AC23" i="5" s="1"/>
  <c r="V23" i="5"/>
  <c r="L24" i="5" s="1"/>
  <c r="C71" i="8"/>
  <c r="AG62" i="5"/>
  <c r="AI62" i="5"/>
  <c r="C62" i="6"/>
  <c r="Q23" i="5"/>
  <c r="CN23" i="5" s="1"/>
  <c r="AJ61" i="5"/>
  <c r="I34" i="5"/>
  <c r="J34" i="5" s="1"/>
  <c r="AN11" i="5"/>
  <c r="T23" i="5"/>
  <c r="H34" i="5"/>
  <c r="O34" i="5" l="1"/>
  <c r="E35" i="5"/>
  <c r="G35" i="5"/>
  <c r="L21" i="9"/>
  <c r="AP11" i="5"/>
  <c r="AO11" i="5"/>
  <c r="C72" i="8"/>
  <c r="C63" i="6"/>
  <c r="AI63" i="5"/>
  <c r="AG63" i="5"/>
  <c r="N24" i="5"/>
  <c r="R24" i="5" s="1"/>
  <c r="B72" i="8"/>
  <c r="B64" i="5"/>
  <c r="C64" i="5"/>
  <c r="B63" i="6"/>
  <c r="E32" i="8"/>
  <c r="X23" i="5"/>
  <c r="AJ62" i="5"/>
  <c r="T24" i="5" l="1"/>
  <c r="AT11" i="5"/>
  <c r="AX11" i="5" s="1"/>
  <c r="Q24" i="5"/>
  <c r="AK23" i="5"/>
  <c r="U29" i="5"/>
  <c r="CP24" i="5"/>
  <c r="AC24" i="5" s="1"/>
  <c r="H35" i="5"/>
  <c r="I35" i="5" s="1"/>
  <c r="J35" i="5" s="1"/>
  <c r="C73" i="8"/>
  <c r="AI64" i="5"/>
  <c r="C64" i="6"/>
  <c r="AG64" i="5"/>
  <c r="AJ64" i="5" s="1"/>
  <c r="B73" i="8"/>
  <c r="B65" i="5"/>
  <c r="B64" i="6"/>
  <c r="AJ63" i="5"/>
  <c r="G36" i="5" l="1"/>
  <c r="E36" i="5"/>
  <c r="O35" i="5"/>
  <c r="B74" i="8"/>
  <c r="B66" i="5"/>
  <c r="C66" i="5" s="1"/>
  <c r="B65" i="6"/>
  <c r="AU11" i="5"/>
  <c r="E33" i="8"/>
  <c r="X24" i="5"/>
  <c r="V24" i="5"/>
  <c r="L25" i="5" s="1"/>
  <c r="C65" i="5"/>
  <c r="CN24" i="5"/>
  <c r="C75" i="8" l="1"/>
  <c r="C66" i="6"/>
  <c r="AG66" i="5"/>
  <c r="AI66" i="5"/>
  <c r="AV11" i="5"/>
  <c r="AW11" i="5" s="1"/>
  <c r="B75" i="8"/>
  <c r="B67" i="5"/>
  <c r="B66" i="6"/>
  <c r="N25" i="5"/>
  <c r="R25" i="5" s="1"/>
  <c r="C74" i="8"/>
  <c r="C65" i="6"/>
  <c r="AG65" i="5"/>
  <c r="AI65" i="5"/>
  <c r="AK24" i="5"/>
  <c r="H36" i="5"/>
  <c r="I36" i="5" s="1"/>
  <c r="J36" i="5" s="1"/>
  <c r="AJ66" i="5" l="1"/>
  <c r="O36" i="5"/>
  <c r="E37" i="5"/>
  <c r="G37" i="5"/>
  <c r="B76" i="8"/>
  <c r="B68" i="5"/>
  <c r="B67" i="6"/>
  <c r="AJ65" i="5"/>
  <c r="T25" i="5"/>
  <c r="CC11" i="5"/>
  <c r="AZ11" i="5"/>
  <c r="U30" i="5"/>
  <c r="CP25" i="5"/>
  <c r="AC25" i="5" s="1"/>
  <c r="C67" i="5"/>
  <c r="Q25" i="5"/>
  <c r="BA11" i="5" l="1"/>
  <c r="B77" i="8"/>
  <c r="B69" i="5"/>
  <c r="C69" i="5"/>
  <c r="B68" i="6"/>
  <c r="E34" i="8"/>
  <c r="X25" i="5"/>
  <c r="N20" i="9"/>
  <c r="V25" i="5"/>
  <c r="L26" i="5" s="1"/>
  <c r="C68" i="5"/>
  <c r="CN25" i="5"/>
  <c r="H37" i="5"/>
  <c r="I37" i="5" s="1"/>
  <c r="J37" i="5" s="1"/>
  <c r="C76" i="8"/>
  <c r="AG67" i="5"/>
  <c r="C67" i="6"/>
  <c r="AI67" i="5"/>
  <c r="AJ67" i="5" l="1"/>
  <c r="G38" i="5"/>
  <c r="O37" i="5"/>
  <c r="E38" i="5"/>
  <c r="AK25" i="5"/>
  <c r="C77" i="8"/>
  <c r="AG68" i="5"/>
  <c r="C68" i="6"/>
  <c r="AI68" i="5"/>
  <c r="C78" i="8"/>
  <c r="AI69" i="5"/>
  <c r="C69" i="6"/>
  <c r="AG69" i="5"/>
  <c r="AJ69" i="5" s="1"/>
  <c r="N26" i="5"/>
  <c r="R26" i="5" s="1"/>
  <c r="BE11" i="5"/>
  <c r="B78" i="8"/>
  <c r="B70" i="5"/>
  <c r="B69" i="6"/>
  <c r="BB11" i="5"/>
  <c r="T26" i="5" l="1"/>
  <c r="AJ68" i="5"/>
  <c r="Q26" i="5"/>
  <c r="V26" i="5" s="1"/>
  <c r="L27" i="5" s="1"/>
  <c r="BJ11" i="5"/>
  <c r="BL11" i="5" s="1"/>
  <c r="BC11" i="5"/>
  <c r="B71" i="5"/>
  <c r="C71" i="5" s="1"/>
  <c r="B79" i="8"/>
  <c r="B70" i="6"/>
  <c r="C70" i="5"/>
  <c r="H38" i="5"/>
  <c r="I38" i="5" s="1"/>
  <c r="J38" i="5" s="1"/>
  <c r="U31" i="5"/>
  <c r="CP26" i="5"/>
  <c r="AC26" i="5" s="1"/>
  <c r="CN26" i="5"/>
  <c r="X26" i="5" l="1"/>
  <c r="E35" i="8"/>
  <c r="C80" i="8"/>
  <c r="C71" i="6"/>
  <c r="AG71" i="5"/>
  <c r="AI71" i="5"/>
  <c r="G39" i="5"/>
  <c r="E39" i="5"/>
  <c r="O38" i="5"/>
  <c r="BP11" i="5"/>
  <c r="B80" i="8"/>
  <c r="B72" i="5"/>
  <c r="B71" i="6"/>
  <c r="BI11" i="5"/>
  <c r="CD11" i="5"/>
  <c r="C79" i="8"/>
  <c r="AG70" i="5"/>
  <c r="AI70" i="5"/>
  <c r="C70" i="6"/>
  <c r="N27" i="5"/>
  <c r="BD11" i="5"/>
  <c r="AK26" i="5"/>
  <c r="AJ71" i="5" l="1"/>
  <c r="B73" i="5"/>
  <c r="C73" i="5" s="1"/>
  <c r="B81" i="8"/>
  <c r="B72" i="6"/>
  <c r="AJ70" i="5"/>
  <c r="CP27" i="5"/>
  <c r="AC27" i="5" s="1"/>
  <c r="U32" i="5"/>
  <c r="CG11" i="5"/>
  <c r="BQ11" i="5"/>
  <c r="O20" i="9"/>
  <c r="CB11" i="5"/>
  <c r="F20" i="8"/>
  <c r="BR11" i="5"/>
  <c r="T27" i="5"/>
  <c r="CJ11" i="5"/>
  <c r="BK11" i="5"/>
  <c r="BH12" i="5" s="1"/>
  <c r="H39" i="5"/>
  <c r="I39" i="5" s="1"/>
  <c r="J39" i="5" s="1"/>
  <c r="Q27" i="5"/>
  <c r="V27" i="5" s="1"/>
  <c r="L28" i="5" s="1"/>
  <c r="R27" i="5"/>
  <c r="C72" i="5"/>
  <c r="O39" i="5" l="1"/>
  <c r="G40" i="5"/>
  <c r="E40" i="5"/>
  <c r="N28" i="5"/>
  <c r="C82" i="8"/>
  <c r="C73" i="6"/>
  <c r="AI73" i="5"/>
  <c r="AG73" i="5"/>
  <c r="AJ73" i="5" s="1"/>
  <c r="P21" i="9"/>
  <c r="AS12" i="5"/>
  <c r="C81" i="8"/>
  <c r="AI72" i="5"/>
  <c r="C72" i="6"/>
  <c r="AG72" i="5"/>
  <c r="B82" i="8"/>
  <c r="B74" i="5"/>
  <c r="C74" i="5" s="1"/>
  <c r="B73" i="6"/>
  <c r="X27" i="5"/>
  <c r="E36" i="8"/>
  <c r="CN27" i="5"/>
  <c r="BU11" i="5"/>
  <c r="C83" i="8" l="1"/>
  <c r="C74" i="6"/>
  <c r="AG74" i="5"/>
  <c r="AI74" i="5"/>
  <c r="CH11" i="5"/>
  <c r="BV11" i="5"/>
  <c r="CP28" i="5"/>
  <c r="AC28" i="5" s="1"/>
  <c r="U33" i="5"/>
  <c r="BW11" i="5"/>
  <c r="BZ11" i="5" s="1"/>
  <c r="CK11" i="5" s="1"/>
  <c r="CL11" i="5" s="1"/>
  <c r="Q28" i="5"/>
  <c r="R28" i="5"/>
  <c r="AK27" i="5"/>
  <c r="H40" i="5"/>
  <c r="I40" i="5" s="1"/>
  <c r="J40" i="5" s="1"/>
  <c r="B75" i="5"/>
  <c r="C75" i="5" s="1"/>
  <c r="B83" i="8"/>
  <c r="B74" i="6"/>
  <c r="AJ72" i="5"/>
  <c r="T28" i="5"/>
  <c r="V28" i="5" l="1"/>
  <c r="L29" i="5" s="1"/>
  <c r="N29" i="5" s="1"/>
  <c r="T29" i="5" s="1"/>
  <c r="AJ74" i="5"/>
  <c r="CN28" i="5"/>
  <c r="C84" i="8"/>
  <c r="AG75" i="5"/>
  <c r="C75" i="6"/>
  <c r="AI75" i="5"/>
  <c r="E41" i="5"/>
  <c r="O40" i="5"/>
  <c r="G41" i="5"/>
  <c r="B84" i="8"/>
  <c r="B76" i="5"/>
  <c r="B75" i="6"/>
  <c r="CF11" i="5"/>
  <c r="G20" i="8"/>
  <c r="X28" i="5"/>
  <c r="E37" i="8"/>
  <c r="AJ75" i="5" l="1"/>
  <c r="CP29" i="5"/>
  <c r="AC29" i="5" s="1"/>
  <c r="U34" i="5"/>
  <c r="H41" i="5"/>
  <c r="Q29" i="5"/>
  <c r="C77" i="5"/>
  <c r="B85" i="8"/>
  <c r="B77" i="5"/>
  <c r="B76" i="6"/>
  <c r="R29" i="5"/>
  <c r="C76" i="5"/>
  <c r="AK28" i="5"/>
  <c r="I41" i="5"/>
  <c r="J41" i="5" s="1"/>
  <c r="BO12" i="5"/>
  <c r="BT12" i="5"/>
  <c r="AM12" i="5"/>
  <c r="O41" i="5" l="1"/>
  <c r="G42" i="5"/>
  <c r="E42" i="5"/>
  <c r="C86" i="8"/>
  <c r="AI77" i="5"/>
  <c r="C77" i="6"/>
  <c r="AG77" i="5"/>
  <c r="AJ77" i="5" s="1"/>
  <c r="X29" i="5"/>
  <c r="E38" i="8"/>
  <c r="AN12" i="5"/>
  <c r="C85" i="8"/>
  <c r="AG76" i="5"/>
  <c r="C76" i="6"/>
  <c r="AI76" i="5"/>
  <c r="V29" i="5"/>
  <c r="L30" i="5" s="1"/>
  <c r="CN29" i="5"/>
  <c r="B86" i="8"/>
  <c r="B78" i="5"/>
  <c r="C78" i="5"/>
  <c r="B77" i="6"/>
  <c r="C87" i="8" l="1"/>
  <c r="AG78" i="5"/>
  <c r="AI78" i="5"/>
  <c r="C78" i="6"/>
  <c r="N30" i="5"/>
  <c r="T30" i="5" s="1"/>
  <c r="AJ76" i="5"/>
  <c r="AK29" i="5"/>
  <c r="H42" i="5"/>
  <c r="I42" i="5" s="1"/>
  <c r="J42" i="5" s="1"/>
  <c r="L22" i="9"/>
  <c r="AP12" i="5"/>
  <c r="B87" i="8"/>
  <c r="B79" i="5"/>
  <c r="B78" i="6"/>
  <c r="AO12" i="5"/>
  <c r="E43" i="5" l="1"/>
  <c r="O42" i="5"/>
  <c r="G43" i="5"/>
  <c r="CP30" i="5"/>
  <c r="AC30" i="5" s="1"/>
  <c r="U35" i="5"/>
  <c r="B88" i="8"/>
  <c r="B80" i="5"/>
  <c r="B79" i="6"/>
  <c r="R30" i="5"/>
  <c r="Q30" i="5"/>
  <c r="AJ78" i="5"/>
  <c r="C79" i="5"/>
  <c r="AT12" i="5"/>
  <c r="AX12" i="5" s="1"/>
  <c r="E39" i="8" l="1"/>
  <c r="X30" i="5"/>
  <c r="CN30" i="5"/>
  <c r="C88" i="8"/>
  <c r="C79" i="6"/>
  <c r="AI79" i="5"/>
  <c r="AG79" i="5"/>
  <c r="B89" i="8"/>
  <c r="B81" i="5"/>
  <c r="C81" i="5" s="1"/>
  <c r="B80" i="6"/>
  <c r="V30" i="5"/>
  <c r="L31" i="5" s="1"/>
  <c r="AU12" i="5"/>
  <c r="C80" i="5"/>
  <c r="H43" i="5"/>
  <c r="I43" i="5" s="1"/>
  <c r="J43" i="5" s="1"/>
  <c r="E44" i="5" l="1"/>
  <c r="O43" i="5"/>
  <c r="G44" i="5"/>
  <c r="C90" i="8"/>
  <c r="C81" i="6"/>
  <c r="AI81" i="5"/>
  <c r="AG81" i="5"/>
  <c r="N31" i="5"/>
  <c r="AK30" i="5"/>
  <c r="C89" i="8"/>
  <c r="AI80" i="5"/>
  <c r="C80" i="6"/>
  <c r="AG80" i="5"/>
  <c r="B90" i="8"/>
  <c r="B82" i="5"/>
  <c r="B81" i="6"/>
  <c r="AV12" i="5"/>
  <c r="AJ79" i="5"/>
  <c r="CP31" i="5" l="1"/>
  <c r="AC31" i="5" s="1"/>
  <c r="U36" i="5"/>
  <c r="B91" i="8"/>
  <c r="B83" i="5"/>
  <c r="B82" i="6"/>
  <c r="Q31" i="5"/>
  <c r="CN31" i="5" s="1"/>
  <c r="AJ80" i="5"/>
  <c r="AZ12" i="5"/>
  <c r="CC12" i="5"/>
  <c r="AJ81" i="5"/>
  <c r="AW12" i="5"/>
  <c r="R31" i="5"/>
  <c r="C82" i="5"/>
  <c r="T31" i="5"/>
  <c r="H44" i="5"/>
  <c r="I44" i="5" s="1"/>
  <c r="J44" i="5" s="1"/>
  <c r="G45" i="5" l="1"/>
  <c r="O44" i="5"/>
  <c r="E45" i="5"/>
  <c r="BA12" i="5"/>
  <c r="C91" i="8"/>
  <c r="C82" i="6"/>
  <c r="AI82" i="5"/>
  <c r="AG82" i="5"/>
  <c r="B92" i="8"/>
  <c r="B84" i="5"/>
  <c r="C84" i="5" s="1"/>
  <c r="B83" i="6"/>
  <c r="C83" i="5"/>
  <c r="V31" i="5"/>
  <c r="L32" i="5" s="1"/>
  <c r="N21" i="9"/>
  <c r="X31" i="5"/>
  <c r="E40" i="8"/>
  <c r="AJ82" i="5" l="1"/>
  <c r="C93" i="8"/>
  <c r="AG84" i="5"/>
  <c r="C84" i="6"/>
  <c r="AI84" i="5"/>
  <c r="BE12" i="5"/>
  <c r="AK31" i="5"/>
  <c r="N32" i="5"/>
  <c r="R32" i="5" s="1"/>
  <c r="BB12" i="5"/>
  <c r="C92" i="8"/>
  <c r="AG83" i="5"/>
  <c r="C83" i="6"/>
  <c r="AI83" i="5"/>
  <c r="H45" i="5"/>
  <c r="I45" i="5" s="1"/>
  <c r="J45" i="5" s="1"/>
  <c r="B93" i="8"/>
  <c r="B85" i="5"/>
  <c r="C85" i="5" s="1"/>
  <c r="B84" i="6"/>
  <c r="Q32" i="5" l="1"/>
  <c r="V32" i="5" s="1"/>
  <c r="L33" i="5" s="1"/>
  <c r="N33" i="5" s="1"/>
  <c r="T33" i="5" s="1"/>
  <c r="AJ84" i="5"/>
  <c r="AJ83" i="5"/>
  <c r="C94" i="8"/>
  <c r="AI85" i="5"/>
  <c r="C85" i="6"/>
  <c r="AG85" i="5"/>
  <c r="E46" i="5"/>
  <c r="O45" i="5"/>
  <c r="G46" i="5"/>
  <c r="BC12" i="5"/>
  <c r="T32" i="5"/>
  <c r="B94" i="8"/>
  <c r="B86" i="5"/>
  <c r="C86" i="5" s="1"/>
  <c r="B85" i="6"/>
  <c r="BJ12" i="5"/>
  <c r="BL12" i="5" s="1"/>
  <c r="CP32" i="5"/>
  <c r="AC32" i="5" s="1"/>
  <c r="U37" i="5"/>
  <c r="E41" i="8" l="1"/>
  <c r="CN32" i="5"/>
  <c r="X32" i="5"/>
  <c r="BP12" i="5"/>
  <c r="BR12" i="5" s="1"/>
  <c r="C95" i="8"/>
  <c r="AG86" i="5"/>
  <c r="AI86" i="5"/>
  <c r="C86" i="6"/>
  <c r="AK32" i="5"/>
  <c r="H46" i="5"/>
  <c r="I46" i="5" s="1"/>
  <c r="J46" i="5" s="1"/>
  <c r="BI12" i="5"/>
  <c r="CD12" i="5"/>
  <c r="U38" i="5"/>
  <c r="CP33" i="5"/>
  <c r="AC33" i="5" s="1"/>
  <c r="AJ85" i="5"/>
  <c r="BD12" i="5"/>
  <c r="R33" i="5"/>
  <c r="B87" i="5"/>
  <c r="C87" i="5" s="1"/>
  <c r="B95" i="8"/>
  <c r="B86" i="6"/>
  <c r="Q33" i="5"/>
  <c r="C96" i="8" l="1"/>
  <c r="C87" i="6"/>
  <c r="AI87" i="5"/>
  <c r="AG87" i="5"/>
  <c r="O46" i="5"/>
  <c r="G47" i="5"/>
  <c r="E47" i="5"/>
  <c r="E42" i="8"/>
  <c r="X33" i="5"/>
  <c r="CN33" i="5"/>
  <c r="AJ86" i="5"/>
  <c r="O21" i="9"/>
  <c r="CB12" i="5"/>
  <c r="F21" i="8"/>
  <c r="BU12" i="5"/>
  <c r="BW12" i="5" s="1"/>
  <c r="BZ12" i="5" s="1"/>
  <c r="B96" i="8"/>
  <c r="B88" i="5"/>
  <c r="C88" i="5" s="1"/>
  <c r="B87" i="6"/>
  <c r="V33" i="5"/>
  <c r="L34" i="5" s="1"/>
  <c r="CJ12" i="5"/>
  <c r="BK12" i="5"/>
  <c r="BH13" i="5" s="1"/>
  <c r="CG12" i="5"/>
  <c r="BQ12" i="5"/>
  <c r="C97" i="8" l="1"/>
  <c r="AI88" i="5"/>
  <c r="C88" i="6"/>
  <c r="AG88" i="5"/>
  <c r="AJ88" i="5" s="1"/>
  <c r="AK33" i="5"/>
  <c r="H47" i="5"/>
  <c r="I47" i="5" s="1"/>
  <c r="J47" i="5" s="1"/>
  <c r="BT13" i="5"/>
  <c r="P22" i="9"/>
  <c r="AS13" i="5"/>
  <c r="B89" i="5"/>
  <c r="C89" i="5"/>
  <c r="B97" i="8"/>
  <c r="B88" i="6"/>
  <c r="N34" i="5"/>
  <c r="T34" i="5" s="1"/>
  <c r="CH12" i="5"/>
  <c r="CF12" i="5" s="1"/>
  <c r="AM13" i="5" s="1"/>
  <c r="BV12" i="5"/>
  <c r="CK12" i="5"/>
  <c r="CL12" i="5" s="1"/>
  <c r="AJ87" i="5"/>
  <c r="G48" i="5" l="1"/>
  <c r="O47" i="5"/>
  <c r="E48" i="5"/>
  <c r="R34" i="5"/>
  <c r="Q34" i="5"/>
  <c r="AN13" i="5"/>
  <c r="AO13" i="5" s="1"/>
  <c r="CP34" i="5"/>
  <c r="AC34" i="5" s="1"/>
  <c r="U39" i="5"/>
  <c r="BO13" i="5"/>
  <c r="G21" i="8"/>
  <c r="C98" i="8"/>
  <c r="C89" i="6"/>
  <c r="AG89" i="5"/>
  <c r="AI89" i="5"/>
  <c r="B98" i="8"/>
  <c r="B90" i="5"/>
  <c r="B89" i="6"/>
  <c r="AJ89" i="5" l="1"/>
  <c r="B91" i="5"/>
  <c r="C91" i="5"/>
  <c r="B99" i="8"/>
  <c r="B90" i="6"/>
  <c r="H48" i="5"/>
  <c r="I48" i="5" s="1"/>
  <c r="J48" i="5" s="1"/>
  <c r="C90" i="5"/>
  <c r="E43" i="8"/>
  <c r="X34" i="5"/>
  <c r="CN34" i="5"/>
  <c r="L23" i="9"/>
  <c r="AP13" i="5"/>
  <c r="V34" i="5"/>
  <c r="L35" i="5" s="1"/>
  <c r="O48" i="5" l="1"/>
  <c r="E49" i="5"/>
  <c r="G49" i="5"/>
  <c r="AK34" i="5"/>
  <c r="N35" i="5"/>
  <c r="Q35" i="5" s="1"/>
  <c r="AT13" i="5"/>
  <c r="AX13" i="5" s="1"/>
  <c r="C100" i="8"/>
  <c r="AG91" i="5"/>
  <c r="C91" i="6"/>
  <c r="AI91" i="5"/>
  <c r="C99" i="8"/>
  <c r="C90" i="6"/>
  <c r="AG90" i="5"/>
  <c r="AI90" i="5"/>
  <c r="B100" i="8"/>
  <c r="B92" i="5"/>
  <c r="C92" i="5" s="1"/>
  <c r="B91" i="6"/>
  <c r="AJ91" i="5" l="1"/>
  <c r="C101" i="8"/>
  <c r="AG92" i="5"/>
  <c r="C92" i="6"/>
  <c r="AI92" i="5"/>
  <c r="U40" i="5"/>
  <c r="CP35" i="5"/>
  <c r="AC35" i="5" s="1"/>
  <c r="AJ90" i="5"/>
  <c r="AU13" i="5"/>
  <c r="T35" i="5"/>
  <c r="H49" i="5"/>
  <c r="I49" i="5" s="1"/>
  <c r="J49" i="5" s="1"/>
  <c r="B101" i="8"/>
  <c r="B93" i="5"/>
  <c r="C93" i="5" s="1"/>
  <c r="B92" i="6"/>
  <c r="R35" i="5"/>
  <c r="E44" i="8" s="1"/>
  <c r="AJ92" i="5" l="1"/>
  <c r="X35" i="5"/>
  <c r="CN35" i="5"/>
  <c r="C102" i="8"/>
  <c r="AI93" i="5"/>
  <c r="C93" i="6"/>
  <c r="AG93" i="5"/>
  <c r="AJ93" i="5" s="1"/>
  <c r="AK35" i="5"/>
  <c r="O49" i="5"/>
  <c r="E50" i="5"/>
  <c r="G50" i="5"/>
  <c r="AV13" i="5"/>
  <c r="V35" i="5"/>
  <c r="L36" i="5" s="1"/>
  <c r="B102" i="8"/>
  <c r="B94" i="5"/>
  <c r="B93" i="6"/>
  <c r="B103" i="8" l="1"/>
  <c r="B95" i="5"/>
  <c r="C95" i="5" s="1"/>
  <c r="B94" i="6"/>
  <c r="H50" i="5"/>
  <c r="I50" i="5" s="1"/>
  <c r="J50" i="5" s="1"/>
  <c r="AZ13" i="5"/>
  <c r="CC13" i="5"/>
  <c r="N36" i="5"/>
  <c r="R36" i="5" s="1"/>
  <c r="AW13" i="5"/>
  <c r="C94" i="5"/>
  <c r="O50" i="5" l="1"/>
  <c r="E51" i="5"/>
  <c r="G51" i="5"/>
  <c r="C104" i="8"/>
  <c r="C95" i="6"/>
  <c r="AG95" i="5"/>
  <c r="AI95" i="5"/>
  <c r="Q36" i="5"/>
  <c r="C103" i="8"/>
  <c r="AG94" i="5"/>
  <c r="AI94" i="5"/>
  <c r="C94" i="6"/>
  <c r="N22" i="9"/>
  <c r="CP36" i="5"/>
  <c r="AC36" i="5" s="1"/>
  <c r="U41" i="5"/>
  <c r="BA13" i="5"/>
  <c r="B104" i="8"/>
  <c r="B96" i="5"/>
  <c r="C96" i="5" s="1"/>
  <c r="B95" i="6"/>
  <c r="T36" i="5"/>
  <c r="AJ95" i="5" l="1"/>
  <c r="C105" i="8"/>
  <c r="AI96" i="5"/>
  <c r="C96" i="6"/>
  <c r="AG96" i="5"/>
  <c r="B105" i="8"/>
  <c r="B97" i="5"/>
  <c r="C97" i="5" s="1"/>
  <c r="B96" i="6"/>
  <c r="BE13" i="5"/>
  <c r="E45" i="8"/>
  <c r="X36" i="5"/>
  <c r="BB13" i="5"/>
  <c r="AJ94" i="5"/>
  <c r="H51" i="5"/>
  <c r="I51" i="5" s="1"/>
  <c r="J51" i="5" s="1"/>
  <c r="V36" i="5"/>
  <c r="L37" i="5" s="1"/>
  <c r="CN36" i="5"/>
  <c r="C106" i="8" l="1"/>
  <c r="C97" i="6"/>
  <c r="AI97" i="5"/>
  <c r="AG97" i="5"/>
  <c r="O51" i="5"/>
  <c r="E52" i="5"/>
  <c r="G52" i="5"/>
  <c r="BC13" i="5"/>
  <c r="BJ13" i="5"/>
  <c r="BL13" i="5" s="1"/>
  <c r="N37" i="5"/>
  <c r="T37" i="5" s="1"/>
  <c r="B106" i="8"/>
  <c r="B98" i="5"/>
  <c r="B97" i="6"/>
  <c r="AK36" i="5"/>
  <c r="AJ96" i="5"/>
  <c r="BP13" i="5" l="1"/>
  <c r="BI13" i="5"/>
  <c r="CD13" i="5"/>
  <c r="BD13" i="5"/>
  <c r="B107" i="8"/>
  <c r="B99" i="5"/>
  <c r="B98" i="6"/>
  <c r="U42" i="5"/>
  <c r="CP37" i="5"/>
  <c r="AC37" i="5" s="1"/>
  <c r="H52" i="5"/>
  <c r="I52" i="5" s="1"/>
  <c r="J52" i="5" s="1"/>
  <c r="Q37" i="5"/>
  <c r="C98" i="5"/>
  <c r="R37" i="5"/>
  <c r="AJ97" i="5"/>
  <c r="CN37" i="5" l="1"/>
  <c r="V37" i="5"/>
  <c r="L38" i="5" s="1"/>
  <c r="G53" i="5"/>
  <c r="E53" i="5"/>
  <c r="O52" i="5"/>
  <c r="N38" i="5"/>
  <c r="B108" i="8"/>
  <c r="B100" i="5"/>
  <c r="B99" i="6"/>
  <c r="C107" i="8"/>
  <c r="C98" i="6"/>
  <c r="AI98" i="5"/>
  <c r="AG98" i="5"/>
  <c r="AJ98" i="5" s="1"/>
  <c r="O22" i="9"/>
  <c r="CB13" i="5"/>
  <c r="F22" i="8"/>
  <c r="CJ13" i="5"/>
  <c r="BK13" i="5"/>
  <c r="BH14" i="5" s="1"/>
  <c r="E46" i="8"/>
  <c r="X37" i="5"/>
  <c r="CG13" i="5"/>
  <c r="BQ13" i="5"/>
  <c r="C99" i="5"/>
  <c r="BR13" i="5"/>
  <c r="CP38" i="5" l="1"/>
  <c r="AC38" i="5" s="1"/>
  <c r="U43" i="5"/>
  <c r="Q38" i="5"/>
  <c r="B109" i="8"/>
  <c r="B101" i="5"/>
  <c r="C101" i="5"/>
  <c r="B100" i="6"/>
  <c r="BU13" i="5"/>
  <c r="BW13" i="5" s="1"/>
  <c r="BZ13" i="5" s="1"/>
  <c r="C100" i="5"/>
  <c r="R38" i="5"/>
  <c r="C108" i="8"/>
  <c r="AG99" i="5"/>
  <c r="C99" i="6"/>
  <c r="AI99" i="5"/>
  <c r="H53" i="5"/>
  <c r="I53" i="5" s="1"/>
  <c r="J53" i="5" s="1"/>
  <c r="AK37" i="5"/>
  <c r="P23" i="9"/>
  <c r="AS14" i="5"/>
  <c r="T38" i="5"/>
  <c r="E54" i="5" l="1"/>
  <c r="G54" i="5"/>
  <c r="O53" i="5"/>
  <c r="B110" i="8"/>
  <c r="B102" i="5"/>
  <c r="B101" i="6"/>
  <c r="C109" i="8"/>
  <c r="AG100" i="5"/>
  <c r="C100" i="6"/>
  <c r="AI100" i="5"/>
  <c r="C110" i="8"/>
  <c r="AI101" i="5"/>
  <c r="C101" i="6"/>
  <c r="AG101" i="5"/>
  <c r="E47" i="8"/>
  <c r="X38" i="5"/>
  <c r="AJ99" i="5"/>
  <c r="CH13" i="5"/>
  <c r="BV13" i="5"/>
  <c r="CK13" i="5"/>
  <c r="CL13" i="5" s="1"/>
  <c r="V38" i="5"/>
  <c r="L39" i="5" s="1"/>
  <c r="CN38" i="5"/>
  <c r="B103" i="5" l="1"/>
  <c r="C103" i="5" s="1"/>
  <c r="B111" i="8"/>
  <c r="B102" i="6"/>
  <c r="C102" i="5"/>
  <c r="N39" i="5"/>
  <c r="T39" i="5" s="1"/>
  <c r="AK38" i="5"/>
  <c r="CF13" i="5"/>
  <c r="G22" i="8"/>
  <c r="AJ101" i="5"/>
  <c r="AJ100" i="5"/>
  <c r="H54" i="5"/>
  <c r="I54" i="5" s="1"/>
  <c r="J54" i="5" s="1"/>
  <c r="G55" i="5" l="1"/>
  <c r="O54" i="5"/>
  <c r="E55" i="5"/>
  <c r="C112" i="8"/>
  <c r="C103" i="6"/>
  <c r="AI103" i="5"/>
  <c r="AG103" i="5"/>
  <c r="AJ103" i="5" s="1"/>
  <c r="Q39" i="5"/>
  <c r="C111" i="8"/>
  <c r="AG102" i="5"/>
  <c r="AI102" i="5"/>
  <c r="C102" i="6"/>
  <c r="R39" i="5"/>
  <c r="U44" i="5"/>
  <c r="CP39" i="5"/>
  <c r="AC39" i="5" s="1"/>
  <c r="BO14" i="5"/>
  <c r="BT14" i="5"/>
  <c r="AM14" i="5"/>
  <c r="B112" i="8"/>
  <c r="B104" i="5"/>
  <c r="C104" i="5" s="1"/>
  <c r="B103" i="6"/>
  <c r="AJ102" i="5" l="1"/>
  <c r="V39" i="5"/>
  <c r="L40" i="5" s="1"/>
  <c r="N40" i="5"/>
  <c r="Q40" i="5" s="1"/>
  <c r="C113" i="8"/>
  <c r="AI104" i="5"/>
  <c r="C104" i="6"/>
  <c r="AG104" i="5"/>
  <c r="AN14" i="5"/>
  <c r="X39" i="5"/>
  <c r="E48" i="8"/>
  <c r="H55" i="5"/>
  <c r="I55" i="5" s="1"/>
  <c r="J55" i="5" s="1"/>
  <c r="B105" i="5"/>
  <c r="B113" i="8"/>
  <c r="B104" i="6"/>
  <c r="CN39" i="5"/>
  <c r="T40" i="5" l="1"/>
  <c r="E56" i="5"/>
  <c r="O55" i="5"/>
  <c r="G56" i="5"/>
  <c r="B114" i="8"/>
  <c r="B106" i="5"/>
  <c r="C106" i="5"/>
  <c r="B105" i="6"/>
  <c r="AK39" i="5"/>
  <c r="C105" i="5"/>
  <c r="U45" i="5"/>
  <c r="CP40" i="5"/>
  <c r="AC40" i="5" s="1"/>
  <c r="AJ104" i="5"/>
  <c r="L24" i="9"/>
  <c r="AP14" i="5"/>
  <c r="AO14" i="5"/>
  <c r="R40" i="5"/>
  <c r="X40" i="5" s="1"/>
  <c r="AK40" i="5" l="1"/>
  <c r="C114" i="8"/>
  <c r="C105" i="6"/>
  <c r="AG105" i="5"/>
  <c r="AI105" i="5"/>
  <c r="AT14" i="5"/>
  <c r="E49" i="8"/>
  <c r="CN40" i="5"/>
  <c r="V40" i="5"/>
  <c r="L41" i="5" s="1"/>
  <c r="C115" i="8"/>
  <c r="C106" i="6"/>
  <c r="AI106" i="5"/>
  <c r="AG106" i="5"/>
  <c r="AJ106" i="5" s="1"/>
  <c r="B107" i="5"/>
  <c r="C107" i="5" s="1"/>
  <c r="B115" i="8"/>
  <c r="B106" i="6"/>
  <c r="H56" i="5"/>
  <c r="I56" i="5" s="1"/>
  <c r="J56" i="5" s="1"/>
  <c r="C116" i="8" l="1"/>
  <c r="AG107" i="5"/>
  <c r="C107" i="6"/>
  <c r="AI107" i="5"/>
  <c r="G57" i="5"/>
  <c r="E57" i="5"/>
  <c r="O56" i="5"/>
  <c r="AU14" i="5"/>
  <c r="AX14" i="5"/>
  <c r="AJ105" i="5"/>
  <c r="B116" i="8"/>
  <c r="B108" i="5"/>
  <c r="C108" i="5"/>
  <c r="B107" i="6"/>
  <c r="N41" i="5"/>
  <c r="T41" i="5" s="1"/>
  <c r="R41" i="5" l="1"/>
  <c r="AJ107" i="5"/>
  <c r="C117" i="8"/>
  <c r="AG108" i="5"/>
  <c r="C108" i="6"/>
  <c r="AI108" i="5"/>
  <c r="B117" i="8"/>
  <c r="B109" i="5"/>
  <c r="B108" i="6"/>
  <c r="AV14" i="5"/>
  <c r="AW14" i="5" s="1"/>
  <c r="H57" i="5"/>
  <c r="I57" i="5"/>
  <c r="J57" i="5" s="1"/>
  <c r="CP41" i="5"/>
  <c r="AC41" i="5" s="1"/>
  <c r="U46" i="5"/>
  <c r="Q41" i="5"/>
  <c r="CN41" i="5" s="1"/>
  <c r="AJ108" i="5" l="1"/>
  <c r="G58" i="5"/>
  <c r="O57" i="5"/>
  <c r="E58" i="5"/>
  <c r="B118" i="8"/>
  <c r="B110" i="5"/>
  <c r="C110" i="5" s="1"/>
  <c r="B109" i="6"/>
  <c r="C109" i="5"/>
  <c r="CC14" i="5"/>
  <c r="AZ14" i="5"/>
  <c r="X41" i="5"/>
  <c r="E50" i="8"/>
  <c r="V41" i="5"/>
  <c r="L42" i="5" s="1"/>
  <c r="C119" i="8" l="1"/>
  <c r="AG110" i="5"/>
  <c r="AI110" i="5"/>
  <c r="C110" i="6"/>
  <c r="BA14" i="5"/>
  <c r="B119" i="8"/>
  <c r="B111" i="5"/>
  <c r="C111" i="5" s="1"/>
  <c r="B110" i="6"/>
  <c r="N23" i="9"/>
  <c r="H58" i="5"/>
  <c r="AK41" i="5"/>
  <c r="N42" i="5"/>
  <c r="T42" i="5" s="1"/>
  <c r="I58" i="5"/>
  <c r="J58" i="5" s="1"/>
  <c r="C118" i="8"/>
  <c r="AI109" i="5"/>
  <c r="C109" i="6"/>
  <c r="AG109" i="5"/>
  <c r="Q42" i="5" l="1"/>
  <c r="R42" i="5"/>
  <c r="E59" i="5"/>
  <c r="O58" i="5"/>
  <c r="G59" i="5"/>
  <c r="C120" i="8"/>
  <c r="C111" i="6"/>
  <c r="AI111" i="5"/>
  <c r="AG111" i="5"/>
  <c r="B120" i="8"/>
  <c r="B112" i="5"/>
  <c r="B111" i="6"/>
  <c r="E51" i="8"/>
  <c r="X42" i="5"/>
  <c r="V42" i="5"/>
  <c r="L43" i="5" s="1"/>
  <c r="BE14" i="5"/>
  <c r="AJ109" i="5"/>
  <c r="BB14" i="5"/>
  <c r="AJ110" i="5"/>
  <c r="CP42" i="5"/>
  <c r="AC42" i="5" s="1"/>
  <c r="U47" i="5"/>
  <c r="CN42" i="5"/>
  <c r="AJ111" i="5" l="1"/>
  <c r="B121" i="8"/>
  <c r="B113" i="5"/>
  <c r="C113" i="5"/>
  <c r="B112" i="6"/>
  <c r="BJ14" i="5"/>
  <c r="BL14" i="5" s="1"/>
  <c r="Q43" i="5"/>
  <c r="R43" i="5"/>
  <c r="N43" i="5"/>
  <c r="T43" i="5" s="1"/>
  <c r="C112" i="5"/>
  <c r="AK42" i="5"/>
  <c r="BC14" i="5"/>
  <c r="BD14" i="5" s="1"/>
  <c r="H59" i="5"/>
  <c r="I59" i="5" s="1"/>
  <c r="J59" i="5" s="1"/>
  <c r="BP14" i="5" l="1"/>
  <c r="BR14" i="5" s="1"/>
  <c r="O59" i="5"/>
  <c r="G60" i="5"/>
  <c r="E60" i="5"/>
  <c r="X43" i="5"/>
  <c r="E52" i="8"/>
  <c r="C121" i="8"/>
  <c r="AI112" i="5"/>
  <c r="C112" i="6"/>
  <c r="AG112" i="5"/>
  <c r="C122" i="8"/>
  <c r="C113" i="6"/>
  <c r="AI113" i="5"/>
  <c r="AG113" i="5"/>
  <c r="AJ113" i="5" s="1"/>
  <c r="B122" i="8"/>
  <c r="B114" i="5"/>
  <c r="C114" i="5" s="1"/>
  <c r="B113" i="6"/>
  <c r="BI14" i="5"/>
  <c r="CD14" i="5"/>
  <c r="CP43" i="5"/>
  <c r="AC43" i="5" s="1"/>
  <c r="U48" i="5"/>
  <c r="CN43" i="5"/>
  <c r="V43" i="5"/>
  <c r="L44" i="5" s="1"/>
  <c r="AJ112" i="5" l="1"/>
  <c r="C123" i="8"/>
  <c r="C114" i="6"/>
  <c r="AI114" i="5"/>
  <c r="AG114" i="5"/>
  <c r="AK43" i="5"/>
  <c r="H60" i="5"/>
  <c r="I60" i="5" s="1"/>
  <c r="J60" i="5" s="1"/>
  <c r="B123" i="8"/>
  <c r="B115" i="5"/>
  <c r="C115" i="5" s="1"/>
  <c r="B114" i="6"/>
  <c r="BU14" i="5"/>
  <c r="BW14" i="5" s="1"/>
  <c r="BZ14" i="5" s="1"/>
  <c r="CJ14" i="5"/>
  <c r="BK14" i="5"/>
  <c r="BH15" i="5" s="1"/>
  <c r="N44" i="5"/>
  <c r="O23" i="9"/>
  <c r="CB14" i="5"/>
  <c r="F23" i="8"/>
  <c r="CG14" i="5"/>
  <c r="BQ14" i="5"/>
  <c r="C124" i="8" l="1"/>
  <c r="AG115" i="5"/>
  <c r="C115" i="6"/>
  <c r="AI115" i="5"/>
  <c r="E61" i="5"/>
  <c r="O60" i="5"/>
  <c r="G61" i="5"/>
  <c r="CH14" i="5"/>
  <c r="CF14" i="5" s="1"/>
  <c r="BT15" i="5" s="1"/>
  <c r="BV14" i="5"/>
  <c r="CK14" i="5"/>
  <c r="CL14" i="5" s="1"/>
  <c r="CP44" i="5"/>
  <c r="AC44" i="5" s="1"/>
  <c r="U49" i="5"/>
  <c r="Q44" i="5"/>
  <c r="R44" i="5"/>
  <c r="T44" i="5"/>
  <c r="B124" i="8"/>
  <c r="C116" i="5"/>
  <c r="B116" i="5"/>
  <c r="B115" i="6"/>
  <c r="P24" i="9"/>
  <c r="AS15" i="5"/>
  <c r="AJ114" i="5"/>
  <c r="AM15" i="5" l="1"/>
  <c r="V44" i="5"/>
  <c r="L45" i="5" s="1"/>
  <c r="AJ115" i="5"/>
  <c r="N45" i="5"/>
  <c r="BO15" i="5"/>
  <c r="B125" i="8"/>
  <c r="B117" i="5"/>
  <c r="C117" i="5" s="1"/>
  <c r="B116" i="6"/>
  <c r="G23" i="8"/>
  <c r="C125" i="8"/>
  <c r="AG116" i="5"/>
  <c r="C116" i="6"/>
  <c r="AI116" i="5"/>
  <c r="I61" i="5"/>
  <c r="J61" i="5" s="1"/>
  <c r="E53" i="8"/>
  <c r="X44" i="5"/>
  <c r="CN44" i="5"/>
  <c r="H61" i="5"/>
  <c r="AN15" i="5"/>
  <c r="AJ116" i="5" l="1"/>
  <c r="C126" i="8"/>
  <c r="AI117" i="5"/>
  <c r="C117" i="6"/>
  <c r="AG117" i="5"/>
  <c r="G62" i="5"/>
  <c r="E62" i="5"/>
  <c r="O61" i="5"/>
  <c r="L25" i="9"/>
  <c r="AP15" i="5"/>
  <c r="T45" i="5"/>
  <c r="B126" i="8"/>
  <c r="B118" i="5"/>
  <c r="B117" i="6"/>
  <c r="U50" i="5"/>
  <c r="CP45" i="5"/>
  <c r="AC45" i="5" s="1"/>
  <c r="AK44" i="5"/>
  <c r="R45" i="5"/>
  <c r="AO15" i="5"/>
  <c r="Q45" i="5"/>
  <c r="CN45" i="5" s="1"/>
  <c r="B119" i="5" l="1"/>
  <c r="C119" i="5" s="1"/>
  <c r="B127" i="8"/>
  <c r="B118" i="6"/>
  <c r="V45" i="5"/>
  <c r="L46" i="5" s="1"/>
  <c r="AT15" i="5"/>
  <c r="AX15" i="5" s="1"/>
  <c r="C118" i="5"/>
  <c r="H62" i="5"/>
  <c r="I62" i="5" s="1"/>
  <c r="J62" i="5" s="1"/>
  <c r="E54" i="8"/>
  <c r="X45" i="5"/>
  <c r="AJ117" i="5"/>
  <c r="E63" i="5" l="1"/>
  <c r="G63" i="5"/>
  <c r="O62" i="5"/>
  <c r="C128" i="8"/>
  <c r="C119" i="6"/>
  <c r="AI119" i="5"/>
  <c r="AG119" i="5"/>
  <c r="AJ119" i="5" s="1"/>
  <c r="N46" i="5"/>
  <c r="T46" i="5" s="1"/>
  <c r="C127" i="8"/>
  <c r="AG118" i="5"/>
  <c r="AI118" i="5"/>
  <c r="C118" i="6"/>
  <c r="AU15" i="5"/>
  <c r="AK45" i="5"/>
  <c r="B128" i="8"/>
  <c r="B120" i="5"/>
  <c r="B119" i="6"/>
  <c r="B121" i="5" l="1"/>
  <c r="C121" i="5" s="1"/>
  <c r="B129" i="8"/>
  <c r="B120" i="6"/>
  <c r="C120" i="5"/>
  <c r="AJ118" i="5"/>
  <c r="U51" i="5"/>
  <c r="CP46" i="5"/>
  <c r="AC46" i="5" s="1"/>
  <c r="AV15" i="5"/>
  <c r="AW15" i="5" s="1"/>
  <c r="Q46" i="5"/>
  <c r="R46" i="5"/>
  <c r="H63" i="5"/>
  <c r="I63" i="5" s="1"/>
  <c r="J63" i="5" s="1"/>
  <c r="C130" i="8" l="1"/>
  <c r="C121" i="6"/>
  <c r="AI121" i="5"/>
  <c r="AG121" i="5"/>
  <c r="C129" i="8"/>
  <c r="AI120" i="5"/>
  <c r="C120" i="6"/>
  <c r="AG120" i="5"/>
  <c r="E55" i="8"/>
  <c r="X46" i="5"/>
  <c r="V46" i="5"/>
  <c r="L47" i="5" s="1"/>
  <c r="CC15" i="5"/>
  <c r="AZ15" i="5"/>
  <c r="CN46" i="5"/>
  <c r="G64" i="5"/>
  <c r="E64" i="5"/>
  <c r="O63" i="5"/>
  <c r="B130" i="8"/>
  <c r="B122" i="5"/>
  <c r="C122" i="5" s="1"/>
  <c r="B121" i="6"/>
  <c r="C131" i="8" l="1"/>
  <c r="C122" i="6"/>
  <c r="AG122" i="5"/>
  <c r="AI122" i="5"/>
  <c r="N47" i="5"/>
  <c r="R47" i="5" s="1"/>
  <c r="I64" i="5"/>
  <c r="J64" i="5" s="1"/>
  <c r="AK46" i="5"/>
  <c r="BA15" i="5"/>
  <c r="N24" i="9"/>
  <c r="AJ120" i="5"/>
  <c r="H64" i="5"/>
  <c r="B123" i="5"/>
  <c r="C123" i="5" s="1"/>
  <c r="B131" i="8"/>
  <c r="B122" i="6"/>
  <c r="AJ121" i="5"/>
  <c r="AJ122" i="5" l="1"/>
  <c r="Q47" i="5"/>
  <c r="T47" i="5"/>
  <c r="V47" i="5"/>
  <c r="L48" i="5" s="1"/>
  <c r="C132" i="8"/>
  <c r="AG123" i="5"/>
  <c r="C123" i="6"/>
  <c r="AI123" i="5"/>
  <c r="O64" i="5"/>
  <c r="E65" i="5"/>
  <c r="G65" i="5"/>
  <c r="N48" i="5"/>
  <c r="BE15" i="5"/>
  <c r="BB15" i="5"/>
  <c r="E56" i="8"/>
  <c r="X47" i="5"/>
  <c r="CN47" i="5"/>
  <c r="U52" i="5"/>
  <c r="CP47" i="5"/>
  <c r="AC47" i="5" s="1"/>
  <c r="B132" i="8"/>
  <c r="B124" i="5"/>
  <c r="C124" i="5" s="1"/>
  <c r="B123" i="6"/>
  <c r="AJ123" i="5" l="1"/>
  <c r="C133" i="8"/>
  <c r="AG124" i="5"/>
  <c r="C124" i="6"/>
  <c r="AI124" i="5"/>
  <c r="CP48" i="5"/>
  <c r="AC48" i="5" s="1"/>
  <c r="U53" i="5"/>
  <c r="Q48" i="5"/>
  <c r="R48" i="5"/>
  <c r="BC15" i="5"/>
  <c r="H65" i="5"/>
  <c r="I65" i="5" s="1"/>
  <c r="J65" i="5" s="1"/>
  <c r="B133" i="8"/>
  <c r="B125" i="5"/>
  <c r="C125" i="5" s="1"/>
  <c r="B124" i="6"/>
  <c r="BJ15" i="5"/>
  <c r="BL15" i="5" s="1"/>
  <c r="T48" i="5"/>
  <c r="AK47" i="5"/>
  <c r="AJ124" i="5" l="1"/>
  <c r="BP15" i="5"/>
  <c r="BR15" i="5" s="1"/>
  <c r="C134" i="8"/>
  <c r="AI125" i="5"/>
  <c r="C125" i="6"/>
  <c r="AG125" i="5"/>
  <c r="G66" i="5"/>
  <c r="E66" i="5"/>
  <c r="O65" i="5"/>
  <c r="BI15" i="5"/>
  <c r="CD15" i="5"/>
  <c r="X48" i="5"/>
  <c r="E57" i="8"/>
  <c r="B134" i="8"/>
  <c r="B126" i="5"/>
  <c r="C126" i="5" s="1"/>
  <c r="B125" i="6"/>
  <c r="CN48" i="5"/>
  <c r="BD15" i="5"/>
  <c r="V48" i="5"/>
  <c r="L49" i="5" s="1"/>
  <c r="C135" i="8" l="1"/>
  <c r="AG126" i="5"/>
  <c r="AI126" i="5"/>
  <c r="C126" i="6"/>
  <c r="CJ15" i="5"/>
  <c r="BK15" i="5"/>
  <c r="BH16" i="5" s="1"/>
  <c r="B135" i="8"/>
  <c r="B127" i="5"/>
  <c r="B126" i="6"/>
  <c r="O24" i="9"/>
  <c r="CB15" i="5"/>
  <c r="F24" i="8"/>
  <c r="N49" i="5"/>
  <c r="T49" i="5" s="1"/>
  <c r="H66" i="5"/>
  <c r="I66" i="5" s="1"/>
  <c r="J66" i="5" s="1"/>
  <c r="AJ125" i="5"/>
  <c r="AK48" i="5"/>
  <c r="BU15" i="5"/>
  <c r="BW15" i="5" s="1"/>
  <c r="BZ15" i="5" s="1"/>
  <c r="CG15" i="5"/>
  <c r="BQ15" i="5"/>
  <c r="AJ126" i="5" l="1"/>
  <c r="G67" i="5"/>
  <c r="E67" i="5"/>
  <c r="O66" i="5"/>
  <c r="B136" i="8"/>
  <c r="B128" i="5"/>
  <c r="C128" i="5" s="1"/>
  <c r="B127" i="6"/>
  <c r="U54" i="5"/>
  <c r="CP49" i="5"/>
  <c r="AC49" i="5" s="1"/>
  <c r="CH15" i="5"/>
  <c r="CF15" i="5" s="1"/>
  <c r="BV15" i="5"/>
  <c r="CK15" i="5"/>
  <c r="CL15" i="5" s="1"/>
  <c r="C127" i="5"/>
  <c r="R49" i="5"/>
  <c r="Q49" i="5"/>
  <c r="V49" i="5" s="1"/>
  <c r="L50" i="5" s="1"/>
  <c r="BT16" i="5"/>
  <c r="P25" i="9"/>
  <c r="AS16" i="5"/>
  <c r="AM16" i="5"/>
  <c r="G24" i="8" l="1"/>
  <c r="N50" i="5"/>
  <c r="T50" i="5" s="1"/>
  <c r="C137" i="8"/>
  <c r="AI128" i="5"/>
  <c r="C128" i="6"/>
  <c r="AG128" i="5"/>
  <c r="C136" i="8"/>
  <c r="C127" i="6"/>
  <c r="AG127" i="5"/>
  <c r="AI127" i="5"/>
  <c r="B137" i="8"/>
  <c r="B129" i="5"/>
  <c r="C129" i="5" s="1"/>
  <c r="B128" i="6"/>
  <c r="AN16" i="5"/>
  <c r="AO16" i="5" s="1"/>
  <c r="BO16" i="5"/>
  <c r="X49" i="5"/>
  <c r="E58" i="8"/>
  <c r="CN49" i="5"/>
  <c r="H67" i="5"/>
  <c r="I67" i="5" s="1"/>
  <c r="J67" i="5" s="1"/>
  <c r="Q50" i="5" l="1"/>
  <c r="C138" i="8"/>
  <c r="C129" i="6"/>
  <c r="AI129" i="5"/>
  <c r="AG129" i="5"/>
  <c r="O67" i="5"/>
  <c r="G68" i="5"/>
  <c r="E68" i="5"/>
  <c r="AJ128" i="5"/>
  <c r="L26" i="9"/>
  <c r="AP16" i="5"/>
  <c r="U55" i="5"/>
  <c r="CP50" i="5"/>
  <c r="AC50" i="5" s="1"/>
  <c r="CN50" i="5"/>
  <c r="AJ127" i="5"/>
  <c r="B138" i="8"/>
  <c r="B130" i="5"/>
  <c r="C130" i="5" s="1"/>
  <c r="B129" i="6"/>
  <c r="AK49" i="5"/>
  <c r="R50" i="5"/>
  <c r="V50" i="5" s="1"/>
  <c r="L51" i="5" s="1"/>
  <c r="X50" i="5" l="1"/>
  <c r="E59" i="8"/>
  <c r="C139" i="8"/>
  <c r="C130" i="6"/>
  <c r="AI130" i="5"/>
  <c r="AG130" i="5"/>
  <c r="AJ130" i="5" s="1"/>
  <c r="AT16" i="5"/>
  <c r="AX16" i="5" s="1"/>
  <c r="H68" i="5"/>
  <c r="I68" i="5" s="1"/>
  <c r="J68" i="5" s="1"/>
  <c r="N51" i="5"/>
  <c r="Q51" i="5" s="1"/>
  <c r="AK50" i="5"/>
  <c r="B139" i="8"/>
  <c r="B131" i="5"/>
  <c r="C131" i="5" s="1"/>
  <c r="B130" i="6"/>
  <c r="AJ129" i="5"/>
  <c r="C140" i="8" l="1"/>
  <c r="AG131" i="5"/>
  <c r="C131" i="6"/>
  <c r="AI131" i="5"/>
  <c r="G69" i="5"/>
  <c r="E69" i="5"/>
  <c r="O68" i="5"/>
  <c r="T51" i="5"/>
  <c r="CP51" i="5"/>
  <c r="AC51" i="5" s="1"/>
  <c r="U56" i="5"/>
  <c r="B140" i="8"/>
  <c r="B132" i="5"/>
  <c r="C132" i="5" s="1"/>
  <c r="B131" i="6"/>
  <c r="R51" i="5"/>
  <c r="AU16" i="5"/>
  <c r="X51" i="5" l="1"/>
  <c r="AK51" i="5"/>
  <c r="C141" i="8"/>
  <c r="AG132" i="5"/>
  <c r="C132" i="6"/>
  <c r="AI132" i="5"/>
  <c r="H69" i="5"/>
  <c r="I69" i="5" s="1"/>
  <c r="J69" i="5" s="1"/>
  <c r="B141" i="8"/>
  <c r="B133" i="5"/>
  <c r="C133" i="5" s="1"/>
  <c r="B132" i="6"/>
  <c r="AJ131" i="5"/>
  <c r="AV16" i="5"/>
  <c r="AW16" i="5" s="1"/>
  <c r="V51" i="5"/>
  <c r="L52" i="5" s="1"/>
  <c r="CN51" i="5"/>
  <c r="E60" i="8"/>
  <c r="C142" i="8" l="1"/>
  <c r="AI133" i="5"/>
  <c r="C133" i="6"/>
  <c r="AG133" i="5"/>
  <c r="O69" i="5"/>
  <c r="G70" i="5"/>
  <c r="E70" i="5"/>
  <c r="N52" i="5"/>
  <c r="R52" i="5" s="1"/>
  <c r="AJ132" i="5"/>
  <c r="B142" i="8"/>
  <c r="B134" i="5"/>
  <c r="C134" i="5" s="1"/>
  <c r="B133" i="6"/>
  <c r="AZ16" i="5"/>
  <c r="CC16" i="5"/>
  <c r="C143" i="8" l="1"/>
  <c r="AG134" i="5"/>
  <c r="AI134" i="5"/>
  <c r="C134" i="6"/>
  <c r="Q52" i="5"/>
  <c r="CN52" i="5" s="1"/>
  <c r="N25" i="9"/>
  <c r="H70" i="5"/>
  <c r="I70" i="5" s="1"/>
  <c r="J70" i="5" s="1"/>
  <c r="CP52" i="5"/>
  <c r="AC52" i="5" s="1"/>
  <c r="U57" i="5"/>
  <c r="BA16" i="5"/>
  <c r="B135" i="5"/>
  <c r="B143" i="8"/>
  <c r="B134" i="6"/>
  <c r="T52" i="5"/>
  <c r="AJ133" i="5"/>
  <c r="V52" i="5" l="1"/>
  <c r="L53" i="5" s="1"/>
  <c r="G71" i="5"/>
  <c r="E71" i="5"/>
  <c r="O70" i="5"/>
  <c r="B144" i="8"/>
  <c r="B136" i="5"/>
  <c r="C136" i="5" s="1"/>
  <c r="B135" i="6"/>
  <c r="C135" i="5"/>
  <c r="BE16" i="5"/>
  <c r="N53" i="5"/>
  <c r="R53" i="5" s="1"/>
  <c r="BB16" i="5"/>
  <c r="E61" i="8"/>
  <c r="X52" i="5"/>
  <c r="AJ134" i="5"/>
  <c r="T53" i="5" l="1"/>
  <c r="C145" i="8"/>
  <c r="AI136" i="5"/>
  <c r="C136" i="6"/>
  <c r="AG136" i="5"/>
  <c r="AJ136" i="5" s="1"/>
  <c r="B137" i="5"/>
  <c r="C137" i="5" s="1"/>
  <c r="B145" i="8"/>
  <c r="B136" i="6"/>
  <c r="U58" i="5"/>
  <c r="CP53" i="5"/>
  <c r="AC53" i="5" s="1"/>
  <c r="Q53" i="5"/>
  <c r="CN53" i="5" s="1"/>
  <c r="BC16" i="5"/>
  <c r="BJ16" i="5"/>
  <c r="BL16" i="5" s="1"/>
  <c r="H71" i="5"/>
  <c r="I71" i="5" s="1"/>
  <c r="J71" i="5" s="1"/>
  <c r="C144" i="8"/>
  <c r="C135" i="6"/>
  <c r="AI135" i="5"/>
  <c r="AG135" i="5"/>
  <c r="AK52" i="5"/>
  <c r="O71" i="5" l="1"/>
  <c r="G72" i="5"/>
  <c r="E72" i="5"/>
  <c r="BP16" i="5"/>
  <c r="BR16" i="5" s="1"/>
  <c r="C146" i="8"/>
  <c r="C137" i="6"/>
  <c r="AI137" i="5"/>
  <c r="AG137" i="5"/>
  <c r="BI16" i="5"/>
  <c r="CD16" i="5"/>
  <c r="BD16" i="5"/>
  <c r="B146" i="8"/>
  <c r="B138" i="5"/>
  <c r="B137" i="6"/>
  <c r="E62" i="8"/>
  <c r="X53" i="5"/>
  <c r="AJ135" i="5"/>
  <c r="V53" i="5"/>
  <c r="L54" i="5" s="1"/>
  <c r="AJ137" i="5" l="1"/>
  <c r="CJ16" i="5"/>
  <c r="BK16" i="5"/>
  <c r="BH17" i="5" s="1"/>
  <c r="B139" i="5"/>
  <c r="C139" i="5"/>
  <c r="B147" i="8"/>
  <c r="B138" i="6"/>
  <c r="CG16" i="5"/>
  <c r="BQ16" i="5"/>
  <c r="AK53" i="5"/>
  <c r="BU16" i="5"/>
  <c r="BW16" i="5" s="1"/>
  <c r="BZ16" i="5" s="1"/>
  <c r="N54" i="5"/>
  <c r="T54" i="5" s="1"/>
  <c r="H72" i="5"/>
  <c r="I72" i="5" s="1"/>
  <c r="J72" i="5" s="1"/>
  <c r="C138" i="5"/>
  <c r="O25" i="9"/>
  <c r="CB16" i="5"/>
  <c r="F25" i="8"/>
  <c r="Q54" i="5" l="1"/>
  <c r="R54" i="5"/>
  <c r="O72" i="5"/>
  <c r="G73" i="5"/>
  <c r="E73" i="5"/>
  <c r="C147" i="8"/>
  <c r="C138" i="6"/>
  <c r="AI138" i="5"/>
  <c r="AG138" i="5"/>
  <c r="X54" i="5"/>
  <c r="E63" i="8"/>
  <c r="C148" i="8"/>
  <c r="AG139" i="5"/>
  <c r="C139" i="6"/>
  <c r="AI139" i="5"/>
  <c r="B148" i="8"/>
  <c r="B140" i="5"/>
  <c r="C140" i="5"/>
  <c r="B139" i="6"/>
  <c r="CH16" i="5"/>
  <c r="CF16" i="5" s="1"/>
  <c r="BT17" i="5" s="1"/>
  <c r="BV16" i="5"/>
  <c r="CK16" i="5"/>
  <c r="CL16" i="5" s="1"/>
  <c r="P26" i="9"/>
  <c r="AS17" i="5"/>
  <c r="U59" i="5"/>
  <c r="CP54" i="5"/>
  <c r="AC54" i="5" s="1"/>
  <c r="CN54" i="5"/>
  <c r="V54" i="5" l="1"/>
  <c r="L55" i="5" s="1"/>
  <c r="N55" i="5" s="1"/>
  <c r="Q55" i="5" s="1"/>
  <c r="AM17" i="5"/>
  <c r="R55" i="5"/>
  <c r="AJ139" i="5"/>
  <c r="BO17" i="5"/>
  <c r="AN17" i="5"/>
  <c r="AO17" i="5" s="1"/>
  <c r="AK54" i="5"/>
  <c r="U60" i="5"/>
  <c r="AJ138" i="5"/>
  <c r="H73" i="5"/>
  <c r="I73" i="5" s="1"/>
  <c r="J73" i="5" s="1"/>
  <c r="C149" i="8"/>
  <c r="AG140" i="5"/>
  <c r="C140" i="6"/>
  <c r="AI140" i="5"/>
  <c r="G25" i="8"/>
  <c r="B149" i="8"/>
  <c r="B141" i="5"/>
  <c r="B140" i="6"/>
  <c r="T55" i="5" l="1"/>
  <c r="X55" i="5" s="1"/>
  <c r="AK55" i="5" s="1"/>
  <c r="CP55" i="5"/>
  <c r="AC55" i="5" s="1"/>
  <c r="V55" i="5"/>
  <c r="L56" i="5" s="1"/>
  <c r="E64" i="8"/>
  <c r="CN55" i="5"/>
  <c r="AJ140" i="5"/>
  <c r="E74" i="5"/>
  <c r="O73" i="5"/>
  <c r="G74" i="5"/>
  <c r="B150" i="8"/>
  <c r="B142" i="5"/>
  <c r="B141" i="6"/>
  <c r="N56" i="5"/>
  <c r="R56" i="5" s="1"/>
  <c r="C141" i="5"/>
  <c r="AP17" i="5"/>
  <c r="T56" i="5" l="1"/>
  <c r="B151" i="8"/>
  <c r="B143" i="5"/>
  <c r="C143" i="5" s="1"/>
  <c r="B142" i="6"/>
  <c r="U61" i="5"/>
  <c r="CP56" i="5"/>
  <c r="AC56" i="5" s="1"/>
  <c r="CN56" i="5"/>
  <c r="C142" i="5"/>
  <c r="AT17" i="5"/>
  <c r="Q56" i="5"/>
  <c r="V56" i="5" s="1"/>
  <c r="L57" i="5" s="1"/>
  <c r="C150" i="8"/>
  <c r="AI141" i="5"/>
  <c r="C141" i="6"/>
  <c r="AG141" i="5"/>
  <c r="AJ141" i="5" s="1"/>
  <c r="H74" i="5"/>
  <c r="I74" i="5" s="1"/>
  <c r="J74" i="5" s="1"/>
  <c r="G75" i="5" l="1"/>
  <c r="E75" i="5"/>
  <c r="O74" i="5"/>
  <c r="C152" i="8"/>
  <c r="C143" i="6"/>
  <c r="AI143" i="5"/>
  <c r="AG143" i="5"/>
  <c r="AJ143" i="5" s="1"/>
  <c r="N57" i="5"/>
  <c r="R57" i="5" s="1"/>
  <c r="AU17" i="5"/>
  <c r="B152" i="8"/>
  <c r="B144" i="5"/>
  <c r="B143" i="6"/>
  <c r="E65" i="8"/>
  <c r="X56" i="5"/>
  <c r="C151" i="8"/>
  <c r="AG142" i="5"/>
  <c r="AI142" i="5"/>
  <c r="C142" i="6"/>
  <c r="AX17" i="5"/>
  <c r="Q57" i="5" l="1"/>
  <c r="CN57" i="5" s="1"/>
  <c r="B153" i="8"/>
  <c r="B145" i="5"/>
  <c r="C145" i="5" s="1"/>
  <c r="B144" i="6"/>
  <c r="CP57" i="5"/>
  <c r="AC57" i="5" s="1"/>
  <c r="U62" i="5"/>
  <c r="AV17" i="5"/>
  <c r="AZ17" i="5" s="1"/>
  <c r="AK56" i="5"/>
  <c r="AJ142" i="5"/>
  <c r="H75" i="5"/>
  <c r="I75" i="5" s="1"/>
  <c r="J75" i="5" s="1"/>
  <c r="C144" i="5"/>
  <c r="T57" i="5"/>
  <c r="V57" i="5" l="1"/>
  <c r="L58" i="5" s="1"/>
  <c r="AW17" i="5"/>
  <c r="O75" i="5"/>
  <c r="G76" i="5"/>
  <c r="E76" i="5"/>
  <c r="C154" i="8"/>
  <c r="C145" i="6"/>
  <c r="AI145" i="5"/>
  <c r="AG145" i="5"/>
  <c r="AJ145" i="5" s="1"/>
  <c r="X57" i="5"/>
  <c r="E66" i="8"/>
  <c r="C153" i="8"/>
  <c r="AI144" i="5"/>
  <c r="C144" i="6"/>
  <c r="AG144" i="5"/>
  <c r="AJ144" i="5" s="1"/>
  <c r="BA17" i="5"/>
  <c r="BB17" i="5" s="1"/>
  <c r="BC17" i="5" s="1"/>
  <c r="BI17" i="5" s="1"/>
  <c r="N58" i="5"/>
  <c r="B154" i="8"/>
  <c r="B146" i="5"/>
  <c r="C146" i="5"/>
  <c r="B145" i="6"/>
  <c r="CC17" i="5"/>
  <c r="CJ17" i="5" l="1"/>
  <c r="BD17" i="5"/>
  <c r="AK57" i="5"/>
  <c r="CP58" i="5"/>
  <c r="AC58" i="5" s="1"/>
  <c r="U63" i="5"/>
  <c r="T58" i="5"/>
  <c r="H76" i="5"/>
  <c r="I76" i="5" s="1"/>
  <c r="J76" i="5" s="1"/>
  <c r="N26" i="9"/>
  <c r="Q58" i="5"/>
  <c r="V58" i="5" s="1"/>
  <c r="L59" i="5" s="1"/>
  <c r="R58" i="5"/>
  <c r="B155" i="8"/>
  <c r="B147" i="5"/>
  <c r="C147" i="5" s="1"/>
  <c r="B146" i="6"/>
  <c r="CD17" i="5"/>
  <c r="F26" i="8" s="1"/>
  <c r="BE17" i="5"/>
  <c r="C155" i="8"/>
  <c r="C146" i="6"/>
  <c r="AI146" i="5"/>
  <c r="AG146" i="5"/>
  <c r="AJ146" i="5" l="1"/>
  <c r="E77" i="5"/>
  <c r="O76" i="5"/>
  <c r="G77" i="5"/>
  <c r="C156" i="8"/>
  <c r="AG147" i="5"/>
  <c r="C147" i="6"/>
  <c r="AI147" i="5"/>
  <c r="N59" i="5"/>
  <c r="BJ17" i="5"/>
  <c r="CN58" i="5"/>
  <c r="B156" i="8"/>
  <c r="B148" i="5"/>
  <c r="B147" i="6"/>
  <c r="O26" i="9"/>
  <c r="CB17" i="5"/>
  <c r="E67" i="8"/>
  <c r="X58" i="5"/>
  <c r="U64" i="5" l="1"/>
  <c r="CP59" i="5"/>
  <c r="AC59" i="5" s="1"/>
  <c r="AJ147" i="5"/>
  <c r="R59" i="5"/>
  <c r="AS18" i="5"/>
  <c r="B157" i="8"/>
  <c r="B149" i="5"/>
  <c r="B148" i="6"/>
  <c r="BK17" i="5"/>
  <c r="BH18" i="5" s="1"/>
  <c r="C148" i="5"/>
  <c r="AK58" i="5"/>
  <c r="Q59" i="5"/>
  <c r="CN59" i="5" s="1"/>
  <c r="BL17" i="5"/>
  <c r="T59" i="5"/>
  <c r="H77" i="5"/>
  <c r="I77" i="5" s="1"/>
  <c r="J77" i="5" s="1"/>
  <c r="O77" i="5" l="1"/>
  <c r="G78" i="5"/>
  <c r="E78" i="5"/>
  <c r="B158" i="8"/>
  <c r="B150" i="5"/>
  <c r="B149" i="6"/>
  <c r="V59" i="5"/>
  <c r="L60" i="5" s="1"/>
  <c r="C149" i="5"/>
  <c r="C157" i="8"/>
  <c r="AG148" i="5"/>
  <c r="C148" i="6"/>
  <c r="AI148" i="5"/>
  <c r="E68" i="8"/>
  <c r="X59" i="5"/>
  <c r="BP17" i="5"/>
  <c r="AJ148" i="5" l="1"/>
  <c r="B151" i="5"/>
  <c r="C151" i="5" s="1"/>
  <c r="B159" i="8"/>
  <c r="B150" i="6"/>
  <c r="CG17" i="5"/>
  <c r="BQ17" i="5"/>
  <c r="AK59" i="5"/>
  <c r="C150" i="5"/>
  <c r="H78" i="5"/>
  <c r="I78" i="5" s="1"/>
  <c r="J78" i="5" s="1"/>
  <c r="C158" i="8"/>
  <c r="AI149" i="5"/>
  <c r="C149" i="6"/>
  <c r="AG149" i="5"/>
  <c r="BR17" i="5"/>
  <c r="N60" i="5"/>
  <c r="T60" i="5" s="1"/>
  <c r="O78" i="5" l="1"/>
  <c r="G79" i="5"/>
  <c r="E79" i="5"/>
  <c r="C160" i="8"/>
  <c r="C151" i="6"/>
  <c r="AG151" i="5"/>
  <c r="AI151" i="5"/>
  <c r="BU17" i="5"/>
  <c r="BW17" i="5" s="1"/>
  <c r="BZ17" i="5" s="1"/>
  <c r="AJ149" i="5"/>
  <c r="CP60" i="5"/>
  <c r="AC60" i="5" s="1"/>
  <c r="U65" i="5"/>
  <c r="Q60" i="5"/>
  <c r="V60" i="5" s="1"/>
  <c r="L61" i="5" s="1"/>
  <c r="C159" i="8"/>
  <c r="AG150" i="5"/>
  <c r="AI150" i="5"/>
  <c r="C150" i="6"/>
  <c r="R60" i="5"/>
  <c r="B160" i="8"/>
  <c r="B152" i="5"/>
  <c r="C152" i="5"/>
  <c r="B151" i="6"/>
  <c r="AJ150" i="5" l="1"/>
  <c r="N61" i="5"/>
  <c r="T61" i="5" s="1"/>
  <c r="CH17" i="5"/>
  <c r="BV17" i="5"/>
  <c r="CK17" i="5"/>
  <c r="CL17" i="5" s="1"/>
  <c r="E69" i="8"/>
  <c r="X60" i="5"/>
  <c r="C161" i="8"/>
  <c r="AI152" i="5"/>
  <c r="C152" i="6"/>
  <c r="AG152" i="5"/>
  <c r="B153" i="5"/>
  <c r="C153" i="5" s="1"/>
  <c r="B161" i="8"/>
  <c r="B152" i="6"/>
  <c r="AJ151" i="5"/>
  <c r="H79" i="5"/>
  <c r="I79" i="5" s="1"/>
  <c r="J79" i="5" s="1"/>
  <c r="CN60" i="5"/>
  <c r="C162" i="8" l="1"/>
  <c r="C153" i="6"/>
  <c r="AI153" i="5"/>
  <c r="AG153" i="5"/>
  <c r="O79" i="5"/>
  <c r="G80" i="5"/>
  <c r="E80" i="5"/>
  <c r="AJ152" i="5"/>
  <c r="U66" i="5"/>
  <c r="CP61" i="5"/>
  <c r="AC61" i="5" s="1"/>
  <c r="AK60" i="5"/>
  <c r="CF17" i="5"/>
  <c r="G26" i="8"/>
  <c r="R61" i="5"/>
  <c r="B162" i="8"/>
  <c r="B154" i="5"/>
  <c r="C154" i="5"/>
  <c r="B153" i="6"/>
  <c r="Q61" i="5"/>
  <c r="BO18" i="5" l="1"/>
  <c r="AM18" i="5"/>
  <c r="BT18" i="5"/>
  <c r="E70" i="8"/>
  <c r="X61" i="5"/>
  <c r="V61" i="5"/>
  <c r="L62" i="5" s="1"/>
  <c r="H80" i="5"/>
  <c r="I80" i="5" s="1"/>
  <c r="J80" i="5" s="1"/>
  <c r="C163" i="8"/>
  <c r="C154" i="6"/>
  <c r="AI154" i="5"/>
  <c r="AG154" i="5"/>
  <c r="AJ154" i="5" s="1"/>
  <c r="B155" i="5"/>
  <c r="B163" i="8"/>
  <c r="B154" i="6"/>
  <c r="CN61" i="5"/>
  <c r="AJ153" i="5"/>
  <c r="G81" i="5" l="1"/>
  <c r="E81" i="5"/>
  <c r="O80" i="5"/>
  <c r="AN18" i="5"/>
  <c r="AO18" i="5" s="1"/>
  <c r="B164" i="8"/>
  <c r="B156" i="5"/>
  <c r="C156" i="5" s="1"/>
  <c r="B155" i="6"/>
  <c r="AK61" i="5"/>
  <c r="C155" i="5"/>
  <c r="N62" i="5"/>
  <c r="R62" i="5" s="1"/>
  <c r="C165" i="8" l="1"/>
  <c r="AG156" i="5"/>
  <c r="C156" i="6"/>
  <c r="AI156" i="5"/>
  <c r="AP18" i="5"/>
  <c r="CP62" i="5"/>
  <c r="AC62" i="5" s="1"/>
  <c r="U67" i="5"/>
  <c r="Q62" i="5"/>
  <c r="C164" i="8"/>
  <c r="AG155" i="5"/>
  <c r="C155" i="6"/>
  <c r="AI155" i="5"/>
  <c r="T62" i="5"/>
  <c r="H81" i="5"/>
  <c r="I81" i="5" s="1"/>
  <c r="J81" i="5" s="1"/>
  <c r="B165" i="8"/>
  <c r="B157" i="5"/>
  <c r="B156" i="6"/>
  <c r="AJ155" i="5" l="1"/>
  <c r="AJ156" i="5"/>
  <c r="O81" i="5"/>
  <c r="G82" i="5"/>
  <c r="E82" i="5"/>
  <c r="E71" i="8"/>
  <c r="X62" i="5"/>
  <c r="AT18" i="5"/>
  <c r="AX18" i="5" s="1"/>
  <c r="B166" i="8"/>
  <c r="B158" i="5"/>
  <c r="C158" i="5" s="1"/>
  <c r="B157" i="6"/>
  <c r="C157" i="5"/>
  <c r="CN62" i="5"/>
  <c r="V62" i="5"/>
  <c r="L63" i="5" s="1"/>
  <c r="C167" i="8" l="1"/>
  <c r="AG158" i="5"/>
  <c r="AI158" i="5"/>
  <c r="C158" i="6"/>
  <c r="AK62" i="5"/>
  <c r="C166" i="8"/>
  <c r="AI157" i="5"/>
  <c r="C157" i="6"/>
  <c r="AG157" i="5"/>
  <c r="B167" i="8"/>
  <c r="B159" i="5"/>
  <c r="C159" i="5"/>
  <c r="B158" i="6"/>
  <c r="H82" i="5"/>
  <c r="I82" i="5" s="1"/>
  <c r="J82" i="5" s="1"/>
  <c r="N63" i="5"/>
  <c r="AU18" i="5"/>
  <c r="G83" i="5" l="1"/>
  <c r="E83" i="5"/>
  <c r="O82" i="5"/>
  <c r="C168" i="8"/>
  <c r="C159" i="6"/>
  <c r="AG159" i="5"/>
  <c r="AI159" i="5"/>
  <c r="CP63" i="5"/>
  <c r="AC63" i="5" s="1"/>
  <c r="U68" i="5"/>
  <c r="R63" i="5"/>
  <c r="AJ157" i="5"/>
  <c r="T63" i="5"/>
  <c r="AV18" i="5"/>
  <c r="AJ158" i="5"/>
  <c r="B168" i="8"/>
  <c r="B160" i="5"/>
  <c r="C160" i="5"/>
  <c r="B159" i="6"/>
  <c r="Q63" i="5"/>
  <c r="CN63" i="5" s="1"/>
  <c r="V63" i="5" l="1"/>
  <c r="L64" i="5" s="1"/>
  <c r="C169" i="8"/>
  <c r="AI160" i="5"/>
  <c r="C160" i="6"/>
  <c r="AG160" i="5"/>
  <c r="AJ160" i="5" s="1"/>
  <c r="B161" i="5"/>
  <c r="C161" i="5" s="1"/>
  <c r="B169" i="8"/>
  <c r="B160" i="6"/>
  <c r="AJ159" i="5"/>
  <c r="AZ18" i="5"/>
  <c r="CC18" i="5"/>
  <c r="H83" i="5"/>
  <c r="I83" i="5" s="1"/>
  <c r="J83" i="5" s="1"/>
  <c r="X63" i="5"/>
  <c r="E72" i="8"/>
  <c r="AW18" i="5"/>
  <c r="C170" i="8" l="1"/>
  <c r="C161" i="6"/>
  <c r="AI161" i="5"/>
  <c r="AG161" i="5"/>
  <c r="O83" i="5"/>
  <c r="G84" i="5"/>
  <c r="E84" i="5"/>
  <c r="B170" i="8"/>
  <c r="B162" i="5"/>
  <c r="B161" i="6"/>
  <c r="BA18" i="5"/>
  <c r="BB18" i="5" s="1"/>
  <c r="N64" i="5"/>
  <c r="AK63" i="5"/>
  <c r="BC18" i="5" l="1"/>
  <c r="BI18" i="5" s="1"/>
  <c r="B171" i="8"/>
  <c r="B163" i="5"/>
  <c r="C163" i="5" s="1"/>
  <c r="B162" i="6"/>
  <c r="U69" i="5"/>
  <c r="CP64" i="5"/>
  <c r="AC64" i="5" s="1"/>
  <c r="R64" i="5"/>
  <c r="Q64" i="5"/>
  <c r="CN64" i="5" s="1"/>
  <c r="H84" i="5"/>
  <c r="I84" i="5" s="1"/>
  <c r="J84" i="5" s="1"/>
  <c r="T64" i="5"/>
  <c r="C162" i="5"/>
  <c r="BE18" i="5"/>
  <c r="AJ161" i="5"/>
  <c r="CD18" i="5" l="1"/>
  <c r="F27" i="8" s="1"/>
  <c r="V64" i="5"/>
  <c r="L65" i="5" s="1"/>
  <c r="O84" i="5"/>
  <c r="G85" i="5"/>
  <c r="E85" i="5"/>
  <c r="C172" i="8"/>
  <c r="AG163" i="5"/>
  <c r="C163" i="6"/>
  <c r="AI163" i="5"/>
  <c r="B172" i="8"/>
  <c r="B164" i="5"/>
  <c r="B163" i="6"/>
  <c r="BJ18" i="5"/>
  <c r="BK18" i="5" s="1"/>
  <c r="BH19" i="5" s="1"/>
  <c r="X64" i="5"/>
  <c r="E73" i="8"/>
  <c r="C171" i="8"/>
  <c r="C162" i="6"/>
  <c r="AG162" i="5"/>
  <c r="AI162" i="5"/>
  <c r="CJ18" i="5"/>
  <c r="N65" i="5"/>
  <c r="T65" i="5" s="1"/>
  <c r="BD18" i="5"/>
  <c r="CB18" i="5" l="1"/>
  <c r="AS19" i="5" s="1"/>
  <c r="AJ163" i="5"/>
  <c r="B173" i="8"/>
  <c r="B165" i="5"/>
  <c r="C165" i="5" s="1"/>
  <c r="B164" i="6"/>
  <c r="C164" i="5"/>
  <c r="U70" i="5"/>
  <c r="CP65" i="5"/>
  <c r="AC65" i="5" s="1"/>
  <c r="AJ162" i="5"/>
  <c r="AK64" i="5"/>
  <c r="Q65" i="5"/>
  <c r="H85" i="5"/>
  <c r="I85" i="5" s="1"/>
  <c r="J85" i="5" s="1"/>
  <c r="R65" i="5"/>
  <c r="BL18" i="5"/>
  <c r="V65" i="5" l="1"/>
  <c r="L66" i="5" s="1"/>
  <c r="N66" i="5" s="1"/>
  <c r="CN65" i="5"/>
  <c r="C174" i="8"/>
  <c r="AI165" i="5"/>
  <c r="C165" i="6"/>
  <c r="AG165" i="5"/>
  <c r="AJ165" i="5" s="1"/>
  <c r="E86" i="5"/>
  <c r="O85" i="5"/>
  <c r="G86" i="5"/>
  <c r="C173" i="8"/>
  <c r="AG164" i="5"/>
  <c r="C164" i="6"/>
  <c r="AI164" i="5"/>
  <c r="BP18" i="5"/>
  <c r="BR18" i="5" s="1"/>
  <c r="B174" i="8"/>
  <c r="C166" i="5"/>
  <c r="B166" i="5"/>
  <c r="B165" i="6"/>
  <c r="E74" i="8"/>
  <c r="X65" i="5"/>
  <c r="BU18" i="5" l="1"/>
  <c r="AJ164" i="5"/>
  <c r="C175" i="8"/>
  <c r="AG166" i="5"/>
  <c r="AI166" i="5"/>
  <c r="C166" i="6"/>
  <c r="U71" i="5"/>
  <c r="CP66" i="5"/>
  <c r="AC66" i="5" s="1"/>
  <c r="AK65" i="5"/>
  <c r="T66" i="5"/>
  <c r="CG18" i="5"/>
  <c r="BQ18" i="5"/>
  <c r="R66" i="5"/>
  <c r="H86" i="5"/>
  <c r="I86" i="5" s="1"/>
  <c r="J86" i="5" s="1"/>
  <c r="B175" i="8"/>
  <c r="B167" i="5"/>
  <c r="B166" i="6"/>
  <c r="Q66" i="5"/>
  <c r="V66" i="5" l="1"/>
  <c r="L67" i="5" s="1"/>
  <c r="CN66" i="5"/>
  <c r="N67" i="5"/>
  <c r="T67" i="5" s="1"/>
  <c r="AJ166" i="5"/>
  <c r="B176" i="8"/>
  <c r="B168" i="5"/>
  <c r="C168" i="5"/>
  <c r="B167" i="6"/>
  <c r="C167" i="5"/>
  <c r="O86" i="5"/>
  <c r="E87" i="5"/>
  <c r="G87" i="5"/>
  <c r="CH18" i="5"/>
  <c r="CF18" i="5" s="1"/>
  <c r="BV18" i="5"/>
  <c r="X66" i="5"/>
  <c r="E75" i="8"/>
  <c r="BW18" i="5"/>
  <c r="BZ18" i="5" s="1"/>
  <c r="CK18" i="5" s="1"/>
  <c r="CL18" i="5" s="1"/>
  <c r="AK66" i="5" l="1"/>
  <c r="C176" i="8"/>
  <c r="C167" i="6"/>
  <c r="AG167" i="5"/>
  <c r="AI167" i="5"/>
  <c r="U72" i="5"/>
  <c r="CP67" i="5"/>
  <c r="AC67" i="5" s="1"/>
  <c r="B169" i="5"/>
  <c r="B177" i="8"/>
  <c r="B168" i="6"/>
  <c r="Q67" i="5"/>
  <c r="C177" i="8"/>
  <c r="AI168" i="5"/>
  <c r="C168" i="6"/>
  <c r="AG168" i="5"/>
  <c r="BO19" i="5"/>
  <c r="BT19" i="5"/>
  <c r="AM19" i="5"/>
  <c r="R67" i="5"/>
  <c r="H87" i="5"/>
  <c r="I87" i="5" s="1"/>
  <c r="J87" i="5" s="1"/>
  <c r="G27" i="8"/>
  <c r="V67" i="5"/>
  <c r="L68" i="5" s="1"/>
  <c r="CN67" i="5" l="1"/>
  <c r="E88" i="5"/>
  <c r="O87" i="5"/>
  <c r="G88" i="5"/>
  <c r="B178" i="8"/>
  <c r="B170" i="5"/>
  <c r="C170" i="5" s="1"/>
  <c r="B169" i="6"/>
  <c r="N68" i="5"/>
  <c r="T68" i="5" s="1"/>
  <c r="E76" i="8"/>
  <c r="X67" i="5"/>
  <c r="AN19" i="5"/>
  <c r="AJ168" i="5"/>
  <c r="AJ167" i="5"/>
  <c r="C169" i="5"/>
  <c r="C179" i="8" l="1"/>
  <c r="C170" i="6"/>
  <c r="AI170" i="5"/>
  <c r="AG170" i="5"/>
  <c r="AP19" i="5"/>
  <c r="U73" i="5"/>
  <c r="CP68" i="5"/>
  <c r="AC68" i="5" s="1"/>
  <c r="R68" i="5"/>
  <c r="B171" i="5"/>
  <c r="C171" i="5" s="1"/>
  <c r="B179" i="8"/>
  <c r="B170" i="6"/>
  <c r="AO19" i="5"/>
  <c r="C178" i="8"/>
  <c r="C169" i="6"/>
  <c r="AI169" i="5"/>
  <c r="AG169" i="5"/>
  <c r="AJ169" i="5" s="1"/>
  <c r="AK67" i="5"/>
  <c r="Q68" i="5"/>
  <c r="H88" i="5"/>
  <c r="I88" i="5" s="1"/>
  <c r="J88" i="5" s="1"/>
  <c r="CN68" i="5" l="1"/>
  <c r="G89" i="5"/>
  <c r="E89" i="5"/>
  <c r="O88" i="5"/>
  <c r="C180" i="8"/>
  <c r="AG171" i="5"/>
  <c r="C171" i="6"/>
  <c r="AI171" i="5"/>
  <c r="AT19" i="5"/>
  <c r="X68" i="5"/>
  <c r="E77" i="8"/>
  <c r="V68" i="5"/>
  <c r="L69" i="5" s="1"/>
  <c r="B180" i="8"/>
  <c r="B172" i="5"/>
  <c r="B171" i="6"/>
  <c r="AJ170" i="5"/>
  <c r="AJ171" i="5" l="1"/>
  <c r="N69" i="5"/>
  <c r="B181" i="8"/>
  <c r="B173" i="5"/>
  <c r="C173" i="5" s="1"/>
  <c r="B172" i="6"/>
  <c r="AK68" i="5"/>
  <c r="AU19" i="5"/>
  <c r="H89" i="5"/>
  <c r="I89" i="5" s="1"/>
  <c r="J89" i="5" s="1"/>
  <c r="C172" i="5"/>
  <c r="AX19" i="5"/>
  <c r="C182" i="8" l="1"/>
  <c r="AI173" i="5"/>
  <c r="C173" i="6"/>
  <c r="AG173" i="5"/>
  <c r="O89" i="5"/>
  <c r="G90" i="5"/>
  <c r="E90" i="5"/>
  <c r="CP69" i="5"/>
  <c r="AC69" i="5" s="1"/>
  <c r="U74" i="5"/>
  <c r="C181" i="8"/>
  <c r="AG172" i="5"/>
  <c r="C172" i="6"/>
  <c r="AI172" i="5"/>
  <c r="Q69" i="5"/>
  <c r="V69" i="5" s="1"/>
  <c r="L70" i="5" s="1"/>
  <c r="B182" i="8"/>
  <c r="B174" i="5"/>
  <c r="B173" i="6"/>
  <c r="R69" i="5"/>
  <c r="AV19" i="5"/>
  <c r="AW19" i="5" s="1"/>
  <c r="T69" i="5"/>
  <c r="CN69" i="5" l="1"/>
  <c r="CC19" i="5"/>
  <c r="B183" i="8"/>
  <c r="B175" i="5"/>
  <c r="B174" i="6"/>
  <c r="H90" i="5"/>
  <c r="I90" i="5"/>
  <c r="J90" i="5" s="1"/>
  <c r="C174" i="5"/>
  <c r="N70" i="5"/>
  <c r="R70" i="5" s="1"/>
  <c r="AZ19" i="5"/>
  <c r="E78" i="8"/>
  <c r="X69" i="5"/>
  <c r="AJ172" i="5"/>
  <c r="AJ173" i="5"/>
  <c r="Q70" i="5" l="1"/>
  <c r="AK69" i="5"/>
  <c r="BA19" i="5"/>
  <c r="E79" i="8"/>
  <c r="X70" i="5"/>
  <c r="C183" i="8"/>
  <c r="AG174" i="5"/>
  <c r="AI174" i="5"/>
  <c r="C174" i="6"/>
  <c r="T70" i="5"/>
  <c r="B184" i="8"/>
  <c r="B176" i="5"/>
  <c r="C176" i="5" s="1"/>
  <c r="B175" i="6"/>
  <c r="V70" i="5"/>
  <c r="L71" i="5" s="1"/>
  <c r="N28" i="9"/>
  <c r="O90" i="5"/>
  <c r="E91" i="5"/>
  <c r="G91" i="5"/>
  <c r="C175" i="5"/>
  <c r="U75" i="5"/>
  <c r="CP70" i="5"/>
  <c r="AC70" i="5" s="1"/>
  <c r="CN70" i="5"/>
  <c r="C185" i="8" l="1"/>
  <c r="AI176" i="5"/>
  <c r="C176" i="6"/>
  <c r="AG176" i="5"/>
  <c r="AJ176" i="5" s="1"/>
  <c r="N71" i="5"/>
  <c r="T71" i="5" s="1"/>
  <c r="AK70" i="5"/>
  <c r="BE19" i="5"/>
  <c r="BB19" i="5"/>
  <c r="C184" i="8"/>
  <c r="C175" i="6"/>
  <c r="AG175" i="5"/>
  <c r="AI175" i="5"/>
  <c r="C177" i="5"/>
  <c r="B185" i="8"/>
  <c r="B177" i="5"/>
  <c r="B176" i="6"/>
  <c r="H91" i="5"/>
  <c r="I91" i="5" s="1"/>
  <c r="J91" i="5" s="1"/>
  <c r="AJ174" i="5"/>
  <c r="G92" i="5" l="1"/>
  <c r="E92" i="5"/>
  <c r="O91" i="5"/>
  <c r="U76" i="5"/>
  <c r="CP71" i="5"/>
  <c r="AC71" i="5" s="1"/>
  <c r="AJ175" i="5"/>
  <c r="B178" i="5"/>
  <c r="C178" i="5" s="1"/>
  <c r="B186" i="8"/>
  <c r="B177" i="6"/>
  <c r="BJ19" i="5"/>
  <c r="BL19" i="5" s="1"/>
  <c r="R71" i="5"/>
  <c r="Q71" i="5"/>
  <c r="CN71" i="5" s="1"/>
  <c r="BC19" i="5"/>
  <c r="C186" i="8"/>
  <c r="C177" i="6"/>
  <c r="AG177" i="5"/>
  <c r="AJ177" i="5" s="1"/>
  <c r="AI177" i="5"/>
  <c r="C187" i="8" l="1"/>
  <c r="C178" i="6"/>
  <c r="AG178" i="5"/>
  <c r="AI178" i="5"/>
  <c r="BP19" i="5"/>
  <c r="BR19" i="5" s="1"/>
  <c r="E80" i="8"/>
  <c r="X71" i="5"/>
  <c r="BI19" i="5"/>
  <c r="CD19" i="5"/>
  <c r="V71" i="5"/>
  <c r="L72" i="5" s="1"/>
  <c r="BD19" i="5"/>
  <c r="H92" i="5"/>
  <c r="I92" i="5" s="1"/>
  <c r="J92" i="5" s="1"/>
  <c r="B187" i="8"/>
  <c r="B179" i="5"/>
  <c r="C179" i="5"/>
  <c r="B178" i="6"/>
  <c r="AJ178" i="5" l="1"/>
  <c r="BU19" i="5"/>
  <c r="BW19" i="5" s="1"/>
  <c r="BZ19" i="5" s="1"/>
  <c r="O92" i="5"/>
  <c r="E93" i="5"/>
  <c r="G93" i="5"/>
  <c r="N72" i="5"/>
  <c r="T72" i="5" s="1"/>
  <c r="AK71" i="5"/>
  <c r="C188" i="8"/>
  <c r="AG179" i="5"/>
  <c r="C179" i="6"/>
  <c r="AI179" i="5"/>
  <c r="O28" i="9"/>
  <c r="CB19" i="5"/>
  <c r="F28" i="8"/>
  <c r="CG19" i="5"/>
  <c r="BQ19" i="5"/>
  <c r="B180" i="5"/>
  <c r="C180" i="5"/>
  <c r="B188" i="8"/>
  <c r="B179" i="6"/>
  <c r="CJ19" i="5"/>
  <c r="BK19" i="5"/>
  <c r="BH20" i="5" s="1"/>
  <c r="AJ179" i="5" l="1"/>
  <c r="C189" i="8"/>
  <c r="AG180" i="5"/>
  <c r="C180" i="6"/>
  <c r="AI180" i="5"/>
  <c r="AS20" i="5"/>
  <c r="H93" i="5"/>
  <c r="I93" i="5" s="1"/>
  <c r="J93" i="5" s="1"/>
  <c r="B189" i="8"/>
  <c r="B181" i="5"/>
  <c r="C181" i="5" s="1"/>
  <c r="B180" i="6"/>
  <c r="U77" i="5"/>
  <c r="CP72" i="5"/>
  <c r="AC72" i="5" s="1"/>
  <c r="R72" i="5"/>
  <c r="Q72" i="5"/>
  <c r="V72" i="5" s="1"/>
  <c r="L73" i="5" s="1"/>
  <c r="CH19" i="5"/>
  <c r="CF19" i="5" s="1"/>
  <c r="AM20" i="5" s="1"/>
  <c r="BV19" i="5"/>
  <c r="CK19" i="5"/>
  <c r="CL19" i="5" s="1"/>
  <c r="G28" i="8" l="1"/>
  <c r="BT20" i="5"/>
  <c r="CN72" i="5"/>
  <c r="N73" i="5"/>
  <c r="Q73" i="5" s="1"/>
  <c r="C190" i="8"/>
  <c r="AI181" i="5"/>
  <c r="C181" i="6"/>
  <c r="AG181" i="5"/>
  <c r="O93" i="5"/>
  <c r="G94" i="5"/>
  <c r="E94" i="5"/>
  <c r="AN20" i="5"/>
  <c r="B182" i="5"/>
  <c r="C182" i="5" s="1"/>
  <c r="B190" i="8"/>
  <c r="B181" i="6"/>
  <c r="AJ180" i="5"/>
  <c r="BO20" i="5"/>
  <c r="E81" i="8"/>
  <c r="X72" i="5"/>
  <c r="T73" i="5" l="1"/>
  <c r="C191" i="8"/>
  <c r="AG182" i="5"/>
  <c r="AI182" i="5"/>
  <c r="C182" i="6"/>
  <c r="AP20" i="5"/>
  <c r="B191" i="8"/>
  <c r="B183" i="5"/>
  <c r="C183" i="5" s="1"/>
  <c r="B182" i="6"/>
  <c r="AO20" i="5"/>
  <c r="CP73" i="5"/>
  <c r="AC73" i="5" s="1"/>
  <c r="U78" i="5"/>
  <c r="AJ181" i="5"/>
  <c r="H94" i="5"/>
  <c r="I94" i="5" s="1"/>
  <c r="J94" i="5" s="1"/>
  <c r="AK72" i="5"/>
  <c r="R73" i="5"/>
  <c r="E82" i="8" s="1"/>
  <c r="C192" i="8" l="1"/>
  <c r="C183" i="6"/>
  <c r="AI183" i="5"/>
  <c r="AG183" i="5"/>
  <c r="O94" i="5"/>
  <c r="E95" i="5"/>
  <c r="G95" i="5"/>
  <c r="CN73" i="5"/>
  <c r="V73" i="5"/>
  <c r="L74" i="5" s="1"/>
  <c r="AT20" i="5"/>
  <c r="X73" i="5"/>
  <c r="AJ182" i="5"/>
  <c r="B184" i="5"/>
  <c r="B192" i="8"/>
  <c r="B183" i="6"/>
  <c r="B185" i="5" l="1"/>
  <c r="C185" i="5"/>
  <c r="B193" i="8"/>
  <c r="B184" i="6"/>
  <c r="I95" i="5"/>
  <c r="N74" i="5"/>
  <c r="T74" i="5" s="1"/>
  <c r="AU20" i="5"/>
  <c r="J95" i="5"/>
  <c r="H95" i="5"/>
  <c r="AK73" i="5"/>
  <c r="AX20" i="5"/>
  <c r="C184" i="5"/>
  <c r="AJ183" i="5"/>
  <c r="C193" i="8" l="1"/>
  <c r="C184" i="6"/>
  <c r="AI184" i="5"/>
  <c r="AG184" i="5"/>
  <c r="O95" i="5"/>
  <c r="E96" i="5"/>
  <c r="G96" i="5"/>
  <c r="AZ20" i="5"/>
  <c r="BA20" i="5" s="1"/>
  <c r="Q74" i="5"/>
  <c r="U79" i="5"/>
  <c r="CP74" i="5"/>
  <c r="AC74" i="5" s="1"/>
  <c r="AV20" i="5"/>
  <c r="C194" i="8"/>
  <c r="C185" i="6"/>
  <c r="AG185" i="5"/>
  <c r="AI185" i="5"/>
  <c r="R74" i="5"/>
  <c r="B186" i="5"/>
  <c r="C186" i="5" s="1"/>
  <c r="B194" i="8"/>
  <c r="B185" i="6"/>
  <c r="V74" i="5" l="1"/>
  <c r="L75" i="5" s="1"/>
  <c r="BE20" i="5"/>
  <c r="C195" i="8"/>
  <c r="C186" i="6"/>
  <c r="AG186" i="5"/>
  <c r="AI186" i="5"/>
  <c r="N75" i="5"/>
  <c r="X74" i="5"/>
  <c r="E83" i="8"/>
  <c r="AJ185" i="5"/>
  <c r="CC20" i="5"/>
  <c r="AW20" i="5"/>
  <c r="BB20" i="5"/>
  <c r="BC20" i="5" s="1"/>
  <c r="CD20" i="5" s="1"/>
  <c r="CN74" i="5"/>
  <c r="H96" i="5"/>
  <c r="I96" i="5" s="1"/>
  <c r="J96" i="5" s="1"/>
  <c r="B195" i="8"/>
  <c r="B187" i="5"/>
  <c r="C187" i="5" s="1"/>
  <c r="B186" i="6"/>
  <c r="AJ184" i="5"/>
  <c r="G97" i="5" l="1"/>
  <c r="E97" i="5"/>
  <c r="O96" i="5"/>
  <c r="O29" i="9"/>
  <c r="CB20" i="5"/>
  <c r="C196" i="8"/>
  <c r="AG187" i="5"/>
  <c r="C187" i="6"/>
  <c r="AI187" i="5"/>
  <c r="U80" i="5"/>
  <c r="CP75" i="5"/>
  <c r="AC75" i="5" s="1"/>
  <c r="BI20" i="5"/>
  <c r="R75" i="5"/>
  <c r="AK74" i="5"/>
  <c r="T75" i="5"/>
  <c r="Q75" i="5"/>
  <c r="V75" i="5" s="1"/>
  <c r="L76" i="5" s="1"/>
  <c r="BD20" i="5"/>
  <c r="N29" i="9"/>
  <c r="F29" i="8"/>
  <c r="AJ186" i="5"/>
  <c r="BJ20" i="5"/>
  <c r="B188" i="5"/>
  <c r="C188" i="5" s="1"/>
  <c r="B196" i="8"/>
  <c r="B187" i="6"/>
  <c r="AJ187" i="5" l="1"/>
  <c r="N76" i="5"/>
  <c r="T76" i="5" s="1"/>
  <c r="C197" i="8"/>
  <c r="AG188" i="5"/>
  <c r="C188" i="6"/>
  <c r="AI188" i="5"/>
  <c r="B197" i="8"/>
  <c r="B189" i="5"/>
  <c r="C189" i="5" s="1"/>
  <c r="B188" i="6"/>
  <c r="AS21" i="5"/>
  <c r="CN75" i="5"/>
  <c r="BL20" i="5"/>
  <c r="CJ20" i="5"/>
  <c r="BK20" i="5"/>
  <c r="BH21" i="5" s="1"/>
  <c r="H97" i="5"/>
  <c r="I97" i="5" s="1"/>
  <c r="J97" i="5" s="1"/>
  <c r="E84" i="8"/>
  <c r="X75" i="5"/>
  <c r="C198" i="8" l="1"/>
  <c r="AI189" i="5"/>
  <c r="C189" i="6"/>
  <c r="AG189" i="5"/>
  <c r="G98" i="5"/>
  <c r="E98" i="5"/>
  <c r="O97" i="5"/>
  <c r="AJ188" i="5"/>
  <c r="U81" i="5"/>
  <c r="CP76" i="5"/>
  <c r="AC76" i="5" s="1"/>
  <c r="AK75" i="5"/>
  <c r="BP20" i="5"/>
  <c r="BR20" i="5" s="1"/>
  <c r="Q76" i="5"/>
  <c r="V76" i="5" s="1"/>
  <c r="L77" i="5" s="1"/>
  <c r="B190" i="5"/>
  <c r="C190" i="5" s="1"/>
  <c r="B198" i="8"/>
  <c r="B189" i="6"/>
  <c r="R76" i="5"/>
  <c r="C199" i="8" l="1"/>
  <c r="AI190" i="5"/>
  <c r="C190" i="6"/>
  <c r="AG190" i="5"/>
  <c r="BU20" i="5"/>
  <c r="CG20" i="5"/>
  <c r="BQ20" i="5"/>
  <c r="N77" i="5"/>
  <c r="H98" i="5"/>
  <c r="I98" i="5" s="1"/>
  <c r="J98" i="5" s="1"/>
  <c r="B191" i="5"/>
  <c r="C191" i="5" s="1"/>
  <c r="B199" i="8"/>
  <c r="B190" i="6"/>
  <c r="X76" i="5"/>
  <c r="E85" i="8"/>
  <c r="CN76" i="5"/>
  <c r="AJ189" i="5"/>
  <c r="BW20" i="5" l="1"/>
  <c r="BZ20" i="5" s="1"/>
  <c r="CK20" i="5" s="1"/>
  <c r="CL20" i="5" s="1"/>
  <c r="C200" i="8"/>
  <c r="C191" i="6"/>
  <c r="AG191" i="5"/>
  <c r="AI191" i="5"/>
  <c r="G99" i="5"/>
  <c r="E99" i="5"/>
  <c r="O98" i="5"/>
  <c r="U82" i="5"/>
  <c r="CP77" i="5"/>
  <c r="AC77" i="5" s="1"/>
  <c r="AK76" i="5"/>
  <c r="Q77" i="5"/>
  <c r="V77" i="5" s="1"/>
  <c r="L78" i="5" s="1"/>
  <c r="T77" i="5"/>
  <c r="CH20" i="5"/>
  <c r="CF20" i="5" s="1"/>
  <c r="BV20" i="5"/>
  <c r="B200" i="8"/>
  <c r="B192" i="5"/>
  <c r="C192" i="5"/>
  <c r="B191" i="6"/>
  <c r="R77" i="5"/>
  <c r="AJ190" i="5"/>
  <c r="G29" i="8" l="1"/>
  <c r="AJ191" i="5"/>
  <c r="N78" i="5"/>
  <c r="R78" i="5" s="1"/>
  <c r="BO21" i="5"/>
  <c r="AM21" i="5"/>
  <c r="BT21" i="5"/>
  <c r="CN77" i="5"/>
  <c r="E86" i="8"/>
  <c r="X77" i="5"/>
  <c r="H99" i="5"/>
  <c r="I99" i="5" s="1"/>
  <c r="J99" i="5" s="1"/>
  <c r="C201" i="8"/>
  <c r="AI192" i="5"/>
  <c r="C192" i="6"/>
  <c r="AG192" i="5"/>
  <c r="B201" i="8"/>
  <c r="B193" i="5"/>
  <c r="B192" i="6"/>
  <c r="T78" i="5" l="1"/>
  <c r="Q78" i="5"/>
  <c r="AJ192" i="5"/>
  <c r="AK77" i="5"/>
  <c r="G100" i="5"/>
  <c r="O99" i="5"/>
  <c r="E100" i="5"/>
  <c r="B202" i="8"/>
  <c r="B194" i="5"/>
  <c r="C194" i="5"/>
  <c r="B193" i="6"/>
  <c r="C193" i="5"/>
  <c r="X78" i="5"/>
  <c r="E87" i="8"/>
  <c r="CN78" i="5"/>
  <c r="CP78" i="5"/>
  <c r="AC78" i="5" s="1"/>
  <c r="U83" i="5"/>
  <c r="AN21" i="5"/>
  <c r="AO21" i="5" s="1"/>
  <c r="V78" i="5"/>
  <c r="L79" i="5" s="1"/>
  <c r="C203" i="8" l="1"/>
  <c r="C194" i="6"/>
  <c r="AI194" i="5"/>
  <c r="AG194" i="5"/>
  <c r="H100" i="5"/>
  <c r="I100" i="5" s="1"/>
  <c r="J100" i="5" s="1"/>
  <c r="AP21" i="5"/>
  <c r="AK78" i="5"/>
  <c r="N79" i="5"/>
  <c r="Q79" i="5" s="1"/>
  <c r="B203" i="8"/>
  <c r="B195" i="5"/>
  <c r="C195" i="5" s="1"/>
  <c r="B194" i="6"/>
  <c r="C202" i="8"/>
  <c r="C193" i="6"/>
  <c r="AG193" i="5"/>
  <c r="AI193" i="5"/>
  <c r="T79" i="5" l="1"/>
  <c r="R79" i="5"/>
  <c r="E88" i="8"/>
  <c r="X79" i="5"/>
  <c r="C204" i="8"/>
  <c r="AG195" i="5"/>
  <c r="C195" i="6"/>
  <c r="AI195" i="5"/>
  <c r="G101" i="5"/>
  <c r="E101" i="5"/>
  <c r="O100" i="5"/>
  <c r="AT21" i="5"/>
  <c r="AJ193" i="5"/>
  <c r="U84" i="5"/>
  <c r="CP79" i="5"/>
  <c r="AC79" i="5" s="1"/>
  <c r="CN79" i="5"/>
  <c r="B204" i="8"/>
  <c r="B196" i="5"/>
  <c r="B195" i="6"/>
  <c r="V79" i="5"/>
  <c r="L80" i="5" s="1"/>
  <c r="AJ194" i="5"/>
  <c r="AJ195" i="5" l="1"/>
  <c r="H101" i="5"/>
  <c r="N80" i="5"/>
  <c r="T80" i="5" s="1"/>
  <c r="I101" i="5"/>
  <c r="J101" i="5" s="1"/>
  <c r="B205" i="8"/>
  <c r="B197" i="5"/>
  <c r="C197" i="5"/>
  <c r="B196" i="6"/>
  <c r="AU21" i="5"/>
  <c r="AK79" i="5"/>
  <c r="C196" i="5"/>
  <c r="AX21" i="5"/>
  <c r="G102" i="5" l="1"/>
  <c r="O101" i="5"/>
  <c r="E102" i="5"/>
  <c r="C206" i="8"/>
  <c r="AI197" i="5"/>
  <c r="C197" i="6"/>
  <c r="AG197" i="5"/>
  <c r="AJ197" i="5" s="1"/>
  <c r="U85" i="5"/>
  <c r="CP80" i="5"/>
  <c r="AC80" i="5" s="1"/>
  <c r="B206" i="8"/>
  <c r="B198" i="5"/>
  <c r="C198" i="5" s="1"/>
  <c r="B197" i="6"/>
  <c r="C205" i="8"/>
  <c r="AG196" i="5"/>
  <c r="C196" i="6"/>
  <c r="AI196" i="5"/>
  <c r="R80" i="5"/>
  <c r="Q80" i="5"/>
  <c r="AV21" i="5"/>
  <c r="V80" i="5" l="1"/>
  <c r="L81" i="5" s="1"/>
  <c r="AJ196" i="5"/>
  <c r="CN80" i="5"/>
  <c r="C207" i="8"/>
  <c r="AI198" i="5"/>
  <c r="AG198" i="5"/>
  <c r="AJ198" i="5" s="1"/>
  <c r="C198" i="6"/>
  <c r="N81" i="5"/>
  <c r="Q81" i="5" s="1"/>
  <c r="X80" i="5"/>
  <c r="E89" i="8"/>
  <c r="H102" i="5"/>
  <c r="I102" i="5" s="1"/>
  <c r="J102" i="5" s="1"/>
  <c r="CC21" i="5"/>
  <c r="AW21" i="5"/>
  <c r="AZ21" i="5"/>
  <c r="B207" i="8"/>
  <c r="B199" i="5"/>
  <c r="C199" i="5" s="1"/>
  <c r="B198" i="6"/>
  <c r="T81" i="5" l="1"/>
  <c r="C208" i="8"/>
  <c r="C199" i="6"/>
  <c r="AI199" i="5"/>
  <c r="AG199" i="5"/>
  <c r="AJ199" i="5" s="1"/>
  <c r="G103" i="5"/>
  <c r="O102" i="5"/>
  <c r="E103" i="5"/>
  <c r="BA21" i="5"/>
  <c r="BB21" i="5" s="1"/>
  <c r="R81" i="5"/>
  <c r="E90" i="8" s="1"/>
  <c r="B208" i="8"/>
  <c r="B200" i="5"/>
  <c r="C200" i="5" s="1"/>
  <c r="B199" i="6"/>
  <c r="N30" i="9"/>
  <c r="AK80" i="5"/>
  <c r="CP81" i="5"/>
  <c r="AC81" i="5" s="1"/>
  <c r="U86" i="5"/>
  <c r="CN81" i="5"/>
  <c r="V81" i="5"/>
  <c r="L82" i="5" s="1"/>
  <c r="C209" i="8" l="1"/>
  <c r="AI200" i="5"/>
  <c r="C200" i="6"/>
  <c r="AG200" i="5"/>
  <c r="N82" i="5"/>
  <c r="T82" i="5" s="1"/>
  <c r="H103" i="5"/>
  <c r="I103" i="5" s="1"/>
  <c r="J103" i="5" s="1"/>
  <c r="B209" i="8"/>
  <c r="B201" i="5"/>
  <c r="B200" i="6"/>
  <c r="X81" i="5"/>
  <c r="BC21" i="5"/>
  <c r="BI21" i="5" s="1"/>
  <c r="BE21" i="5"/>
  <c r="CD21" i="5" l="1"/>
  <c r="O30" i="9" s="1"/>
  <c r="R82" i="5"/>
  <c r="O103" i="5"/>
  <c r="E104" i="5"/>
  <c r="G104" i="5"/>
  <c r="BJ21" i="5"/>
  <c r="C202" i="5"/>
  <c r="B210" i="8"/>
  <c r="B202" i="5"/>
  <c r="B201" i="6"/>
  <c r="CJ21" i="5"/>
  <c r="AK81" i="5"/>
  <c r="C201" i="5"/>
  <c r="BD21" i="5"/>
  <c r="U87" i="5"/>
  <c r="CP82" i="5"/>
  <c r="AC82" i="5" s="1"/>
  <c r="Q82" i="5"/>
  <c r="AJ200" i="5"/>
  <c r="CB21" i="5" l="1"/>
  <c r="AS22" i="5" s="1"/>
  <c r="F30" i="8"/>
  <c r="E91" i="8"/>
  <c r="X82" i="5"/>
  <c r="I104" i="5"/>
  <c r="J104" i="5" s="1"/>
  <c r="C210" i="8"/>
  <c r="C201" i="6"/>
  <c r="AG201" i="5"/>
  <c r="AI201" i="5"/>
  <c r="BL21" i="5"/>
  <c r="H104" i="5"/>
  <c r="CN82" i="5"/>
  <c r="BK21" i="5"/>
  <c r="BH22" i="5" s="1"/>
  <c r="C211" i="8"/>
  <c r="C202" i="6"/>
  <c r="AG202" i="5"/>
  <c r="AI202" i="5"/>
  <c r="B211" i="8"/>
  <c r="B203" i="5"/>
  <c r="B202" i="6"/>
  <c r="V82" i="5"/>
  <c r="L83" i="5" s="1"/>
  <c r="O104" i="5" l="1"/>
  <c r="E105" i="5"/>
  <c r="G105" i="5"/>
  <c r="B212" i="8"/>
  <c r="B204" i="5"/>
  <c r="B203" i="6"/>
  <c r="C203" i="5"/>
  <c r="AJ201" i="5"/>
  <c r="AJ202" i="5"/>
  <c r="AK82" i="5"/>
  <c r="N83" i="5"/>
  <c r="T83" i="5" s="1"/>
  <c r="BP21" i="5"/>
  <c r="BR21" i="5" s="1"/>
  <c r="BU21" i="5" l="1"/>
  <c r="B213" i="8"/>
  <c r="B205" i="5"/>
  <c r="C205" i="5" s="1"/>
  <c r="B204" i="6"/>
  <c r="C212" i="8"/>
  <c r="AG203" i="5"/>
  <c r="C203" i="6"/>
  <c r="AI203" i="5"/>
  <c r="CP83" i="5"/>
  <c r="AC83" i="5" s="1"/>
  <c r="U88" i="5"/>
  <c r="C204" i="5"/>
  <c r="R83" i="5"/>
  <c r="Q83" i="5"/>
  <c r="H105" i="5"/>
  <c r="I105" i="5" s="1"/>
  <c r="J105" i="5" s="1"/>
  <c r="CG21" i="5"/>
  <c r="BQ21" i="5"/>
  <c r="O105" i="5" l="1"/>
  <c r="E106" i="5"/>
  <c r="G106" i="5"/>
  <c r="C214" i="8"/>
  <c r="AI205" i="5"/>
  <c r="C205" i="6"/>
  <c r="AG205" i="5"/>
  <c r="X83" i="5"/>
  <c r="E92" i="8"/>
  <c r="C213" i="8"/>
  <c r="AG204" i="5"/>
  <c r="C204" i="6"/>
  <c r="AI204" i="5"/>
  <c r="B214" i="8"/>
  <c r="B206" i="5"/>
  <c r="C206" i="5" s="1"/>
  <c r="B205" i="6"/>
  <c r="CN83" i="5"/>
  <c r="CH21" i="5"/>
  <c r="CF21" i="5" s="1"/>
  <c r="BV21" i="5"/>
  <c r="V83" i="5"/>
  <c r="L84" i="5" s="1"/>
  <c r="AJ203" i="5"/>
  <c r="BW21" i="5"/>
  <c r="BZ21" i="5" s="1"/>
  <c r="CK21" i="5" s="1"/>
  <c r="CL21" i="5" s="1"/>
  <c r="C215" i="8" l="1"/>
  <c r="AG206" i="5"/>
  <c r="AI206" i="5"/>
  <c r="C206" i="6"/>
  <c r="BO22" i="5"/>
  <c r="BT22" i="5"/>
  <c r="AM22" i="5"/>
  <c r="Q84" i="5"/>
  <c r="N84" i="5"/>
  <c r="R84" i="5" s="1"/>
  <c r="AK83" i="5"/>
  <c r="AJ205" i="5"/>
  <c r="H106" i="5"/>
  <c r="I106" i="5" s="1"/>
  <c r="J106" i="5" s="1"/>
  <c r="B215" i="8"/>
  <c r="B207" i="5"/>
  <c r="C207" i="5"/>
  <c r="B206" i="6"/>
  <c r="G30" i="8"/>
  <c r="AJ204" i="5"/>
  <c r="AJ206" i="5" l="1"/>
  <c r="T84" i="5"/>
  <c r="G107" i="5"/>
  <c r="E107" i="5"/>
  <c r="O106" i="5"/>
  <c r="C216" i="8"/>
  <c r="C207" i="6"/>
  <c r="AG207" i="5"/>
  <c r="AI207" i="5"/>
  <c r="E93" i="8"/>
  <c r="X84" i="5"/>
  <c r="V84" i="5"/>
  <c r="L85" i="5" s="1"/>
  <c r="AN22" i="5"/>
  <c r="C208" i="5"/>
  <c r="B216" i="8"/>
  <c r="B208" i="5"/>
  <c r="B207" i="6"/>
  <c r="U89" i="5"/>
  <c r="CP84" i="5"/>
  <c r="AC84" i="5" s="1"/>
  <c r="CN84" i="5"/>
  <c r="C217" i="8" l="1"/>
  <c r="C208" i="6"/>
  <c r="AI208" i="5"/>
  <c r="AG208" i="5"/>
  <c r="AP22" i="5"/>
  <c r="AK84" i="5"/>
  <c r="AJ207" i="5"/>
  <c r="AO22" i="5"/>
  <c r="N85" i="5"/>
  <c r="T85" i="5" s="1"/>
  <c r="H107" i="5"/>
  <c r="B217" i="8"/>
  <c r="B209" i="5"/>
  <c r="C209" i="5" s="1"/>
  <c r="B208" i="6"/>
  <c r="I107" i="5"/>
  <c r="J107" i="5" s="1"/>
  <c r="C218" i="8" l="1"/>
  <c r="C209" i="6"/>
  <c r="AG209" i="5"/>
  <c r="AI209" i="5"/>
  <c r="CP85" i="5"/>
  <c r="AC85" i="5" s="1"/>
  <c r="U90" i="5"/>
  <c r="AT22" i="5"/>
  <c r="E108" i="5"/>
  <c r="G108" i="5"/>
  <c r="O107" i="5"/>
  <c r="Q85" i="5"/>
  <c r="R85" i="5"/>
  <c r="C210" i="5"/>
  <c r="B218" i="8"/>
  <c r="B210" i="5"/>
  <c r="B209" i="6"/>
  <c r="AJ208" i="5"/>
  <c r="AJ209" i="5" l="1"/>
  <c r="AU22" i="5"/>
  <c r="E94" i="8"/>
  <c r="X85" i="5"/>
  <c r="C219" i="8"/>
  <c r="C210" i="6"/>
  <c r="AG210" i="5"/>
  <c r="AI210" i="5"/>
  <c r="CN85" i="5"/>
  <c r="H108" i="5"/>
  <c r="I108" i="5" s="1"/>
  <c r="J108" i="5" s="1"/>
  <c r="V85" i="5"/>
  <c r="L86" i="5" s="1"/>
  <c r="B219" i="8"/>
  <c r="B211" i="5"/>
  <c r="B210" i="6"/>
  <c r="AX22" i="5"/>
  <c r="E109" i="5" l="1"/>
  <c r="G109" i="5"/>
  <c r="O108" i="5"/>
  <c r="N86" i="5"/>
  <c r="B220" i="8"/>
  <c r="B212" i="5"/>
  <c r="B211" i="6"/>
  <c r="AK85" i="5"/>
  <c r="AV22" i="5"/>
  <c r="AW22" i="5"/>
  <c r="C211" i="5"/>
  <c r="AJ210" i="5"/>
  <c r="U91" i="5" l="1"/>
  <c r="CP86" i="5"/>
  <c r="AC86" i="5" s="1"/>
  <c r="B221" i="8"/>
  <c r="B213" i="5"/>
  <c r="B212" i="6"/>
  <c r="CC22" i="5"/>
  <c r="R86" i="5"/>
  <c r="C212" i="5"/>
  <c r="C220" i="8"/>
  <c r="AG211" i="5"/>
  <c r="C211" i="6"/>
  <c r="AI211" i="5"/>
  <c r="Q86" i="5"/>
  <c r="AZ22" i="5"/>
  <c r="T86" i="5"/>
  <c r="H109" i="5"/>
  <c r="I109" i="5" s="1"/>
  <c r="J109" i="5" s="1"/>
  <c r="AJ211" i="5" l="1"/>
  <c r="G110" i="5"/>
  <c r="E110" i="5"/>
  <c r="O109" i="5"/>
  <c r="B222" i="8"/>
  <c r="B214" i="5"/>
  <c r="B213" i="6"/>
  <c r="BA22" i="5"/>
  <c r="BB22" i="5" s="1"/>
  <c r="C221" i="8"/>
  <c r="AG212" i="5"/>
  <c r="C212" i="6"/>
  <c r="AI212" i="5"/>
  <c r="E95" i="8"/>
  <c r="X86" i="5"/>
  <c r="N31" i="9"/>
  <c r="C213" i="5"/>
  <c r="V86" i="5"/>
  <c r="L87" i="5" s="1"/>
  <c r="CN86" i="5"/>
  <c r="AJ212" i="5" l="1"/>
  <c r="B223" i="8"/>
  <c r="B215" i="5"/>
  <c r="C215" i="5" s="1"/>
  <c r="B214" i="6"/>
  <c r="AK86" i="5"/>
  <c r="C214" i="5"/>
  <c r="BC22" i="5"/>
  <c r="BI22" i="5" s="1"/>
  <c r="N87" i="5"/>
  <c r="T87" i="5" s="1"/>
  <c r="H110" i="5"/>
  <c r="C222" i="8"/>
  <c r="AI213" i="5"/>
  <c r="C213" i="6"/>
  <c r="AG213" i="5"/>
  <c r="BE22" i="5"/>
  <c r="I110" i="5"/>
  <c r="J110" i="5" s="1"/>
  <c r="E111" i="5" l="1"/>
  <c r="G111" i="5"/>
  <c r="O110" i="5"/>
  <c r="C224" i="8"/>
  <c r="C215" i="6"/>
  <c r="AI215" i="5"/>
  <c r="AG215" i="5"/>
  <c r="AJ215" i="5" s="1"/>
  <c r="C223" i="8"/>
  <c r="AI214" i="5"/>
  <c r="C214" i="6"/>
  <c r="AG214" i="5"/>
  <c r="U92" i="5"/>
  <c r="CP87" i="5"/>
  <c r="AC87" i="5" s="1"/>
  <c r="BJ22" i="5"/>
  <c r="Q87" i="5"/>
  <c r="CN87" i="5" s="1"/>
  <c r="CD22" i="5"/>
  <c r="AJ213" i="5"/>
  <c r="R87" i="5"/>
  <c r="B224" i="8"/>
  <c r="B216" i="5"/>
  <c r="B215" i="6"/>
  <c r="CJ22" i="5"/>
  <c r="BK22" i="5"/>
  <c r="BH23" i="5" s="1"/>
  <c r="BD22" i="5"/>
  <c r="X87" i="5" l="1"/>
  <c r="E96" i="8"/>
  <c r="AJ214" i="5"/>
  <c r="B225" i="8"/>
  <c r="B217" i="5"/>
  <c r="C217" i="5" s="1"/>
  <c r="B216" i="6"/>
  <c r="V87" i="5"/>
  <c r="L88" i="5" s="1"/>
  <c r="C216" i="5"/>
  <c r="O31" i="9"/>
  <c r="CB22" i="5"/>
  <c r="F31" i="8"/>
  <c r="BL22" i="5"/>
  <c r="H111" i="5"/>
  <c r="I111" i="5" s="1"/>
  <c r="J111" i="5" s="1"/>
  <c r="G112" i="5" l="1"/>
  <c r="E112" i="5"/>
  <c r="O111" i="5"/>
  <c r="C226" i="8"/>
  <c r="AG217" i="5"/>
  <c r="C217" i="6"/>
  <c r="AI217" i="5"/>
  <c r="BP22" i="5"/>
  <c r="N88" i="5"/>
  <c r="C225" i="8"/>
  <c r="C216" i="6"/>
  <c r="AI216" i="5"/>
  <c r="AG216" i="5"/>
  <c r="AK87" i="5"/>
  <c r="AS23" i="5"/>
  <c r="B226" i="8"/>
  <c r="B218" i="5"/>
  <c r="C218" i="5" s="1"/>
  <c r="B217" i="6"/>
  <c r="AJ216" i="5" l="1"/>
  <c r="AJ217" i="5"/>
  <c r="C227" i="8"/>
  <c r="C218" i="6"/>
  <c r="AI218" i="5"/>
  <c r="AG218" i="5"/>
  <c r="CP88" i="5"/>
  <c r="AC88" i="5" s="1"/>
  <c r="U93" i="5"/>
  <c r="CG22" i="5"/>
  <c r="BQ22" i="5"/>
  <c r="T88" i="5"/>
  <c r="B227" i="8"/>
  <c r="B219" i="5"/>
  <c r="B218" i="6"/>
  <c r="R88" i="5"/>
  <c r="H112" i="5"/>
  <c r="I112" i="5" s="1"/>
  <c r="J112" i="5" s="1"/>
  <c r="BR22" i="5"/>
  <c r="Q88" i="5"/>
  <c r="V88" i="5" l="1"/>
  <c r="L89" i="5" s="1"/>
  <c r="O112" i="5"/>
  <c r="G113" i="5"/>
  <c r="E113" i="5"/>
  <c r="B228" i="8"/>
  <c r="B220" i="5"/>
  <c r="B219" i="6"/>
  <c r="N89" i="5"/>
  <c r="R89" i="5" s="1"/>
  <c r="X88" i="5"/>
  <c r="E97" i="8"/>
  <c r="BU22" i="5"/>
  <c r="BW22" i="5" s="1"/>
  <c r="BZ22" i="5" s="1"/>
  <c r="CN88" i="5"/>
  <c r="C219" i="5"/>
  <c r="AJ218" i="5"/>
  <c r="B229" i="8" l="1"/>
  <c r="B221" i="5"/>
  <c r="C221" i="5" s="1"/>
  <c r="B220" i="6"/>
  <c r="C220" i="5"/>
  <c r="CP89" i="5"/>
  <c r="AC89" i="5" s="1"/>
  <c r="U94" i="5"/>
  <c r="CH22" i="5"/>
  <c r="BV22" i="5"/>
  <c r="CK22" i="5"/>
  <c r="CL22" i="5" s="1"/>
  <c r="Q89" i="5"/>
  <c r="V89" i="5" s="1"/>
  <c r="L90" i="5" s="1"/>
  <c r="H113" i="5"/>
  <c r="I113" i="5" s="1"/>
  <c r="J113" i="5" s="1"/>
  <c r="T89" i="5"/>
  <c r="C228" i="8"/>
  <c r="AG219" i="5"/>
  <c r="C219" i="6"/>
  <c r="AI219" i="5"/>
  <c r="AK88" i="5"/>
  <c r="AJ219" i="5" l="1"/>
  <c r="CN89" i="5"/>
  <c r="G114" i="5"/>
  <c r="E114" i="5"/>
  <c r="O113" i="5"/>
  <c r="C230" i="8"/>
  <c r="AI221" i="5"/>
  <c r="C221" i="6"/>
  <c r="AG221" i="5"/>
  <c r="C229" i="8"/>
  <c r="AG220" i="5"/>
  <c r="C220" i="6"/>
  <c r="AI220" i="5"/>
  <c r="E98" i="8"/>
  <c r="X89" i="5"/>
  <c r="B230" i="8"/>
  <c r="B222" i="5"/>
  <c r="B221" i="6"/>
  <c r="N90" i="5"/>
  <c r="CF22" i="5"/>
  <c r="G31" i="8"/>
  <c r="U95" i="5" l="1"/>
  <c r="CP90" i="5"/>
  <c r="AC90" i="5" s="1"/>
  <c r="AJ220" i="5"/>
  <c r="B231" i="8"/>
  <c r="B223" i="5"/>
  <c r="C223" i="5" s="1"/>
  <c r="B222" i="6"/>
  <c r="AJ221" i="5"/>
  <c r="BO23" i="5"/>
  <c r="BT23" i="5"/>
  <c r="AM23" i="5"/>
  <c r="T90" i="5"/>
  <c r="C222" i="5"/>
  <c r="H114" i="5"/>
  <c r="I114" i="5" s="1"/>
  <c r="J114" i="5" s="1"/>
  <c r="AK89" i="5"/>
  <c r="R90" i="5"/>
  <c r="Q90" i="5"/>
  <c r="C232" i="8" l="1"/>
  <c r="C223" i="6"/>
  <c r="AI223" i="5"/>
  <c r="AG223" i="5"/>
  <c r="G115" i="5"/>
  <c r="E115" i="5"/>
  <c r="O114" i="5"/>
  <c r="E99" i="8"/>
  <c r="X90" i="5"/>
  <c r="AN23" i="5"/>
  <c r="AO23" i="5" s="1"/>
  <c r="V90" i="5"/>
  <c r="L91" i="5" s="1"/>
  <c r="C224" i="5"/>
  <c r="B232" i="8"/>
  <c r="B224" i="5"/>
  <c r="B223" i="6"/>
  <c r="C231" i="8"/>
  <c r="AI222" i="5"/>
  <c r="C222" i="6"/>
  <c r="AG222" i="5"/>
  <c r="CN90" i="5"/>
  <c r="AJ222" i="5" l="1"/>
  <c r="C233" i="8"/>
  <c r="C224" i="6"/>
  <c r="AG224" i="5"/>
  <c r="AI224" i="5"/>
  <c r="AK90" i="5"/>
  <c r="N91" i="5"/>
  <c r="T91" i="5" s="1"/>
  <c r="AP23" i="5"/>
  <c r="H115" i="5"/>
  <c r="I115" i="5"/>
  <c r="J115" i="5" s="1"/>
  <c r="B233" i="8"/>
  <c r="B225" i="5"/>
  <c r="C225" i="5" s="1"/>
  <c r="B224" i="6"/>
  <c r="AJ223" i="5"/>
  <c r="R91" i="5" l="1"/>
  <c r="AJ224" i="5"/>
  <c r="Q91" i="5"/>
  <c r="G116" i="5"/>
  <c r="O115" i="5"/>
  <c r="E116" i="5"/>
  <c r="C234" i="8"/>
  <c r="C225" i="6"/>
  <c r="AI225" i="5"/>
  <c r="AG225" i="5"/>
  <c r="AT23" i="5"/>
  <c r="AX23" i="5" s="1"/>
  <c r="E100" i="8"/>
  <c r="X91" i="5"/>
  <c r="V91" i="5"/>
  <c r="L92" i="5" s="1"/>
  <c r="B234" i="8"/>
  <c r="B226" i="5"/>
  <c r="B225" i="6"/>
  <c r="U96" i="5"/>
  <c r="CP91" i="5"/>
  <c r="AC91" i="5" s="1"/>
  <c r="CN91" i="5"/>
  <c r="AJ225" i="5" l="1"/>
  <c r="B235" i="8"/>
  <c r="B227" i="5"/>
  <c r="B226" i="6"/>
  <c r="C226" i="5"/>
  <c r="H116" i="5"/>
  <c r="I116" i="5" s="1"/>
  <c r="J116" i="5" s="1"/>
  <c r="AK91" i="5"/>
  <c r="AU23" i="5"/>
  <c r="N92" i="5"/>
  <c r="T92" i="5" s="1"/>
  <c r="E117" i="5" l="1"/>
  <c r="O116" i="5"/>
  <c r="G117" i="5"/>
  <c r="U97" i="5"/>
  <c r="CP92" i="5"/>
  <c r="AC92" i="5" s="1"/>
  <c r="AV23" i="5"/>
  <c r="AW23" i="5" s="1"/>
  <c r="B236" i="8"/>
  <c r="B228" i="5"/>
  <c r="B227" i="6"/>
  <c r="C235" i="8"/>
  <c r="C226" i="6"/>
  <c r="AG226" i="5"/>
  <c r="AI226" i="5"/>
  <c r="C227" i="5"/>
  <c r="R92" i="5"/>
  <c r="Q92" i="5"/>
  <c r="CN92" i="5" l="1"/>
  <c r="V92" i="5"/>
  <c r="L93" i="5" s="1"/>
  <c r="C236" i="8"/>
  <c r="AG227" i="5"/>
  <c r="C227" i="6"/>
  <c r="AI227" i="5"/>
  <c r="AJ226" i="5"/>
  <c r="N93" i="5"/>
  <c r="Q93" i="5" s="1"/>
  <c r="E101" i="8"/>
  <c r="X92" i="5"/>
  <c r="CC23" i="5"/>
  <c r="AZ23" i="5"/>
  <c r="B237" i="8"/>
  <c r="B229" i="5"/>
  <c r="C229" i="5" s="1"/>
  <c r="B228" i="6"/>
  <c r="C228" i="5"/>
  <c r="H117" i="5"/>
  <c r="I117" i="5" s="1"/>
  <c r="J117" i="5" s="1"/>
  <c r="AJ227" i="5" l="1"/>
  <c r="C238" i="8"/>
  <c r="AI229" i="5"/>
  <c r="C229" i="6"/>
  <c r="AG229" i="5"/>
  <c r="AJ229" i="5" s="1"/>
  <c r="O117" i="5"/>
  <c r="E118" i="5"/>
  <c r="G118" i="5"/>
  <c r="T93" i="5"/>
  <c r="B238" i="8"/>
  <c r="B230" i="5"/>
  <c r="B229" i="6"/>
  <c r="AK92" i="5"/>
  <c r="R93" i="5"/>
  <c r="CN93" i="5" s="1"/>
  <c r="CP93" i="5"/>
  <c r="AC93" i="5" s="1"/>
  <c r="U98" i="5"/>
  <c r="N32" i="9"/>
  <c r="C237" i="8"/>
  <c r="AG228" i="5"/>
  <c r="C228" i="6"/>
  <c r="AI228" i="5"/>
  <c r="BA23" i="5"/>
  <c r="E102" i="8" l="1"/>
  <c r="V93" i="5"/>
  <c r="L94" i="5" s="1"/>
  <c r="N94" i="5" s="1"/>
  <c r="Q94" i="5" s="1"/>
  <c r="AJ228" i="5"/>
  <c r="BE23" i="5"/>
  <c r="X93" i="5"/>
  <c r="BB23" i="5"/>
  <c r="I118" i="5"/>
  <c r="J118" i="5" s="1"/>
  <c r="B239" i="8"/>
  <c r="B231" i="5"/>
  <c r="C231" i="5" s="1"/>
  <c r="B230" i="6"/>
  <c r="H118" i="5"/>
  <c r="C230" i="5"/>
  <c r="C240" i="8" l="1"/>
  <c r="C231" i="6"/>
  <c r="AG231" i="5"/>
  <c r="AI231" i="5"/>
  <c r="E119" i="5"/>
  <c r="O118" i="5"/>
  <c r="G119" i="5"/>
  <c r="T94" i="5"/>
  <c r="E103" i="8" s="1"/>
  <c r="BC23" i="5"/>
  <c r="AK93" i="5"/>
  <c r="U99" i="5"/>
  <c r="CP94" i="5"/>
  <c r="AC94" i="5" s="1"/>
  <c r="C239" i="8"/>
  <c r="AI230" i="5"/>
  <c r="C230" i="6"/>
  <c r="AG230" i="5"/>
  <c r="R94" i="5"/>
  <c r="CN94" i="5" s="1"/>
  <c r="BJ23" i="5"/>
  <c r="BL23" i="5" s="1"/>
  <c r="B240" i="8"/>
  <c r="B232" i="5"/>
  <c r="B231" i="6"/>
  <c r="V94" i="5" l="1"/>
  <c r="L95" i="5" s="1"/>
  <c r="AJ231" i="5"/>
  <c r="AJ230" i="5"/>
  <c r="BP23" i="5"/>
  <c r="BR23" i="5" s="1"/>
  <c r="X94" i="5"/>
  <c r="N95" i="5"/>
  <c r="T95" i="5" s="1"/>
  <c r="B241" i="8"/>
  <c r="B233" i="5"/>
  <c r="B232" i="6"/>
  <c r="BI23" i="5"/>
  <c r="CD23" i="5"/>
  <c r="H119" i="5"/>
  <c r="I119" i="5" s="1"/>
  <c r="J119" i="5" s="1"/>
  <c r="C232" i="5"/>
  <c r="BD23" i="5"/>
  <c r="Q95" i="5" l="1"/>
  <c r="R95" i="5"/>
  <c r="E104" i="8" s="1"/>
  <c r="G120" i="5"/>
  <c r="E120" i="5"/>
  <c r="O119" i="5"/>
  <c r="B242" i="8"/>
  <c r="B234" i="5"/>
  <c r="B233" i="6"/>
  <c r="C233" i="5"/>
  <c r="O32" i="9"/>
  <c r="CB23" i="5"/>
  <c r="F32" i="8"/>
  <c r="AK94" i="5"/>
  <c r="CJ23" i="5"/>
  <c r="BK23" i="5"/>
  <c r="BH24" i="5" s="1"/>
  <c r="BU23" i="5"/>
  <c r="BW23" i="5"/>
  <c r="BZ23" i="5" s="1"/>
  <c r="C241" i="8"/>
  <c r="AI232" i="5"/>
  <c r="C232" i="6"/>
  <c r="AG232" i="5"/>
  <c r="U100" i="5"/>
  <c r="CP95" i="5"/>
  <c r="AC95" i="5" s="1"/>
  <c r="CN95" i="5"/>
  <c r="CG23" i="5"/>
  <c r="BQ23" i="5"/>
  <c r="V95" i="5" l="1"/>
  <c r="L96" i="5" s="1"/>
  <c r="X95" i="5"/>
  <c r="B243" i="8"/>
  <c r="B235" i="5"/>
  <c r="C235" i="5" s="1"/>
  <c r="B234" i="6"/>
  <c r="AK95" i="5"/>
  <c r="AJ232" i="5"/>
  <c r="C234" i="5"/>
  <c r="C242" i="8"/>
  <c r="AG233" i="5"/>
  <c r="AJ233" i="5" s="1"/>
  <c r="C233" i="6"/>
  <c r="AI233" i="5"/>
  <c r="N96" i="5"/>
  <c r="CH23" i="5"/>
  <c r="CF23" i="5" s="1"/>
  <c r="AM24" i="5" s="1"/>
  <c r="BV23" i="5"/>
  <c r="CK23" i="5"/>
  <c r="CL23" i="5" s="1"/>
  <c r="BT24" i="5"/>
  <c r="AS24" i="5"/>
  <c r="H120" i="5"/>
  <c r="I120" i="5" s="1"/>
  <c r="J120" i="5" s="1"/>
  <c r="G32" i="8" l="1"/>
  <c r="E121" i="5"/>
  <c r="O120" i="5"/>
  <c r="G121" i="5"/>
  <c r="C244" i="8"/>
  <c r="AG235" i="5"/>
  <c r="C235" i="6"/>
  <c r="AI235" i="5"/>
  <c r="C243" i="8"/>
  <c r="C234" i="6"/>
  <c r="AG234" i="5"/>
  <c r="AI234" i="5"/>
  <c r="U101" i="5"/>
  <c r="CP96" i="5"/>
  <c r="AC96" i="5" s="1"/>
  <c r="R96" i="5"/>
  <c r="C236" i="5"/>
  <c r="B244" i="8"/>
  <c r="B236" i="5"/>
  <c r="B235" i="6"/>
  <c r="AN24" i="5"/>
  <c r="AO24" i="5" s="1"/>
  <c r="Q96" i="5"/>
  <c r="BO24" i="5"/>
  <c r="T96" i="5"/>
  <c r="V96" i="5" l="1"/>
  <c r="L97" i="5" s="1"/>
  <c r="AJ235" i="5"/>
  <c r="N97" i="5"/>
  <c r="Q97" i="5" s="1"/>
  <c r="AJ234" i="5"/>
  <c r="E105" i="8"/>
  <c r="X96" i="5"/>
  <c r="I121" i="5"/>
  <c r="J121" i="5" s="1"/>
  <c r="C245" i="8"/>
  <c r="C236" i="6"/>
  <c r="AI236" i="5"/>
  <c r="AG236" i="5"/>
  <c r="AJ236" i="5" s="1"/>
  <c r="AP24" i="5"/>
  <c r="B245" i="8"/>
  <c r="B237" i="5"/>
  <c r="B236" i="6"/>
  <c r="CN96" i="5"/>
  <c r="H121" i="5"/>
  <c r="G122" i="5" l="1"/>
  <c r="E122" i="5"/>
  <c r="O121" i="5"/>
  <c r="C238" i="5"/>
  <c r="B246" i="8"/>
  <c r="B238" i="5"/>
  <c r="B237" i="6"/>
  <c r="U102" i="5"/>
  <c r="CP97" i="5"/>
  <c r="AC97" i="5" s="1"/>
  <c r="T97" i="5"/>
  <c r="AT24" i="5"/>
  <c r="R97" i="5"/>
  <c r="X97" i="5" s="1"/>
  <c r="C237" i="5"/>
  <c r="AK96" i="5"/>
  <c r="V97" i="5"/>
  <c r="L98" i="5" s="1"/>
  <c r="CN97" i="5" l="1"/>
  <c r="AK97" i="5"/>
  <c r="H122" i="5"/>
  <c r="C247" i="8"/>
  <c r="AG238" i="5"/>
  <c r="C238" i="6"/>
  <c r="AI238" i="5"/>
  <c r="I122" i="5"/>
  <c r="J122" i="5" s="1"/>
  <c r="AU24" i="5"/>
  <c r="N98" i="5"/>
  <c r="R98" i="5"/>
  <c r="Q98" i="5"/>
  <c r="T98" i="5"/>
  <c r="C246" i="8"/>
  <c r="AI237" i="5"/>
  <c r="C237" i="6"/>
  <c r="AG237" i="5"/>
  <c r="E106" i="8"/>
  <c r="AX24" i="5"/>
  <c r="B247" i="8"/>
  <c r="B239" i="5"/>
  <c r="C239" i="5" s="1"/>
  <c r="B238" i="6"/>
  <c r="AJ238" i="5" l="1"/>
  <c r="G123" i="5"/>
  <c r="E123" i="5"/>
  <c r="O122" i="5"/>
  <c r="C248" i="8"/>
  <c r="C239" i="6"/>
  <c r="AG239" i="5"/>
  <c r="AI239" i="5"/>
  <c r="U103" i="5"/>
  <c r="CP98" i="5"/>
  <c r="AC98" i="5" s="1"/>
  <c r="CN98" i="5"/>
  <c r="V98" i="5"/>
  <c r="L99" i="5" s="1"/>
  <c r="B248" i="8"/>
  <c r="B240" i="5"/>
  <c r="B239" i="6"/>
  <c r="X98" i="5"/>
  <c r="E107" i="8"/>
  <c r="AJ237" i="5"/>
  <c r="AV24" i="5"/>
  <c r="AW24" i="5" s="1"/>
  <c r="AJ239" i="5" l="1"/>
  <c r="AZ24" i="5"/>
  <c r="BA24" i="5" s="1"/>
  <c r="B249" i="8"/>
  <c r="B241" i="5"/>
  <c r="C241" i="5"/>
  <c r="B240" i="6"/>
  <c r="C240" i="5"/>
  <c r="N99" i="5"/>
  <c r="R99" i="5" s="1"/>
  <c r="H123" i="5"/>
  <c r="CC24" i="5"/>
  <c r="AK98" i="5"/>
  <c r="I123" i="5"/>
  <c r="J123" i="5" s="1"/>
  <c r="Q99" i="5" l="1"/>
  <c r="CN99" i="5" s="1"/>
  <c r="T99" i="5"/>
  <c r="G124" i="5"/>
  <c r="E124" i="5"/>
  <c r="O123" i="5"/>
  <c r="C249" i="8"/>
  <c r="C240" i="6"/>
  <c r="AI240" i="5"/>
  <c r="AG240" i="5"/>
  <c r="BE24" i="5"/>
  <c r="BB24" i="5"/>
  <c r="N33" i="9"/>
  <c r="C250" i="8"/>
  <c r="AG241" i="5"/>
  <c r="C241" i="6"/>
  <c r="AI241" i="5"/>
  <c r="B250" i="8"/>
  <c r="B242" i="5"/>
  <c r="C242" i="5" s="1"/>
  <c r="B241" i="6"/>
  <c r="E108" i="8"/>
  <c r="X99" i="5"/>
  <c r="CP99" i="5"/>
  <c r="AC99" i="5" s="1"/>
  <c r="U104" i="5"/>
  <c r="V99" i="5" l="1"/>
  <c r="L100" i="5" s="1"/>
  <c r="N100" i="5" s="1"/>
  <c r="T100" i="5" s="1"/>
  <c r="C251" i="8"/>
  <c r="C242" i="6"/>
  <c r="AI242" i="5"/>
  <c r="AG242" i="5"/>
  <c r="AK99" i="5"/>
  <c r="H124" i="5"/>
  <c r="I124" i="5" s="1"/>
  <c r="J124" i="5" s="1"/>
  <c r="BC24" i="5"/>
  <c r="BJ24" i="5"/>
  <c r="BL24" i="5" s="1"/>
  <c r="AJ241" i="5"/>
  <c r="AJ240" i="5"/>
  <c r="B251" i="8"/>
  <c r="B243" i="5"/>
  <c r="B242" i="6"/>
  <c r="CP100" i="5" l="1"/>
  <c r="AC100" i="5" s="1"/>
  <c r="U105" i="5"/>
  <c r="Q100" i="5"/>
  <c r="E109" i="8" s="1"/>
  <c r="R100" i="5"/>
  <c r="BP24" i="5"/>
  <c r="BI24" i="5"/>
  <c r="CD24" i="5"/>
  <c r="V100" i="5"/>
  <c r="L101" i="5" s="1"/>
  <c r="B252" i="8"/>
  <c r="B244" i="5"/>
  <c r="B243" i="6"/>
  <c r="BD24" i="5"/>
  <c r="G125" i="5"/>
  <c r="E125" i="5"/>
  <c r="O124" i="5"/>
  <c r="C243" i="5"/>
  <c r="AJ242" i="5"/>
  <c r="X100" i="5" l="1"/>
  <c r="CN100" i="5"/>
  <c r="H125" i="5"/>
  <c r="O33" i="9"/>
  <c r="CB24" i="5"/>
  <c r="F33" i="8"/>
  <c r="I125" i="5"/>
  <c r="J125" i="5" s="1"/>
  <c r="B253" i="8"/>
  <c r="B245" i="5"/>
  <c r="B244" i="6"/>
  <c r="AK100" i="5"/>
  <c r="C244" i="5"/>
  <c r="CG24" i="5"/>
  <c r="BQ24" i="5"/>
  <c r="CJ24" i="5"/>
  <c r="BK24" i="5"/>
  <c r="BH25" i="5" s="1"/>
  <c r="C252" i="8"/>
  <c r="AG243" i="5"/>
  <c r="AI243" i="5"/>
  <c r="C243" i="6"/>
  <c r="N101" i="5"/>
  <c r="T101" i="5" s="1"/>
  <c r="BR24" i="5"/>
  <c r="B254" i="8" l="1"/>
  <c r="B246" i="5"/>
  <c r="B245" i="6"/>
  <c r="CP101" i="5"/>
  <c r="AC101" i="5" s="1"/>
  <c r="U106" i="5"/>
  <c r="BU24" i="5"/>
  <c r="BW24" i="5" s="1"/>
  <c r="BZ24" i="5" s="1"/>
  <c r="AS25" i="5"/>
  <c r="C253" i="8"/>
  <c r="AG244" i="5"/>
  <c r="C244" i="6"/>
  <c r="AI244" i="5"/>
  <c r="AJ243" i="5"/>
  <c r="R101" i="5"/>
  <c r="Q101" i="5"/>
  <c r="C245" i="5"/>
  <c r="G126" i="5"/>
  <c r="E126" i="5"/>
  <c r="O125" i="5"/>
  <c r="X101" i="5" l="1"/>
  <c r="E110" i="8"/>
  <c r="CN101" i="5"/>
  <c r="H126" i="5"/>
  <c r="I126" i="5" s="1"/>
  <c r="J126" i="5" s="1"/>
  <c r="B255" i="8"/>
  <c r="B247" i="5"/>
  <c r="C247" i="5" s="1"/>
  <c r="B246" i="6"/>
  <c r="V101" i="5"/>
  <c r="L102" i="5" s="1"/>
  <c r="C254" i="8"/>
  <c r="AI245" i="5"/>
  <c r="C245" i="6"/>
  <c r="AG245" i="5"/>
  <c r="AJ244" i="5"/>
  <c r="CH24" i="5"/>
  <c r="BV24" i="5"/>
  <c r="CK24" i="5"/>
  <c r="CL24" i="5" s="1"/>
  <c r="C246" i="5"/>
  <c r="C256" i="8" l="1"/>
  <c r="C247" i="6"/>
  <c r="AG247" i="5"/>
  <c r="AI247" i="5"/>
  <c r="G127" i="5"/>
  <c r="E127" i="5"/>
  <c r="O126" i="5"/>
  <c r="AJ245" i="5"/>
  <c r="N102" i="5"/>
  <c r="C255" i="8"/>
  <c r="C246" i="6"/>
  <c r="AI246" i="5"/>
  <c r="AG246" i="5"/>
  <c r="B256" i="8"/>
  <c r="B248" i="5"/>
  <c r="B247" i="6"/>
  <c r="AK101" i="5"/>
  <c r="CF24" i="5"/>
  <c r="G33" i="8"/>
  <c r="AJ247" i="5" l="1"/>
  <c r="U107" i="5"/>
  <c r="CP102" i="5"/>
  <c r="AC102" i="5" s="1"/>
  <c r="Q102" i="5"/>
  <c r="BO25" i="5"/>
  <c r="AM25" i="5"/>
  <c r="BT25" i="5"/>
  <c r="AJ246" i="5"/>
  <c r="B257" i="8"/>
  <c r="B249" i="5"/>
  <c r="C249" i="5" s="1"/>
  <c r="B248" i="6"/>
  <c r="H127" i="5"/>
  <c r="I127" i="5"/>
  <c r="J127" i="5" s="1"/>
  <c r="C248" i="5"/>
  <c r="T102" i="5"/>
  <c r="R102" i="5"/>
  <c r="C258" i="8" l="1"/>
  <c r="AG249" i="5"/>
  <c r="C249" i="6"/>
  <c r="AI249" i="5"/>
  <c r="AN25" i="5"/>
  <c r="X102" i="5"/>
  <c r="E111" i="8"/>
  <c r="C250" i="5"/>
  <c r="B258" i="8"/>
  <c r="B250" i="5"/>
  <c r="B249" i="6"/>
  <c r="V102" i="5"/>
  <c r="L103" i="5" s="1"/>
  <c r="C257" i="8"/>
  <c r="C248" i="6"/>
  <c r="AI248" i="5"/>
  <c r="AG248" i="5"/>
  <c r="AJ248" i="5" s="1"/>
  <c r="CN102" i="5"/>
  <c r="E128" i="5"/>
  <c r="O127" i="5"/>
  <c r="G128" i="5"/>
  <c r="AJ249" i="5" l="1"/>
  <c r="H128" i="5"/>
  <c r="C259" i="8"/>
  <c r="C250" i="6"/>
  <c r="AI250" i="5"/>
  <c r="AG250" i="5"/>
  <c r="AJ250" i="5" s="1"/>
  <c r="AK102" i="5"/>
  <c r="N103" i="5"/>
  <c r="Q103" i="5" s="1"/>
  <c r="AP25" i="5"/>
  <c r="I128" i="5"/>
  <c r="J128" i="5" s="1"/>
  <c r="AO25" i="5"/>
  <c r="B259" i="8"/>
  <c r="B251" i="5"/>
  <c r="C251" i="5" s="1"/>
  <c r="B250" i="6"/>
  <c r="R103" i="5" l="1"/>
  <c r="T103" i="5"/>
  <c r="C260" i="8"/>
  <c r="AG251" i="5"/>
  <c r="C251" i="6"/>
  <c r="AI251" i="5"/>
  <c r="O128" i="5"/>
  <c r="G129" i="5"/>
  <c r="E129" i="5"/>
  <c r="E112" i="8"/>
  <c r="X103" i="5"/>
  <c r="AT25" i="5"/>
  <c r="CN103" i="5"/>
  <c r="CP103" i="5"/>
  <c r="AC103" i="5" s="1"/>
  <c r="U108" i="5"/>
  <c r="C252" i="5"/>
  <c r="B260" i="8"/>
  <c r="B252" i="5"/>
  <c r="B251" i="6"/>
  <c r="V103" i="5"/>
  <c r="L104" i="5" s="1"/>
  <c r="AJ251" i="5" l="1"/>
  <c r="AU25" i="5"/>
  <c r="AK103" i="5"/>
  <c r="H129" i="5"/>
  <c r="I129" i="5" s="1"/>
  <c r="J129" i="5" s="1"/>
  <c r="C261" i="8"/>
  <c r="AG252" i="5"/>
  <c r="C252" i="6"/>
  <c r="AI252" i="5"/>
  <c r="N104" i="5"/>
  <c r="R104" i="5" s="1"/>
  <c r="B261" i="8"/>
  <c r="B253" i="5"/>
  <c r="B252" i="6"/>
  <c r="AX25" i="5"/>
  <c r="T104" i="5" l="1"/>
  <c r="AJ252" i="5"/>
  <c r="E130" i="5"/>
  <c r="O129" i="5"/>
  <c r="G130" i="5"/>
  <c r="U109" i="5"/>
  <c r="CP104" i="5"/>
  <c r="AC104" i="5" s="1"/>
  <c r="B262" i="8"/>
  <c r="B254" i="5"/>
  <c r="B253" i="6"/>
  <c r="AV25" i="5"/>
  <c r="AZ25" i="5" s="1"/>
  <c r="C253" i="5"/>
  <c r="Q104" i="5"/>
  <c r="CN104" i="5" s="1"/>
  <c r="BA25" i="5" l="1"/>
  <c r="CC25" i="5"/>
  <c r="B263" i="8"/>
  <c r="B255" i="5"/>
  <c r="B254" i="6"/>
  <c r="C254" i="5"/>
  <c r="E113" i="8"/>
  <c r="X104" i="5"/>
  <c r="V104" i="5"/>
  <c r="L105" i="5" s="1"/>
  <c r="AW25" i="5"/>
  <c r="C262" i="8"/>
  <c r="AI253" i="5"/>
  <c r="C253" i="6"/>
  <c r="AG253" i="5"/>
  <c r="AJ253" i="5" s="1"/>
  <c r="H130" i="5"/>
  <c r="I130" i="5" s="1"/>
  <c r="J130" i="5" s="1"/>
  <c r="G131" i="5" l="1"/>
  <c r="E131" i="5"/>
  <c r="O130" i="5"/>
  <c r="AK104" i="5"/>
  <c r="N34" i="9"/>
  <c r="C256" i="5"/>
  <c r="B264" i="8"/>
  <c r="B256" i="5"/>
  <c r="B255" i="6"/>
  <c r="N105" i="5"/>
  <c r="R105" i="5" s="1"/>
  <c r="C263" i="8"/>
  <c r="AI254" i="5"/>
  <c r="C254" i="6"/>
  <c r="AG254" i="5"/>
  <c r="AJ254" i="5" s="1"/>
  <c r="BE25" i="5"/>
  <c r="C255" i="5"/>
  <c r="BB25" i="5"/>
  <c r="T105" i="5" l="1"/>
  <c r="Q105" i="5"/>
  <c r="V105" i="5" s="1"/>
  <c r="L106" i="5" s="1"/>
  <c r="C265" i="8"/>
  <c r="AI256" i="5"/>
  <c r="C256" i="6"/>
  <c r="AG256" i="5"/>
  <c r="C264" i="8"/>
  <c r="C255" i="6"/>
  <c r="AG255" i="5"/>
  <c r="AI255" i="5"/>
  <c r="CP105" i="5"/>
  <c r="AC105" i="5" s="1"/>
  <c r="U110" i="5"/>
  <c r="CN105" i="5"/>
  <c r="BC25" i="5"/>
  <c r="BD25" i="5" s="1"/>
  <c r="BJ25" i="5"/>
  <c r="BL25" i="5" s="1"/>
  <c r="B265" i="8"/>
  <c r="B257" i="5"/>
  <c r="C257" i="5" s="1"/>
  <c r="B256" i="6"/>
  <c r="H131" i="5"/>
  <c r="I131" i="5" s="1"/>
  <c r="J131" i="5" s="1"/>
  <c r="E114" i="8" l="1"/>
  <c r="X105" i="5"/>
  <c r="N106" i="5"/>
  <c r="T106" i="5" s="1"/>
  <c r="AJ256" i="5"/>
  <c r="C266" i="8"/>
  <c r="C257" i="6"/>
  <c r="AI257" i="5"/>
  <c r="AG257" i="5"/>
  <c r="E132" i="5"/>
  <c r="O131" i="5"/>
  <c r="G132" i="5"/>
  <c r="U111" i="5"/>
  <c r="AJ255" i="5"/>
  <c r="BP25" i="5"/>
  <c r="BR25" i="5" s="1"/>
  <c r="R106" i="5"/>
  <c r="C258" i="5"/>
  <c r="B266" i="8"/>
  <c r="B258" i="5"/>
  <c r="B257" i="6"/>
  <c r="BI25" i="5"/>
  <c r="CD25" i="5"/>
  <c r="AK105" i="5"/>
  <c r="Q106" i="5"/>
  <c r="V106" i="5" s="1"/>
  <c r="L107" i="5" s="1"/>
  <c r="CP106" i="5" l="1"/>
  <c r="AC106" i="5" s="1"/>
  <c r="N107" i="5"/>
  <c r="T107" i="5" s="1"/>
  <c r="BU25" i="5"/>
  <c r="BW25" i="5" s="1"/>
  <c r="BZ25" i="5" s="1"/>
  <c r="CK25" i="5" s="1"/>
  <c r="O34" i="9"/>
  <c r="CB25" i="5"/>
  <c r="F34" i="8"/>
  <c r="CG25" i="5"/>
  <c r="BQ25" i="5"/>
  <c r="CJ25" i="5"/>
  <c r="BK25" i="5"/>
  <c r="BH26" i="5" s="1"/>
  <c r="C267" i="8"/>
  <c r="C258" i="6"/>
  <c r="AI258" i="5"/>
  <c r="AG258" i="5"/>
  <c r="AJ258" i="5" s="1"/>
  <c r="B267" i="8"/>
  <c r="B259" i="5"/>
  <c r="C259" i="5" s="1"/>
  <c r="B258" i="6"/>
  <c r="H132" i="5"/>
  <c r="I132" i="5" s="1"/>
  <c r="J132" i="5" s="1"/>
  <c r="E115" i="8"/>
  <c r="X106" i="5"/>
  <c r="CN106" i="5"/>
  <c r="AJ257" i="5"/>
  <c r="C268" i="8" l="1"/>
  <c r="AG259" i="5"/>
  <c r="C259" i="6"/>
  <c r="AI259" i="5"/>
  <c r="E133" i="5"/>
  <c r="O132" i="5"/>
  <c r="G133" i="5"/>
  <c r="G34" i="8"/>
  <c r="B268" i="8"/>
  <c r="B260" i="5"/>
  <c r="B259" i="6"/>
  <c r="AK106" i="5"/>
  <c r="CP107" i="5"/>
  <c r="AC107" i="5" s="1"/>
  <c r="U112" i="5"/>
  <c r="BT26" i="5"/>
  <c r="AS26" i="5"/>
  <c r="R107" i="5"/>
  <c r="Q107" i="5"/>
  <c r="CL25" i="5"/>
  <c r="CH25" i="5"/>
  <c r="CF25" i="5" s="1"/>
  <c r="AM26" i="5" s="1"/>
  <c r="BV25" i="5"/>
  <c r="AJ259" i="5" l="1"/>
  <c r="B269" i="8"/>
  <c r="B261" i="5"/>
  <c r="C261" i="5"/>
  <c r="B260" i="6"/>
  <c r="X107" i="5"/>
  <c r="E116" i="8"/>
  <c r="C260" i="5"/>
  <c r="V107" i="5"/>
  <c r="L108" i="5" s="1"/>
  <c r="H133" i="5"/>
  <c r="I133" i="5" s="1"/>
  <c r="J133" i="5" s="1"/>
  <c r="CN107" i="5"/>
  <c r="AN26" i="5"/>
  <c r="BO26" i="5"/>
  <c r="G134" i="5" l="1"/>
  <c r="E134" i="5"/>
  <c r="O133" i="5"/>
  <c r="C269" i="8"/>
  <c r="AG260" i="5"/>
  <c r="C260" i="6"/>
  <c r="AI260" i="5"/>
  <c r="AK107" i="5"/>
  <c r="N108" i="5"/>
  <c r="R108" i="5" s="1"/>
  <c r="C270" i="8"/>
  <c r="AI261" i="5"/>
  <c r="C261" i="6"/>
  <c r="AG261" i="5"/>
  <c r="C262" i="5"/>
  <c r="B270" i="8"/>
  <c r="B262" i="5"/>
  <c r="B261" i="6"/>
  <c r="AP26" i="5"/>
  <c r="AO26" i="5"/>
  <c r="T108" i="5" l="1"/>
  <c r="AJ261" i="5"/>
  <c r="AJ260" i="5"/>
  <c r="C271" i="8"/>
  <c r="AI262" i="5"/>
  <c r="AG262" i="5"/>
  <c r="AJ262" i="5" s="1"/>
  <c r="C262" i="6"/>
  <c r="CP108" i="5"/>
  <c r="AC108" i="5" s="1"/>
  <c r="U113" i="5"/>
  <c r="Q108" i="5"/>
  <c r="H134" i="5"/>
  <c r="AT26" i="5"/>
  <c r="B271" i="8"/>
  <c r="B263" i="5"/>
  <c r="B262" i="6"/>
  <c r="V108" i="5"/>
  <c r="L109" i="5" s="1"/>
  <c r="I134" i="5"/>
  <c r="J134" i="5" s="1"/>
  <c r="B272" i="8" l="1"/>
  <c r="B264" i="5"/>
  <c r="B263" i="6"/>
  <c r="AU26" i="5"/>
  <c r="AX26" i="5"/>
  <c r="G135" i="5"/>
  <c r="E135" i="5"/>
  <c r="O134" i="5"/>
  <c r="N109" i="5"/>
  <c r="Q109" i="5" s="1"/>
  <c r="E117" i="8"/>
  <c r="X108" i="5"/>
  <c r="C263" i="5"/>
  <c r="CN108" i="5"/>
  <c r="R109" i="5" l="1"/>
  <c r="AV26" i="5"/>
  <c r="AW26" i="5" s="1"/>
  <c r="V109" i="5"/>
  <c r="L110" i="5" s="1"/>
  <c r="B273" i="8"/>
  <c r="B265" i="5"/>
  <c r="C265" i="5" s="1"/>
  <c r="B264" i="6"/>
  <c r="C272" i="8"/>
  <c r="C263" i="6"/>
  <c r="AI263" i="5"/>
  <c r="AG263" i="5"/>
  <c r="AJ263" i="5" s="1"/>
  <c r="H135" i="5"/>
  <c r="I135" i="5" s="1"/>
  <c r="J135" i="5" s="1"/>
  <c r="U114" i="5"/>
  <c r="CN109" i="5"/>
  <c r="CP109" i="5"/>
  <c r="AC109" i="5" s="1"/>
  <c r="T109" i="5"/>
  <c r="C264" i="5"/>
  <c r="AK108" i="5"/>
  <c r="AZ26" i="5"/>
  <c r="BA26" i="5" s="1"/>
  <c r="E118" i="8" l="1"/>
  <c r="BE26" i="5"/>
  <c r="C274" i="8"/>
  <c r="C265" i="6"/>
  <c r="AG265" i="5"/>
  <c r="AI265" i="5"/>
  <c r="G136" i="5"/>
  <c r="O135" i="5"/>
  <c r="E136" i="5"/>
  <c r="N110" i="5"/>
  <c r="BB26" i="5"/>
  <c r="BC26" i="5"/>
  <c r="CD26" i="5" s="1"/>
  <c r="CC26" i="5"/>
  <c r="C273" i="8"/>
  <c r="AI264" i="5"/>
  <c r="C264" i="6"/>
  <c r="AG264" i="5"/>
  <c r="X109" i="5"/>
  <c r="C266" i="5"/>
  <c r="B274" i="8"/>
  <c r="B266" i="5"/>
  <c r="B265" i="6"/>
  <c r="O35" i="9" l="1"/>
  <c r="CB26" i="5"/>
  <c r="CP110" i="5"/>
  <c r="AC110" i="5" s="1"/>
  <c r="U115" i="5"/>
  <c r="R110" i="5"/>
  <c r="AK109" i="5"/>
  <c r="BI26" i="5"/>
  <c r="H136" i="5"/>
  <c r="I136" i="5" s="1"/>
  <c r="J136" i="5" s="1"/>
  <c r="BD26" i="5"/>
  <c r="C275" i="8"/>
  <c r="C266" i="6"/>
  <c r="AI266" i="5"/>
  <c r="AG266" i="5"/>
  <c r="AJ266" i="5" s="1"/>
  <c r="T110" i="5"/>
  <c r="AJ264" i="5"/>
  <c r="AJ265" i="5"/>
  <c r="BJ26" i="5"/>
  <c r="BL26" i="5" s="1"/>
  <c r="B275" i="8"/>
  <c r="B267" i="5"/>
  <c r="C267" i="5" s="1"/>
  <c r="B266" i="6"/>
  <c r="F35" i="8"/>
  <c r="N35" i="9"/>
  <c r="Q110" i="5"/>
  <c r="CN110" i="5" s="1"/>
  <c r="C276" i="8" l="1"/>
  <c r="AG267" i="5"/>
  <c r="AI267" i="5"/>
  <c r="C267" i="6"/>
  <c r="BP26" i="5"/>
  <c r="BR26" i="5" s="1"/>
  <c r="O136" i="5"/>
  <c r="G137" i="5"/>
  <c r="E137" i="5"/>
  <c r="V110" i="5"/>
  <c r="L111" i="5" s="1"/>
  <c r="E119" i="8"/>
  <c r="X110" i="5"/>
  <c r="CJ26" i="5"/>
  <c r="BK26" i="5"/>
  <c r="BH27" i="5" s="1"/>
  <c r="AS27" i="5"/>
  <c r="B276" i="8"/>
  <c r="B268" i="5"/>
  <c r="C268" i="5" s="1"/>
  <c r="B267" i="6"/>
  <c r="AJ267" i="5" l="1"/>
  <c r="C277" i="8"/>
  <c r="C268" i="6"/>
  <c r="AG268" i="5"/>
  <c r="AI268" i="5"/>
  <c r="BU26" i="5"/>
  <c r="BW26" i="5" s="1"/>
  <c r="BZ26" i="5" s="1"/>
  <c r="B277" i="8"/>
  <c r="B269" i="5"/>
  <c r="C269" i="5" s="1"/>
  <c r="B268" i="6"/>
  <c r="H137" i="5"/>
  <c r="I137" i="5" s="1"/>
  <c r="J137" i="5" s="1"/>
  <c r="AK110" i="5"/>
  <c r="N111" i="5"/>
  <c r="CG26" i="5"/>
  <c r="BQ26" i="5"/>
  <c r="AJ268" i="5" l="1"/>
  <c r="C278" i="8"/>
  <c r="AI269" i="5"/>
  <c r="C269" i="6"/>
  <c r="AG269" i="5"/>
  <c r="G138" i="5"/>
  <c r="E138" i="5"/>
  <c r="O137" i="5"/>
  <c r="B278" i="8"/>
  <c r="B270" i="5"/>
  <c r="C270" i="5" s="1"/>
  <c r="B269" i="6"/>
  <c r="U116" i="5"/>
  <c r="CP111" i="5"/>
  <c r="AC111" i="5" s="1"/>
  <c r="Q111" i="5"/>
  <c r="CH26" i="5"/>
  <c r="CF26" i="5" s="1"/>
  <c r="BV26" i="5"/>
  <c r="CK26" i="5"/>
  <c r="CL26" i="5" s="1"/>
  <c r="T111" i="5"/>
  <c r="R111" i="5"/>
  <c r="C279" i="8" l="1"/>
  <c r="C270" i="6"/>
  <c r="AI270" i="5"/>
  <c r="AG270" i="5"/>
  <c r="X111" i="5"/>
  <c r="E120" i="8"/>
  <c r="G35" i="8"/>
  <c r="V111" i="5"/>
  <c r="L112" i="5" s="1"/>
  <c r="H138" i="5"/>
  <c r="B279" i="8"/>
  <c r="B271" i="5"/>
  <c r="C271" i="5"/>
  <c r="B270" i="6"/>
  <c r="BO27" i="5"/>
  <c r="BT27" i="5"/>
  <c r="AM27" i="5"/>
  <c r="I138" i="5"/>
  <c r="J138" i="5" s="1"/>
  <c r="CN111" i="5"/>
  <c r="AJ269" i="5"/>
  <c r="G139" i="5" l="1"/>
  <c r="E139" i="5"/>
  <c r="O138" i="5"/>
  <c r="N112" i="5"/>
  <c r="Q112" i="5" s="1"/>
  <c r="C280" i="8"/>
  <c r="C271" i="6"/>
  <c r="AI271" i="5"/>
  <c r="AG271" i="5"/>
  <c r="B280" i="8"/>
  <c r="B272" i="5"/>
  <c r="C272" i="5" s="1"/>
  <c r="B271" i="6"/>
  <c r="AN27" i="5"/>
  <c r="AO27" i="5" s="1"/>
  <c r="AK111" i="5"/>
  <c r="AJ270" i="5"/>
  <c r="C281" i="8" l="1"/>
  <c r="C272" i="6"/>
  <c r="AI272" i="5"/>
  <c r="AG272" i="5"/>
  <c r="U117" i="5"/>
  <c r="CP112" i="5"/>
  <c r="AC112" i="5" s="1"/>
  <c r="R112" i="5"/>
  <c r="CN112" i="5" s="1"/>
  <c r="AJ271" i="5"/>
  <c r="H139" i="5"/>
  <c r="I139" i="5" s="1"/>
  <c r="J139" i="5" s="1"/>
  <c r="B281" i="8"/>
  <c r="B273" i="5"/>
  <c r="B272" i="6"/>
  <c r="AP27" i="5"/>
  <c r="T112" i="5"/>
  <c r="E121" i="8" l="1"/>
  <c r="V112" i="5"/>
  <c r="L113" i="5" s="1"/>
  <c r="X112" i="5"/>
  <c r="G140" i="5"/>
  <c r="E140" i="5"/>
  <c r="O139" i="5"/>
  <c r="B282" i="8"/>
  <c r="B274" i="5"/>
  <c r="B273" i="6"/>
  <c r="N113" i="5"/>
  <c r="C273" i="5"/>
  <c r="AK112" i="5"/>
  <c r="AT27" i="5"/>
  <c r="AX27" i="5" s="1"/>
  <c r="AJ272" i="5"/>
  <c r="B283" i="8" l="1"/>
  <c r="B275" i="5"/>
  <c r="C275" i="5" s="1"/>
  <c r="B274" i="6"/>
  <c r="C282" i="8"/>
  <c r="AG273" i="5"/>
  <c r="C273" i="6"/>
  <c r="AI273" i="5"/>
  <c r="C274" i="5"/>
  <c r="U118" i="5"/>
  <c r="CP113" i="5"/>
  <c r="AC113" i="5" s="1"/>
  <c r="Q113" i="5"/>
  <c r="T113" i="5"/>
  <c r="AU27" i="5"/>
  <c r="H140" i="5"/>
  <c r="I140" i="5" s="1"/>
  <c r="J140" i="5" s="1"/>
  <c r="R113" i="5"/>
  <c r="V113" i="5" l="1"/>
  <c r="L114" i="5" s="1"/>
  <c r="CN113" i="5"/>
  <c r="N114" i="5"/>
  <c r="Q114" i="5" s="1"/>
  <c r="C284" i="8"/>
  <c r="AG275" i="5"/>
  <c r="C275" i="6"/>
  <c r="AI275" i="5"/>
  <c r="G141" i="5"/>
  <c r="E141" i="5"/>
  <c r="O140" i="5"/>
  <c r="C283" i="8"/>
  <c r="AG274" i="5"/>
  <c r="C274" i="6"/>
  <c r="AI274" i="5"/>
  <c r="AJ273" i="5"/>
  <c r="AV27" i="5"/>
  <c r="AW27" i="5" s="1"/>
  <c r="C276" i="5"/>
  <c r="B284" i="8"/>
  <c r="B276" i="5"/>
  <c r="B275" i="6"/>
  <c r="E122" i="8"/>
  <c r="X113" i="5"/>
  <c r="AJ275" i="5" l="1"/>
  <c r="AK113" i="5"/>
  <c r="T114" i="5"/>
  <c r="AJ274" i="5"/>
  <c r="R114" i="5"/>
  <c r="E123" i="8" s="1"/>
  <c r="B285" i="8"/>
  <c r="B277" i="5"/>
  <c r="C277" i="5"/>
  <c r="B276" i="6"/>
  <c r="C285" i="8"/>
  <c r="AG276" i="5"/>
  <c r="C276" i="6"/>
  <c r="AI276" i="5"/>
  <c r="AZ27" i="5"/>
  <c r="CC27" i="5"/>
  <c r="H141" i="5"/>
  <c r="I141" i="5" s="1"/>
  <c r="J141" i="5" s="1"/>
  <c r="U119" i="5"/>
  <c r="CP114" i="5"/>
  <c r="AC114" i="5" s="1"/>
  <c r="AJ276" i="5" l="1"/>
  <c r="CN114" i="5"/>
  <c r="G142" i="5"/>
  <c r="E142" i="5"/>
  <c r="O141" i="5"/>
  <c r="C286" i="8"/>
  <c r="AI277" i="5"/>
  <c r="C277" i="6"/>
  <c r="AG277" i="5"/>
  <c r="B286" i="8"/>
  <c r="B278" i="5"/>
  <c r="B277" i="6"/>
  <c r="BA27" i="5"/>
  <c r="V114" i="5"/>
  <c r="L115" i="5" s="1"/>
  <c r="X114" i="5"/>
  <c r="N36" i="9"/>
  <c r="B287" i="8" l="1"/>
  <c r="B279" i="5"/>
  <c r="C279" i="5" s="1"/>
  <c r="B278" i="6"/>
  <c r="N115" i="5"/>
  <c r="Q115" i="5" s="1"/>
  <c r="AJ277" i="5"/>
  <c r="BE27" i="5"/>
  <c r="AK114" i="5"/>
  <c r="BB27" i="5"/>
  <c r="H142" i="5"/>
  <c r="C278" i="5"/>
  <c r="I142" i="5"/>
  <c r="J142" i="5" s="1"/>
  <c r="T115" i="5" l="1"/>
  <c r="R115" i="5"/>
  <c r="G143" i="5"/>
  <c r="E143" i="5"/>
  <c r="O142" i="5"/>
  <c r="C288" i="8"/>
  <c r="C279" i="6"/>
  <c r="AI279" i="5"/>
  <c r="AG279" i="5"/>
  <c r="C287" i="8"/>
  <c r="AI278" i="5"/>
  <c r="C278" i="6"/>
  <c r="AG278" i="5"/>
  <c r="X115" i="5"/>
  <c r="E124" i="8"/>
  <c r="BC27" i="5"/>
  <c r="B288" i="8"/>
  <c r="B280" i="5"/>
  <c r="C280" i="5" s="1"/>
  <c r="B279" i="6"/>
  <c r="V115" i="5"/>
  <c r="L116" i="5" s="1"/>
  <c r="BJ27" i="5"/>
  <c r="BL27" i="5" s="1"/>
  <c r="CN115" i="5"/>
  <c r="U120" i="5"/>
  <c r="CP115" i="5"/>
  <c r="AC115" i="5" s="1"/>
  <c r="AJ279" i="5" l="1"/>
  <c r="C289" i="8"/>
  <c r="AI280" i="5"/>
  <c r="C280" i="6"/>
  <c r="AG280" i="5"/>
  <c r="BP27" i="5"/>
  <c r="BR27" i="5" s="1"/>
  <c r="N116" i="5"/>
  <c r="T116" i="5" s="1"/>
  <c r="AK115" i="5"/>
  <c r="B289" i="8"/>
  <c r="B281" i="5"/>
  <c r="B280" i="6"/>
  <c r="AJ278" i="5"/>
  <c r="H143" i="5"/>
  <c r="I143" i="5" s="1"/>
  <c r="J143" i="5" s="1"/>
  <c r="BI27" i="5"/>
  <c r="CD27" i="5"/>
  <c r="BD27" i="5"/>
  <c r="BU27" i="5" l="1"/>
  <c r="BW27" i="5" s="1"/>
  <c r="BZ27" i="5" s="1"/>
  <c r="B290" i="8"/>
  <c r="B282" i="5"/>
  <c r="B281" i="6"/>
  <c r="R116" i="5"/>
  <c r="Q116" i="5"/>
  <c r="O36" i="9"/>
  <c r="CB27" i="5"/>
  <c r="F36" i="8"/>
  <c r="G144" i="5"/>
  <c r="E144" i="5"/>
  <c r="O143" i="5"/>
  <c r="U121" i="5"/>
  <c r="CP116" i="5"/>
  <c r="AC116" i="5" s="1"/>
  <c r="CG27" i="5"/>
  <c r="BQ27" i="5"/>
  <c r="C281" i="5"/>
  <c r="CJ27" i="5"/>
  <c r="BK27" i="5"/>
  <c r="BH28" i="5" s="1"/>
  <c r="AJ280" i="5"/>
  <c r="E125" i="8" l="1"/>
  <c r="X116" i="5"/>
  <c r="B291" i="8"/>
  <c r="B283" i="5"/>
  <c r="C283" i="5" s="1"/>
  <c r="B282" i="6"/>
  <c r="C282" i="5"/>
  <c r="V116" i="5"/>
  <c r="L117" i="5" s="1"/>
  <c r="C290" i="8"/>
  <c r="C281" i="6"/>
  <c r="AG281" i="5"/>
  <c r="AI281" i="5"/>
  <c r="H144" i="5"/>
  <c r="I144" i="5" s="1"/>
  <c r="J144" i="5" s="1"/>
  <c r="BT28" i="5"/>
  <c r="AS28" i="5"/>
  <c r="AM28" i="5"/>
  <c r="CN116" i="5"/>
  <c r="CH27" i="5"/>
  <c r="CF27" i="5" s="1"/>
  <c r="BV27" i="5"/>
  <c r="CK27" i="5"/>
  <c r="CL27" i="5" s="1"/>
  <c r="G36" i="8" l="1"/>
  <c r="G145" i="5"/>
  <c r="E145" i="5"/>
  <c r="O144" i="5"/>
  <c r="C292" i="8"/>
  <c r="AG283" i="5"/>
  <c r="C283" i="6"/>
  <c r="AI283" i="5"/>
  <c r="B292" i="8"/>
  <c r="B284" i="5"/>
  <c r="B283" i="6"/>
  <c r="C291" i="8"/>
  <c r="C282" i="6"/>
  <c r="AG282" i="5"/>
  <c r="AI282" i="5"/>
  <c r="AN28" i="5"/>
  <c r="AJ281" i="5"/>
  <c r="AK116" i="5"/>
  <c r="N117" i="5"/>
  <c r="Q117" i="5" s="1"/>
  <c r="BO28" i="5"/>
  <c r="AJ283" i="5" l="1"/>
  <c r="AJ282" i="5"/>
  <c r="B293" i="8"/>
  <c r="B285" i="5"/>
  <c r="C285" i="5" s="1"/>
  <c r="B284" i="6"/>
  <c r="C284" i="5"/>
  <c r="T117" i="5"/>
  <c r="AP28" i="5"/>
  <c r="AO28" i="5"/>
  <c r="R117" i="5"/>
  <c r="H145" i="5"/>
  <c r="U122" i="5"/>
  <c r="CP117" i="5"/>
  <c r="AC117" i="5" s="1"/>
  <c r="I145" i="5"/>
  <c r="J145" i="5" s="1"/>
  <c r="E126" i="8" l="1"/>
  <c r="O145" i="5"/>
  <c r="G146" i="5"/>
  <c r="E146" i="5"/>
  <c r="C294" i="8"/>
  <c r="AI285" i="5"/>
  <c r="C285" i="6"/>
  <c r="AG285" i="5"/>
  <c r="AJ285" i="5" s="1"/>
  <c r="B294" i="8"/>
  <c r="B286" i="5"/>
  <c r="C286" i="5" s="1"/>
  <c r="B285" i="6"/>
  <c r="AT28" i="5"/>
  <c r="AX28" i="5" s="1"/>
  <c r="CN117" i="5"/>
  <c r="X117" i="5"/>
  <c r="V117" i="5"/>
  <c r="L118" i="5" s="1"/>
  <c r="C293" i="8"/>
  <c r="AG284" i="5"/>
  <c r="C284" i="6"/>
  <c r="AI284" i="5"/>
  <c r="C295" i="8" l="1"/>
  <c r="AI286" i="5"/>
  <c r="C286" i="6"/>
  <c r="AG286" i="5"/>
  <c r="AK117" i="5"/>
  <c r="H146" i="5"/>
  <c r="I146" i="5" s="1"/>
  <c r="J146" i="5" s="1"/>
  <c r="B295" i="8"/>
  <c r="B287" i="5"/>
  <c r="C287" i="5" s="1"/>
  <c r="B286" i="6"/>
  <c r="N118" i="5"/>
  <c r="AJ284" i="5"/>
  <c r="AU28" i="5"/>
  <c r="C296" i="8" l="1"/>
  <c r="C287" i="6"/>
  <c r="AG287" i="5"/>
  <c r="AI287" i="5"/>
  <c r="E147" i="5"/>
  <c r="O146" i="5"/>
  <c r="G147" i="5"/>
  <c r="V118" i="5"/>
  <c r="L119" i="5" s="1"/>
  <c r="Q118" i="5"/>
  <c r="U123" i="5"/>
  <c r="CP118" i="5"/>
  <c r="AC118" i="5" s="1"/>
  <c r="R118" i="5"/>
  <c r="AV28" i="5"/>
  <c r="AW28" i="5" s="1"/>
  <c r="T118" i="5"/>
  <c r="C288" i="5"/>
  <c r="B296" i="8"/>
  <c r="B288" i="5"/>
  <c r="B287" i="6"/>
  <c r="AJ286" i="5"/>
  <c r="CN118" i="5" l="1"/>
  <c r="AJ287" i="5"/>
  <c r="C297" i="8"/>
  <c r="AI288" i="5"/>
  <c r="C288" i="6"/>
  <c r="AG288" i="5"/>
  <c r="E127" i="8"/>
  <c r="X118" i="5"/>
  <c r="N119" i="5"/>
  <c r="R119" i="5" s="1"/>
  <c r="AZ28" i="5"/>
  <c r="CC28" i="5"/>
  <c r="H147" i="5"/>
  <c r="I147" i="5" s="1"/>
  <c r="J147" i="5" s="1"/>
  <c r="B297" i="8"/>
  <c r="B289" i="5"/>
  <c r="C289" i="5" s="1"/>
  <c r="B288" i="6"/>
  <c r="C298" i="8" l="1"/>
  <c r="C289" i="6"/>
  <c r="AG289" i="5"/>
  <c r="AI289" i="5"/>
  <c r="G148" i="5"/>
  <c r="E148" i="5"/>
  <c r="O147" i="5"/>
  <c r="U124" i="5"/>
  <c r="CP119" i="5"/>
  <c r="AC119" i="5" s="1"/>
  <c r="B298" i="8"/>
  <c r="B290" i="5"/>
  <c r="B289" i="6"/>
  <c r="AK118" i="5"/>
  <c r="N37" i="9"/>
  <c r="BA28" i="5"/>
  <c r="BB28" i="5" s="1"/>
  <c r="Q119" i="5"/>
  <c r="CN119" i="5" s="1"/>
  <c r="T119" i="5"/>
  <c r="AJ288" i="5"/>
  <c r="AJ289" i="5" l="1"/>
  <c r="BC28" i="5"/>
  <c r="BI28" i="5" s="1"/>
  <c r="E128" i="8"/>
  <c r="X119" i="5"/>
  <c r="V119" i="5"/>
  <c r="L120" i="5" s="1"/>
  <c r="B299" i="8"/>
  <c r="B291" i="5"/>
  <c r="C291" i="5"/>
  <c r="B290" i="6"/>
  <c r="H148" i="5"/>
  <c r="I148" i="5" s="1"/>
  <c r="J148" i="5" s="1"/>
  <c r="BE28" i="5"/>
  <c r="C290" i="5"/>
  <c r="CD28" i="5" l="1"/>
  <c r="O37" i="9" s="1"/>
  <c r="CB28" i="5"/>
  <c r="F37" i="8"/>
  <c r="N120" i="5"/>
  <c r="Q120" i="5" s="1"/>
  <c r="AK119" i="5"/>
  <c r="C299" i="8"/>
  <c r="C290" i="6"/>
  <c r="AG290" i="5"/>
  <c r="AI290" i="5"/>
  <c r="C300" i="8"/>
  <c r="AG291" i="5"/>
  <c r="AI291" i="5"/>
  <c r="C291" i="6"/>
  <c r="CJ28" i="5"/>
  <c r="BK28" i="5"/>
  <c r="BH29" i="5" s="1"/>
  <c r="O148" i="5"/>
  <c r="E149" i="5"/>
  <c r="G149" i="5"/>
  <c r="BJ28" i="5"/>
  <c r="B300" i="8"/>
  <c r="B292" i="5"/>
  <c r="C292" i="5" s="1"/>
  <c r="B291" i="6"/>
  <c r="BD28" i="5"/>
  <c r="R120" i="5" l="1"/>
  <c r="CN120" i="5" s="1"/>
  <c r="C301" i="8"/>
  <c r="C292" i="6"/>
  <c r="AG292" i="5"/>
  <c r="AI292" i="5"/>
  <c r="B301" i="8"/>
  <c r="B293" i="5"/>
  <c r="C293" i="5"/>
  <c r="B292" i="6"/>
  <c r="U125" i="5"/>
  <c r="CP120" i="5"/>
  <c r="AC120" i="5" s="1"/>
  <c r="AJ291" i="5"/>
  <c r="AS29" i="5"/>
  <c r="BL28" i="5"/>
  <c r="AJ290" i="5"/>
  <c r="H149" i="5"/>
  <c r="I149" i="5" s="1"/>
  <c r="J149" i="5" s="1"/>
  <c r="T120" i="5"/>
  <c r="V120" i="5" l="1"/>
  <c r="L121" i="5" s="1"/>
  <c r="AJ292" i="5"/>
  <c r="E129" i="8"/>
  <c r="O149" i="5"/>
  <c r="G150" i="5"/>
  <c r="E150" i="5"/>
  <c r="C302" i="8"/>
  <c r="AI293" i="5"/>
  <c r="C293" i="6"/>
  <c r="AG293" i="5"/>
  <c r="X120" i="5"/>
  <c r="C294" i="5"/>
  <c r="B302" i="8"/>
  <c r="B294" i="5"/>
  <c r="B293" i="6"/>
  <c r="N121" i="5"/>
  <c r="BP28" i="5"/>
  <c r="AK120" i="5" l="1"/>
  <c r="C303" i="8"/>
  <c r="AG294" i="5"/>
  <c r="C294" i="6"/>
  <c r="AI294" i="5"/>
  <c r="Q121" i="5"/>
  <c r="CN121" i="5" s="1"/>
  <c r="AJ293" i="5"/>
  <c r="CG28" i="5"/>
  <c r="BQ28" i="5"/>
  <c r="BR28" i="5"/>
  <c r="H150" i="5"/>
  <c r="I150" i="5" s="1"/>
  <c r="J150" i="5" s="1"/>
  <c r="U126" i="5"/>
  <c r="CP121" i="5"/>
  <c r="AC121" i="5" s="1"/>
  <c r="R121" i="5"/>
  <c r="B303" i="8"/>
  <c r="B295" i="5"/>
  <c r="C295" i="5" s="1"/>
  <c r="B294" i="6"/>
  <c r="T121" i="5"/>
  <c r="AJ294" i="5" l="1"/>
  <c r="G151" i="5"/>
  <c r="E151" i="5"/>
  <c r="O150" i="5"/>
  <c r="C304" i="8"/>
  <c r="C295" i="6"/>
  <c r="AG295" i="5"/>
  <c r="AI295" i="5"/>
  <c r="C296" i="5"/>
  <c r="B304" i="8"/>
  <c r="B296" i="5"/>
  <c r="B295" i="6"/>
  <c r="E130" i="8"/>
  <c r="X121" i="5"/>
  <c r="BU28" i="5"/>
  <c r="BW28" i="5" s="1"/>
  <c r="BZ28" i="5" s="1"/>
  <c r="V121" i="5"/>
  <c r="L122" i="5" s="1"/>
  <c r="C305" i="8" l="1"/>
  <c r="C296" i="6"/>
  <c r="AI296" i="5"/>
  <c r="AG296" i="5"/>
  <c r="AK121" i="5"/>
  <c r="AJ295" i="5"/>
  <c r="CH28" i="5"/>
  <c r="BV28" i="5"/>
  <c r="CK28" i="5"/>
  <c r="CL28" i="5" s="1"/>
  <c r="N122" i="5"/>
  <c r="Q122" i="5" s="1"/>
  <c r="H151" i="5"/>
  <c r="I151" i="5" s="1"/>
  <c r="J151" i="5" s="1"/>
  <c r="B305" i="8"/>
  <c r="B297" i="5"/>
  <c r="B296" i="6"/>
  <c r="G152" i="5" l="1"/>
  <c r="O151" i="5"/>
  <c r="E152" i="5"/>
  <c r="T122" i="5"/>
  <c r="CF28" i="5"/>
  <c r="G37" i="8"/>
  <c r="U127" i="5"/>
  <c r="CP122" i="5"/>
  <c r="AC122" i="5" s="1"/>
  <c r="B306" i="8"/>
  <c r="B298" i="5"/>
  <c r="B297" i="6"/>
  <c r="R122" i="5"/>
  <c r="CN122" i="5" s="1"/>
  <c r="C297" i="5"/>
  <c r="V122" i="5"/>
  <c r="L123" i="5" s="1"/>
  <c r="AJ296" i="5"/>
  <c r="E131" i="8" l="1"/>
  <c r="X122" i="5"/>
  <c r="C306" i="8"/>
  <c r="C297" i="6"/>
  <c r="AI297" i="5"/>
  <c r="AG297" i="5"/>
  <c r="H152" i="5"/>
  <c r="I152" i="5" s="1"/>
  <c r="J152" i="5" s="1"/>
  <c r="B307" i="8"/>
  <c r="B299" i="5"/>
  <c r="C299" i="5"/>
  <c r="B298" i="6"/>
  <c r="N123" i="5"/>
  <c r="C298" i="5"/>
  <c r="BO29" i="5"/>
  <c r="AM29" i="5"/>
  <c r="BT29" i="5"/>
  <c r="AJ297" i="5" l="1"/>
  <c r="E153" i="5"/>
  <c r="O152" i="5"/>
  <c r="G153" i="5"/>
  <c r="T123" i="5"/>
  <c r="R123" i="5"/>
  <c r="Q123" i="5"/>
  <c r="AN29" i="5"/>
  <c r="AK122" i="5"/>
  <c r="U128" i="5"/>
  <c r="CP123" i="5"/>
  <c r="AC123" i="5" s="1"/>
  <c r="C308" i="8"/>
  <c r="AI299" i="5"/>
  <c r="AG299" i="5"/>
  <c r="AJ299" i="5" s="1"/>
  <c r="C299" i="6"/>
  <c r="C307" i="8"/>
  <c r="C298" i="6"/>
  <c r="AG298" i="5"/>
  <c r="AI298" i="5"/>
  <c r="B308" i="8"/>
  <c r="B300" i="5"/>
  <c r="B299" i="6"/>
  <c r="E132" i="8" l="1"/>
  <c r="X123" i="5"/>
  <c r="V123" i="5"/>
  <c r="L124" i="5" s="1"/>
  <c r="B309" i="8"/>
  <c r="B301" i="5"/>
  <c r="C301" i="5" s="1"/>
  <c r="B300" i="6"/>
  <c r="AJ298" i="5"/>
  <c r="AP29" i="5"/>
  <c r="C300" i="5"/>
  <c r="CN123" i="5"/>
  <c r="AO29" i="5"/>
  <c r="H153" i="5"/>
  <c r="I153" i="5" s="1"/>
  <c r="J153" i="5" s="1"/>
  <c r="C310" i="8" l="1"/>
  <c r="AI301" i="5"/>
  <c r="C301" i="6"/>
  <c r="AG301" i="5"/>
  <c r="G154" i="5"/>
  <c r="E154" i="5"/>
  <c r="O153" i="5"/>
  <c r="C309" i="8"/>
  <c r="C300" i="6"/>
  <c r="AI300" i="5"/>
  <c r="AG300" i="5"/>
  <c r="N124" i="5"/>
  <c r="R124" i="5" s="1"/>
  <c r="AT29" i="5"/>
  <c r="AX29" i="5" s="1"/>
  <c r="AK123" i="5"/>
  <c r="B310" i="8"/>
  <c r="B302" i="5"/>
  <c r="C302" i="5" s="1"/>
  <c r="B301" i="6"/>
  <c r="T124" i="5" l="1"/>
  <c r="Q124" i="5"/>
  <c r="E133" i="8" s="1"/>
  <c r="AJ300" i="5"/>
  <c r="C311" i="8"/>
  <c r="AI302" i="5"/>
  <c r="C302" i="6"/>
  <c r="AG302" i="5"/>
  <c r="AU29" i="5"/>
  <c r="H154" i="5"/>
  <c r="I154" i="5" s="1"/>
  <c r="J154" i="5" s="1"/>
  <c r="B311" i="8"/>
  <c r="B303" i="5"/>
  <c r="B302" i="6"/>
  <c r="U129" i="5"/>
  <c r="CP124" i="5"/>
  <c r="AC124" i="5" s="1"/>
  <c r="CN124" i="5"/>
  <c r="AJ301" i="5"/>
  <c r="X124" i="5" l="1"/>
  <c r="V124" i="5"/>
  <c r="L125" i="5" s="1"/>
  <c r="G155" i="5"/>
  <c r="O154" i="5"/>
  <c r="E155" i="5"/>
  <c r="AV29" i="5"/>
  <c r="AW29" i="5" s="1"/>
  <c r="AK124" i="5"/>
  <c r="B312" i="8"/>
  <c r="B304" i="5"/>
  <c r="C304" i="5" s="1"/>
  <c r="B303" i="6"/>
  <c r="C303" i="5"/>
  <c r="AJ302" i="5"/>
  <c r="N125" i="5" l="1"/>
  <c r="Q125" i="5" s="1"/>
  <c r="C313" i="8"/>
  <c r="AI304" i="5"/>
  <c r="C304" i="6"/>
  <c r="AG304" i="5"/>
  <c r="AZ29" i="5"/>
  <c r="CC29" i="5"/>
  <c r="B313" i="8"/>
  <c r="B305" i="5"/>
  <c r="C305" i="5" s="1"/>
  <c r="B304" i="6"/>
  <c r="H155" i="5"/>
  <c r="I155" i="5" s="1"/>
  <c r="J155" i="5" s="1"/>
  <c r="C312" i="8"/>
  <c r="C303" i="6"/>
  <c r="AI303" i="5"/>
  <c r="AG303" i="5"/>
  <c r="T125" i="5" l="1"/>
  <c r="R125" i="5"/>
  <c r="E134" i="8" s="1"/>
  <c r="AJ303" i="5"/>
  <c r="CN125" i="5"/>
  <c r="U130" i="5"/>
  <c r="CP125" i="5"/>
  <c r="AC125" i="5" s="1"/>
  <c r="E156" i="5"/>
  <c r="O155" i="5"/>
  <c r="G156" i="5"/>
  <c r="C314" i="8"/>
  <c r="C305" i="6"/>
  <c r="AI305" i="5"/>
  <c r="AG305" i="5"/>
  <c r="N38" i="9"/>
  <c r="BA29" i="5"/>
  <c r="B314" i="8"/>
  <c r="B306" i="5"/>
  <c r="B305" i="6"/>
  <c r="AJ304" i="5"/>
  <c r="V125" i="5" l="1"/>
  <c r="L126" i="5" s="1"/>
  <c r="X125" i="5"/>
  <c r="AK125" i="5" s="1"/>
  <c r="BE29" i="5"/>
  <c r="AJ305" i="5"/>
  <c r="B315" i="8"/>
  <c r="B307" i="5"/>
  <c r="C307" i="5"/>
  <c r="B306" i="6"/>
  <c r="BB29" i="5"/>
  <c r="C306" i="5"/>
  <c r="H156" i="5"/>
  <c r="I156" i="5" s="1"/>
  <c r="J156" i="5" s="1"/>
  <c r="N126" i="5" l="1"/>
  <c r="Q126" i="5" s="1"/>
  <c r="E157" i="5"/>
  <c r="O156" i="5"/>
  <c r="G157" i="5"/>
  <c r="BJ29" i="5"/>
  <c r="BL29" i="5" s="1"/>
  <c r="C316" i="8"/>
  <c r="AG307" i="5"/>
  <c r="C307" i="6"/>
  <c r="AI307" i="5"/>
  <c r="C315" i="8"/>
  <c r="C306" i="6"/>
  <c r="AI306" i="5"/>
  <c r="AG306" i="5"/>
  <c r="BC29" i="5"/>
  <c r="C308" i="5"/>
  <c r="B316" i="8"/>
  <c r="B308" i="5"/>
  <c r="B307" i="6"/>
  <c r="R126" i="5" l="1"/>
  <c r="V126" i="5" s="1"/>
  <c r="L127" i="5" s="1"/>
  <c r="T126" i="5"/>
  <c r="X126" i="5"/>
  <c r="AK126" i="5" s="1"/>
  <c r="AJ307" i="5"/>
  <c r="U131" i="5"/>
  <c r="CP126" i="5"/>
  <c r="AC126" i="5" s="1"/>
  <c r="CN126" i="5"/>
  <c r="BP29" i="5"/>
  <c r="BR29" i="5" s="1"/>
  <c r="C317" i="8"/>
  <c r="C308" i="6"/>
  <c r="AI308" i="5"/>
  <c r="AG308" i="5"/>
  <c r="AJ308" i="5" s="1"/>
  <c r="BI29" i="5"/>
  <c r="CD29" i="5"/>
  <c r="AJ306" i="5"/>
  <c r="B317" i="8"/>
  <c r="B309" i="5"/>
  <c r="C309" i="5" s="1"/>
  <c r="B308" i="6"/>
  <c r="BD29" i="5"/>
  <c r="H157" i="5"/>
  <c r="I157" i="5" s="1"/>
  <c r="J157" i="5" s="1"/>
  <c r="N127" i="5" l="1"/>
  <c r="Q127" i="5" s="1"/>
  <c r="E135" i="8"/>
  <c r="C318" i="8"/>
  <c r="AI309" i="5"/>
  <c r="C309" i="6"/>
  <c r="AG309" i="5"/>
  <c r="O157" i="5"/>
  <c r="G158" i="5"/>
  <c r="E158" i="5"/>
  <c r="O38" i="9"/>
  <c r="CB29" i="5"/>
  <c r="F38" i="8"/>
  <c r="B318" i="8"/>
  <c r="B310" i="5"/>
  <c r="C310" i="5" s="1"/>
  <c r="B309" i="6"/>
  <c r="CJ29" i="5"/>
  <c r="BK29" i="5"/>
  <c r="BH30" i="5" s="1"/>
  <c r="BU29" i="5"/>
  <c r="BW29" i="5" s="1"/>
  <c r="BZ29" i="5" s="1"/>
  <c r="CG29" i="5"/>
  <c r="BQ29" i="5"/>
  <c r="R127" i="5" l="1"/>
  <c r="V127" i="5" s="1"/>
  <c r="L128" i="5" s="1"/>
  <c r="AJ309" i="5"/>
  <c r="T127" i="5"/>
  <c r="U132" i="5"/>
  <c r="CP127" i="5"/>
  <c r="AC127" i="5" s="1"/>
  <c r="C319" i="8"/>
  <c r="AG310" i="5"/>
  <c r="AI310" i="5"/>
  <c r="C310" i="6"/>
  <c r="B319" i="8"/>
  <c r="B311" i="5"/>
  <c r="C311" i="5" s="1"/>
  <c r="B310" i="6"/>
  <c r="H158" i="5"/>
  <c r="I158" i="5" s="1"/>
  <c r="J158" i="5" s="1"/>
  <c r="BT30" i="5"/>
  <c r="AS30" i="5"/>
  <c r="AM30" i="5"/>
  <c r="CH29" i="5"/>
  <c r="CF29" i="5" s="1"/>
  <c r="BV29" i="5"/>
  <c r="CK29" i="5"/>
  <c r="CL29" i="5" s="1"/>
  <c r="N128" i="5" l="1"/>
  <c r="T128" i="5" s="1"/>
  <c r="X127" i="5"/>
  <c r="AK127" i="5" s="1"/>
  <c r="CN127" i="5"/>
  <c r="E136" i="8"/>
  <c r="C320" i="8"/>
  <c r="C311" i="6"/>
  <c r="AG311" i="5"/>
  <c r="AI311" i="5"/>
  <c r="AN30" i="5"/>
  <c r="B320" i="8"/>
  <c r="B312" i="5"/>
  <c r="B311" i="6"/>
  <c r="G38" i="8"/>
  <c r="AJ310" i="5"/>
  <c r="BO30" i="5"/>
  <c r="E159" i="5"/>
  <c r="G159" i="5"/>
  <c r="O158" i="5"/>
  <c r="Q128" i="5" l="1"/>
  <c r="AJ311" i="5"/>
  <c r="R128" i="5"/>
  <c r="V128" i="5" s="1"/>
  <c r="L129" i="5" s="1"/>
  <c r="CP128" i="5"/>
  <c r="AC128" i="5" s="1"/>
  <c r="U133" i="5"/>
  <c r="B321" i="8"/>
  <c r="B313" i="5"/>
  <c r="C313" i="5" s="1"/>
  <c r="B312" i="6"/>
  <c r="AP30" i="5"/>
  <c r="AO30" i="5"/>
  <c r="H159" i="5"/>
  <c r="I159" i="5" s="1"/>
  <c r="J159" i="5" s="1"/>
  <c r="C312" i="5"/>
  <c r="N129" i="5" l="1"/>
  <c r="CN128" i="5"/>
  <c r="E137" i="8"/>
  <c r="X128" i="5"/>
  <c r="AK128" i="5" s="1"/>
  <c r="G160" i="5"/>
  <c r="E160" i="5"/>
  <c r="O159" i="5"/>
  <c r="C322" i="8"/>
  <c r="AG313" i="5"/>
  <c r="C313" i="6"/>
  <c r="AI313" i="5"/>
  <c r="AT30" i="5"/>
  <c r="B322" i="8"/>
  <c r="B314" i="5"/>
  <c r="C314" i="5" s="1"/>
  <c r="B313" i="6"/>
  <c r="C321" i="8"/>
  <c r="C312" i="6"/>
  <c r="AI312" i="5"/>
  <c r="AG312" i="5"/>
  <c r="Q129" i="5" l="1"/>
  <c r="U134" i="5"/>
  <c r="CP129" i="5"/>
  <c r="AC129" i="5" s="1"/>
  <c r="AJ313" i="5"/>
  <c r="R129" i="5"/>
  <c r="T129" i="5"/>
  <c r="E138" i="8" s="1"/>
  <c r="AJ312" i="5"/>
  <c r="C323" i="8"/>
  <c r="C314" i="6"/>
  <c r="AG314" i="5"/>
  <c r="AI314" i="5"/>
  <c r="AU30" i="5"/>
  <c r="B323" i="8"/>
  <c r="B315" i="5"/>
  <c r="C315" i="5"/>
  <c r="B314" i="6"/>
  <c r="H160" i="5"/>
  <c r="I160" i="5" s="1"/>
  <c r="J160" i="5" s="1"/>
  <c r="AX30" i="5"/>
  <c r="AJ314" i="5" l="1"/>
  <c r="X129" i="5"/>
  <c r="AK129" i="5" s="1"/>
  <c r="V129" i="5"/>
  <c r="L130" i="5" s="1"/>
  <c r="CN129" i="5"/>
  <c r="G161" i="5"/>
  <c r="E161" i="5"/>
  <c r="O160" i="5"/>
  <c r="AV30" i="5"/>
  <c r="C324" i="8"/>
  <c r="AI315" i="5"/>
  <c r="AG315" i="5"/>
  <c r="C315" i="6"/>
  <c r="B324" i="8"/>
  <c r="B316" i="5"/>
  <c r="B315" i="6"/>
  <c r="N130" i="5" l="1"/>
  <c r="Q130" i="5" s="1"/>
  <c r="CC30" i="5"/>
  <c r="AZ30" i="5"/>
  <c r="B325" i="8"/>
  <c r="B317" i="5"/>
  <c r="C317" i="5"/>
  <c r="B316" i="6"/>
  <c r="C316" i="5"/>
  <c r="AJ315" i="5"/>
  <c r="H161" i="5"/>
  <c r="I161" i="5" s="1"/>
  <c r="J161" i="5" s="1"/>
  <c r="AW30" i="5"/>
  <c r="R130" i="5" l="1"/>
  <c r="V130" i="5" s="1"/>
  <c r="L131" i="5" s="1"/>
  <c r="T130" i="5"/>
  <c r="CP130" i="5"/>
  <c r="AC130" i="5" s="1"/>
  <c r="U135" i="5"/>
  <c r="CN130" i="5"/>
  <c r="E162" i="5"/>
  <c r="G162" i="5"/>
  <c r="O161" i="5"/>
  <c r="C326" i="8"/>
  <c r="AI317" i="5"/>
  <c r="C317" i="6"/>
  <c r="AG317" i="5"/>
  <c r="C325" i="8"/>
  <c r="AG316" i="5"/>
  <c r="C316" i="6"/>
  <c r="AI316" i="5"/>
  <c r="B326" i="8"/>
  <c r="B318" i="5"/>
  <c r="C318" i="5" s="1"/>
  <c r="B317" i="6"/>
  <c r="BA30" i="5"/>
  <c r="AJ316" i="5" l="1"/>
  <c r="N131" i="5"/>
  <c r="Q131" i="5" s="1"/>
  <c r="E139" i="8"/>
  <c r="X130" i="5"/>
  <c r="AK130" i="5" s="1"/>
  <c r="AJ317" i="5"/>
  <c r="C327" i="8"/>
  <c r="C318" i="6"/>
  <c r="AI318" i="5"/>
  <c r="AG318" i="5"/>
  <c r="BE30" i="5"/>
  <c r="BB30" i="5"/>
  <c r="B327" i="8"/>
  <c r="B319" i="5"/>
  <c r="C319" i="5" s="1"/>
  <c r="B318" i="6"/>
  <c r="H162" i="5"/>
  <c r="I162" i="5" s="1"/>
  <c r="J162" i="5" s="1"/>
  <c r="R131" i="5" l="1"/>
  <c r="E140" i="8" s="1"/>
  <c r="T131" i="5"/>
  <c r="X131" i="5" s="1"/>
  <c r="AK131" i="5" s="1"/>
  <c r="U136" i="5"/>
  <c r="CP131" i="5"/>
  <c r="AC131" i="5" s="1"/>
  <c r="CN131" i="5"/>
  <c r="E163" i="5"/>
  <c r="G163" i="5"/>
  <c r="O162" i="5"/>
  <c r="C328" i="8"/>
  <c r="C319" i="6"/>
  <c r="AG319" i="5"/>
  <c r="AI319" i="5"/>
  <c r="BJ30" i="5"/>
  <c r="BL30" i="5" s="1"/>
  <c r="BC30" i="5"/>
  <c r="BD30" i="5" s="1"/>
  <c r="B328" i="8"/>
  <c r="B320" i="5"/>
  <c r="B319" i="6"/>
  <c r="AJ318" i="5"/>
  <c r="V131" i="5" l="1"/>
  <c r="L132" i="5" s="1"/>
  <c r="N132" i="5"/>
  <c r="R132" i="5" s="1"/>
  <c r="BP30" i="5"/>
  <c r="BR30" i="5" s="1"/>
  <c r="B329" i="8"/>
  <c r="B321" i="5"/>
  <c r="C321" i="5"/>
  <c r="B320" i="6"/>
  <c r="AJ319" i="5"/>
  <c r="C320" i="5"/>
  <c r="BI30" i="5"/>
  <c r="CD30" i="5"/>
  <c r="H163" i="5"/>
  <c r="I163" i="5" s="1"/>
  <c r="J163" i="5" s="1"/>
  <c r="T132" i="5" l="1"/>
  <c r="Q132" i="5"/>
  <c r="CN132" i="5" s="1"/>
  <c r="E141" i="8"/>
  <c r="X132" i="5"/>
  <c r="AK132" i="5" s="1"/>
  <c r="U137" i="5"/>
  <c r="CP132" i="5"/>
  <c r="AC132" i="5" s="1"/>
  <c r="V132" i="5"/>
  <c r="L133" i="5" s="1"/>
  <c r="N133" i="5" s="1"/>
  <c r="T133" i="5" s="1"/>
  <c r="E164" i="5"/>
  <c r="O163" i="5"/>
  <c r="G164" i="5"/>
  <c r="C330" i="8"/>
  <c r="AG321" i="5"/>
  <c r="C321" i="6"/>
  <c r="AI321" i="5"/>
  <c r="B330" i="8"/>
  <c r="B322" i="5"/>
  <c r="B321" i="6"/>
  <c r="CB30" i="5"/>
  <c r="F39" i="8"/>
  <c r="CJ30" i="5"/>
  <c r="BK30" i="5"/>
  <c r="BH31" i="5" s="1"/>
  <c r="BU30" i="5"/>
  <c r="BW30" i="5" s="1"/>
  <c r="BZ30" i="5" s="1"/>
  <c r="C329" i="8"/>
  <c r="AG320" i="5"/>
  <c r="C320" i="6"/>
  <c r="AI320" i="5"/>
  <c r="CG30" i="5"/>
  <c r="BQ30" i="5"/>
  <c r="R133" i="5" l="1"/>
  <c r="CP133" i="5"/>
  <c r="AC133" i="5" s="1"/>
  <c r="Q133" i="5"/>
  <c r="U138" i="5"/>
  <c r="AJ321" i="5"/>
  <c r="AJ320" i="5"/>
  <c r="B331" i="8"/>
  <c r="B323" i="5"/>
  <c r="C323" i="5" s="1"/>
  <c r="B322" i="6"/>
  <c r="AS31" i="5"/>
  <c r="C322" i="5"/>
  <c r="V133" i="5"/>
  <c r="L134" i="5" s="1"/>
  <c r="E142" i="8"/>
  <c r="X133" i="5"/>
  <c r="CH30" i="5"/>
  <c r="CF30" i="5" s="1"/>
  <c r="BV30" i="5"/>
  <c r="CK30" i="5"/>
  <c r="CL30" i="5" s="1"/>
  <c r="H164" i="5"/>
  <c r="I164" i="5" s="1"/>
  <c r="J164" i="5" s="1"/>
  <c r="CN133" i="5" l="1"/>
  <c r="G165" i="5"/>
  <c r="E165" i="5"/>
  <c r="O164" i="5"/>
  <c r="C332" i="8"/>
  <c r="AG323" i="5"/>
  <c r="AI323" i="5"/>
  <c r="C323" i="6"/>
  <c r="BO31" i="5"/>
  <c r="G39" i="8"/>
  <c r="AK133" i="5"/>
  <c r="C331" i="8"/>
  <c r="AI322" i="5"/>
  <c r="C322" i="6"/>
  <c r="AG322" i="5"/>
  <c r="AM31" i="5"/>
  <c r="B332" i="8"/>
  <c r="B324" i="5"/>
  <c r="B323" i="6"/>
  <c r="N134" i="5"/>
  <c r="Q134" i="5" s="1"/>
  <c r="BT31" i="5"/>
  <c r="T134" i="5" l="1"/>
  <c r="AJ323" i="5"/>
  <c r="R134" i="5"/>
  <c r="E143" i="8" s="1"/>
  <c r="V134" i="5"/>
  <c r="L135" i="5" s="1"/>
  <c r="B333" i="8"/>
  <c r="B325" i="5"/>
  <c r="C325" i="5" s="1"/>
  <c r="B324" i="6"/>
  <c r="C324" i="5"/>
  <c r="AN31" i="5"/>
  <c r="AO31" i="5" s="1"/>
  <c r="AJ322" i="5"/>
  <c r="H165" i="5"/>
  <c r="I165" i="5" s="1"/>
  <c r="J165" i="5" s="1"/>
  <c r="CP134" i="5"/>
  <c r="AC134" i="5" s="1"/>
  <c r="CN134" i="5"/>
  <c r="U139" i="5"/>
  <c r="X134" i="5" l="1"/>
  <c r="AK134" i="5" s="1"/>
  <c r="O165" i="5"/>
  <c r="G166" i="5"/>
  <c r="E166" i="5"/>
  <c r="C334" i="8"/>
  <c r="AI325" i="5"/>
  <c r="C325" i="6"/>
  <c r="AG325" i="5"/>
  <c r="AJ325" i="5" s="1"/>
  <c r="AP31" i="5"/>
  <c r="N135" i="5"/>
  <c r="T135" i="5" s="1"/>
  <c r="C333" i="8"/>
  <c r="C324" i="6"/>
  <c r="AG324" i="5"/>
  <c r="AI324" i="5"/>
  <c r="B334" i="8"/>
  <c r="B326" i="5"/>
  <c r="C326" i="5"/>
  <c r="B325" i="6"/>
  <c r="Q135" i="5" l="1"/>
  <c r="AT31" i="5"/>
  <c r="AX31" i="5" s="1"/>
  <c r="AJ324" i="5"/>
  <c r="U140" i="5"/>
  <c r="CP135" i="5"/>
  <c r="AC135" i="5" s="1"/>
  <c r="H166" i="5"/>
  <c r="I166" i="5" s="1"/>
  <c r="J166" i="5" s="1"/>
  <c r="C335" i="8"/>
  <c r="AG326" i="5"/>
  <c r="AI326" i="5"/>
  <c r="C326" i="6"/>
  <c r="B335" i="8"/>
  <c r="B327" i="5"/>
  <c r="C327" i="5" s="1"/>
  <c r="B326" i="6"/>
  <c r="R135" i="5"/>
  <c r="CN135" i="5" l="1"/>
  <c r="C336" i="8"/>
  <c r="C327" i="6"/>
  <c r="AG327" i="5"/>
  <c r="AI327" i="5"/>
  <c r="E167" i="5"/>
  <c r="O166" i="5"/>
  <c r="G167" i="5"/>
  <c r="X135" i="5"/>
  <c r="E144" i="8"/>
  <c r="AJ326" i="5"/>
  <c r="V135" i="5"/>
  <c r="L136" i="5" s="1"/>
  <c r="B336" i="8"/>
  <c r="B328" i="5"/>
  <c r="C328" i="5" s="1"/>
  <c r="B327" i="6"/>
  <c r="AU31" i="5"/>
  <c r="C337" i="8" l="1"/>
  <c r="AG328" i="5"/>
  <c r="C328" i="6"/>
  <c r="AI328" i="5"/>
  <c r="AJ327" i="5"/>
  <c r="AK135" i="5"/>
  <c r="N136" i="5"/>
  <c r="B337" i="8"/>
  <c r="B329" i="5"/>
  <c r="C329" i="5"/>
  <c r="B328" i="6"/>
  <c r="AV31" i="5"/>
  <c r="H167" i="5"/>
  <c r="I167" i="5" s="1"/>
  <c r="J167" i="5" s="1"/>
  <c r="AJ328" i="5" l="1"/>
  <c r="G168" i="5"/>
  <c r="E168" i="5"/>
  <c r="O167" i="5"/>
  <c r="U141" i="5"/>
  <c r="CP136" i="5"/>
  <c r="AC136" i="5" s="1"/>
  <c r="R136" i="5"/>
  <c r="CC31" i="5"/>
  <c r="AZ31" i="5"/>
  <c r="B338" i="8"/>
  <c r="B330" i="5"/>
  <c r="B329" i="6"/>
  <c r="T136" i="5"/>
  <c r="C338" i="8"/>
  <c r="AG329" i="5"/>
  <c r="AI329" i="5"/>
  <c r="C329" i="6"/>
  <c r="AW31" i="5"/>
  <c r="Q136" i="5"/>
  <c r="E145" i="8" l="1"/>
  <c r="X136" i="5"/>
  <c r="AJ329" i="5"/>
  <c r="BA31" i="5"/>
  <c r="BB31" i="5" s="1"/>
  <c r="CN136" i="5"/>
  <c r="B339" i="8"/>
  <c r="B331" i="5"/>
  <c r="C331" i="5" s="1"/>
  <c r="B330" i="6"/>
  <c r="V136" i="5"/>
  <c r="L137" i="5" s="1"/>
  <c r="H168" i="5"/>
  <c r="I168" i="5" s="1"/>
  <c r="J168" i="5" s="1"/>
  <c r="C330" i="5"/>
  <c r="C340" i="8" l="1"/>
  <c r="AI331" i="5"/>
  <c r="AG331" i="5"/>
  <c r="AJ331" i="5" s="1"/>
  <c r="C331" i="6"/>
  <c r="BC31" i="5"/>
  <c r="BI31" i="5" s="1"/>
  <c r="G169" i="5"/>
  <c r="E169" i="5"/>
  <c r="O168" i="5"/>
  <c r="BE31" i="5"/>
  <c r="N137" i="5"/>
  <c r="Q137" i="5" s="1"/>
  <c r="AK136" i="5"/>
  <c r="C339" i="8"/>
  <c r="C330" i="6"/>
  <c r="AI330" i="5"/>
  <c r="AG330" i="5"/>
  <c r="AJ330" i="5" s="1"/>
  <c r="B340" i="8"/>
  <c r="B332" i="5"/>
  <c r="B331" i="6"/>
  <c r="T137" i="5" l="1"/>
  <c r="R137" i="5"/>
  <c r="X137" i="5" s="1"/>
  <c r="CD31" i="5"/>
  <c r="BJ31" i="5"/>
  <c r="BL31" i="5" s="1"/>
  <c r="E146" i="8"/>
  <c r="H169" i="5"/>
  <c r="I169" i="5" s="1"/>
  <c r="J169" i="5" s="1"/>
  <c r="B333" i="5"/>
  <c r="C333" i="5"/>
  <c r="B341" i="8"/>
  <c r="B332" i="6"/>
  <c r="V137" i="5"/>
  <c r="L138" i="5" s="1"/>
  <c r="C332" i="5"/>
  <c r="CJ31" i="5"/>
  <c r="BK31" i="5"/>
  <c r="BH32" i="5" s="1"/>
  <c r="CB31" i="5"/>
  <c r="F40" i="8"/>
  <c r="U142" i="5"/>
  <c r="CP137" i="5"/>
  <c r="AC137" i="5" s="1"/>
  <c r="CN137" i="5"/>
  <c r="BD31" i="5"/>
  <c r="E170" i="5" l="1"/>
  <c r="G170" i="5"/>
  <c r="O169" i="5"/>
  <c r="BP31" i="5"/>
  <c r="BR31" i="5" s="1"/>
  <c r="N138" i="5"/>
  <c r="T138" i="5" s="1"/>
  <c r="AK137" i="5"/>
  <c r="C341" i="8"/>
  <c r="C332" i="6"/>
  <c r="AG332" i="5"/>
  <c r="AI332" i="5"/>
  <c r="C342" i="8"/>
  <c r="AI333" i="5"/>
  <c r="C333" i="6"/>
  <c r="AG333" i="5"/>
  <c r="AS32" i="5"/>
  <c r="B342" i="8"/>
  <c r="B334" i="5"/>
  <c r="C334" i="5" s="1"/>
  <c r="B333" i="6"/>
  <c r="Q138" i="5" l="1"/>
  <c r="R138" i="5"/>
  <c r="X138" i="5" s="1"/>
  <c r="AJ333" i="5"/>
  <c r="C343" i="8"/>
  <c r="C334" i="6"/>
  <c r="AG334" i="5"/>
  <c r="AI334" i="5"/>
  <c r="E147" i="8"/>
  <c r="AJ332" i="5"/>
  <c r="BU31" i="5"/>
  <c r="BW31" i="5" s="1"/>
  <c r="BZ31" i="5" s="1"/>
  <c r="CG31" i="5"/>
  <c r="BQ31" i="5"/>
  <c r="U143" i="5"/>
  <c r="CP138" i="5"/>
  <c r="AC138" i="5" s="1"/>
  <c r="CN138" i="5"/>
  <c r="B335" i="5"/>
  <c r="C335" i="5" s="1"/>
  <c r="B343" i="8"/>
  <c r="B334" i="6"/>
  <c r="V138" i="5"/>
  <c r="L139" i="5" s="1"/>
  <c r="H170" i="5"/>
  <c r="I170" i="5" s="1"/>
  <c r="J170" i="5" s="1"/>
  <c r="CK31" i="5" l="1"/>
  <c r="CL31" i="5" s="1"/>
  <c r="AJ334" i="5"/>
  <c r="C344" i="8"/>
  <c r="AG335" i="5"/>
  <c r="C335" i="6"/>
  <c r="AI335" i="5"/>
  <c r="G171" i="5"/>
  <c r="E171" i="5"/>
  <c r="O170" i="5"/>
  <c r="CH31" i="5"/>
  <c r="CF31" i="5" s="1"/>
  <c r="BV31" i="5"/>
  <c r="AK138" i="5"/>
  <c r="N139" i="5"/>
  <c r="T139" i="5" s="1"/>
  <c r="B344" i="8"/>
  <c r="B336" i="5"/>
  <c r="C336" i="5" s="1"/>
  <c r="B335" i="6"/>
  <c r="G40" i="8" l="1"/>
  <c r="AJ335" i="5"/>
  <c r="C345" i="8"/>
  <c r="C336" i="6"/>
  <c r="AG336" i="5"/>
  <c r="AI336" i="5"/>
  <c r="U144" i="5"/>
  <c r="CP139" i="5"/>
  <c r="AC139" i="5" s="1"/>
  <c r="BO32" i="5"/>
  <c r="BT32" i="5"/>
  <c r="AM32" i="5"/>
  <c r="R139" i="5"/>
  <c r="Q139" i="5"/>
  <c r="CN139" i="5" s="1"/>
  <c r="H171" i="5"/>
  <c r="I171" i="5" s="1"/>
  <c r="J171" i="5" s="1"/>
  <c r="B337" i="5"/>
  <c r="C337" i="5" s="1"/>
  <c r="B345" i="8"/>
  <c r="B336" i="6"/>
  <c r="V139" i="5" l="1"/>
  <c r="L140" i="5" s="1"/>
  <c r="AJ336" i="5"/>
  <c r="C346" i="8"/>
  <c r="AG337" i="5"/>
  <c r="AI337" i="5"/>
  <c r="C337" i="6"/>
  <c r="G172" i="5"/>
  <c r="O171" i="5"/>
  <c r="E172" i="5"/>
  <c r="AN32" i="5"/>
  <c r="AO32" i="5" s="1"/>
  <c r="B346" i="8"/>
  <c r="B338" i="5"/>
  <c r="C338" i="5" s="1"/>
  <c r="B337" i="6"/>
  <c r="N140" i="5"/>
  <c r="T140" i="5" s="1"/>
  <c r="X139" i="5"/>
  <c r="E148" i="8"/>
  <c r="R140" i="5" l="1"/>
  <c r="Q140" i="5"/>
  <c r="C347" i="8"/>
  <c r="C338" i="6"/>
  <c r="AG338" i="5"/>
  <c r="AI338" i="5"/>
  <c r="E149" i="8"/>
  <c r="AK139" i="5"/>
  <c r="H172" i="5"/>
  <c r="I172" i="5" s="1"/>
  <c r="J172" i="5" s="1"/>
  <c r="B339" i="5"/>
  <c r="C339" i="5" s="1"/>
  <c r="B347" i="8"/>
  <c r="B338" i="6"/>
  <c r="AJ337" i="5"/>
  <c r="AP32" i="5"/>
  <c r="U145" i="5"/>
  <c r="CP140" i="5"/>
  <c r="AC140" i="5" s="1"/>
  <c r="V140" i="5" l="1"/>
  <c r="L141" i="5" s="1"/>
  <c r="N141" i="5" s="1"/>
  <c r="Q141" i="5" s="1"/>
  <c r="CN140" i="5"/>
  <c r="X140" i="5"/>
  <c r="AK140" i="5" s="1"/>
  <c r="C348" i="8"/>
  <c r="AI339" i="5"/>
  <c r="AG339" i="5"/>
  <c r="C339" i="6"/>
  <c r="E173" i="5"/>
  <c r="G173" i="5"/>
  <c r="O172" i="5"/>
  <c r="B348" i="8"/>
  <c r="B340" i="5"/>
  <c r="C340" i="5" s="1"/>
  <c r="B339" i="6"/>
  <c r="AT32" i="5"/>
  <c r="AX32" i="5" s="1"/>
  <c r="AJ338" i="5"/>
  <c r="R141" i="5" l="1"/>
  <c r="V141" i="5" s="1"/>
  <c r="L142" i="5" s="1"/>
  <c r="N142" i="5" s="1"/>
  <c r="Q142" i="5" s="1"/>
  <c r="T141" i="5"/>
  <c r="CP141" i="5"/>
  <c r="AC141" i="5" s="1"/>
  <c r="U146" i="5"/>
  <c r="AJ339" i="5"/>
  <c r="C349" i="8"/>
  <c r="C340" i="6"/>
  <c r="AI340" i="5"/>
  <c r="AG340" i="5"/>
  <c r="AU32" i="5"/>
  <c r="H173" i="5"/>
  <c r="I173" i="5" s="1"/>
  <c r="J173" i="5" s="1"/>
  <c r="B341" i="5"/>
  <c r="B349" i="8"/>
  <c r="B340" i="6"/>
  <c r="CN141" i="5" l="1"/>
  <c r="E150" i="8"/>
  <c r="X141" i="5"/>
  <c r="AJ340" i="5"/>
  <c r="T142" i="5"/>
  <c r="G174" i="5"/>
  <c r="E174" i="5"/>
  <c r="O173" i="5"/>
  <c r="B350" i="8"/>
  <c r="B342" i="5"/>
  <c r="C342" i="5" s="1"/>
  <c r="B341" i="6"/>
  <c r="AV32" i="5"/>
  <c r="AW32" i="5" s="1"/>
  <c r="AK141" i="5"/>
  <c r="R142" i="5"/>
  <c r="X142" i="5" s="1"/>
  <c r="C341" i="5"/>
  <c r="U147" i="5"/>
  <c r="CP142" i="5"/>
  <c r="AC142" i="5" s="1"/>
  <c r="C351" i="8" l="1"/>
  <c r="C342" i="6"/>
  <c r="AG342" i="5"/>
  <c r="AI342" i="5"/>
  <c r="AK142" i="5"/>
  <c r="V142" i="5"/>
  <c r="L143" i="5" s="1"/>
  <c r="CN142" i="5"/>
  <c r="E151" i="8"/>
  <c r="AZ32" i="5"/>
  <c r="CC32" i="5"/>
  <c r="H174" i="5"/>
  <c r="I174" i="5" s="1"/>
  <c r="J174" i="5" s="1"/>
  <c r="C350" i="8"/>
  <c r="AI341" i="5"/>
  <c r="C341" i="6"/>
  <c r="AG341" i="5"/>
  <c r="B343" i="5"/>
  <c r="C343" i="5" s="1"/>
  <c r="B351" i="8"/>
  <c r="B342" i="6"/>
  <c r="AJ342" i="5" l="1"/>
  <c r="C352" i="8"/>
  <c r="AG343" i="5"/>
  <c r="C343" i="6"/>
  <c r="AI343" i="5"/>
  <c r="G175" i="5"/>
  <c r="E175" i="5"/>
  <c r="O174" i="5"/>
  <c r="N143" i="5"/>
  <c r="BA32" i="5"/>
  <c r="B352" i="8"/>
  <c r="B344" i="5"/>
  <c r="B343" i="6"/>
  <c r="AJ341" i="5"/>
  <c r="AJ343" i="5" l="1"/>
  <c r="B345" i="5"/>
  <c r="C345" i="5" s="1"/>
  <c r="B353" i="8"/>
  <c r="B344" i="6"/>
  <c r="U148" i="5"/>
  <c r="CP143" i="5"/>
  <c r="AC143" i="5" s="1"/>
  <c r="BE32" i="5"/>
  <c r="BB32" i="5"/>
  <c r="T143" i="5"/>
  <c r="H175" i="5"/>
  <c r="I175" i="5"/>
  <c r="J175" i="5" s="1"/>
  <c r="R143" i="5"/>
  <c r="Q143" i="5"/>
  <c r="V143" i="5" s="1"/>
  <c r="L144" i="5" s="1"/>
  <c r="C344" i="5"/>
  <c r="CN143" i="5" l="1"/>
  <c r="N144" i="5"/>
  <c r="Q144" i="5" s="1"/>
  <c r="G176" i="5"/>
  <c r="E176" i="5"/>
  <c r="O175" i="5"/>
  <c r="C354" i="8"/>
  <c r="AG345" i="5"/>
  <c r="AI345" i="5"/>
  <c r="C345" i="6"/>
  <c r="BC32" i="5"/>
  <c r="C353" i="8"/>
  <c r="C344" i="6"/>
  <c r="AG344" i="5"/>
  <c r="AI344" i="5"/>
  <c r="E152" i="8"/>
  <c r="X143" i="5"/>
  <c r="BJ32" i="5"/>
  <c r="BL32" i="5" s="1"/>
  <c r="B354" i="8"/>
  <c r="B346" i="5"/>
  <c r="B345" i="6"/>
  <c r="T144" i="5" l="1"/>
  <c r="BP32" i="5"/>
  <c r="BR32" i="5"/>
  <c r="H176" i="5"/>
  <c r="I176" i="5" s="1"/>
  <c r="J176" i="5" s="1"/>
  <c r="BI32" i="5"/>
  <c r="CD32" i="5"/>
  <c r="R144" i="5"/>
  <c r="CN144" i="5" s="1"/>
  <c r="B347" i="5"/>
  <c r="C347" i="5"/>
  <c r="B355" i="8"/>
  <c r="B346" i="6"/>
  <c r="BD32" i="5"/>
  <c r="AJ345" i="5"/>
  <c r="AK143" i="5"/>
  <c r="C346" i="5"/>
  <c r="U149" i="5"/>
  <c r="CP144" i="5"/>
  <c r="AC144" i="5" s="1"/>
  <c r="AJ344" i="5"/>
  <c r="G177" i="5" l="1"/>
  <c r="O176" i="5"/>
  <c r="E177" i="5"/>
  <c r="C356" i="8"/>
  <c r="AI347" i="5"/>
  <c r="AG347" i="5"/>
  <c r="AJ347" i="5" s="1"/>
  <c r="C347" i="6"/>
  <c r="E153" i="8"/>
  <c r="C355" i="8"/>
  <c r="C346" i="6"/>
  <c r="AG346" i="5"/>
  <c r="AI346" i="5"/>
  <c r="V144" i="5"/>
  <c r="L145" i="5" s="1"/>
  <c r="X144" i="5"/>
  <c r="CB32" i="5"/>
  <c r="F41" i="8"/>
  <c r="BU32" i="5"/>
  <c r="B356" i="8"/>
  <c r="B348" i="5"/>
  <c r="C348" i="5" s="1"/>
  <c r="B347" i="6"/>
  <c r="CJ32" i="5"/>
  <c r="BK32" i="5"/>
  <c r="BH33" i="5" s="1"/>
  <c r="CG32" i="5"/>
  <c r="BQ32" i="5"/>
  <c r="AJ346" i="5" l="1"/>
  <c r="C357" i="8"/>
  <c r="C348" i="6"/>
  <c r="AG348" i="5"/>
  <c r="AI348" i="5"/>
  <c r="CH32" i="5"/>
  <c r="CF32" i="5" s="1"/>
  <c r="BV32" i="5"/>
  <c r="CK32" i="5"/>
  <c r="CL32" i="5" s="1"/>
  <c r="N145" i="5"/>
  <c r="H177" i="5"/>
  <c r="B349" i="5"/>
  <c r="C349" i="5"/>
  <c r="B357" i="8"/>
  <c r="B348" i="6"/>
  <c r="BT33" i="5"/>
  <c r="AS33" i="5"/>
  <c r="BW32" i="5"/>
  <c r="BZ32" i="5" s="1"/>
  <c r="AK144" i="5"/>
  <c r="I177" i="5"/>
  <c r="J177" i="5" s="1"/>
  <c r="AJ348" i="5" l="1"/>
  <c r="O177" i="5"/>
  <c r="G178" i="5"/>
  <c r="E178" i="5"/>
  <c r="U150" i="5"/>
  <c r="CP145" i="5"/>
  <c r="AC145" i="5" s="1"/>
  <c r="G41" i="8"/>
  <c r="C358" i="8"/>
  <c r="AI349" i="5"/>
  <c r="C349" i="6"/>
  <c r="AG349" i="5"/>
  <c r="AJ349" i="5" s="1"/>
  <c r="BO33" i="5"/>
  <c r="B358" i="8"/>
  <c r="B350" i="5"/>
  <c r="C350" i="5" s="1"/>
  <c r="B349" i="6"/>
  <c r="R145" i="5"/>
  <c r="T145" i="5"/>
  <c r="AM33" i="5"/>
  <c r="Q145" i="5"/>
  <c r="CN145" i="5" l="1"/>
  <c r="C359" i="8"/>
  <c r="C350" i="6"/>
  <c r="AI350" i="5"/>
  <c r="AG350" i="5"/>
  <c r="E154" i="8"/>
  <c r="X145" i="5"/>
  <c r="H178" i="5"/>
  <c r="I178" i="5" s="1"/>
  <c r="J178" i="5" s="1"/>
  <c r="AN33" i="5"/>
  <c r="V145" i="5"/>
  <c r="L146" i="5" s="1"/>
  <c r="B351" i="5"/>
  <c r="B359" i="8"/>
  <c r="B350" i="6"/>
  <c r="G179" i="5" l="1"/>
  <c r="O178" i="5"/>
  <c r="E179" i="5"/>
  <c r="B360" i="8"/>
  <c r="B352" i="5"/>
  <c r="C352" i="5" s="1"/>
  <c r="B351" i="6"/>
  <c r="N146" i="5"/>
  <c r="R146" i="5" s="1"/>
  <c r="AK145" i="5"/>
  <c r="C351" i="5"/>
  <c r="AP33" i="5"/>
  <c r="AO33" i="5"/>
  <c r="AJ350" i="5"/>
  <c r="Q146" i="5" l="1"/>
  <c r="V146" i="5" s="1"/>
  <c r="L147" i="5" s="1"/>
  <c r="C361" i="8"/>
  <c r="C352" i="6"/>
  <c r="AI352" i="5"/>
  <c r="AG352" i="5"/>
  <c r="B353" i="5"/>
  <c r="C353" i="5" s="1"/>
  <c r="B361" i="8"/>
  <c r="B352" i="6"/>
  <c r="T146" i="5"/>
  <c r="X146" i="5" s="1"/>
  <c r="H179" i="5"/>
  <c r="AT33" i="5"/>
  <c r="C360" i="8"/>
  <c r="AG351" i="5"/>
  <c r="C351" i="6"/>
  <c r="AI351" i="5"/>
  <c r="U151" i="5"/>
  <c r="CP146" i="5"/>
  <c r="AC146" i="5" s="1"/>
  <c r="CN146" i="5"/>
  <c r="I179" i="5"/>
  <c r="J179" i="5" s="1"/>
  <c r="AK146" i="5" l="1"/>
  <c r="C362" i="8"/>
  <c r="AG353" i="5"/>
  <c r="AI353" i="5"/>
  <c r="C353" i="6"/>
  <c r="G180" i="5"/>
  <c r="E180" i="5"/>
  <c r="O179" i="5"/>
  <c r="AU33" i="5"/>
  <c r="N147" i="5"/>
  <c r="AX33" i="5"/>
  <c r="E155" i="8"/>
  <c r="B362" i="8"/>
  <c r="B354" i="5"/>
  <c r="B353" i="6"/>
  <c r="AJ351" i="5"/>
  <c r="AJ352" i="5"/>
  <c r="U152" i="5" l="1"/>
  <c r="CP147" i="5"/>
  <c r="AC147" i="5" s="1"/>
  <c r="B355" i="5"/>
  <c r="C355" i="5"/>
  <c r="B363" i="8"/>
  <c r="B354" i="6"/>
  <c r="R147" i="5"/>
  <c r="H180" i="5"/>
  <c r="I180" i="5" s="1"/>
  <c r="J180" i="5" s="1"/>
  <c r="AJ353" i="5"/>
  <c r="C354" i="5"/>
  <c r="Q147" i="5"/>
  <c r="T147" i="5"/>
  <c r="AV33" i="5"/>
  <c r="AZ33" i="5" s="1"/>
  <c r="V147" i="5" l="1"/>
  <c r="L148" i="5" s="1"/>
  <c r="N148" i="5" s="1"/>
  <c r="T148" i="5" s="1"/>
  <c r="BA33" i="5"/>
  <c r="G181" i="5"/>
  <c r="E181" i="5"/>
  <c r="O180" i="5"/>
  <c r="C364" i="8"/>
  <c r="AI355" i="5"/>
  <c r="AG355" i="5"/>
  <c r="C355" i="6"/>
  <c r="B364" i="8"/>
  <c r="B356" i="5"/>
  <c r="B355" i="6"/>
  <c r="C363" i="8"/>
  <c r="C354" i="6"/>
  <c r="AI354" i="5"/>
  <c r="AG354" i="5"/>
  <c r="AW33" i="5"/>
  <c r="E156" i="8"/>
  <c r="X147" i="5"/>
  <c r="CC33" i="5"/>
  <c r="CN147" i="5"/>
  <c r="BE33" i="5" l="1"/>
  <c r="BB33" i="5"/>
  <c r="B357" i="5"/>
  <c r="C357" i="5" s="1"/>
  <c r="B365" i="8"/>
  <c r="B356" i="6"/>
  <c r="AJ355" i="5"/>
  <c r="AK147" i="5"/>
  <c r="U153" i="5"/>
  <c r="CP148" i="5"/>
  <c r="AC148" i="5" s="1"/>
  <c r="R148" i="5"/>
  <c r="C356" i="5"/>
  <c r="H181" i="5"/>
  <c r="I181" i="5" s="1"/>
  <c r="J181" i="5" s="1"/>
  <c r="Q148" i="5"/>
  <c r="AJ354" i="5"/>
  <c r="CN148" i="5" l="1"/>
  <c r="G182" i="5"/>
  <c r="E182" i="5"/>
  <c r="O181" i="5"/>
  <c r="C366" i="8"/>
  <c r="AG357" i="5"/>
  <c r="AI357" i="5"/>
  <c r="C357" i="6"/>
  <c r="B366" i="8"/>
  <c r="B358" i="5"/>
  <c r="B357" i="6"/>
  <c r="X148" i="5"/>
  <c r="E157" i="8"/>
  <c r="BC33" i="5"/>
  <c r="V148" i="5"/>
  <c r="L149" i="5" s="1"/>
  <c r="BJ33" i="5"/>
  <c r="BL33" i="5" s="1"/>
  <c r="C365" i="8"/>
  <c r="C356" i="6"/>
  <c r="AI356" i="5"/>
  <c r="AG356" i="5"/>
  <c r="AJ356" i="5" s="1"/>
  <c r="B359" i="5" l="1"/>
  <c r="C359" i="5"/>
  <c r="B367" i="8"/>
  <c r="B358" i="6"/>
  <c r="AJ357" i="5"/>
  <c r="BI33" i="5"/>
  <c r="CD33" i="5"/>
  <c r="BD33" i="5"/>
  <c r="BP33" i="5"/>
  <c r="BR33" i="5"/>
  <c r="N149" i="5"/>
  <c r="Q149" i="5" s="1"/>
  <c r="H182" i="5"/>
  <c r="I182" i="5" s="1"/>
  <c r="J182" i="5" s="1"/>
  <c r="C358" i="5"/>
  <c r="AK148" i="5"/>
  <c r="O182" i="5" l="1"/>
  <c r="G183" i="5"/>
  <c r="E183" i="5"/>
  <c r="CJ33" i="5"/>
  <c r="BK33" i="5"/>
  <c r="BH34" i="5" s="1"/>
  <c r="BU33" i="5"/>
  <c r="U154" i="5"/>
  <c r="CP149" i="5"/>
  <c r="AC149" i="5" s="1"/>
  <c r="CG33" i="5"/>
  <c r="BQ33" i="5"/>
  <c r="R149" i="5"/>
  <c r="V149" i="5" s="1"/>
  <c r="L150" i="5" s="1"/>
  <c r="C368" i="8"/>
  <c r="AI359" i="5"/>
  <c r="AG359" i="5"/>
  <c r="AJ359" i="5" s="1"/>
  <c r="C359" i="6"/>
  <c r="C367" i="8"/>
  <c r="C358" i="6"/>
  <c r="AI358" i="5"/>
  <c r="AG358" i="5"/>
  <c r="AJ358" i="5" s="1"/>
  <c r="T149" i="5"/>
  <c r="CB33" i="5"/>
  <c r="F42" i="8"/>
  <c r="B368" i="8"/>
  <c r="B360" i="5"/>
  <c r="C360" i="5"/>
  <c r="B359" i="6"/>
  <c r="E158" i="8" l="1"/>
  <c r="N150" i="5"/>
  <c r="T150" i="5" s="1"/>
  <c r="AS34" i="5"/>
  <c r="CN149" i="5"/>
  <c r="X149" i="5"/>
  <c r="H183" i="5"/>
  <c r="I183" i="5" s="1"/>
  <c r="J183" i="5" s="1"/>
  <c r="CH33" i="5"/>
  <c r="CF33" i="5" s="1"/>
  <c r="AM34" i="5" s="1"/>
  <c r="BV33" i="5"/>
  <c r="C369" i="8"/>
  <c r="C360" i="6"/>
  <c r="AI360" i="5"/>
  <c r="AG360" i="5"/>
  <c r="AJ360" i="5" s="1"/>
  <c r="B361" i="5"/>
  <c r="B369" i="8"/>
  <c r="B360" i="6"/>
  <c r="BW33" i="5"/>
  <c r="BZ33" i="5" s="1"/>
  <c r="CK33" i="5" s="1"/>
  <c r="CL33" i="5" s="1"/>
  <c r="G42" i="8" l="1"/>
  <c r="AN34" i="5"/>
  <c r="E184" i="5"/>
  <c r="O183" i="5"/>
  <c r="G184" i="5"/>
  <c r="AK149" i="5"/>
  <c r="U155" i="5"/>
  <c r="CP150" i="5"/>
  <c r="AC150" i="5" s="1"/>
  <c r="BO34" i="5"/>
  <c r="B370" i="8"/>
  <c r="B362" i="5"/>
  <c r="C362" i="5" s="1"/>
  <c r="B361" i="6"/>
  <c r="R150" i="5"/>
  <c r="C361" i="5"/>
  <c r="BT34" i="5"/>
  <c r="Q150" i="5"/>
  <c r="V150" i="5" s="1"/>
  <c r="L151" i="5" s="1"/>
  <c r="C371" i="8" l="1"/>
  <c r="C362" i="6"/>
  <c r="AI362" i="5"/>
  <c r="AG362" i="5"/>
  <c r="N151" i="5"/>
  <c r="H184" i="5"/>
  <c r="I184" i="5" s="1"/>
  <c r="J184" i="5" s="1"/>
  <c r="X150" i="5"/>
  <c r="E159" i="8"/>
  <c r="C370" i="8"/>
  <c r="AG361" i="5"/>
  <c r="AI361" i="5"/>
  <c r="C361" i="6"/>
  <c r="CN150" i="5"/>
  <c r="AP34" i="5"/>
  <c r="B363" i="5"/>
  <c r="C363" i="5" s="1"/>
  <c r="B371" i="8"/>
  <c r="B362" i="6"/>
  <c r="AO34" i="5"/>
  <c r="C372" i="8" l="1"/>
  <c r="AI363" i="5"/>
  <c r="AG363" i="5"/>
  <c r="C363" i="6"/>
  <c r="G185" i="5"/>
  <c r="E185" i="5"/>
  <c r="O184" i="5"/>
  <c r="U156" i="5"/>
  <c r="CP151" i="5"/>
  <c r="AC151" i="5" s="1"/>
  <c r="T151" i="5"/>
  <c r="AT34" i="5"/>
  <c r="R151" i="5"/>
  <c r="B372" i="8"/>
  <c r="B364" i="5"/>
  <c r="C364" i="5" s="1"/>
  <c r="B363" i="6"/>
  <c r="Q151" i="5"/>
  <c r="CN151" i="5" s="1"/>
  <c r="AK150" i="5"/>
  <c r="AJ361" i="5"/>
  <c r="AJ362" i="5"/>
  <c r="V151" i="5" l="1"/>
  <c r="L152" i="5" s="1"/>
  <c r="AJ363" i="5"/>
  <c r="C373" i="8"/>
  <c r="C364" i="6"/>
  <c r="AG364" i="5"/>
  <c r="AI364" i="5"/>
  <c r="N152" i="5"/>
  <c r="Q152" i="5" s="1"/>
  <c r="H185" i="5"/>
  <c r="I185" i="5" s="1"/>
  <c r="J185" i="5" s="1"/>
  <c r="B365" i="5"/>
  <c r="C365" i="5"/>
  <c r="B373" i="8"/>
  <c r="B364" i="6"/>
  <c r="AU34" i="5"/>
  <c r="AX34" i="5"/>
  <c r="E160" i="8"/>
  <c r="X151" i="5"/>
  <c r="T152" i="5" l="1"/>
  <c r="AJ364" i="5"/>
  <c r="G186" i="5"/>
  <c r="O185" i="5"/>
  <c r="E186" i="5"/>
  <c r="C374" i="8"/>
  <c r="AG365" i="5"/>
  <c r="AI365" i="5"/>
  <c r="C365" i="6"/>
  <c r="B374" i="8"/>
  <c r="B366" i="5"/>
  <c r="C366" i="5" s="1"/>
  <c r="B365" i="6"/>
  <c r="AV34" i="5"/>
  <c r="AW34" i="5" s="1"/>
  <c r="R152" i="5"/>
  <c r="CN152" i="5" s="1"/>
  <c r="AZ34" i="5"/>
  <c r="BA34" i="5" s="1"/>
  <c r="AK151" i="5"/>
  <c r="U157" i="5"/>
  <c r="CP152" i="5"/>
  <c r="AC152" i="5" s="1"/>
  <c r="AJ365" i="5" l="1"/>
  <c r="V152" i="5"/>
  <c r="L153" i="5" s="1"/>
  <c r="BE34" i="5"/>
  <c r="C375" i="8"/>
  <c r="C366" i="6"/>
  <c r="AG366" i="5"/>
  <c r="AI366" i="5"/>
  <c r="N153" i="5"/>
  <c r="X152" i="5"/>
  <c r="CC34" i="5"/>
  <c r="E161" i="8"/>
  <c r="H186" i="5"/>
  <c r="I186" i="5" s="1"/>
  <c r="J186" i="5" s="1"/>
  <c r="BB34" i="5"/>
  <c r="BC34" i="5" s="1"/>
  <c r="CD34" i="5" s="1"/>
  <c r="CB34" i="5" s="1"/>
  <c r="B375" i="8"/>
  <c r="B366" i="6"/>
  <c r="G187" i="5" l="1"/>
  <c r="E187" i="5"/>
  <c r="O186" i="5"/>
  <c r="AS35" i="5"/>
  <c r="U158" i="5"/>
  <c r="CP153" i="5"/>
  <c r="AC153" i="5" s="1"/>
  <c r="BI34" i="5"/>
  <c r="F43" i="8"/>
  <c r="BD34" i="5"/>
  <c r="AK152" i="5"/>
  <c r="T153" i="5"/>
  <c r="AJ366" i="5"/>
  <c r="BJ34" i="5"/>
  <c r="Q153" i="5"/>
  <c r="R153" i="5"/>
  <c r="E162" i="8" l="1"/>
  <c r="X153" i="5"/>
  <c r="BL34" i="5"/>
  <c r="CJ34" i="5"/>
  <c r="BK34" i="5"/>
  <c r="BH35" i="5" s="1"/>
  <c r="V153" i="5"/>
  <c r="L154" i="5" s="1"/>
  <c r="CN153" i="5"/>
  <c r="H187" i="5"/>
  <c r="I187" i="5" s="1"/>
  <c r="J187" i="5" s="1"/>
  <c r="E188" i="5" l="1"/>
  <c r="O187" i="5"/>
  <c r="G188" i="5"/>
  <c r="BP34" i="5"/>
  <c r="AK153" i="5"/>
  <c r="N154" i="5"/>
  <c r="CG34" i="5" l="1"/>
  <c r="BQ34" i="5"/>
  <c r="BR34" i="5"/>
  <c r="CP154" i="5"/>
  <c r="AC154" i="5" s="1"/>
  <c r="U159" i="5"/>
  <c r="I188" i="5"/>
  <c r="J188" i="5" s="1"/>
  <c r="R154" i="5"/>
  <c r="Q154" i="5"/>
  <c r="T154" i="5"/>
  <c r="H188" i="5"/>
  <c r="CN154" i="5" l="1"/>
  <c r="E189" i="5"/>
  <c r="O188" i="5"/>
  <c r="G189" i="5"/>
  <c r="E163" i="8"/>
  <c r="X154" i="5"/>
  <c r="V154" i="5"/>
  <c r="L155" i="5" s="1"/>
  <c r="BU34" i="5"/>
  <c r="AK154" i="5" l="1"/>
  <c r="N155" i="5"/>
  <c r="Q155" i="5" s="1"/>
  <c r="CH34" i="5"/>
  <c r="BV34" i="5"/>
  <c r="BW34" i="5"/>
  <c r="BZ34" i="5" s="1"/>
  <c r="CK34" i="5" s="1"/>
  <c r="CL34" i="5" s="1"/>
  <c r="H189" i="5"/>
  <c r="I189" i="5" s="1"/>
  <c r="J189" i="5" s="1"/>
  <c r="G190" i="5" l="1"/>
  <c r="O189" i="5"/>
  <c r="E190" i="5"/>
  <c r="U160" i="5"/>
  <c r="CP155" i="5"/>
  <c r="AC155" i="5" s="1"/>
  <c r="R155" i="5"/>
  <c r="V155" i="5" s="1"/>
  <c r="L156" i="5" s="1"/>
  <c r="CF34" i="5"/>
  <c r="G43" i="8"/>
  <c r="T155" i="5"/>
  <c r="CN155" i="5" l="1"/>
  <c r="E164" i="8"/>
  <c r="N156" i="5"/>
  <c r="R156" i="5" s="1"/>
  <c r="X155" i="5"/>
  <c r="H190" i="5"/>
  <c r="I190" i="5" s="1"/>
  <c r="J190" i="5" s="1"/>
  <c r="BO35" i="5"/>
  <c r="AM35" i="5"/>
  <c r="BT35" i="5"/>
  <c r="E191" i="5" l="1"/>
  <c r="G191" i="5"/>
  <c r="O190" i="5"/>
  <c r="AN35" i="5"/>
  <c r="CP156" i="5"/>
  <c r="AC156" i="5" s="1"/>
  <c r="U161" i="5"/>
  <c r="T156" i="5"/>
  <c r="AK155" i="5"/>
  <c r="Q156" i="5"/>
  <c r="V156" i="5" s="1"/>
  <c r="L157" i="5" s="1"/>
  <c r="N157" i="5" l="1"/>
  <c r="AP35" i="5"/>
  <c r="AO35" i="5"/>
  <c r="E165" i="8"/>
  <c r="X156" i="5"/>
  <c r="CN156" i="5"/>
  <c r="H191" i="5"/>
  <c r="I191" i="5" s="1"/>
  <c r="J191" i="5" s="1"/>
  <c r="E192" i="5" l="1"/>
  <c r="O191" i="5"/>
  <c r="G192" i="5"/>
  <c r="U162" i="5"/>
  <c r="CP157" i="5"/>
  <c r="AC157" i="5" s="1"/>
  <c r="AK156" i="5"/>
  <c r="AT35" i="5"/>
  <c r="AX35" i="5" s="1"/>
  <c r="R157" i="5"/>
  <c r="T157" i="5"/>
  <c r="Q157" i="5"/>
  <c r="E166" i="8" l="1"/>
  <c r="X157" i="5"/>
  <c r="CN157" i="5"/>
  <c r="AU35" i="5"/>
  <c r="V157" i="5"/>
  <c r="L158" i="5" s="1"/>
  <c r="H192" i="5"/>
  <c r="I192" i="5" s="1"/>
  <c r="J192" i="5" s="1"/>
  <c r="E193" i="5" l="1"/>
  <c r="G193" i="5"/>
  <c r="O192" i="5"/>
  <c r="N158" i="5"/>
  <c r="AV35" i="5"/>
  <c r="AW35" i="5" s="1"/>
  <c r="AK157" i="5"/>
  <c r="R158" i="5" l="1"/>
  <c r="Q158" i="5"/>
  <c r="U163" i="5"/>
  <c r="CP158" i="5"/>
  <c r="AC158" i="5" s="1"/>
  <c r="AZ35" i="5"/>
  <c r="CC35" i="5"/>
  <c r="T158" i="5"/>
  <c r="H193" i="5"/>
  <c r="I193" i="5" s="1"/>
  <c r="J193" i="5" s="1"/>
  <c r="CN158" i="5" l="1"/>
  <c r="G194" i="5"/>
  <c r="O193" i="5"/>
  <c r="E194" i="5"/>
  <c r="E167" i="8"/>
  <c r="X158" i="5"/>
  <c r="BA35" i="5"/>
  <c r="BB35" i="5" s="1"/>
  <c r="V158" i="5"/>
  <c r="L159" i="5" s="1"/>
  <c r="AK158" i="5" l="1"/>
  <c r="N159" i="5"/>
  <c r="H194" i="5"/>
  <c r="BE35" i="5"/>
  <c r="BC35" i="5"/>
  <c r="BI35" i="5" s="1"/>
  <c r="I194" i="5"/>
  <c r="J194" i="5" s="1"/>
  <c r="E195" i="5" l="1"/>
  <c r="O194" i="5"/>
  <c r="G195" i="5"/>
  <c r="U164" i="5"/>
  <c r="CP159" i="5"/>
  <c r="AC159" i="5" s="1"/>
  <c r="Q159" i="5"/>
  <c r="CJ35" i="5"/>
  <c r="T159" i="5"/>
  <c r="BJ35" i="5"/>
  <c r="BK35" i="5" s="1"/>
  <c r="BH36" i="5" s="1"/>
  <c r="BD35" i="5"/>
  <c r="R159" i="5"/>
  <c r="CD35" i="5"/>
  <c r="CN159" i="5" l="1"/>
  <c r="BL35" i="5"/>
  <c r="E168" i="8"/>
  <c r="X159" i="5"/>
  <c r="V159" i="5"/>
  <c r="L160" i="5" s="1"/>
  <c r="CB35" i="5"/>
  <c r="F44" i="8"/>
  <c r="H195" i="5"/>
  <c r="I195" i="5" s="1"/>
  <c r="J195" i="5" s="1"/>
  <c r="G196" i="5" l="1"/>
  <c r="E196" i="5"/>
  <c r="O195" i="5"/>
  <c r="BP35" i="5"/>
  <c r="AK159" i="5"/>
  <c r="AS36" i="5"/>
  <c r="N160" i="5"/>
  <c r="R160" i="5" s="1"/>
  <c r="Q160" i="5" l="1"/>
  <c r="T160" i="5"/>
  <c r="V160" i="5"/>
  <c r="L161" i="5" s="1"/>
  <c r="CP160" i="5"/>
  <c r="AC160" i="5" s="1"/>
  <c r="U165" i="5"/>
  <c r="CN160" i="5"/>
  <c r="CG35" i="5"/>
  <c r="BQ35" i="5"/>
  <c r="BR35" i="5"/>
  <c r="H196" i="5"/>
  <c r="I196" i="5"/>
  <c r="J196" i="5" s="1"/>
  <c r="X160" i="5" l="1"/>
  <c r="E169" i="8"/>
  <c r="G197" i="5"/>
  <c r="O196" i="5"/>
  <c r="E197" i="5"/>
  <c r="BU35" i="5"/>
  <c r="BW35" i="5" s="1"/>
  <c r="BZ35" i="5" s="1"/>
  <c r="N161" i="5"/>
  <c r="AK160" i="5"/>
  <c r="U166" i="5" l="1"/>
  <c r="CP161" i="5"/>
  <c r="AC161" i="5" s="1"/>
  <c r="CH35" i="5"/>
  <c r="BV35" i="5"/>
  <c r="CK35" i="5"/>
  <c r="CL35" i="5" s="1"/>
  <c r="R161" i="5"/>
  <c r="T161" i="5"/>
  <c r="H197" i="5"/>
  <c r="I197" i="5" s="1"/>
  <c r="J197" i="5" s="1"/>
  <c r="Q161" i="5"/>
  <c r="V161" i="5" s="1"/>
  <c r="L162" i="5" s="1"/>
  <c r="E198" i="5" l="1"/>
  <c r="G198" i="5"/>
  <c r="O197" i="5"/>
  <c r="N162" i="5"/>
  <c r="Q162" i="5" s="1"/>
  <c r="E170" i="8"/>
  <c r="X161" i="5"/>
  <c r="CF35" i="5"/>
  <c r="G44" i="8"/>
  <c r="CN161" i="5"/>
  <c r="T162" i="5" l="1"/>
  <c r="R162" i="5"/>
  <c r="E171" i="8" s="1"/>
  <c r="BO36" i="5"/>
  <c r="BT36" i="5"/>
  <c r="AM36" i="5"/>
  <c r="CP162" i="5"/>
  <c r="AC162" i="5" s="1"/>
  <c r="CN162" i="5"/>
  <c r="U167" i="5"/>
  <c r="AK161" i="5"/>
  <c r="H198" i="5"/>
  <c r="I198" i="5" s="1"/>
  <c r="J198" i="5" s="1"/>
  <c r="V162" i="5" l="1"/>
  <c r="L163" i="5" s="1"/>
  <c r="E199" i="5"/>
  <c r="G199" i="5"/>
  <c r="O198" i="5"/>
  <c r="AN36" i="5"/>
  <c r="N163" i="5"/>
  <c r="T163" i="5" s="1"/>
  <c r="X162" i="5"/>
  <c r="R163" i="5" l="1"/>
  <c r="AP36" i="5"/>
  <c r="Q163" i="5"/>
  <c r="AK162" i="5"/>
  <c r="AO36" i="5"/>
  <c r="I199" i="5"/>
  <c r="J199" i="5" s="1"/>
  <c r="U168" i="5"/>
  <c r="CP163" i="5"/>
  <c r="AC163" i="5" s="1"/>
  <c r="H199" i="5"/>
  <c r="G200" i="5" l="1"/>
  <c r="E200" i="5"/>
  <c r="O199" i="5"/>
  <c r="E172" i="8"/>
  <c r="X163" i="5"/>
  <c r="AT36" i="5"/>
  <c r="AX36" i="5" s="1"/>
  <c r="V163" i="5"/>
  <c r="L164" i="5" s="1"/>
  <c r="CN163" i="5"/>
  <c r="AK163" i="5" l="1"/>
  <c r="N164" i="5"/>
  <c r="R164" i="5" s="1"/>
  <c r="H200" i="5"/>
  <c r="I200" i="5" s="1"/>
  <c r="J200" i="5" s="1"/>
  <c r="AU36" i="5"/>
  <c r="T164" i="5" l="1"/>
  <c r="Q164" i="5"/>
  <c r="CN164" i="5" s="1"/>
  <c r="G201" i="5"/>
  <c r="E201" i="5"/>
  <c r="O200" i="5"/>
  <c r="X164" i="5"/>
  <c r="V164" i="5"/>
  <c r="L165" i="5" s="1"/>
  <c r="AV36" i="5"/>
  <c r="AW36" i="5" s="1"/>
  <c r="U169" i="5"/>
  <c r="CP164" i="5"/>
  <c r="AC164" i="5" s="1"/>
  <c r="E173" i="8" l="1"/>
  <c r="AK164" i="5"/>
  <c r="H201" i="5"/>
  <c r="I201" i="5" s="1"/>
  <c r="J201" i="5" s="1"/>
  <c r="N165" i="5"/>
  <c r="Q165" i="5" s="1"/>
  <c r="CC36" i="5"/>
  <c r="AZ36" i="5"/>
  <c r="R165" i="5" l="1"/>
  <c r="O201" i="5"/>
  <c r="G202" i="5"/>
  <c r="E202" i="5"/>
  <c r="BA36" i="5"/>
  <c r="CN165" i="5"/>
  <c r="U170" i="5"/>
  <c r="CP165" i="5"/>
  <c r="AC165" i="5" s="1"/>
  <c r="T165" i="5"/>
  <c r="E174" i="8" s="1"/>
  <c r="V165" i="5"/>
  <c r="L166" i="5" s="1"/>
  <c r="X165" i="5" l="1"/>
  <c r="AK165" i="5" s="1"/>
  <c r="N166" i="5"/>
  <c r="R166" i="5" s="1"/>
  <c r="BE36" i="5"/>
  <c r="BB36" i="5"/>
  <c r="H202" i="5"/>
  <c r="I202" i="5"/>
  <c r="J202" i="5" s="1"/>
  <c r="E203" i="5" l="1"/>
  <c r="O202" i="5"/>
  <c r="G203" i="5"/>
  <c r="T166" i="5"/>
  <c r="Q166" i="5"/>
  <c r="BC36" i="5"/>
  <c r="U171" i="5"/>
  <c r="CP166" i="5"/>
  <c r="AC166" i="5" s="1"/>
  <c r="BJ36" i="5"/>
  <c r="BL36" i="5" s="1"/>
  <c r="BP36" i="5" l="1"/>
  <c r="BI36" i="5"/>
  <c r="CD36" i="5"/>
  <c r="E175" i="8"/>
  <c r="X166" i="5"/>
  <c r="V166" i="5"/>
  <c r="L167" i="5" s="1"/>
  <c r="BD36" i="5"/>
  <c r="CN166" i="5"/>
  <c r="H203" i="5"/>
  <c r="I203" i="5" s="1"/>
  <c r="J203" i="5" s="1"/>
  <c r="E204" i="5" l="1"/>
  <c r="O203" i="5"/>
  <c r="G204" i="5"/>
  <c r="AK166" i="5"/>
  <c r="CB36" i="5"/>
  <c r="F45" i="8"/>
  <c r="CJ36" i="5"/>
  <c r="BK36" i="5"/>
  <c r="BH37" i="5" s="1"/>
  <c r="CG36" i="5"/>
  <c r="BQ36" i="5"/>
  <c r="N167" i="5"/>
  <c r="T167" i="5" s="1"/>
  <c r="BR36" i="5"/>
  <c r="U172" i="5" l="1"/>
  <c r="CP167" i="5"/>
  <c r="AC167" i="5" s="1"/>
  <c r="BU36" i="5"/>
  <c r="R167" i="5"/>
  <c r="AS37" i="5"/>
  <c r="Q167" i="5"/>
  <c r="V167" i="5" s="1"/>
  <c r="L168" i="5" s="1"/>
  <c r="H204" i="5"/>
  <c r="I204" i="5" s="1"/>
  <c r="J204" i="5" s="1"/>
  <c r="CN167" i="5" l="1"/>
  <c r="G205" i="5"/>
  <c r="E205" i="5"/>
  <c r="O204" i="5"/>
  <c r="N168" i="5"/>
  <c r="CH36" i="5"/>
  <c r="BV36" i="5"/>
  <c r="CK36" i="5"/>
  <c r="CL36" i="5" s="1"/>
  <c r="E176" i="8"/>
  <c r="X167" i="5"/>
  <c r="BW36" i="5"/>
  <c r="BZ36" i="5" s="1"/>
  <c r="CP168" i="5" l="1"/>
  <c r="AC168" i="5" s="1"/>
  <c r="U173" i="5"/>
  <c r="Q168" i="5"/>
  <c r="AK167" i="5"/>
  <c r="R168" i="5"/>
  <c r="CF36" i="5"/>
  <c r="G45" i="8"/>
  <c r="H205" i="5"/>
  <c r="I205" i="5" s="1"/>
  <c r="J205" i="5" s="1"/>
  <c r="T168" i="5"/>
  <c r="V168" i="5" l="1"/>
  <c r="L169" i="5" s="1"/>
  <c r="N169" i="5"/>
  <c r="Q169" i="5" s="1"/>
  <c r="E206" i="5"/>
  <c r="O205" i="5"/>
  <c r="G206" i="5"/>
  <c r="E177" i="8"/>
  <c r="X168" i="5"/>
  <c r="BO37" i="5"/>
  <c r="BT37" i="5"/>
  <c r="AM37" i="5"/>
  <c r="CN168" i="5"/>
  <c r="T169" i="5" l="1"/>
  <c r="H206" i="5"/>
  <c r="I206" i="5" s="1"/>
  <c r="J206" i="5" s="1"/>
  <c r="AK168" i="5"/>
  <c r="R169" i="5"/>
  <c r="X169" i="5" s="1"/>
  <c r="AN37" i="5"/>
  <c r="U174" i="5"/>
  <c r="CP169" i="5"/>
  <c r="AC169" i="5" s="1"/>
  <c r="CN169" i="5" l="1"/>
  <c r="V169" i="5"/>
  <c r="L170" i="5" s="1"/>
  <c r="O206" i="5"/>
  <c r="G207" i="5"/>
  <c r="E207" i="5"/>
  <c r="AK169" i="5"/>
  <c r="AP37" i="5"/>
  <c r="AO37" i="5"/>
  <c r="E178" i="8"/>
  <c r="N170" i="5"/>
  <c r="R170" i="5" s="1"/>
  <c r="U175" i="5" l="1"/>
  <c r="CP170" i="5"/>
  <c r="AC170" i="5" s="1"/>
  <c r="H207" i="5"/>
  <c r="AT37" i="5"/>
  <c r="Q170" i="5"/>
  <c r="I207" i="5"/>
  <c r="J207" i="5" s="1"/>
  <c r="T170" i="5"/>
  <c r="G208" i="5" l="1"/>
  <c r="E208" i="5"/>
  <c r="O207" i="5"/>
  <c r="AU37" i="5"/>
  <c r="E179" i="8"/>
  <c r="X170" i="5"/>
  <c r="AX37" i="5"/>
  <c r="V170" i="5"/>
  <c r="L171" i="5" s="1"/>
  <c r="CN170" i="5"/>
  <c r="AK170" i="5" l="1"/>
  <c r="N171" i="5"/>
  <c r="Q171" i="5" s="1"/>
  <c r="H208" i="5"/>
  <c r="AV37" i="5"/>
  <c r="AW37" i="5" s="1"/>
  <c r="I208" i="5"/>
  <c r="J208" i="5" s="1"/>
  <c r="G209" i="5" l="1"/>
  <c r="E209" i="5"/>
  <c r="O208" i="5"/>
  <c r="T171" i="5"/>
  <c r="R171" i="5"/>
  <c r="X171" i="5" s="1"/>
  <c r="CC37" i="5"/>
  <c r="AZ37" i="5"/>
  <c r="U176" i="5"/>
  <c r="CP171" i="5"/>
  <c r="AC171" i="5" s="1"/>
  <c r="V171" i="5" l="1"/>
  <c r="L172" i="5" s="1"/>
  <c r="N172" i="5" s="1"/>
  <c r="R172" i="5" s="1"/>
  <c r="CN171" i="5"/>
  <c r="AK171" i="5"/>
  <c r="E180" i="8"/>
  <c r="BA37" i="5"/>
  <c r="H209" i="5"/>
  <c r="I209" i="5" s="1"/>
  <c r="J209" i="5" s="1"/>
  <c r="G210" i="5" l="1"/>
  <c r="E210" i="5"/>
  <c r="O209" i="5"/>
  <c r="Q172" i="5"/>
  <c r="V172" i="5" s="1"/>
  <c r="L173" i="5" s="1"/>
  <c r="BE37" i="5"/>
  <c r="U177" i="5"/>
  <c r="CP172" i="5"/>
  <c r="AC172" i="5" s="1"/>
  <c r="BB37" i="5"/>
  <c r="T172" i="5"/>
  <c r="N173" i="5" l="1"/>
  <c r="X172" i="5"/>
  <c r="E181" i="8"/>
  <c r="BJ37" i="5"/>
  <c r="BL37" i="5" s="1"/>
  <c r="BC37" i="5"/>
  <c r="CN172" i="5"/>
  <c r="H210" i="5"/>
  <c r="I210" i="5" s="1"/>
  <c r="J210" i="5" s="1"/>
  <c r="E211" i="5" l="1"/>
  <c r="O210" i="5"/>
  <c r="G211" i="5"/>
  <c r="BP37" i="5"/>
  <c r="BR37" i="5" s="1"/>
  <c r="T173" i="5"/>
  <c r="CP173" i="5"/>
  <c r="AC173" i="5" s="1"/>
  <c r="U178" i="5"/>
  <c r="AK172" i="5"/>
  <c r="R173" i="5"/>
  <c r="BI37" i="5"/>
  <c r="CD37" i="5"/>
  <c r="BD37" i="5"/>
  <c r="Q173" i="5"/>
  <c r="CN173" i="5" l="1"/>
  <c r="V173" i="5"/>
  <c r="L174" i="5" s="1"/>
  <c r="N174" i="5"/>
  <c r="Q174" i="5" s="1"/>
  <c r="BU37" i="5"/>
  <c r="CG37" i="5"/>
  <c r="BQ37" i="5"/>
  <c r="CJ37" i="5"/>
  <c r="BK37" i="5"/>
  <c r="BH38" i="5" s="1"/>
  <c r="CB37" i="5"/>
  <c r="F46" i="8"/>
  <c r="E182" i="8"/>
  <c r="X173" i="5"/>
  <c r="H211" i="5"/>
  <c r="I211" i="5" s="1"/>
  <c r="J211" i="5" s="1"/>
  <c r="T174" i="5" l="1"/>
  <c r="E183" i="8" s="1"/>
  <c r="R174" i="5"/>
  <c r="CN174" i="5" s="1"/>
  <c r="E212" i="5"/>
  <c r="O211" i="5"/>
  <c r="G212" i="5"/>
  <c r="CH37" i="5"/>
  <c r="CF37" i="5" s="1"/>
  <c r="AM38" i="5" s="1"/>
  <c r="BV37" i="5"/>
  <c r="AS38" i="5"/>
  <c r="BW37" i="5"/>
  <c r="BZ37" i="5" s="1"/>
  <c r="CK37" i="5" s="1"/>
  <c r="CL37" i="5" s="1"/>
  <c r="AK173" i="5"/>
  <c r="U179" i="5"/>
  <c r="CP174" i="5"/>
  <c r="AC174" i="5" s="1"/>
  <c r="X174" i="5" l="1"/>
  <c r="AK174" i="5" s="1"/>
  <c r="V174" i="5"/>
  <c r="L175" i="5" s="1"/>
  <c r="G46" i="8"/>
  <c r="AN38" i="5"/>
  <c r="BO38" i="5"/>
  <c r="BT38" i="5"/>
  <c r="N175" i="5"/>
  <c r="Q175" i="5" s="1"/>
  <c r="H212" i="5"/>
  <c r="I212" i="5" s="1"/>
  <c r="J212" i="5" s="1"/>
  <c r="T175" i="5" l="1"/>
  <c r="R175" i="5"/>
  <c r="CN175" i="5" s="1"/>
  <c r="G213" i="5"/>
  <c r="E213" i="5"/>
  <c r="O212" i="5"/>
  <c r="CP175" i="5"/>
  <c r="AC175" i="5" s="1"/>
  <c r="U180" i="5"/>
  <c r="AP38" i="5"/>
  <c r="AO38" i="5"/>
  <c r="V175" i="5" l="1"/>
  <c r="L176" i="5" s="1"/>
  <c r="E184" i="8"/>
  <c r="X175" i="5"/>
  <c r="AT38" i="5"/>
  <c r="AX38" i="5" s="1"/>
  <c r="H213" i="5"/>
  <c r="I213" i="5" s="1"/>
  <c r="J213" i="5" s="1"/>
  <c r="N176" i="5"/>
  <c r="Q176" i="5" s="1"/>
  <c r="AK175" i="5"/>
  <c r="O213" i="5" l="1"/>
  <c r="G214" i="5"/>
  <c r="E214" i="5"/>
  <c r="CP176" i="5"/>
  <c r="AC176" i="5" s="1"/>
  <c r="U181" i="5"/>
  <c r="R176" i="5"/>
  <c r="V176" i="5" s="1"/>
  <c r="L177" i="5" s="1"/>
  <c r="T176" i="5"/>
  <c r="AU38" i="5"/>
  <c r="E185" i="8" l="1"/>
  <c r="N177" i="5"/>
  <c r="Q177" i="5" s="1"/>
  <c r="H214" i="5"/>
  <c r="X176" i="5"/>
  <c r="I214" i="5"/>
  <c r="J214" i="5" s="1"/>
  <c r="AV38" i="5"/>
  <c r="CN176" i="5"/>
  <c r="E215" i="5" l="1"/>
  <c r="O214" i="5"/>
  <c r="G215" i="5"/>
  <c r="T177" i="5"/>
  <c r="CP177" i="5"/>
  <c r="AC177" i="5" s="1"/>
  <c r="U182" i="5"/>
  <c r="CC38" i="5"/>
  <c r="AZ38" i="5"/>
  <c r="AK176" i="5"/>
  <c r="R177" i="5"/>
  <c r="CN177" i="5" s="1"/>
  <c r="AW38" i="5"/>
  <c r="V177" i="5" l="1"/>
  <c r="L178" i="5" s="1"/>
  <c r="BA38" i="5"/>
  <c r="E186" i="8"/>
  <c r="X177" i="5"/>
  <c r="N178" i="5"/>
  <c r="T178" i="5" s="1"/>
  <c r="H215" i="5"/>
  <c r="I215" i="5" s="1"/>
  <c r="J215" i="5" s="1"/>
  <c r="AK177" i="5" l="1"/>
  <c r="BE38" i="5"/>
  <c r="U183" i="5"/>
  <c r="CP178" i="5"/>
  <c r="AC178" i="5" s="1"/>
  <c r="R178" i="5"/>
  <c r="BB38" i="5"/>
  <c r="G216" i="5"/>
  <c r="E216" i="5"/>
  <c r="O215" i="5"/>
  <c r="Q178" i="5"/>
  <c r="E187" i="8" l="1"/>
  <c r="X178" i="5"/>
  <c r="BJ38" i="5"/>
  <c r="BL38" i="5" s="1"/>
  <c r="H216" i="5"/>
  <c r="I216" i="5" s="1"/>
  <c r="J216" i="5" s="1"/>
  <c r="BC38" i="5"/>
  <c r="CN178" i="5"/>
  <c r="V178" i="5"/>
  <c r="L179" i="5" s="1"/>
  <c r="G217" i="5" l="1"/>
  <c r="E217" i="5"/>
  <c r="O216" i="5"/>
  <c r="BP38" i="5"/>
  <c r="N179" i="5"/>
  <c r="T179" i="5" s="1"/>
  <c r="BI38" i="5"/>
  <c r="CD38" i="5"/>
  <c r="AK178" i="5"/>
  <c r="BD38" i="5"/>
  <c r="Q179" i="5" l="1"/>
  <c r="X179" i="5" s="1"/>
  <c r="R179" i="5"/>
  <c r="CG38" i="5"/>
  <c r="BQ38" i="5"/>
  <c r="BR38" i="5"/>
  <c r="CB38" i="5"/>
  <c r="F47" i="8"/>
  <c r="CJ38" i="5"/>
  <c r="BK38" i="5"/>
  <c r="BH39" i="5" s="1"/>
  <c r="H217" i="5"/>
  <c r="I217" i="5" s="1"/>
  <c r="J217" i="5" s="1"/>
  <c r="CP179" i="5"/>
  <c r="AC179" i="5" s="1"/>
  <c r="U184" i="5"/>
  <c r="CN179" i="5" l="1"/>
  <c r="E188" i="8"/>
  <c r="V179" i="5"/>
  <c r="L180" i="5" s="1"/>
  <c r="E218" i="5"/>
  <c r="O217" i="5"/>
  <c r="G218" i="5"/>
  <c r="AS39" i="5"/>
  <c r="AK179" i="5"/>
  <c r="BU38" i="5"/>
  <c r="BW38" i="5" s="1"/>
  <c r="BZ38" i="5" s="1"/>
  <c r="N180" i="5"/>
  <c r="T180" i="5" s="1"/>
  <c r="R180" i="5" l="1"/>
  <c r="Q180" i="5"/>
  <c r="E189" i="8" s="1"/>
  <c r="CH38" i="5"/>
  <c r="BV38" i="5"/>
  <c r="CK38" i="5"/>
  <c r="CL38" i="5" s="1"/>
  <c r="U185" i="5"/>
  <c r="CP180" i="5"/>
  <c r="AC180" i="5" s="1"/>
  <c r="H218" i="5"/>
  <c r="I218" i="5" s="1"/>
  <c r="J218" i="5" s="1"/>
  <c r="CN180" i="5" l="1"/>
  <c r="V180" i="5"/>
  <c r="L181" i="5" s="1"/>
  <c r="X180" i="5"/>
  <c r="AK180" i="5" s="1"/>
  <c r="E219" i="5"/>
  <c r="O218" i="5"/>
  <c r="G219" i="5"/>
  <c r="CF38" i="5"/>
  <c r="G47" i="8"/>
  <c r="N181" i="5"/>
  <c r="R181" i="5" s="1"/>
  <c r="T181" i="5" l="1"/>
  <c r="BO39" i="5"/>
  <c r="AM39" i="5"/>
  <c r="BT39" i="5"/>
  <c r="Q181" i="5"/>
  <c r="CP181" i="5"/>
  <c r="AC181" i="5" s="1"/>
  <c r="U186" i="5"/>
  <c r="H219" i="5"/>
  <c r="I219" i="5" s="1"/>
  <c r="J219" i="5" s="1"/>
  <c r="G220" i="5" l="1"/>
  <c r="E220" i="5"/>
  <c r="O219" i="5"/>
  <c r="X181" i="5"/>
  <c r="E190" i="8"/>
  <c r="V181" i="5"/>
  <c r="L182" i="5" s="1"/>
  <c r="AN39" i="5"/>
  <c r="AO39" i="5" s="1"/>
  <c r="CN181" i="5"/>
  <c r="AP39" i="5" l="1"/>
  <c r="N182" i="5"/>
  <c r="R182" i="5" s="1"/>
  <c r="AK181" i="5"/>
  <c r="H220" i="5"/>
  <c r="I220" i="5"/>
  <c r="J220" i="5" s="1"/>
  <c r="T182" i="5" l="1"/>
  <c r="Q182" i="5"/>
  <c r="X182" i="5" s="1"/>
  <c r="E221" i="5"/>
  <c r="O220" i="5"/>
  <c r="G221" i="5"/>
  <c r="CP182" i="5"/>
  <c r="AC182" i="5" s="1"/>
  <c r="U187" i="5"/>
  <c r="AT39" i="5"/>
  <c r="AX39" i="5" s="1"/>
  <c r="CN182" i="5" l="1"/>
  <c r="E191" i="8"/>
  <c r="V182" i="5"/>
  <c r="L183" i="5" s="1"/>
  <c r="N183" i="5"/>
  <c r="AK182" i="5"/>
  <c r="AU39" i="5"/>
  <c r="H221" i="5"/>
  <c r="I221" i="5" s="1"/>
  <c r="J221" i="5" s="1"/>
  <c r="E222" i="5" l="1"/>
  <c r="O221" i="5"/>
  <c r="G222" i="5"/>
  <c r="CP183" i="5"/>
  <c r="AC183" i="5" s="1"/>
  <c r="U188" i="5"/>
  <c r="AV39" i="5"/>
  <c r="R183" i="5"/>
  <c r="Q183" i="5"/>
  <c r="T183" i="5"/>
  <c r="CN183" i="5" l="1"/>
  <c r="X183" i="5"/>
  <c r="E192" i="8"/>
  <c r="AZ39" i="5"/>
  <c r="CC39" i="5"/>
  <c r="AW39" i="5"/>
  <c r="V183" i="5"/>
  <c r="L184" i="5" s="1"/>
  <c r="H222" i="5"/>
  <c r="I222" i="5" s="1"/>
  <c r="J222" i="5" s="1"/>
  <c r="E223" i="5" l="1"/>
  <c r="O222" i="5"/>
  <c r="G223" i="5"/>
  <c r="N184" i="5"/>
  <c r="Q184" i="5" s="1"/>
  <c r="AK183" i="5"/>
  <c r="BA39" i="5"/>
  <c r="R184" i="5" l="1"/>
  <c r="CN184" i="5" s="1"/>
  <c r="CP184" i="5"/>
  <c r="AC184" i="5" s="1"/>
  <c r="U189" i="5"/>
  <c r="T184" i="5"/>
  <c r="BE39" i="5"/>
  <c r="BB39" i="5"/>
  <c r="H223" i="5"/>
  <c r="I223" i="5" s="1"/>
  <c r="J223" i="5" s="1"/>
  <c r="E193" i="8" l="1"/>
  <c r="V184" i="5"/>
  <c r="L185" i="5" s="1"/>
  <c r="BC39" i="5"/>
  <c r="BJ39" i="5"/>
  <c r="BL39" i="5" s="1"/>
  <c r="X184" i="5"/>
  <c r="G224" i="5"/>
  <c r="E224" i="5"/>
  <c r="O223" i="5"/>
  <c r="BP39" i="5" l="1"/>
  <c r="BI39" i="5"/>
  <c r="CD39" i="5"/>
  <c r="AK184" i="5"/>
  <c r="H224" i="5"/>
  <c r="BD39" i="5"/>
  <c r="I224" i="5"/>
  <c r="J224" i="5" s="1"/>
  <c r="N185" i="5"/>
  <c r="R185" i="5" s="1"/>
  <c r="T185" i="5" l="1"/>
  <c r="Q185" i="5"/>
  <c r="CB39" i="5"/>
  <c r="F48" i="8"/>
  <c r="G225" i="5"/>
  <c r="E225" i="5"/>
  <c r="O224" i="5"/>
  <c r="CJ39" i="5"/>
  <c r="BK39" i="5"/>
  <c r="BH40" i="5" s="1"/>
  <c r="CG39" i="5"/>
  <c r="BQ39" i="5"/>
  <c r="U190" i="5"/>
  <c r="CN185" i="5"/>
  <c r="CP185" i="5"/>
  <c r="AC185" i="5" s="1"/>
  <c r="BR39" i="5"/>
  <c r="H225" i="5" l="1"/>
  <c r="I225" i="5" s="1"/>
  <c r="J225" i="5" s="1"/>
  <c r="E194" i="8"/>
  <c r="X185" i="5"/>
  <c r="AS40" i="5"/>
  <c r="V185" i="5"/>
  <c r="L186" i="5" s="1"/>
  <c r="BU39" i="5"/>
  <c r="BW39" i="5" s="1"/>
  <c r="BZ39" i="5" s="1"/>
  <c r="G226" i="5" l="1"/>
  <c r="E226" i="5"/>
  <c r="O225" i="5"/>
  <c r="AK185" i="5"/>
  <c r="N186" i="5"/>
  <c r="CH39" i="5"/>
  <c r="BV39" i="5"/>
  <c r="CK39" i="5"/>
  <c r="CL39" i="5" s="1"/>
  <c r="CF39" i="5" l="1"/>
  <c r="G48" i="8"/>
  <c r="U191" i="5"/>
  <c r="CP186" i="5"/>
  <c r="AC186" i="5" s="1"/>
  <c r="T186" i="5"/>
  <c r="Q186" i="5"/>
  <c r="CN186" i="5" s="1"/>
  <c r="H226" i="5"/>
  <c r="I226" i="5" s="1"/>
  <c r="J226" i="5" s="1"/>
  <c r="R186" i="5"/>
  <c r="G227" i="5" l="1"/>
  <c r="E227" i="5"/>
  <c r="O226" i="5"/>
  <c r="E195" i="8"/>
  <c r="X186" i="5"/>
  <c r="V186" i="5"/>
  <c r="L187" i="5" s="1"/>
  <c r="BO40" i="5"/>
  <c r="AM40" i="5"/>
  <c r="BT40" i="5"/>
  <c r="N187" i="5" l="1"/>
  <c r="R187" i="5" s="1"/>
  <c r="AN40" i="5"/>
  <c r="AO40" i="5" s="1"/>
  <c r="H227" i="5"/>
  <c r="AK186" i="5"/>
  <c r="I227" i="5"/>
  <c r="J227" i="5" s="1"/>
  <c r="G228" i="5" l="1"/>
  <c r="E228" i="5"/>
  <c r="O227" i="5"/>
  <c r="U192" i="5"/>
  <c r="CP187" i="5"/>
  <c r="AC187" i="5" s="1"/>
  <c r="Q187" i="5"/>
  <c r="T187" i="5"/>
  <c r="AP40" i="5"/>
  <c r="X187" i="5" l="1"/>
  <c r="E196" i="8"/>
  <c r="CN187" i="5"/>
  <c r="AT40" i="5"/>
  <c r="H228" i="5"/>
  <c r="V187" i="5"/>
  <c r="L188" i="5" s="1"/>
  <c r="I228" i="5"/>
  <c r="J228" i="5" s="1"/>
  <c r="AU40" i="5" l="1"/>
  <c r="E229" i="5"/>
  <c r="O228" i="5"/>
  <c r="G229" i="5"/>
  <c r="AX40" i="5"/>
  <c r="N188" i="5"/>
  <c r="T188" i="5" s="1"/>
  <c r="AK187" i="5"/>
  <c r="H229" i="5" l="1"/>
  <c r="I229" i="5" s="1"/>
  <c r="J229" i="5" s="1"/>
  <c r="CP188" i="5"/>
  <c r="AC188" i="5" s="1"/>
  <c r="U193" i="5"/>
  <c r="Q188" i="5"/>
  <c r="AV40" i="5"/>
  <c r="R188" i="5"/>
  <c r="E230" i="5" l="1"/>
  <c r="O229" i="5"/>
  <c r="G230" i="5"/>
  <c r="CC40" i="5"/>
  <c r="AW40" i="5"/>
  <c r="AZ40" i="5"/>
  <c r="E197" i="8"/>
  <c r="X188" i="5"/>
  <c r="CN188" i="5"/>
  <c r="V188" i="5"/>
  <c r="L189" i="5" s="1"/>
  <c r="N189" i="5" l="1"/>
  <c r="Q189" i="5" s="1"/>
  <c r="AK188" i="5"/>
  <c r="BA40" i="5"/>
  <c r="BB40" i="5" s="1"/>
  <c r="H230" i="5"/>
  <c r="I230" i="5" s="1"/>
  <c r="J230" i="5" s="1"/>
  <c r="O230" i="5" l="1"/>
  <c r="G231" i="5"/>
  <c r="E231" i="5"/>
  <c r="BC40" i="5"/>
  <c r="BI40" i="5" s="1"/>
  <c r="T189" i="5"/>
  <c r="R189" i="5"/>
  <c r="V189" i="5" s="1"/>
  <c r="L190" i="5" s="1"/>
  <c r="U194" i="5"/>
  <c r="CP189" i="5"/>
  <c r="AC189" i="5" s="1"/>
  <c r="BE40" i="5"/>
  <c r="CD40" i="5" l="1"/>
  <c r="X189" i="5"/>
  <c r="E198" i="8"/>
  <c r="CN189" i="5"/>
  <c r="N190" i="5"/>
  <c r="R190" i="5" s="1"/>
  <c r="BD40" i="5"/>
  <c r="CJ40" i="5"/>
  <c r="H231" i="5"/>
  <c r="I231" i="5" s="1"/>
  <c r="J231" i="5" s="1"/>
  <c r="CB40" i="5"/>
  <c r="F49" i="8"/>
  <c r="AK189" i="5"/>
  <c r="BJ40" i="5"/>
  <c r="BK40" i="5" s="1"/>
  <c r="BH41" i="5" s="1"/>
  <c r="T190" i="5" l="1"/>
  <c r="Q190" i="5"/>
  <c r="V190" i="5" s="1"/>
  <c r="L191" i="5" s="1"/>
  <c r="N191" i="5" s="1"/>
  <c r="Q191" i="5" s="1"/>
  <c r="E232" i="5"/>
  <c r="O231" i="5"/>
  <c r="G232" i="5"/>
  <c r="AS41" i="5"/>
  <c r="BL40" i="5"/>
  <c r="E199" i="8"/>
  <c r="U195" i="5"/>
  <c r="CP190" i="5"/>
  <c r="AC190" i="5" s="1"/>
  <c r="CN190" i="5"/>
  <c r="X190" i="5" l="1"/>
  <c r="AK190" i="5" s="1"/>
  <c r="U196" i="5"/>
  <c r="CP191" i="5"/>
  <c r="AC191" i="5" s="1"/>
  <c r="R191" i="5"/>
  <c r="E200" i="8" s="1"/>
  <c r="BP40" i="5"/>
  <c r="T191" i="5"/>
  <c r="H232" i="5"/>
  <c r="I232" i="5" s="1"/>
  <c r="J232" i="5" s="1"/>
  <c r="CN191" i="5" l="1"/>
  <c r="V191" i="5"/>
  <c r="L192" i="5" s="1"/>
  <c r="E233" i="5"/>
  <c r="O232" i="5"/>
  <c r="G233" i="5"/>
  <c r="CG40" i="5"/>
  <c r="BQ40" i="5"/>
  <c r="BR40" i="5"/>
  <c r="N192" i="5"/>
  <c r="Q192" i="5" s="1"/>
  <c r="X191" i="5"/>
  <c r="T192" i="5" l="1"/>
  <c r="R192" i="5"/>
  <c r="V192" i="5" s="1"/>
  <c r="L193" i="5" s="1"/>
  <c r="BU40" i="5"/>
  <c r="BW40" i="5" s="1"/>
  <c r="BZ40" i="5" s="1"/>
  <c r="E201" i="8"/>
  <c r="X192" i="5"/>
  <c r="AK191" i="5"/>
  <c r="U197" i="5"/>
  <c r="CP192" i="5"/>
  <c r="AC192" i="5" s="1"/>
  <c r="H233" i="5"/>
  <c r="I233" i="5" s="1"/>
  <c r="J233" i="5" s="1"/>
  <c r="CN192" i="5" l="1"/>
  <c r="N193" i="5"/>
  <c r="Q193" i="5" s="1"/>
  <c r="O233" i="5"/>
  <c r="G234" i="5"/>
  <c r="E234" i="5"/>
  <c r="AK192" i="5"/>
  <c r="CH40" i="5"/>
  <c r="BV40" i="5"/>
  <c r="CK40" i="5"/>
  <c r="CL40" i="5" s="1"/>
  <c r="R193" i="5" l="1"/>
  <c r="V193" i="5" s="1"/>
  <c r="L194" i="5" s="1"/>
  <c r="N194" i="5" s="1"/>
  <c r="R194" i="5" s="1"/>
  <c r="CP193" i="5"/>
  <c r="AC193" i="5" s="1"/>
  <c r="U198" i="5"/>
  <c r="T193" i="5"/>
  <c r="E202" i="8" s="1"/>
  <c r="CN193" i="5"/>
  <c r="CF40" i="5"/>
  <c r="G49" i="8"/>
  <c r="H234" i="5"/>
  <c r="I234" i="5"/>
  <c r="J234" i="5" s="1"/>
  <c r="X193" i="5" l="1"/>
  <c r="T194" i="5"/>
  <c r="Q194" i="5"/>
  <c r="V194" i="5" s="1"/>
  <c r="L195" i="5" s="1"/>
  <c r="O234" i="5"/>
  <c r="G235" i="5"/>
  <c r="E235" i="5"/>
  <c r="E203" i="8"/>
  <c r="X194" i="5"/>
  <c r="BO41" i="5"/>
  <c r="AM41" i="5"/>
  <c r="BT41" i="5"/>
  <c r="AK193" i="5"/>
  <c r="CP194" i="5"/>
  <c r="AC194" i="5" s="1"/>
  <c r="U199" i="5"/>
  <c r="CN194" i="5"/>
  <c r="AK194" i="5" l="1"/>
  <c r="N195" i="5"/>
  <c r="T195" i="5" s="1"/>
  <c r="H235" i="5"/>
  <c r="I235" i="5" s="1"/>
  <c r="J235" i="5" s="1"/>
  <c r="AN41" i="5"/>
  <c r="AO41" i="5" s="1"/>
  <c r="R195" i="5" l="1"/>
  <c r="Q195" i="5"/>
  <c r="V195" i="5" s="1"/>
  <c r="L196" i="5" s="1"/>
  <c r="E236" i="5"/>
  <c r="O235" i="5"/>
  <c r="G236" i="5"/>
  <c r="N196" i="5"/>
  <c r="R196" i="5" s="1"/>
  <c r="AP41" i="5"/>
  <c r="U200" i="5"/>
  <c r="CP195" i="5"/>
  <c r="AC195" i="5" s="1"/>
  <c r="CN195" i="5" l="1"/>
  <c r="T196" i="5"/>
  <c r="Q196" i="5"/>
  <c r="V196" i="5" s="1"/>
  <c r="L197" i="5" s="1"/>
  <c r="E204" i="8"/>
  <c r="X195" i="5"/>
  <c r="N197" i="5"/>
  <c r="Q197" i="5" s="1"/>
  <c r="AT41" i="5"/>
  <c r="AX41" i="5" s="1"/>
  <c r="U201" i="5"/>
  <c r="CP196" i="5"/>
  <c r="AC196" i="5" s="1"/>
  <c r="X196" i="5"/>
  <c r="AK195" i="5"/>
  <c r="H236" i="5"/>
  <c r="I236" i="5" s="1"/>
  <c r="J236" i="5" s="1"/>
  <c r="CN196" i="5" l="1"/>
  <c r="E205" i="8"/>
  <c r="T197" i="5"/>
  <c r="G237" i="5"/>
  <c r="E237" i="5"/>
  <c r="O236" i="5"/>
  <c r="AK196" i="5"/>
  <c r="R197" i="5"/>
  <c r="X197" i="5" s="1"/>
  <c r="AU41" i="5"/>
  <c r="U202" i="5"/>
  <c r="CP197" i="5"/>
  <c r="AC197" i="5" s="1"/>
  <c r="AV41" i="5" l="1"/>
  <c r="AW41" i="5" s="1"/>
  <c r="V197" i="5"/>
  <c r="L198" i="5" s="1"/>
  <c r="AK197" i="5"/>
  <c r="E206" i="8"/>
  <c r="CN197" i="5"/>
  <c r="H237" i="5"/>
  <c r="I237" i="5"/>
  <c r="J237" i="5" s="1"/>
  <c r="G238" i="5" l="1"/>
  <c r="E238" i="5"/>
  <c r="O237" i="5"/>
  <c r="CC41" i="5"/>
  <c r="AZ41" i="5"/>
  <c r="N198" i="5"/>
  <c r="BA41" i="5" l="1"/>
  <c r="U203" i="5"/>
  <c r="CP198" i="5"/>
  <c r="AC198" i="5" s="1"/>
  <c r="T198" i="5"/>
  <c r="R198" i="5"/>
  <c r="Q198" i="5"/>
  <c r="H238" i="5"/>
  <c r="I238" i="5" s="1"/>
  <c r="J238" i="5" s="1"/>
  <c r="CN198" i="5" l="1"/>
  <c r="E239" i="5"/>
  <c r="O238" i="5"/>
  <c r="G239" i="5"/>
  <c r="BE41" i="5"/>
  <c r="E207" i="8"/>
  <c r="X198" i="5"/>
  <c r="V198" i="5"/>
  <c r="L199" i="5" s="1"/>
  <c r="BB41" i="5"/>
  <c r="BC41" i="5" l="1"/>
  <c r="BJ41" i="5"/>
  <c r="BL41" i="5" s="1"/>
  <c r="N199" i="5"/>
  <c r="AK198" i="5"/>
  <c r="H239" i="5"/>
  <c r="I239" i="5" s="1"/>
  <c r="J239" i="5" s="1"/>
  <c r="BP41" i="5" l="1"/>
  <c r="BR41" i="5"/>
  <c r="E240" i="5"/>
  <c r="O239" i="5"/>
  <c r="G240" i="5"/>
  <c r="R199" i="5"/>
  <c r="Q199" i="5"/>
  <c r="BI41" i="5"/>
  <c r="CD41" i="5"/>
  <c r="U204" i="5"/>
  <c r="CP199" i="5"/>
  <c r="AC199" i="5" s="1"/>
  <c r="T199" i="5"/>
  <c r="BD41" i="5"/>
  <c r="X199" i="5" l="1"/>
  <c r="E208" i="8"/>
  <c r="CG41" i="5"/>
  <c r="BQ41" i="5"/>
  <c r="CN199" i="5"/>
  <c r="H240" i="5"/>
  <c r="I240" i="5" s="1"/>
  <c r="J240" i="5" s="1"/>
  <c r="BU41" i="5"/>
  <c r="BW41" i="5" s="1"/>
  <c r="BZ41" i="5" s="1"/>
  <c r="CB41" i="5"/>
  <c r="F50" i="8"/>
  <c r="CJ41" i="5"/>
  <c r="BK41" i="5"/>
  <c r="BH42" i="5" s="1"/>
  <c r="V199" i="5"/>
  <c r="L200" i="5" s="1"/>
  <c r="E241" i="5" l="1"/>
  <c r="O240" i="5"/>
  <c r="G241" i="5"/>
  <c r="AS42" i="5"/>
  <c r="CH41" i="5"/>
  <c r="CF41" i="5" s="1"/>
  <c r="AM42" i="5" s="1"/>
  <c r="BV41" i="5"/>
  <c r="CK41" i="5"/>
  <c r="CL41" i="5" s="1"/>
  <c r="AK199" i="5"/>
  <c r="N200" i="5"/>
  <c r="G50" i="8" l="1"/>
  <c r="AN42" i="5"/>
  <c r="CP200" i="5"/>
  <c r="AC200" i="5" s="1"/>
  <c r="U205" i="5"/>
  <c r="BO42" i="5"/>
  <c r="Q200" i="5"/>
  <c r="V200" i="5" s="1"/>
  <c r="L201" i="5" s="1"/>
  <c r="R200" i="5"/>
  <c r="T200" i="5"/>
  <c r="BT42" i="5"/>
  <c r="H241" i="5"/>
  <c r="I241" i="5" s="1"/>
  <c r="J241" i="5" s="1"/>
  <c r="CN200" i="5" l="1"/>
  <c r="O241" i="5"/>
  <c r="G242" i="5"/>
  <c r="E242" i="5"/>
  <c r="N201" i="5"/>
  <c r="T201" i="5" s="1"/>
  <c r="AP42" i="5"/>
  <c r="E209" i="8"/>
  <c r="X200" i="5"/>
  <c r="AO42" i="5"/>
  <c r="Q201" i="5" l="1"/>
  <c r="R201" i="5"/>
  <c r="CN201" i="5" s="1"/>
  <c r="AK200" i="5"/>
  <c r="AT42" i="5"/>
  <c r="AX42" i="5" s="1"/>
  <c r="H242" i="5"/>
  <c r="I242" i="5" s="1"/>
  <c r="J242" i="5" s="1"/>
  <c r="E210" i="8"/>
  <c r="U206" i="5"/>
  <c r="CP201" i="5"/>
  <c r="AC201" i="5" s="1"/>
  <c r="V201" i="5" l="1"/>
  <c r="L202" i="5" s="1"/>
  <c r="N202" i="5"/>
  <c r="CP202" i="5" s="1"/>
  <c r="AC202" i="5" s="1"/>
  <c r="X201" i="5"/>
  <c r="G243" i="5"/>
  <c r="E243" i="5"/>
  <c r="O242" i="5"/>
  <c r="AK201" i="5"/>
  <c r="Q202" i="5"/>
  <c r="U207" i="5"/>
  <c r="AU42" i="5"/>
  <c r="R202" i="5" l="1"/>
  <c r="T202" i="5"/>
  <c r="CN202" i="5"/>
  <c r="V202" i="5"/>
  <c r="L203" i="5" s="1"/>
  <c r="N203" i="5"/>
  <c r="T203" i="5" s="1"/>
  <c r="E211" i="8"/>
  <c r="X202" i="5"/>
  <c r="H243" i="5"/>
  <c r="I243" i="5" s="1"/>
  <c r="J243" i="5" s="1"/>
  <c r="AV42" i="5"/>
  <c r="G244" i="5" l="1"/>
  <c r="E244" i="5"/>
  <c r="O243" i="5"/>
  <c r="R203" i="5"/>
  <c r="AZ42" i="5"/>
  <c r="CC42" i="5"/>
  <c r="CP203" i="5"/>
  <c r="AC203" i="5" s="1"/>
  <c r="U208" i="5"/>
  <c r="AW42" i="5"/>
  <c r="AK202" i="5"/>
  <c r="Q203" i="5"/>
  <c r="V203" i="5" l="1"/>
  <c r="L204" i="5" s="1"/>
  <c r="N204" i="5"/>
  <c r="T204" i="5" s="1"/>
  <c r="CN203" i="5"/>
  <c r="H244" i="5"/>
  <c r="I244" i="5" s="1"/>
  <c r="J244" i="5" s="1"/>
  <c r="E212" i="8"/>
  <c r="X203" i="5"/>
  <c r="BA42" i="5"/>
  <c r="BB42" i="5" s="1"/>
  <c r="O244" i="5" l="1"/>
  <c r="G245" i="5"/>
  <c r="E245" i="5"/>
  <c r="BC42" i="5"/>
  <c r="BI42" i="5" s="1"/>
  <c r="AK203" i="5"/>
  <c r="U209" i="5"/>
  <c r="CP204" i="5"/>
  <c r="AC204" i="5" s="1"/>
  <c r="R204" i="5"/>
  <c r="BE42" i="5"/>
  <c r="Q204" i="5"/>
  <c r="V204" i="5" l="1"/>
  <c r="L205" i="5" s="1"/>
  <c r="N205" i="5"/>
  <c r="Q205" i="5" s="1"/>
  <c r="CN204" i="5"/>
  <c r="BJ42" i="5"/>
  <c r="BL42" i="5" s="1"/>
  <c r="CD42" i="5"/>
  <c r="BD42" i="5"/>
  <c r="CJ42" i="5"/>
  <c r="H245" i="5"/>
  <c r="I245" i="5" s="1"/>
  <c r="J245" i="5" s="1"/>
  <c r="X204" i="5"/>
  <c r="E213" i="8"/>
  <c r="T205" i="5" l="1"/>
  <c r="BK42" i="5"/>
  <c r="BH43" i="5" s="1"/>
  <c r="BP42" i="5"/>
  <c r="BR42" i="5"/>
  <c r="AK204" i="5"/>
  <c r="CB42" i="5"/>
  <c r="F51" i="8"/>
  <c r="R205" i="5"/>
  <c r="V205" i="5" s="1"/>
  <c r="L206" i="5" s="1"/>
  <c r="G246" i="5"/>
  <c r="E246" i="5"/>
  <c r="O245" i="5"/>
  <c r="U210" i="5"/>
  <c r="CP205" i="5"/>
  <c r="AC205" i="5" s="1"/>
  <c r="N206" i="5" l="1"/>
  <c r="R206" i="5" s="1"/>
  <c r="H246" i="5"/>
  <c r="I246" i="5" s="1"/>
  <c r="J246" i="5" s="1"/>
  <c r="CN205" i="5"/>
  <c r="E214" i="8"/>
  <c r="X205" i="5"/>
  <c r="BU42" i="5"/>
  <c r="AS43" i="5"/>
  <c r="CG42" i="5"/>
  <c r="BQ42" i="5"/>
  <c r="T206" i="5" l="1"/>
  <c r="E247" i="5"/>
  <c r="O246" i="5"/>
  <c r="G247" i="5"/>
  <c r="CH42" i="5"/>
  <c r="CF42" i="5" s="1"/>
  <c r="BV42" i="5"/>
  <c r="AK205" i="5"/>
  <c r="CP206" i="5"/>
  <c r="AC206" i="5" s="1"/>
  <c r="U211" i="5"/>
  <c r="Q206" i="5"/>
  <c r="BW42" i="5"/>
  <c r="BZ42" i="5" s="1"/>
  <c r="CK42" i="5" s="1"/>
  <c r="CL42" i="5" s="1"/>
  <c r="V206" i="5"/>
  <c r="L207" i="5" s="1"/>
  <c r="G51" i="8" l="1"/>
  <c r="X206" i="5"/>
  <c r="E215" i="8"/>
  <c r="BO43" i="5"/>
  <c r="BT43" i="5"/>
  <c r="AM43" i="5"/>
  <c r="N207" i="5"/>
  <c r="T207" i="5" s="1"/>
  <c r="I247" i="5"/>
  <c r="J247" i="5" s="1"/>
  <c r="CN206" i="5"/>
  <c r="H247" i="5"/>
  <c r="E248" i="5" l="1"/>
  <c r="O247" i="5"/>
  <c r="G248" i="5"/>
  <c r="CP207" i="5"/>
  <c r="AC207" i="5" s="1"/>
  <c r="U212" i="5"/>
  <c r="AK206" i="5"/>
  <c r="AN43" i="5"/>
  <c r="AO43" i="5" s="1"/>
  <c r="Q207" i="5"/>
  <c r="V207" i="5" s="1"/>
  <c r="L208" i="5" s="1"/>
  <c r="R207" i="5"/>
  <c r="N208" i="5" l="1"/>
  <c r="Q208" i="5" s="1"/>
  <c r="X207" i="5"/>
  <c r="E216" i="8"/>
  <c r="CN207" i="5"/>
  <c r="AP43" i="5"/>
  <c r="H248" i="5"/>
  <c r="I248" i="5" s="1"/>
  <c r="J248" i="5" s="1"/>
  <c r="T208" i="5" l="1"/>
  <c r="AT43" i="5"/>
  <c r="AX43" i="5" s="1"/>
  <c r="R208" i="5"/>
  <c r="U213" i="5"/>
  <c r="CP208" i="5"/>
  <c r="AC208" i="5" s="1"/>
  <c r="E249" i="5"/>
  <c r="O248" i="5"/>
  <c r="G249" i="5"/>
  <c r="AK207" i="5"/>
  <c r="E217" i="8" l="1"/>
  <c r="V208" i="5"/>
  <c r="L209" i="5" s="1"/>
  <c r="AU43" i="5"/>
  <c r="N209" i="5"/>
  <c r="R209" i="5" s="1"/>
  <c r="H249" i="5"/>
  <c r="I249" i="5" s="1"/>
  <c r="J249" i="5" s="1"/>
  <c r="X208" i="5"/>
  <c r="CN208" i="5"/>
  <c r="E250" i="5" l="1"/>
  <c r="O249" i="5"/>
  <c r="G250" i="5"/>
  <c r="T209" i="5"/>
  <c r="U214" i="5"/>
  <c r="CP209" i="5"/>
  <c r="AC209" i="5" s="1"/>
  <c r="AV43" i="5"/>
  <c r="AK208" i="5"/>
  <c r="Q209" i="5"/>
  <c r="AZ43" i="5" l="1"/>
  <c r="CC43" i="5"/>
  <c r="E218" i="8"/>
  <c r="X209" i="5"/>
  <c r="V209" i="5"/>
  <c r="L210" i="5" s="1"/>
  <c r="CN209" i="5"/>
  <c r="AW43" i="5"/>
  <c r="H250" i="5"/>
  <c r="I250" i="5" s="1"/>
  <c r="J250" i="5" s="1"/>
  <c r="E251" i="5" l="1"/>
  <c r="O250" i="5"/>
  <c r="G251" i="5"/>
  <c r="AK209" i="5"/>
  <c r="BA43" i="5"/>
  <c r="BB43" i="5" s="1"/>
  <c r="N210" i="5"/>
  <c r="Q210" i="5" s="1"/>
  <c r="T210" i="5" l="1"/>
  <c r="R210" i="5"/>
  <c r="E219" i="8" s="1"/>
  <c r="X210" i="5"/>
  <c r="BC43" i="5"/>
  <c r="BI43" i="5" s="1"/>
  <c r="U215" i="5"/>
  <c r="CP210" i="5"/>
  <c r="AC210" i="5" s="1"/>
  <c r="CN210" i="5"/>
  <c r="BE43" i="5"/>
  <c r="H251" i="5"/>
  <c r="I251" i="5" s="1"/>
  <c r="J251" i="5" s="1"/>
  <c r="V210" i="5" l="1"/>
  <c r="L211" i="5" s="1"/>
  <c r="E252" i="5"/>
  <c r="O251" i="5"/>
  <c r="G252" i="5"/>
  <c r="CJ43" i="5"/>
  <c r="BD43" i="5"/>
  <c r="BJ43" i="5"/>
  <c r="BL43" i="5" s="1"/>
  <c r="AK210" i="5"/>
  <c r="N211" i="5"/>
  <c r="CD43" i="5"/>
  <c r="BK43" i="5" l="1"/>
  <c r="BH44" i="5" s="1"/>
  <c r="BP43" i="5"/>
  <c r="U216" i="5"/>
  <c r="CP211" i="5"/>
  <c r="AC211" i="5" s="1"/>
  <c r="T211" i="5"/>
  <c r="R211" i="5"/>
  <c r="Q211" i="5"/>
  <c r="CB43" i="5"/>
  <c r="F52" i="8"/>
  <c r="H252" i="5"/>
  <c r="I252" i="5" s="1"/>
  <c r="J252" i="5" s="1"/>
  <c r="E253" i="5" l="1"/>
  <c r="O252" i="5"/>
  <c r="G253" i="5"/>
  <c r="E220" i="8"/>
  <c r="X211" i="5"/>
  <c r="V211" i="5"/>
  <c r="L212" i="5" s="1"/>
  <c r="AS44" i="5"/>
  <c r="CG43" i="5"/>
  <c r="BQ43" i="5"/>
  <c r="CN211" i="5"/>
  <c r="BR43" i="5"/>
  <c r="N212" i="5" l="1"/>
  <c r="R212" i="5" s="1"/>
  <c r="AK211" i="5"/>
  <c r="BU43" i="5"/>
  <c r="H253" i="5"/>
  <c r="I253" i="5" s="1"/>
  <c r="J253" i="5" s="1"/>
  <c r="T212" i="5" l="1"/>
  <c r="G254" i="5"/>
  <c r="E254" i="5"/>
  <c r="O253" i="5"/>
  <c r="CH43" i="5"/>
  <c r="BV43" i="5"/>
  <c r="U217" i="5"/>
  <c r="CP212" i="5"/>
  <c r="AC212" i="5" s="1"/>
  <c r="BW43" i="5"/>
  <c r="BZ43" i="5" s="1"/>
  <c r="CK43" i="5" s="1"/>
  <c r="CL43" i="5" s="1"/>
  <c r="Q212" i="5"/>
  <c r="V212" i="5" s="1"/>
  <c r="L213" i="5" s="1"/>
  <c r="N213" i="5" l="1"/>
  <c r="Q213" i="5" s="1"/>
  <c r="CF43" i="5"/>
  <c r="G52" i="8"/>
  <c r="E221" i="8"/>
  <c r="X212" i="5"/>
  <c r="CN212" i="5"/>
  <c r="H254" i="5"/>
  <c r="I254" i="5" s="1"/>
  <c r="J254" i="5" s="1"/>
  <c r="T213" i="5" l="1"/>
  <c r="G255" i="5"/>
  <c r="E255" i="5"/>
  <c r="O254" i="5"/>
  <c r="BO44" i="5"/>
  <c r="BT44" i="5"/>
  <c r="AM44" i="5"/>
  <c r="R213" i="5"/>
  <c r="AK212" i="5"/>
  <c r="U218" i="5"/>
  <c r="CP213" i="5"/>
  <c r="AC213" i="5" s="1"/>
  <c r="E222" i="8" l="1"/>
  <c r="V213" i="5"/>
  <c r="L214" i="5" s="1"/>
  <c r="N214" i="5" s="1"/>
  <c r="CN213" i="5"/>
  <c r="X213" i="5"/>
  <c r="AN44" i="5"/>
  <c r="H255" i="5"/>
  <c r="I255" i="5" s="1"/>
  <c r="J255" i="5" s="1"/>
  <c r="G256" i="5" l="1"/>
  <c r="E256" i="5"/>
  <c r="O255" i="5"/>
  <c r="T214" i="5"/>
  <c r="AP44" i="5"/>
  <c r="U219" i="5"/>
  <c r="CP214" i="5"/>
  <c r="AC214" i="5" s="1"/>
  <c r="Q214" i="5"/>
  <c r="V214" i="5" s="1"/>
  <c r="L215" i="5" s="1"/>
  <c r="AO44" i="5"/>
  <c r="AK213" i="5"/>
  <c r="R214" i="5"/>
  <c r="CN214" i="5" l="1"/>
  <c r="N215" i="5"/>
  <c r="R215" i="5" s="1"/>
  <c r="AT44" i="5"/>
  <c r="AX44" i="5" s="1"/>
  <c r="E223" i="8"/>
  <c r="X214" i="5"/>
  <c r="H256" i="5"/>
  <c r="I256" i="5" s="1"/>
  <c r="J256" i="5" s="1"/>
  <c r="T215" i="5" l="1"/>
  <c r="G257" i="5"/>
  <c r="E257" i="5"/>
  <c r="O256" i="5"/>
  <c r="AU44" i="5"/>
  <c r="U220" i="5"/>
  <c r="CP215" i="5"/>
  <c r="AC215" i="5" s="1"/>
  <c r="AK214" i="5"/>
  <c r="Q215" i="5"/>
  <c r="V215" i="5" s="1"/>
  <c r="L216" i="5" s="1"/>
  <c r="N216" i="5" l="1"/>
  <c r="Q216" i="5" s="1"/>
  <c r="AV44" i="5"/>
  <c r="AW44" i="5" s="1"/>
  <c r="E224" i="8"/>
  <c r="X215" i="5"/>
  <c r="CN215" i="5"/>
  <c r="H257" i="5"/>
  <c r="I257" i="5"/>
  <c r="J257" i="5" s="1"/>
  <c r="G258" i="5" l="1"/>
  <c r="E258" i="5"/>
  <c r="O257" i="5"/>
  <c r="T216" i="5"/>
  <c r="R216" i="5"/>
  <c r="E225" i="8" s="1"/>
  <c r="AZ44" i="5"/>
  <c r="CC44" i="5"/>
  <c r="AK215" i="5"/>
  <c r="U221" i="5"/>
  <c r="CP216" i="5"/>
  <c r="AC216" i="5" s="1"/>
  <c r="V216" i="5" l="1"/>
  <c r="L217" i="5" s="1"/>
  <c r="CN216" i="5"/>
  <c r="X216" i="5"/>
  <c r="BA44" i="5"/>
  <c r="H258" i="5"/>
  <c r="N217" i="5"/>
  <c r="Q217" i="5" s="1"/>
  <c r="I258" i="5"/>
  <c r="J258" i="5" s="1"/>
  <c r="E259" i="5" l="1"/>
  <c r="O258" i="5"/>
  <c r="G259" i="5"/>
  <c r="BE44" i="5"/>
  <c r="AK216" i="5"/>
  <c r="U222" i="5"/>
  <c r="CP217" i="5"/>
  <c r="AC217" i="5" s="1"/>
  <c r="T217" i="5"/>
  <c r="R217" i="5"/>
  <c r="V217" i="5" s="1"/>
  <c r="L218" i="5" s="1"/>
  <c r="BB44" i="5"/>
  <c r="N218" i="5" l="1"/>
  <c r="R218" i="5" s="1"/>
  <c r="BJ44" i="5"/>
  <c r="BL44" i="5" s="1"/>
  <c r="CN217" i="5"/>
  <c r="X217" i="5"/>
  <c r="E226" i="8"/>
  <c r="BC44" i="5"/>
  <c r="BD44" i="5" s="1"/>
  <c r="H259" i="5"/>
  <c r="I259" i="5" s="1"/>
  <c r="J259" i="5" s="1"/>
  <c r="E260" i="5" l="1"/>
  <c r="O259" i="5"/>
  <c r="G260" i="5"/>
  <c r="BP44" i="5"/>
  <c r="BR44" i="5" s="1"/>
  <c r="AK217" i="5"/>
  <c r="U223" i="5"/>
  <c r="CP218" i="5"/>
  <c r="AC218" i="5" s="1"/>
  <c r="Q218" i="5"/>
  <c r="V218" i="5" s="1"/>
  <c r="L219" i="5" s="1"/>
  <c r="T218" i="5"/>
  <c r="BI44" i="5"/>
  <c r="CD44" i="5"/>
  <c r="CN218" i="5" l="1"/>
  <c r="BU44" i="5"/>
  <c r="BW44" i="5" s="1"/>
  <c r="BZ44" i="5" s="1"/>
  <c r="CB44" i="5"/>
  <c r="F53" i="8"/>
  <c r="CJ44" i="5"/>
  <c r="BK44" i="5"/>
  <c r="BH45" i="5" s="1"/>
  <c r="CG44" i="5"/>
  <c r="BQ44" i="5"/>
  <c r="N219" i="5"/>
  <c r="R219" i="5" s="1"/>
  <c r="E227" i="8"/>
  <c r="X218" i="5"/>
  <c r="H260" i="5"/>
  <c r="I260" i="5" s="1"/>
  <c r="J260" i="5" s="1"/>
  <c r="T219" i="5" l="1"/>
  <c r="Q219" i="5"/>
  <c r="CN219" i="5" s="1"/>
  <c r="G261" i="5"/>
  <c r="E261" i="5"/>
  <c r="O260" i="5"/>
  <c r="BT45" i="5"/>
  <c r="AS45" i="5"/>
  <c r="U224" i="5"/>
  <c r="CP219" i="5"/>
  <c r="AC219" i="5" s="1"/>
  <c r="AK218" i="5"/>
  <c r="CH44" i="5"/>
  <c r="CF44" i="5" s="1"/>
  <c r="AM45" i="5" s="1"/>
  <c r="BV44" i="5"/>
  <c r="CK44" i="5"/>
  <c r="CL44" i="5" s="1"/>
  <c r="V219" i="5" l="1"/>
  <c r="L220" i="5" s="1"/>
  <c r="N220" i="5" s="1"/>
  <c r="X219" i="5"/>
  <c r="E228" i="8"/>
  <c r="AN45" i="5"/>
  <c r="G53" i="8"/>
  <c r="AK219" i="5"/>
  <c r="H261" i="5"/>
  <c r="I261" i="5" s="1"/>
  <c r="J261" i="5" s="1"/>
  <c r="BO45" i="5"/>
  <c r="U225" i="5" l="1"/>
  <c r="CP220" i="5"/>
  <c r="AC220" i="5" s="1"/>
  <c r="Q220" i="5"/>
  <c r="AP45" i="5"/>
  <c r="O261" i="5"/>
  <c r="G262" i="5"/>
  <c r="E262" i="5"/>
  <c r="R220" i="5"/>
  <c r="T220" i="5"/>
  <c r="AO45" i="5"/>
  <c r="E229" i="8" l="1"/>
  <c r="X220" i="5"/>
  <c r="AT45" i="5"/>
  <c r="V220" i="5"/>
  <c r="L221" i="5" s="1"/>
  <c r="CN220" i="5"/>
  <c r="H262" i="5"/>
  <c r="I262" i="5" s="1"/>
  <c r="J262" i="5" s="1"/>
  <c r="AU45" i="5" l="1"/>
  <c r="N221" i="5"/>
  <c r="E263" i="5"/>
  <c r="O262" i="5"/>
  <c r="G263" i="5"/>
  <c r="AK220" i="5"/>
  <c r="AX45" i="5"/>
  <c r="U226" i="5" l="1"/>
  <c r="CP221" i="5"/>
  <c r="AC221" i="5" s="1"/>
  <c r="Q221" i="5"/>
  <c r="H263" i="5"/>
  <c r="I263" i="5" s="1"/>
  <c r="J263" i="5" s="1"/>
  <c r="R221" i="5"/>
  <c r="AV45" i="5"/>
  <c r="T221" i="5"/>
  <c r="G264" i="5" l="1"/>
  <c r="E264" i="5"/>
  <c r="O263" i="5"/>
  <c r="E230" i="8"/>
  <c r="X221" i="5"/>
  <c r="CN221" i="5"/>
  <c r="CC45" i="5"/>
  <c r="V221" i="5"/>
  <c r="L222" i="5" s="1"/>
  <c r="AZ45" i="5"/>
  <c r="AW45" i="5"/>
  <c r="AK221" i="5" l="1"/>
  <c r="BA45" i="5"/>
  <c r="BB45" i="5" s="1"/>
  <c r="N222" i="5"/>
  <c r="Q222" i="5" s="1"/>
  <c r="H264" i="5"/>
  <c r="I264" i="5" s="1"/>
  <c r="J264" i="5" s="1"/>
  <c r="G265" i="5" l="1"/>
  <c r="E265" i="5"/>
  <c r="O264" i="5"/>
  <c r="BC45" i="5"/>
  <c r="BI45" i="5" s="1"/>
  <c r="R222" i="5"/>
  <c r="CN222" i="5" s="1"/>
  <c r="U227" i="5"/>
  <c r="CP222" i="5"/>
  <c r="AC222" i="5" s="1"/>
  <c r="BE45" i="5"/>
  <c r="T222" i="5"/>
  <c r="E231" i="8" l="1"/>
  <c r="V222" i="5"/>
  <c r="L223" i="5" s="1"/>
  <c r="X222" i="5"/>
  <c r="AK222" i="5" s="1"/>
  <c r="CJ45" i="5"/>
  <c r="BJ45" i="5"/>
  <c r="BL45" i="5" s="1"/>
  <c r="BD45" i="5"/>
  <c r="CD45" i="5"/>
  <c r="H265" i="5"/>
  <c r="I265" i="5" s="1"/>
  <c r="J265" i="5" s="1"/>
  <c r="N223" i="5"/>
  <c r="E266" i="5" l="1"/>
  <c r="O265" i="5"/>
  <c r="G266" i="5"/>
  <c r="BP45" i="5"/>
  <c r="U228" i="5"/>
  <c r="CP223" i="5"/>
  <c r="AC223" i="5" s="1"/>
  <c r="R223" i="5"/>
  <c r="CN223" i="5" s="1"/>
  <c r="BK45" i="5"/>
  <c r="BH46" i="5" s="1"/>
  <c r="Q223" i="5"/>
  <c r="T223" i="5"/>
  <c r="CB45" i="5"/>
  <c r="F54" i="8"/>
  <c r="AS46" i="5" l="1"/>
  <c r="E232" i="8"/>
  <c r="X223" i="5"/>
  <c r="CG45" i="5"/>
  <c r="BQ45" i="5"/>
  <c r="BR45" i="5"/>
  <c r="V223" i="5"/>
  <c r="L224" i="5" s="1"/>
  <c r="H266" i="5"/>
  <c r="I266" i="5" s="1"/>
  <c r="J266" i="5" s="1"/>
  <c r="E267" i="5" l="1"/>
  <c r="O266" i="5"/>
  <c r="G267" i="5"/>
  <c r="AK223" i="5"/>
  <c r="BU45" i="5"/>
  <c r="BW45" i="5" s="1"/>
  <c r="BZ45" i="5" s="1"/>
  <c r="N224" i="5"/>
  <c r="CP224" i="5" l="1"/>
  <c r="AC224" i="5" s="1"/>
  <c r="U229" i="5"/>
  <c r="CH45" i="5"/>
  <c r="BV45" i="5"/>
  <c r="CK45" i="5"/>
  <c r="CL45" i="5" s="1"/>
  <c r="T224" i="5"/>
  <c r="Q224" i="5"/>
  <c r="R224" i="5"/>
  <c r="H267" i="5"/>
  <c r="I267" i="5" s="1"/>
  <c r="J267" i="5" s="1"/>
  <c r="G268" i="5" l="1"/>
  <c r="E268" i="5"/>
  <c r="O267" i="5"/>
  <c r="E233" i="8"/>
  <c r="X224" i="5"/>
  <c r="CN224" i="5"/>
  <c r="CF45" i="5"/>
  <c r="G54" i="8"/>
  <c r="V224" i="5"/>
  <c r="L225" i="5" s="1"/>
  <c r="AK224" i="5" l="1"/>
  <c r="N225" i="5"/>
  <c r="R225" i="5" s="1"/>
  <c r="H268" i="5"/>
  <c r="BO46" i="5"/>
  <c r="BT46" i="5"/>
  <c r="AM46" i="5"/>
  <c r="I268" i="5"/>
  <c r="J268" i="5" s="1"/>
  <c r="T225" i="5" l="1"/>
  <c r="E269" i="5"/>
  <c r="O268" i="5"/>
  <c r="G269" i="5"/>
  <c r="AN46" i="5"/>
  <c r="Q225" i="5"/>
  <c r="U230" i="5"/>
  <c r="CP225" i="5"/>
  <c r="AC225" i="5" s="1"/>
  <c r="AP46" i="5" l="1"/>
  <c r="AO46" i="5"/>
  <c r="E234" i="8"/>
  <c r="X225" i="5"/>
  <c r="V225" i="5"/>
  <c r="L226" i="5" s="1"/>
  <c r="CN225" i="5"/>
  <c r="H269" i="5"/>
  <c r="I269" i="5" s="1"/>
  <c r="J269" i="5" s="1"/>
  <c r="E270" i="5" l="1"/>
  <c r="O269" i="5"/>
  <c r="G270" i="5"/>
  <c r="N226" i="5"/>
  <c r="T226" i="5" s="1"/>
  <c r="AT46" i="5"/>
  <c r="AX46" i="5" s="1"/>
  <c r="AK225" i="5"/>
  <c r="U231" i="5" l="1"/>
  <c r="CP226" i="5"/>
  <c r="AC226" i="5" s="1"/>
  <c r="R226" i="5"/>
  <c r="Q226" i="5"/>
  <c r="V226" i="5" s="1"/>
  <c r="L227" i="5" s="1"/>
  <c r="AU46" i="5"/>
  <c r="H270" i="5"/>
  <c r="I270" i="5" s="1"/>
  <c r="J270" i="5" s="1"/>
  <c r="CN226" i="5" l="1"/>
  <c r="E271" i="5"/>
  <c r="O270" i="5"/>
  <c r="G271" i="5"/>
  <c r="N227" i="5"/>
  <c r="AV46" i="5"/>
  <c r="E235" i="8"/>
  <c r="X226" i="5"/>
  <c r="CC46" i="5" l="1"/>
  <c r="AZ46" i="5"/>
  <c r="CP227" i="5"/>
  <c r="AC227" i="5" s="1"/>
  <c r="U232" i="5"/>
  <c r="AK226" i="5"/>
  <c r="R227" i="5"/>
  <c r="Q227" i="5"/>
  <c r="AW46" i="5"/>
  <c r="T227" i="5"/>
  <c r="H271" i="5"/>
  <c r="I271" i="5" s="1"/>
  <c r="J271" i="5" s="1"/>
  <c r="G272" i="5" l="1"/>
  <c r="E272" i="5"/>
  <c r="O271" i="5"/>
  <c r="BA46" i="5"/>
  <c r="E236" i="8"/>
  <c r="X227" i="5"/>
  <c r="CN227" i="5"/>
  <c r="V227" i="5"/>
  <c r="L228" i="5" s="1"/>
  <c r="BE46" i="5" l="1"/>
  <c r="BB46" i="5"/>
  <c r="N228" i="5"/>
  <c r="T228" i="5" s="1"/>
  <c r="H272" i="5"/>
  <c r="I272" i="5" s="1"/>
  <c r="J272" i="5" s="1"/>
  <c r="AK227" i="5"/>
  <c r="G273" i="5" l="1"/>
  <c r="E273" i="5"/>
  <c r="O272" i="5"/>
  <c r="R228" i="5"/>
  <c r="Q228" i="5"/>
  <c r="V228" i="5" s="1"/>
  <c r="L229" i="5" s="1"/>
  <c r="BC46" i="5"/>
  <c r="BD46" i="5" s="1"/>
  <c r="BJ46" i="5"/>
  <c r="BL46" i="5" s="1"/>
  <c r="U233" i="5"/>
  <c r="CP228" i="5"/>
  <c r="AC228" i="5" s="1"/>
  <c r="E237" i="8" l="1"/>
  <c r="X228" i="5"/>
  <c r="N229" i="5"/>
  <c r="T229" i="5" s="1"/>
  <c r="CN228" i="5"/>
  <c r="H273" i="5"/>
  <c r="I273" i="5" s="1"/>
  <c r="J273" i="5" s="1"/>
  <c r="BI46" i="5"/>
  <c r="CD46" i="5"/>
  <c r="BP46" i="5"/>
  <c r="BR46" i="5" s="1"/>
  <c r="BU46" i="5" l="1"/>
  <c r="BW46" i="5" s="1"/>
  <c r="BZ46" i="5" s="1"/>
  <c r="CK46" i="5" s="1"/>
  <c r="E274" i="5"/>
  <c r="O273" i="5"/>
  <c r="G274" i="5"/>
  <c r="CP229" i="5"/>
  <c r="AC229" i="5" s="1"/>
  <c r="U234" i="5"/>
  <c r="CB46" i="5"/>
  <c r="F55" i="8"/>
  <c r="CJ46" i="5"/>
  <c r="BK46" i="5"/>
  <c r="BH47" i="5" s="1"/>
  <c r="Q229" i="5"/>
  <c r="R229" i="5"/>
  <c r="V229" i="5" s="1"/>
  <c r="L230" i="5" s="1"/>
  <c r="AK228" i="5"/>
  <c r="CG46" i="5"/>
  <c r="BQ46" i="5"/>
  <c r="N230" i="5" l="1"/>
  <c r="R230" i="5" s="1"/>
  <c r="E238" i="8"/>
  <c r="X229" i="5"/>
  <c r="G55" i="8"/>
  <c r="CL46" i="5"/>
  <c r="H274" i="5"/>
  <c r="I274" i="5" s="1"/>
  <c r="J274" i="5" s="1"/>
  <c r="CN229" i="5"/>
  <c r="BT47" i="5"/>
  <c r="AS47" i="5"/>
  <c r="AM47" i="5"/>
  <c r="CH46" i="5"/>
  <c r="CF46" i="5" s="1"/>
  <c r="BV46" i="5"/>
  <c r="G275" i="5" l="1"/>
  <c r="E275" i="5"/>
  <c r="O274" i="5"/>
  <c r="AN47" i="5"/>
  <c r="T230" i="5"/>
  <c r="AK229" i="5"/>
  <c r="U235" i="5"/>
  <c r="CP230" i="5"/>
  <c r="AC230" i="5" s="1"/>
  <c r="BO47" i="5"/>
  <c r="Q230" i="5"/>
  <c r="CN230" i="5" s="1"/>
  <c r="V230" i="5" l="1"/>
  <c r="L231" i="5" s="1"/>
  <c r="AP47" i="5"/>
  <c r="AO47" i="5"/>
  <c r="H275" i="5"/>
  <c r="I275" i="5" s="1"/>
  <c r="J275" i="5" s="1"/>
  <c r="E239" i="8"/>
  <c r="X230" i="5"/>
  <c r="G276" i="5" l="1"/>
  <c r="E276" i="5"/>
  <c r="O275" i="5"/>
  <c r="AT47" i="5"/>
  <c r="AX47" i="5" s="1"/>
  <c r="AK230" i="5"/>
  <c r="N231" i="5"/>
  <c r="T231" i="5" s="1"/>
  <c r="Q231" i="5" l="1"/>
  <c r="AU47" i="5"/>
  <c r="CP231" i="5"/>
  <c r="AC231" i="5" s="1"/>
  <c r="U236" i="5"/>
  <c r="H276" i="5"/>
  <c r="I276" i="5" s="1"/>
  <c r="J276" i="5" s="1"/>
  <c r="R231" i="5"/>
  <c r="V231" i="5" l="1"/>
  <c r="L232" i="5" s="1"/>
  <c r="N232" i="5" s="1"/>
  <c r="Q232" i="5" s="1"/>
  <c r="E277" i="5"/>
  <c r="O276" i="5"/>
  <c r="G277" i="5"/>
  <c r="CN231" i="5"/>
  <c r="AV47" i="5"/>
  <c r="E240" i="8"/>
  <c r="X231" i="5"/>
  <c r="AK231" i="5" l="1"/>
  <c r="R232" i="5"/>
  <c r="T232" i="5"/>
  <c r="V232" i="5"/>
  <c r="L233" i="5" s="1"/>
  <c r="CC47" i="5"/>
  <c r="AZ47" i="5"/>
  <c r="CN232" i="5"/>
  <c r="U237" i="5"/>
  <c r="CP232" i="5"/>
  <c r="AC232" i="5" s="1"/>
  <c r="AW47" i="5"/>
  <c r="H277" i="5"/>
  <c r="I277" i="5" s="1"/>
  <c r="J277" i="5" s="1"/>
  <c r="E241" i="8" l="1"/>
  <c r="E278" i="5"/>
  <c r="O277" i="5"/>
  <c r="G278" i="5"/>
  <c r="BA47" i="5"/>
  <c r="X232" i="5"/>
  <c r="N233" i="5"/>
  <c r="T233" i="5" s="1"/>
  <c r="BE47" i="5" l="1"/>
  <c r="BB47" i="5"/>
  <c r="U238" i="5"/>
  <c r="CP233" i="5"/>
  <c r="AC233" i="5" s="1"/>
  <c r="Q233" i="5"/>
  <c r="V233" i="5" s="1"/>
  <c r="L234" i="5" s="1"/>
  <c r="R233" i="5"/>
  <c r="AK232" i="5"/>
  <c r="H278" i="5"/>
  <c r="I278" i="5" s="1"/>
  <c r="J278" i="5" s="1"/>
  <c r="CN233" i="5" l="1"/>
  <c r="N234" i="5"/>
  <c r="Q234" i="5" s="1"/>
  <c r="O278" i="5"/>
  <c r="G279" i="5"/>
  <c r="E279" i="5"/>
  <c r="BC47" i="5"/>
  <c r="BJ47" i="5"/>
  <c r="BL47" i="5" s="1"/>
  <c r="E242" i="8"/>
  <c r="X233" i="5"/>
  <c r="T234" i="5" l="1"/>
  <c r="BP47" i="5"/>
  <c r="BR47" i="5" s="1"/>
  <c r="BI47" i="5"/>
  <c r="CD47" i="5"/>
  <c r="BD47" i="5"/>
  <c r="R234" i="5"/>
  <c r="CN234" i="5" s="1"/>
  <c r="AK233" i="5"/>
  <c r="H279" i="5"/>
  <c r="I279" i="5" s="1"/>
  <c r="J279" i="5" s="1"/>
  <c r="U239" i="5"/>
  <c r="CP234" i="5"/>
  <c r="AC234" i="5" s="1"/>
  <c r="E280" i="5" l="1"/>
  <c r="O279" i="5"/>
  <c r="G280" i="5"/>
  <c r="BU47" i="5"/>
  <c r="BW47" i="5" s="1"/>
  <c r="BZ47" i="5" s="1"/>
  <c r="X234" i="5"/>
  <c r="CB47" i="5"/>
  <c r="F56" i="8"/>
  <c r="V234" i="5"/>
  <c r="L235" i="5" s="1"/>
  <c r="E243" i="8"/>
  <c r="CJ47" i="5"/>
  <c r="BK47" i="5"/>
  <c r="BH48" i="5" s="1"/>
  <c r="CG47" i="5"/>
  <c r="BQ47" i="5"/>
  <c r="AK234" i="5" l="1"/>
  <c r="CH47" i="5"/>
  <c r="CF47" i="5" s="1"/>
  <c r="BV47" i="5"/>
  <c r="CK47" i="5"/>
  <c r="CL47" i="5" s="1"/>
  <c r="N235" i="5"/>
  <c r="AS48" i="5"/>
  <c r="H280" i="5"/>
  <c r="I280" i="5" s="1"/>
  <c r="J280" i="5" s="1"/>
  <c r="E281" i="5" l="1"/>
  <c r="O280" i="5"/>
  <c r="G281" i="5"/>
  <c r="U240" i="5"/>
  <c r="CP235" i="5"/>
  <c r="AC235" i="5" s="1"/>
  <c r="T235" i="5"/>
  <c r="BO48" i="5"/>
  <c r="BT48" i="5"/>
  <c r="R235" i="5"/>
  <c r="AM48" i="5"/>
  <c r="Q235" i="5"/>
  <c r="G56" i="8"/>
  <c r="AN48" i="5" l="1"/>
  <c r="E244" i="8"/>
  <c r="X235" i="5"/>
  <c r="CN235" i="5"/>
  <c r="V235" i="5"/>
  <c r="L236" i="5" s="1"/>
  <c r="H281" i="5"/>
  <c r="I281" i="5" s="1"/>
  <c r="J281" i="5" s="1"/>
  <c r="O281" i="5" l="1"/>
  <c r="G282" i="5"/>
  <c r="E282" i="5"/>
  <c r="AP48" i="5"/>
  <c r="AO48" i="5"/>
  <c r="AK235" i="5"/>
  <c r="N236" i="5"/>
  <c r="T236" i="5" s="1"/>
  <c r="U241" i="5" l="1"/>
  <c r="CP236" i="5"/>
  <c r="AC236" i="5" s="1"/>
  <c r="H282" i="5"/>
  <c r="I282" i="5" s="1"/>
  <c r="J282" i="5" s="1"/>
  <c r="AT48" i="5"/>
  <c r="R236" i="5"/>
  <c r="Q236" i="5"/>
  <c r="V236" i="5" s="1"/>
  <c r="L237" i="5" s="1"/>
  <c r="O282" i="5" l="1"/>
  <c r="G283" i="5"/>
  <c r="E283" i="5"/>
  <c r="N237" i="5"/>
  <c r="R237" i="5" s="1"/>
  <c r="AU48" i="5"/>
  <c r="X236" i="5"/>
  <c r="E245" i="8"/>
  <c r="AX48" i="5"/>
  <c r="CN236" i="5"/>
  <c r="Q237" i="5" l="1"/>
  <c r="AV48" i="5"/>
  <c r="AW48" i="5" s="1"/>
  <c r="H283" i="5"/>
  <c r="I283" i="5" s="1"/>
  <c r="J283" i="5" s="1"/>
  <c r="AK236" i="5"/>
  <c r="U242" i="5"/>
  <c r="CP237" i="5"/>
  <c r="AC237" i="5" s="1"/>
  <c r="CN237" i="5"/>
  <c r="T237" i="5"/>
  <c r="AZ48" i="5" l="1"/>
  <c r="BA48" i="5" s="1"/>
  <c r="BB48" i="5" s="1"/>
  <c r="BC48" i="5" s="1"/>
  <c r="BI48" i="5" s="1"/>
  <c r="E284" i="5"/>
  <c r="O283" i="5"/>
  <c r="G284" i="5"/>
  <c r="E246" i="8"/>
  <c r="X237" i="5"/>
  <c r="CC48" i="5"/>
  <c r="V237" i="5"/>
  <c r="L238" i="5" s="1"/>
  <c r="CJ48" i="5" l="1"/>
  <c r="AK237" i="5"/>
  <c r="BD48" i="5"/>
  <c r="CD48" i="5"/>
  <c r="CB48" i="5" s="1"/>
  <c r="BE48" i="5"/>
  <c r="N238" i="5"/>
  <c r="Q238" i="5" s="1"/>
  <c r="H284" i="5"/>
  <c r="I284" i="5" s="1"/>
  <c r="J284" i="5" s="1"/>
  <c r="F57" i="8" l="1"/>
  <c r="T238" i="5"/>
  <c r="R238" i="5"/>
  <c r="U243" i="5"/>
  <c r="CP238" i="5"/>
  <c r="AC238" i="5" s="1"/>
  <c r="CN238" i="5"/>
  <c r="BJ48" i="5"/>
  <c r="G285" i="5"/>
  <c r="E285" i="5"/>
  <c r="O284" i="5"/>
  <c r="AS49" i="5"/>
  <c r="X238" i="5" l="1"/>
  <c r="AK238" i="5"/>
  <c r="H285" i="5"/>
  <c r="I285" i="5" s="1"/>
  <c r="J285" i="5" s="1"/>
  <c r="BK48" i="5"/>
  <c r="BH49" i="5" s="1"/>
  <c r="BL48" i="5"/>
  <c r="E247" i="8"/>
  <c r="V238" i="5"/>
  <c r="L239" i="5" s="1"/>
  <c r="G286" i="5" l="1"/>
  <c r="O285" i="5"/>
  <c r="E286" i="5"/>
  <c r="N239" i="5"/>
  <c r="R239" i="5" s="1"/>
  <c r="BP48" i="5"/>
  <c r="BR48" i="5" s="1"/>
  <c r="BU48" i="5" l="1"/>
  <c r="BW48" i="5"/>
  <c r="BZ48" i="5" s="1"/>
  <c r="CK48" i="5" s="1"/>
  <c r="CL48" i="5" s="1"/>
  <c r="Q239" i="5"/>
  <c r="CN239" i="5" s="1"/>
  <c r="H286" i="5"/>
  <c r="I286" i="5" s="1"/>
  <c r="J286" i="5" s="1"/>
  <c r="U244" i="5"/>
  <c r="CP239" i="5"/>
  <c r="AC239" i="5" s="1"/>
  <c r="CG48" i="5"/>
  <c r="BQ48" i="5"/>
  <c r="T239" i="5"/>
  <c r="E287" i="5" l="1"/>
  <c r="O286" i="5"/>
  <c r="G287" i="5"/>
  <c r="E248" i="8"/>
  <c r="X239" i="5"/>
  <c r="V239" i="5"/>
  <c r="L240" i="5" s="1"/>
  <c r="CH48" i="5"/>
  <c r="CF48" i="5" s="1"/>
  <c r="BV48" i="5"/>
  <c r="G57" i="8" l="1"/>
  <c r="N240" i="5"/>
  <c r="T240" i="5" s="1"/>
  <c r="H287" i="5"/>
  <c r="I287" i="5" s="1"/>
  <c r="J287" i="5" s="1"/>
  <c r="AK239" i="5"/>
  <c r="BO49" i="5"/>
  <c r="AM49" i="5"/>
  <c r="BT49" i="5"/>
  <c r="E288" i="5" l="1"/>
  <c r="G288" i="5"/>
  <c r="O287" i="5"/>
  <c r="AN49" i="5"/>
  <c r="U245" i="5"/>
  <c r="CP240" i="5"/>
  <c r="AC240" i="5" s="1"/>
  <c r="R240" i="5"/>
  <c r="Q240" i="5"/>
  <c r="V240" i="5" s="1"/>
  <c r="L241" i="5" s="1"/>
  <c r="N241" i="5" l="1"/>
  <c r="R241" i="5" s="1"/>
  <c r="AP49" i="5"/>
  <c r="X240" i="5"/>
  <c r="E249" i="8"/>
  <c r="AO49" i="5"/>
  <c r="CN240" i="5"/>
  <c r="H288" i="5"/>
  <c r="I288" i="5" s="1"/>
  <c r="J288" i="5" s="1"/>
  <c r="T241" i="5" l="1"/>
  <c r="E289" i="5"/>
  <c r="G289" i="5"/>
  <c r="O288" i="5"/>
  <c r="U246" i="5"/>
  <c r="CP241" i="5"/>
  <c r="AC241" i="5" s="1"/>
  <c r="Q241" i="5"/>
  <c r="CN241" i="5" s="1"/>
  <c r="AK240" i="5"/>
  <c r="AT49" i="5"/>
  <c r="AX49" i="5" s="1"/>
  <c r="E250" i="8" l="1"/>
  <c r="X241" i="5"/>
  <c r="V241" i="5"/>
  <c r="L242" i="5" s="1"/>
  <c r="AU49" i="5"/>
  <c r="H289" i="5"/>
  <c r="I289" i="5" s="1"/>
  <c r="J289" i="5" s="1"/>
  <c r="O289" i="5" l="1"/>
  <c r="G290" i="5"/>
  <c r="E290" i="5"/>
  <c r="N242" i="5"/>
  <c r="Q242" i="5" s="1"/>
  <c r="AV49" i="5"/>
  <c r="AW49" i="5" s="1"/>
  <c r="AK241" i="5"/>
  <c r="R242" i="5" l="1"/>
  <c r="U247" i="5"/>
  <c r="CP242" i="5"/>
  <c r="AC242" i="5" s="1"/>
  <c r="H290" i="5"/>
  <c r="I290" i="5" s="1"/>
  <c r="J290" i="5" s="1"/>
  <c r="AZ49" i="5"/>
  <c r="CC49" i="5"/>
  <c r="T242" i="5"/>
  <c r="E251" i="8" l="1"/>
  <c r="E291" i="5"/>
  <c r="O290" i="5"/>
  <c r="G291" i="5"/>
  <c r="BA49" i="5"/>
  <c r="V242" i="5"/>
  <c r="L243" i="5" s="1"/>
  <c r="X242" i="5"/>
  <c r="CN242" i="5"/>
  <c r="BE49" i="5" l="1"/>
  <c r="BB49" i="5"/>
  <c r="AK242" i="5"/>
  <c r="N243" i="5"/>
  <c r="Q243" i="5" s="1"/>
  <c r="H291" i="5"/>
  <c r="I291" i="5" s="1"/>
  <c r="J291" i="5" s="1"/>
  <c r="G292" i="5" l="1"/>
  <c r="E292" i="5"/>
  <c r="O291" i="5"/>
  <c r="U248" i="5"/>
  <c r="CP243" i="5"/>
  <c r="AC243" i="5" s="1"/>
  <c r="T243" i="5"/>
  <c r="BJ49" i="5"/>
  <c r="BL49" i="5" s="1"/>
  <c r="BC49" i="5"/>
  <c r="R243" i="5"/>
  <c r="E252" i="8" l="1"/>
  <c r="BP49" i="5"/>
  <c r="BR49" i="5" s="1"/>
  <c r="BI49" i="5"/>
  <c r="CD49" i="5"/>
  <c r="CN243" i="5"/>
  <c r="BD49" i="5"/>
  <c r="X243" i="5"/>
  <c r="V243" i="5"/>
  <c r="L244" i="5" s="1"/>
  <c r="H292" i="5"/>
  <c r="I292" i="5" s="1"/>
  <c r="J292" i="5" s="1"/>
  <c r="O292" i="5" l="1"/>
  <c r="G293" i="5"/>
  <c r="E293" i="5"/>
  <c r="BU49" i="5"/>
  <c r="N244" i="5"/>
  <c r="T244" i="5" s="1"/>
  <c r="AK243" i="5"/>
  <c r="CB49" i="5"/>
  <c r="F58" i="8"/>
  <c r="CJ49" i="5"/>
  <c r="BK49" i="5"/>
  <c r="BH50" i="5" s="1"/>
  <c r="CG49" i="5"/>
  <c r="BQ49" i="5"/>
  <c r="CH49" i="5" l="1"/>
  <c r="CF49" i="5" s="1"/>
  <c r="BV49" i="5"/>
  <c r="Q244" i="5"/>
  <c r="BW49" i="5"/>
  <c r="BZ49" i="5" s="1"/>
  <c r="CK49" i="5" s="1"/>
  <c r="CL49" i="5" s="1"/>
  <c r="H293" i="5"/>
  <c r="I293" i="5" s="1"/>
  <c r="J293" i="5" s="1"/>
  <c r="U249" i="5"/>
  <c r="CP244" i="5"/>
  <c r="AC244" i="5" s="1"/>
  <c r="BT50" i="5"/>
  <c r="AS50" i="5"/>
  <c r="AM50" i="5"/>
  <c r="G58" i="8"/>
  <c r="R244" i="5"/>
  <c r="CN244" i="5" l="1"/>
  <c r="G294" i="5"/>
  <c r="E294" i="5"/>
  <c r="O293" i="5"/>
  <c r="AN50" i="5"/>
  <c r="AO50" i="5" s="1"/>
  <c r="E253" i="8"/>
  <c r="X244" i="5"/>
  <c r="BO50" i="5"/>
  <c r="V244" i="5"/>
  <c r="L245" i="5" s="1"/>
  <c r="N245" i="5" l="1"/>
  <c r="R245" i="5" s="1"/>
  <c r="AP50" i="5"/>
  <c r="H294" i="5"/>
  <c r="AK244" i="5"/>
  <c r="I294" i="5"/>
  <c r="J294" i="5" s="1"/>
  <c r="E295" i="5" l="1"/>
  <c r="O294" i="5"/>
  <c r="G295" i="5"/>
  <c r="AT50" i="5"/>
  <c r="AX50" i="5" s="1"/>
  <c r="T245" i="5"/>
  <c r="Q245" i="5"/>
  <c r="CN245" i="5" s="1"/>
  <c r="U250" i="5"/>
  <c r="CP245" i="5"/>
  <c r="AC245" i="5" s="1"/>
  <c r="X245" i="5" l="1"/>
  <c r="E254" i="8"/>
  <c r="AU50" i="5"/>
  <c r="V245" i="5"/>
  <c r="L246" i="5" s="1"/>
  <c r="H295" i="5"/>
  <c r="I295" i="5" s="1"/>
  <c r="J295" i="5" s="1"/>
  <c r="E296" i="5" l="1"/>
  <c r="G296" i="5"/>
  <c r="O295" i="5"/>
  <c r="N246" i="5"/>
  <c r="AV50" i="5"/>
  <c r="AW50" i="5" s="1"/>
  <c r="AK245" i="5"/>
  <c r="U251" i="5" l="1"/>
  <c r="CP246" i="5"/>
  <c r="AC246" i="5" s="1"/>
  <c r="R246" i="5"/>
  <c r="Q246" i="5"/>
  <c r="CN246" i="5" s="1"/>
  <c r="T246" i="5"/>
  <c r="AZ50" i="5"/>
  <c r="CC50" i="5"/>
  <c r="H296" i="5"/>
  <c r="I296" i="5" s="1"/>
  <c r="J296" i="5" s="1"/>
  <c r="V246" i="5" l="1"/>
  <c r="L247" i="5" s="1"/>
  <c r="E297" i="5"/>
  <c r="O296" i="5"/>
  <c r="G297" i="5"/>
  <c r="N247" i="5"/>
  <c r="BA50" i="5"/>
  <c r="E255" i="8"/>
  <c r="X246" i="5"/>
  <c r="AK246" i="5" l="1"/>
  <c r="BE50" i="5"/>
  <c r="BB50" i="5"/>
  <c r="U252" i="5"/>
  <c r="CP247" i="5"/>
  <c r="AC247" i="5" s="1"/>
  <c r="R247" i="5"/>
  <c r="Q247" i="5"/>
  <c r="T247" i="5"/>
  <c r="H297" i="5"/>
  <c r="I297" i="5" s="1"/>
  <c r="J297" i="5" s="1"/>
  <c r="E298" i="5" l="1"/>
  <c r="O297" i="5"/>
  <c r="G298" i="5"/>
  <c r="E256" i="8"/>
  <c r="X247" i="5"/>
  <c r="BC50" i="5"/>
  <c r="BD50" i="5" s="1"/>
  <c r="V247" i="5"/>
  <c r="L248" i="5" s="1"/>
  <c r="BJ50" i="5"/>
  <c r="BL50" i="5" s="1"/>
  <c r="CN247" i="5"/>
  <c r="BP50" i="5" l="1"/>
  <c r="BR50" i="5" s="1"/>
  <c r="BI50" i="5"/>
  <c r="CD50" i="5"/>
  <c r="AK247" i="5"/>
  <c r="N248" i="5"/>
  <c r="Q248" i="5" s="1"/>
  <c r="H298" i="5"/>
  <c r="I298" i="5" s="1"/>
  <c r="J298" i="5" s="1"/>
  <c r="R248" i="5" l="1"/>
  <c r="V248" i="5" s="1"/>
  <c r="L249" i="5" s="1"/>
  <c r="T248" i="5"/>
  <c r="N249" i="5"/>
  <c r="Q249" i="5" s="1"/>
  <c r="E299" i="5"/>
  <c r="O298" i="5"/>
  <c r="G299" i="5"/>
  <c r="BU50" i="5"/>
  <c r="BW50" i="5" s="1"/>
  <c r="BZ50" i="5" s="1"/>
  <c r="CJ50" i="5"/>
  <c r="BK50" i="5"/>
  <c r="BH51" i="5" s="1"/>
  <c r="CB50" i="5"/>
  <c r="F59" i="8"/>
  <c r="CN248" i="5"/>
  <c r="U253" i="5"/>
  <c r="CP248" i="5"/>
  <c r="AC248" i="5" s="1"/>
  <c r="E257" i="8"/>
  <c r="X248" i="5"/>
  <c r="CG50" i="5"/>
  <c r="BQ50" i="5"/>
  <c r="T249" i="5" l="1"/>
  <c r="AK248" i="5"/>
  <c r="H299" i="5"/>
  <c r="I299" i="5" s="1"/>
  <c r="J299" i="5" s="1"/>
  <c r="R249" i="5"/>
  <c r="E258" i="8" s="1"/>
  <c r="BT51" i="5"/>
  <c r="AS51" i="5"/>
  <c r="CH50" i="5"/>
  <c r="CF50" i="5" s="1"/>
  <c r="BV50" i="5"/>
  <c r="CK50" i="5"/>
  <c r="CL50" i="5" s="1"/>
  <c r="U254" i="5"/>
  <c r="CP249" i="5"/>
  <c r="AC249" i="5" s="1"/>
  <c r="G59" i="8" l="1"/>
  <c r="G300" i="5"/>
  <c r="E300" i="5"/>
  <c r="O299" i="5"/>
  <c r="BO51" i="5"/>
  <c r="V249" i="5"/>
  <c r="L250" i="5" s="1"/>
  <c r="CN249" i="5"/>
  <c r="AM51" i="5"/>
  <c r="X249" i="5"/>
  <c r="AN51" i="5" l="1"/>
  <c r="AK249" i="5"/>
  <c r="H300" i="5"/>
  <c r="I300" i="5" s="1"/>
  <c r="J300" i="5" s="1"/>
  <c r="N250" i="5"/>
  <c r="Q250" i="5" s="1"/>
  <c r="G301" i="5" l="1"/>
  <c r="E301" i="5"/>
  <c r="O300" i="5"/>
  <c r="T250" i="5"/>
  <c r="AP51" i="5"/>
  <c r="CP250" i="5"/>
  <c r="AC250" i="5" s="1"/>
  <c r="U255" i="5"/>
  <c r="R250" i="5"/>
  <c r="V250" i="5" s="1"/>
  <c r="L251" i="5" s="1"/>
  <c r="AO51" i="5"/>
  <c r="N251" i="5" l="1"/>
  <c r="R251" i="5" s="1"/>
  <c r="E259" i="8"/>
  <c r="X250" i="5"/>
  <c r="CN250" i="5"/>
  <c r="AT51" i="5"/>
  <c r="AX51" i="5" s="1"/>
  <c r="H301" i="5"/>
  <c r="I301" i="5" s="1"/>
  <c r="J301" i="5" s="1"/>
  <c r="T251" i="5" l="1"/>
  <c r="E302" i="5"/>
  <c r="O301" i="5"/>
  <c r="G302" i="5"/>
  <c r="U256" i="5"/>
  <c r="CP251" i="5"/>
  <c r="AC251" i="5" s="1"/>
  <c r="AU51" i="5"/>
  <c r="AK250" i="5"/>
  <c r="Q251" i="5"/>
  <c r="E260" i="8" l="1"/>
  <c r="X251" i="5"/>
  <c r="V251" i="5"/>
  <c r="L252" i="5" s="1"/>
  <c r="H302" i="5"/>
  <c r="I302" i="5" s="1"/>
  <c r="J302" i="5" s="1"/>
  <c r="AV51" i="5"/>
  <c r="AW51" i="5" s="1"/>
  <c r="CN251" i="5"/>
  <c r="E303" i="5" l="1"/>
  <c r="O302" i="5"/>
  <c r="G303" i="5"/>
  <c r="N252" i="5"/>
  <c r="R252" i="5" s="1"/>
  <c r="AK251" i="5"/>
  <c r="CC51" i="5"/>
  <c r="AZ51" i="5"/>
  <c r="T252" i="5" l="1"/>
  <c r="CP252" i="5"/>
  <c r="AC252" i="5" s="1"/>
  <c r="U257" i="5"/>
  <c r="Q252" i="5"/>
  <c r="BA51" i="5"/>
  <c r="BB51" i="5" s="1"/>
  <c r="H303" i="5"/>
  <c r="I303" i="5" s="1"/>
  <c r="J303" i="5" s="1"/>
  <c r="BC51" i="5" l="1"/>
  <c r="BI51" i="5" s="1"/>
  <c r="G304" i="5"/>
  <c r="E304" i="5"/>
  <c r="O303" i="5"/>
  <c r="BE51" i="5"/>
  <c r="E261" i="8"/>
  <c r="X252" i="5"/>
  <c r="CN252" i="5"/>
  <c r="V252" i="5"/>
  <c r="L253" i="5" s="1"/>
  <c r="CD51" i="5" l="1"/>
  <c r="N253" i="5"/>
  <c r="H304" i="5"/>
  <c r="I304" i="5" s="1"/>
  <c r="J304" i="5" s="1"/>
  <c r="BJ51" i="5"/>
  <c r="CB51" i="5"/>
  <c r="F60" i="8"/>
  <c r="AK252" i="5"/>
  <c r="CJ51" i="5"/>
  <c r="BD51" i="5"/>
  <c r="E305" i="5" l="1"/>
  <c r="O304" i="5"/>
  <c r="G305" i="5"/>
  <c r="T253" i="5"/>
  <c r="AS52" i="5"/>
  <c r="U258" i="5"/>
  <c r="CP253" i="5"/>
  <c r="AC253" i="5" s="1"/>
  <c r="R253" i="5"/>
  <c r="BK51" i="5"/>
  <c r="BH52" i="5" s="1"/>
  <c r="BL51" i="5"/>
  <c r="Q253" i="5"/>
  <c r="V253" i="5" l="1"/>
  <c r="L254" i="5" s="1"/>
  <c r="N254" i="5"/>
  <c r="T254" i="5" s="1"/>
  <c r="CN253" i="5"/>
  <c r="E262" i="8"/>
  <c r="X253" i="5"/>
  <c r="BP51" i="5"/>
  <c r="H305" i="5"/>
  <c r="I305" i="5" s="1"/>
  <c r="J305" i="5" s="1"/>
  <c r="E306" i="5" l="1"/>
  <c r="O305" i="5"/>
  <c r="G306" i="5"/>
  <c r="CG51" i="5"/>
  <c r="BQ51" i="5"/>
  <c r="BR51" i="5"/>
  <c r="U259" i="5"/>
  <c r="CP254" i="5"/>
  <c r="AC254" i="5" s="1"/>
  <c r="AK253" i="5"/>
  <c r="R254" i="5"/>
  <c r="Q254" i="5"/>
  <c r="E263" i="8" l="1"/>
  <c r="X254" i="5"/>
  <c r="CN254" i="5"/>
  <c r="V254" i="5"/>
  <c r="L255" i="5" s="1"/>
  <c r="BU51" i="5"/>
  <c r="BW51" i="5" s="1"/>
  <c r="BZ51" i="5" s="1"/>
  <c r="H306" i="5"/>
  <c r="I306" i="5" s="1"/>
  <c r="J306" i="5" s="1"/>
  <c r="E307" i="5" l="1"/>
  <c r="O306" i="5"/>
  <c r="G307" i="5"/>
  <c r="AK254" i="5"/>
  <c r="N255" i="5"/>
  <c r="Q255" i="5" s="1"/>
  <c r="CH51" i="5"/>
  <c r="BV51" i="5"/>
  <c r="CK51" i="5"/>
  <c r="CL51" i="5" s="1"/>
  <c r="U260" i="5" l="1"/>
  <c r="CP255" i="5"/>
  <c r="AC255" i="5" s="1"/>
  <c r="CF51" i="5"/>
  <c r="G60" i="8"/>
  <c r="T255" i="5"/>
  <c r="R255" i="5"/>
  <c r="E264" i="8" s="1"/>
  <c r="H307" i="5"/>
  <c r="I307" i="5" s="1"/>
  <c r="J307" i="5" s="1"/>
  <c r="G308" i="5" l="1"/>
  <c r="E308" i="5"/>
  <c r="O307" i="5"/>
  <c r="V255" i="5"/>
  <c r="L256" i="5" s="1"/>
  <c r="BO52" i="5"/>
  <c r="AM52" i="5"/>
  <c r="BT52" i="5"/>
  <c r="X255" i="5"/>
  <c r="CN255" i="5"/>
  <c r="N256" i="5" l="1"/>
  <c r="Q256" i="5" s="1"/>
  <c r="AK255" i="5"/>
  <c r="H308" i="5"/>
  <c r="I308" i="5" s="1"/>
  <c r="J308" i="5" s="1"/>
  <c r="AN52" i="5"/>
  <c r="T256" i="5" l="1"/>
  <c r="R256" i="5"/>
  <c r="V256" i="5" s="1"/>
  <c r="L257" i="5" s="1"/>
  <c r="N257" i="5" s="1"/>
  <c r="G309" i="5"/>
  <c r="E309" i="5"/>
  <c r="O308" i="5"/>
  <c r="AP52" i="5"/>
  <c r="U261" i="5"/>
  <c r="CP256" i="5"/>
  <c r="AC256" i="5" s="1"/>
  <c r="CN256" i="5"/>
  <c r="AO52" i="5"/>
  <c r="E265" i="8"/>
  <c r="X256" i="5"/>
  <c r="U262" i="5" l="1"/>
  <c r="CP257" i="5"/>
  <c r="AC257" i="5" s="1"/>
  <c r="AT52" i="5"/>
  <c r="AX52" i="5" s="1"/>
  <c r="R257" i="5"/>
  <c r="Q257" i="5"/>
  <c r="CN257" i="5" s="1"/>
  <c r="AK256" i="5"/>
  <c r="H309" i="5"/>
  <c r="I309" i="5" s="1"/>
  <c r="J309" i="5" s="1"/>
  <c r="T257" i="5"/>
  <c r="V257" i="5" l="1"/>
  <c r="L258" i="5" s="1"/>
  <c r="N258" i="5"/>
  <c r="T258" i="5" s="1"/>
  <c r="G310" i="5"/>
  <c r="E310" i="5"/>
  <c r="O309" i="5"/>
  <c r="AU52" i="5"/>
  <c r="E266" i="8"/>
  <c r="X257" i="5"/>
  <c r="AV52" i="5" l="1"/>
  <c r="AW52" i="5" s="1"/>
  <c r="U263" i="5"/>
  <c r="CP258" i="5"/>
  <c r="AC258" i="5" s="1"/>
  <c r="H310" i="5"/>
  <c r="I310" i="5" s="1"/>
  <c r="J310" i="5" s="1"/>
  <c r="Q258" i="5"/>
  <c r="AK257" i="5"/>
  <c r="R258" i="5"/>
  <c r="V258" i="5" l="1"/>
  <c r="L259" i="5" s="1"/>
  <c r="CN258" i="5"/>
  <c r="G311" i="5"/>
  <c r="E311" i="5"/>
  <c r="O310" i="5"/>
  <c r="N259" i="5"/>
  <c r="Q259" i="5" s="1"/>
  <c r="AZ52" i="5"/>
  <c r="CC52" i="5"/>
  <c r="E267" i="8"/>
  <c r="X258" i="5"/>
  <c r="BA52" i="5" l="1"/>
  <c r="U264" i="5"/>
  <c r="CP259" i="5"/>
  <c r="AC259" i="5" s="1"/>
  <c r="AK258" i="5"/>
  <c r="H311" i="5"/>
  <c r="I311" i="5" s="1"/>
  <c r="J311" i="5" s="1"/>
  <c r="R259" i="5"/>
  <c r="E268" i="8" s="1"/>
  <c r="T259" i="5"/>
  <c r="G312" i="5" l="1"/>
  <c r="E312" i="5"/>
  <c r="O311" i="5"/>
  <c r="CN259" i="5"/>
  <c r="BE52" i="5"/>
  <c r="BB52" i="5"/>
  <c r="X259" i="5"/>
  <c r="V259" i="5"/>
  <c r="L260" i="5" s="1"/>
  <c r="AK259" i="5" l="1"/>
  <c r="BC52" i="5"/>
  <c r="BD52" i="5" s="1"/>
  <c r="N260" i="5"/>
  <c r="BJ52" i="5"/>
  <c r="BL52" i="5" s="1"/>
  <c r="H312" i="5"/>
  <c r="I312" i="5" s="1"/>
  <c r="J312" i="5" s="1"/>
  <c r="E313" i="5" l="1"/>
  <c r="O312" i="5"/>
  <c r="G313" i="5"/>
  <c r="BP52" i="5"/>
  <c r="U265" i="5"/>
  <c r="CP260" i="5"/>
  <c r="AC260" i="5" s="1"/>
  <c r="BI52" i="5"/>
  <c r="CD52" i="5"/>
  <c r="T260" i="5"/>
  <c r="R260" i="5"/>
  <c r="Q260" i="5"/>
  <c r="CN260" i="5" s="1"/>
  <c r="CG52" i="5" l="1"/>
  <c r="BQ52" i="5"/>
  <c r="CB52" i="5"/>
  <c r="F61" i="8"/>
  <c r="CJ52" i="5"/>
  <c r="BK52" i="5"/>
  <c r="BH53" i="5" s="1"/>
  <c r="E269" i="8"/>
  <c r="X260" i="5"/>
  <c r="BR52" i="5"/>
  <c r="V260" i="5"/>
  <c r="L261" i="5" s="1"/>
  <c r="H313" i="5"/>
  <c r="I313" i="5" s="1"/>
  <c r="J313" i="5" s="1"/>
  <c r="E314" i="5" l="1"/>
  <c r="O313" i="5"/>
  <c r="G314" i="5"/>
  <c r="AS53" i="5"/>
  <c r="N261" i="5"/>
  <c r="R261" i="5" s="1"/>
  <c r="BU52" i="5"/>
  <c r="BW52" i="5" s="1"/>
  <c r="BZ52" i="5" s="1"/>
  <c r="AK260" i="5"/>
  <c r="T261" i="5" l="1"/>
  <c r="U266" i="5"/>
  <c r="CP261" i="5"/>
  <c r="AC261" i="5" s="1"/>
  <c r="Q261" i="5"/>
  <c r="V261" i="5" s="1"/>
  <c r="L262" i="5" s="1"/>
  <c r="CH52" i="5"/>
  <c r="BV52" i="5"/>
  <c r="CK52" i="5"/>
  <c r="CL52" i="5" s="1"/>
  <c r="H314" i="5"/>
  <c r="I314" i="5" s="1"/>
  <c r="J314" i="5" s="1"/>
  <c r="O314" i="5" l="1"/>
  <c r="G315" i="5"/>
  <c r="E315" i="5"/>
  <c r="N262" i="5"/>
  <c r="Q262" i="5" s="1"/>
  <c r="E270" i="8"/>
  <c r="X261" i="5"/>
  <c r="CF52" i="5"/>
  <c r="G61" i="8"/>
  <c r="CN261" i="5"/>
  <c r="U267" i="5" l="1"/>
  <c r="CP262" i="5"/>
  <c r="AC262" i="5" s="1"/>
  <c r="R262" i="5"/>
  <c r="E271" i="8" s="1"/>
  <c r="AK261" i="5"/>
  <c r="H315" i="5"/>
  <c r="I315" i="5" s="1"/>
  <c r="J315" i="5" s="1"/>
  <c r="BO53" i="5"/>
  <c r="BT53" i="5"/>
  <c r="AM53" i="5"/>
  <c r="T262" i="5"/>
  <c r="E316" i="5" l="1"/>
  <c r="O315" i="5"/>
  <c r="G316" i="5"/>
  <c r="V262" i="5"/>
  <c r="L263" i="5" s="1"/>
  <c r="AN53" i="5"/>
  <c r="X262" i="5"/>
  <c r="CN262" i="5"/>
  <c r="N263" i="5" l="1"/>
  <c r="AK262" i="5"/>
  <c r="AP53" i="5"/>
  <c r="AO53" i="5"/>
  <c r="H316" i="5"/>
  <c r="I316" i="5" s="1"/>
  <c r="J316" i="5" s="1"/>
  <c r="E317" i="5" l="1"/>
  <c r="O316" i="5"/>
  <c r="G317" i="5"/>
  <c r="U268" i="5"/>
  <c r="CP263" i="5"/>
  <c r="AC263" i="5" s="1"/>
  <c r="R263" i="5"/>
  <c r="Q263" i="5"/>
  <c r="T263" i="5"/>
  <c r="AT53" i="5"/>
  <c r="CN263" i="5" l="1"/>
  <c r="E272" i="8"/>
  <c r="X263" i="5"/>
  <c r="AU53" i="5"/>
  <c r="AX53" i="5"/>
  <c r="V263" i="5"/>
  <c r="L264" i="5" s="1"/>
  <c r="H317" i="5"/>
  <c r="I317" i="5" s="1"/>
  <c r="J317" i="5" s="1"/>
  <c r="O317" i="5" l="1"/>
  <c r="G318" i="5"/>
  <c r="E318" i="5"/>
  <c r="AK263" i="5"/>
  <c r="AV53" i="5"/>
  <c r="N264" i="5"/>
  <c r="CC53" i="5" l="1"/>
  <c r="AW53" i="5"/>
  <c r="T264" i="5"/>
  <c r="H318" i="5"/>
  <c r="U269" i="5"/>
  <c r="CP264" i="5"/>
  <c r="AC264" i="5" s="1"/>
  <c r="I318" i="5"/>
  <c r="J318" i="5" s="1"/>
  <c r="AZ53" i="5"/>
  <c r="R264" i="5"/>
  <c r="Q264" i="5"/>
  <c r="CN264" i="5" s="1"/>
  <c r="O318" i="5" l="1"/>
  <c r="G319" i="5"/>
  <c r="E319" i="5"/>
  <c r="BA53" i="5"/>
  <c r="BB53" i="5" s="1"/>
  <c r="E273" i="8"/>
  <c r="X264" i="5"/>
  <c r="V264" i="5"/>
  <c r="L265" i="5" s="1"/>
  <c r="BC53" i="5" l="1"/>
  <c r="BI53" i="5" s="1"/>
  <c r="N265" i="5"/>
  <c r="H319" i="5"/>
  <c r="I319" i="5" s="1"/>
  <c r="J319" i="5" s="1"/>
  <c r="BE53" i="5"/>
  <c r="AK264" i="5"/>
  <c r="E320" i="5" l="1"/>
  <c r="O319" i="5"/>
  <c r="G320" i="5"/>
  <c r="T265" i="5"/>
  <c r="R265" i="5"/>
  <c r="BJ53" i="5"/>
  <c r="Q265" i="5"/>
  <c r="V265" i="5" s="1"/>
  <c r="L266" i="5" s="1"/>
  <c r="CD53" i="5"/>
  <c r="CJ53" i="5"/>
  <c r="U270" i="5"/>
  <c r="CP265" i="5"/>
  <c r="AC265" i="5" s="1"/>
  <c r="BD53" i="5"/>
  <c r="CN265" i="5" l="1"/>
  <c r="N266" i="5"/>
  <c r="T266" i="5" s="1"/>
  <c r="BL53" i="5"/>
  <c r="BK53" i="5"/>
  <c r="BH54" i="5" s="1"/>
  <c r="CB53" i="5"/>
  <c r="F62" i="8"/>
  <c r="X265" i="5"/>
  <c r="E274" i="8"/>
  <c r="H320" i="5"/>
  <c r="I320" i="5" s="1"/>
  <c r="J320" i="5" s="1"/>
  <c r="G321" i="5" l="1"/>
  <c r="E321" i="5"/>
  <c r="O320" i="5"/>
  <c r="AK265" i="5"/>
  <c r="U271" i="5"/>
  <c r="CP266" i="5"/>
  <c r="AC266" i="5" s="1"/>
  <c r="BP53" i="5"/>
  <c r="BR53" i="5" s="1"/>
  <c r="AS54" i="5"/>
  <c r="Q266" i="5"/>
  <c r="V266" i="5" s="1"/>
  <c r="L267" i="5" s="1"/>
  <c r="R266" i="5"/>
  <c r="CN266" i="5" l="1"/>
  <c r="BU53" i="5"/>
  <c r="N267" i="5"/>
  <c r="T267" i="5" s="1"/>
  <c r="E275" i="8"/>
  <c r="X266" i="5"/>
  <c r="H321" i="5"/>
  <c r="I321" i="5" s="1"/>
  <c r="J321" i="5" s="1"/>
  <c r="CG53" i="5"/>
  <c r="BQ53" i="5"/>
  <c r="R267" i="5" l="1"/>
  <c r="Q267" i="5"/>
  <c r="V267" i="5" s="1"/>
  <c r="L268" i="5" s="1"/>
  <c r="G322" i="5"/>
  <c r="E322" i="5"/>
  <c r="O321" i="5"/>
  <c r="X267" i="5"/>
  <c r="E276" i="8"/>
  <c r="AK266" i="5"/>
  <c r="CH53" i="5"/>
  <c r="CF53" i="5" s="1"/>
  <c r="BV53" i="5"/>
  <c r="G62" i="8"/>
  <c r="U272" i="5"/>
  <c r="CP267" i="5"/>
  <c r="AC267" i="5" s="1"/>
  <c r="CN267" i="5"/>
  <c r="BW53" i="5"/>
  <c r="BZ53" i="5" s="1"/>
  <c r="CK53" i="5" s="1"/>
  <c r="CL53" i="5" s="1"/>
  <c r="AK267" i="5" l="1"/>
  <c r="BO54" i="5"/>
  <c r="BT54" i="5"/>
  <c r="AM54" i="5"/>
  <c r="N268" i="5"/>
  <c r="H322" i="5"/>
  <c r="I322" i="5" s="1"/>
  <c r="J322" i="5" s="1"/>
  <c r="E323" i="5" l="1"/>
  <c r="O322" i="5"/>
  <c r="G323" i="5"/>
  <c r="AN54" i="5"/>
  <c r="T268" i="5"/>
  <c r="U273" i="5"/>
  <c r="CP268" i="5"/>
  <c r="AC268" i="5" s="1"/>
  <c r="R268" i="5"/>
  <c r="Q268" i="5"/>
  <c r="AP54" i="5" l="1"/>
  <c r="E277" i="8"/>
  <c r="X268" i="5"/>
  <c r="AO54" i="5"/>
  <c r="CN268" i="5"/>
  <c r="V268" i="5"/>
  <c r="L269" i="5" s="1"/>
  <c r="H323" i="5"/>
  <c r="I323" i="5" s="1"/>
  <c r="J323" i="5" s="1"/>
  <c r="E324" i="5" l="1"/>
  <c r="O323" i="5"/>
  <c r="G324" i="5"/>
  <c r="AK268" i="5"/>
  <c r="AT54" i="5"/>
  <c r="N269" i="5"/>
  <c r="AU54" i="5" l="1"/>
  <c r="T269" i="5"/>
  <c r="U274" i="5"/>
  <c r="CP269" i="5"/>
  <c r="AC269" i="5" s="1"/>
  <c r="AX54" i="5"/>
  <c r="Q269" i="5"/>
  <c r="R269" i="5"/>
  <c r="H324" i="5"/>
  <c r="I324" i="5" s="1"/>
  <c r="J324" i="5" s="1"/>
  <c r="E325" i="5" l="1"/>
  <c r="O324" i="5"/>
  <c r="G325" i="5"/>
  <c r="AV54" i="5"/>
  <c r="AW54" i="5" s="1"/>
  <c r="X269" i="5"/>
  <c r="E278" i="8"/>
  <c r="CN269" i="5"/>
  <c r="V269" i="5"/>
  <c r="L270" i="5" s="1"/>
  <c r="AK269" i="5" l="1"/>
  <c r="CC54" i="5"/>
  <c r="N270" i="5"/>
  <c r="Q270" i="5" s="1"/>
  <c r="AZ54" i="5"/>
  <c r="H325" i="5"/>
  <c r="I325" i="5" s="1"/>
  <c r="J325" i="5" s="1"/>
  <c r="O325" i="5" l="1"/>
  <c r="G326" i="5"/>
  <c r="E326" i="5"/>
  <c r="U275" i="5"/>
  <c r="CP270" i="5"/>
  <c r="AC270" i="5" s="1"/>
  <c r="BA54" i="5"/>
  <c r="T270" i="5"/>
  <c r="R270" i="5"/>
  <c r="CN270" i="5" s="1"/>
  <c r="X270" i="5" l="1"/>
  <c r="V270" i="5"/>
  <c r="L271" i="5" s="1"/>
  <c r="E279" i="8"/>
  <c r="H326" i="5"/>
  <c r="I326" i="5" s="1"/>
  <c r="J326" i="5" s="1"/>
  <c r="BE54" i="5"/>
  <c r="BB54" i="5"/>
  <c r="G327" i="5" l="1"/>
  <c r="E327" i="5"/>
  <c r="O326" i="5"/>
  <c r="BC54" i="5"/>
  <c r="N271" i="5"/>
  <c r="R271" i="5" s="1"/>
  <c r="BJ54" i="5"/>
  <c r="BL54" i="5" s="1"/>
  <c r="AK270" i="5"/>
  <c r="Q271" i="5" l="1"/>
  <c r="V271" i="5" s="1"/>
  <c r="L272" i="5" s="1"/>
  <c r="BP54" i="5"/>
  <c r="BR54" i="5" s="1"/>
  <c r="BI54" i="5"/>
  <c r="CD54" i="5"/>
  <c r="BD54" i="5"/>
  <c r="U276" i="5"/>
  <c r="CP271" i="5"/>
  <c r="AC271" i="5" s="1"/>
  <c r="CN271" i="5"/>
  <c r="T271" i="5"/>
  <c r="E280" i="8" s="1"/>
  <c r="H327" i="5"/>
  <c r="I327" i="5" s="1"/>
  <c r="J327" i="5" s="1"/>
  <c r="G328" i="5" l="1"/>
  <c r="E328" i="5"/>
  <c r="O327" i="5"/>
  <c r="BU54" i="5"/>
  <c r="BW54" i="5"/>
  <c r="BZ54" i="5" s="1"/>
  <c r="CJ54" i="5"/>
  <c r="BK54" i="5"/>
  <c r="BH55" i="5" s="1"/>
  <c r="CB54" i="5"/>
  <c r="F63" i="8"/>
  <c r="X271" i="5"/>
  <c r="N272" i="5"/>
  <c r="R272" i="5" s="1"/>
  <c r="CG54" i="5"/>
  <c r="BQ54" i="5"/>
  <c r="Q272" i="5" l="1"/>
  <c r="CP272" i="5"/>
  <c r="AC272" i="5" s="1"/>
  <c r="CN272" i="5"/>
  <c r="U277" i="5"/>
  <c r="CH54" i="5"/>
  <c r="CF54" i="5" s="1"/>
  <c r="BV54" i="5"/>
  <c r="CK54" i="5"/>
  <c r="CL54" i="5" s="1"/>
  <c r="AK271" i="5"/>
  <c r="T272" i="5"/>
  <c r="H328" i="5"/>
  <c r="AS55" i="5"/>
  <c r="AM55" i="5"/>
  <c r="I328" i="5"/>
  <c r="J328" i="5" s="1"/>
  <c r="G63" i="8" l="1"/>
  <c r="O328" i="5"/>
  <c r="G329" i="5"/>
  <c r="E329" i="5"/>
  <c r="BO55" i="5"/>
  <c r="BT55" i="5"/>
  <c r="E281" i="8"/>
  <c r="X272" i="5"/>
  <c r="AN55" i="5"/>
  <c r="V272" i="5"/>
  <c r="L273" i="5" s="1"/>
  <c r="AP55" i="5" l="1"/>
  <c r="AO55" i="5"/>
  <c r="H329" i="5"/>
  <c r="I329" i="5" s="1"/>
  <c r="J329" i="5" s="1"/>
  <c r="N273" i="5"/>
  <c r="R273" i="5" s="1"/>
  <c r="AK272" i="5"/>
  <c r="G330" i="5" l="1"/>
  <c r="E330" i="5"/>
  <c r="O329" i="5"/>
  <c r="AT55" i="5"/>
  <c r="AX55" i="5" s="1"/>
  <c r="U278" i="5"/>
  <c r="CP273" i="5"/>
  <c r="AC273" i="5" s="1"/>
  <c r="Q273" i="5"/>
  <c r="V273" i="5" s="1"/>
  <c r="L274" i="5" s="1"/>
  <c r="T273" i="5"/>
  <c r="N274" i="5" l="1"/>
  <c r="Q274" i="5" s="1"/>
  <c r="CN273" i="5"/>
  <c r="AU55" i="5"/>
  <c r="H330" i="5"/>
  <c r="I330" i="5" s="1"/>
  <c r="J330" i="5" s="1"/>
  <c r="E282" i="8"/>
  <c r="X273" i="5"/>
  <c r="T274" i="5" l="1"/>
  <c r="E331" i="5"/>
  <c r="O330" i="5"/>
  <c r="G331" i="5"/>
  <c r="AV55" i="5"/>
  <c r="R274" i="5"/>
  <c r="CN274" i="5" s="1"/>
  <c r="AK273" i="5"/>
  <c r="CP274" i="5"/>
  <c r="AC274" i="5" s="1"/>
  <c r="U279" i="5"/>
  <c r="V274" i="5" l="1"/>
  <c r="L275" i="5" s="1"/>
  <c r="X274" i="5"/>
  <c r="E283" i="8"/>
  <c r="N275" i="5"/>
  <c r="T275" i="5" s="1"/>
  <c r="AK274" i="5"/>
  <c r="AZ55" i="5"/>
  <c r="CC55" i="5"/>
  <c r="AW55" i="5"/>
  <c r="H331" i="5"/>
  <c r="I331" i="5" s="1"/>
  <c r="J331" i="5" s="1"/>
  <c r="E332" i="5" l="1"/>
  <c r="O331" i="5"/>
  <c r="G332" i="5"/>
  <c r="CP275" i="5"/>
  <c r="AC275" i="5" s="1"/>
  <c r="U280" i="5"/>
  <c r="BA55" i="5"/>
  <c r="BB55" i="5" s="1"/>
  <c r="R275" i="5"/>
  <c r="Q275" i="5"/>
  <c r="E284" i="8" l="1"/>
  <c r="X275" i="5"/>
  <c r="CN275" i="5"/>
  <c r="BC55" i="5"/>
  <c r="BI55" i="5" s="1"/>
  <c r="V275" i="5"/>
  <c r="L276" i="5" s="1"/>
  <c r="BE55" i="5"/>
  <c r="H332" i="5"/>
  <c r="I332" i="5" s="1"/>
  <c r="J332" i="5" s="1"/>
  <c r="E333" i="5" l="1"/>
  <c r="O332" i="5"/>
  <c r="G333" i="5"/>
  <c r="BD55" i="5"/>
  <c r="AK275" i="5"/>
  <c r="CJ55" i="5"/>
  <c r="BJ55" i="5"/>
  <c r="BK55" i="5" s="1"/>
  <c r="BH56" i="5" s="1"/>
  <c r="CD55" i="5"/>
  <c r="N276" i="5"/>
  <c r="Q276" i="5" s="1"/>
  <c r="BL55" i="5" l="1"/>
  <c r="CP276" i="5"/>
  <c r="AC276" i="5" s="1"/>
  <c r="U281" i="5"/>
  <c r="R276" i="5"/>
  <c r="V276" i="5" s="1"/>
  <c r="L277" i="5" s="1"/>
  <c r="CB55" i="5"/>
  <c r="F64" i="8"/>
  <c r="T276" i="5"/>
  <c r="H333" i="5"/>
  <c r="I333" i="5" s="1"/>
  <c r="J333" i="5" s="1"/>
  <c r="E334" i="5" l="1"/>
  <c r="O333" i="5"/>
  <c r="G334" i="5"/>
  <c r="N277" i="5"/>
  <c r="AS56" i="5"/>
  <c r="CN276" i="5"/>
  <c r="X276" i="5"/>
  <c r="E285" i="8"/>
  <c r="BP55" i="5"/>
  <c r="CP277" i="5" l="1"/>
  <c r="AC277" i="5" s="1"/>
  <c r="U282" i="5"/>
  <c r="CG55" i="5"/>
  <c r="BQ55" i="5"/>
  <c r="R277" i="5"/>
  <c r="Q277" i="5"/>
  <c r="BR55" i="5"/>
  <c r="AK276" i="5"/>
  <c r="T277" i="5"/>
  <c r="H334" i="5"/>
  <c r="I334" i="5" s="1"/>
  <c r="J334" i="5" s="1"/>
  <c r="V277" i="5" l="1"/>
  <c r="L278" i="5" s="1"/>
  <c r="E335" i="5"/>
  <c r="O334" i="5"/>
  <c r="G335" i="5"/>
  <c r="N278" i="5"/>
  <c r="BU55" i="5"/>
  <c r="BW55" i="5" s="1"/>
  <c r="BZ55" i="5" s="1"/>
  <c r="E286" i="8"/>
  <c r="X277" i="5"/>
  <c r="CN277" i="5"/>
  <c r="U283" i="5" l="1"/>
  <c r="CP278" i="5"/>
  <c r="AC278" i="5" s="1"/>
  <c r="R278" i="5"/>
  <c r="Q278" i="5"/>
  <c r="AK277" i="5"/>
  <c r="CH55" i="5"/>
  <c r="BV55" i="5"/>
  <c r="CK55" i="5"/>
  <c r="CL55" i="5" s="1"/>
  <c r="T278" i="5"/>
  <c r="H335" i="5"/>
  <c r="I335" i="5" s="1"/>
  <c r="J335" i="5" s="1"/>
  <c r="E336" i="5" l="1"/>
  <c r="O335" i="5"/>
  <c r="G336" i="5"/>
  <c r="E287" i="8"/>
  <c r="X278" i="5"/>
  <c r="CF55" i="5"/>
  <c r="G64" i="8"/>
  <c r="CN278" i="5"/>
  <c r="V278" i="5"/>
  <c r="L279" i="5" s="1"/>
  <c r="AK278" i="5" l="1"/>
  <c r="N279" i="5"/>
  <c r="BO56" i="5"/>
  <c r="BT56" i="5"/>
  <c r="AM56" i="5"/>
  <c r="H336" i="5"/>
  <c r="I336" i="5" s="1"/>
  <c r="J336" i="5" s="1"/>
  <c r="E337" i="5" l="1"/>
  <c r="O336" i="5"/>
  <c r="G337" i="5"/>
  <c r="CP279" i="5"/>
  <c r="AC279" i="5" s="1"/>
  <c r="U284" i="5"/>
  <c r="AN56" i="5"/>
  <c r="AO56" i="5" s="1"/>
  <c r="R279" i="5"/>
  <c r="Q279" i="5"/>
  <c r="T279" i="5"/>
  <c r="E288" i="8" l="1"/>
  <c r="X279" i="5"/>
  <c r="CN279" i="5"/>
  <c r="V279" i="5"/>
  <c r="L280" i="5" s="1"/>
  <c r="AP56" i="5"/>
  <c r="H337" i="5"/>
  <c r="I337" i="5" s="1"/>
  <c r="J337" i="5" s="1"/>
  <c r="G338" i="5" l="1"/>
  <c r="E338" i="5"/>
  <c r="O337" i="5"/>
  <c r="AK279" i="5"/>
  <c r="N280" i="5"/>
  <c r="T280" i="5" s="1"/>
  <c r="AT56" i="5"/>
  <c r="AX56" i="5" s="1"/>
  <c r="Q280" i="5" l="1"/>
  <c r="R280" i="5"/>
  <c r="AU56" i="5"/>
  <c r="H338" i="5"/>
  <c r="U285" i="5"/>
  <c r="CP280" i="5"/>
  <c r="AC280" i="5" s="1"/>
  <c r="I338" i="5"/>
  <c r="J338" i="5" s="1"/>
  <c r="G339" i="5" l="1"/>
  <c r="E339" i="5"/>
  <c r="O338" i="5"/>
  <c r="E289" i="8"/>
  <c r="X280" i="5"/>
  <c r="CN280" i="5"/>
  <c r="V280" i="5"/>
  <c r="L281" i="5" s="1"/>
  <c r="AV56" i="5"/>
  <c r="AW56" i="5" s="1"/>
  <c r="AK280" i="5" l="1"/>
  <c r="AZ56" i="5"/>
  <c r="CC56" i="5"/>
  <c r="H339" i="5"/>
  <c r="N281" i="5"/>
  <c r="I339" i="5"/>
  <c r="J339" i="5" s="1"/>
  <c r="G340" i="5" l="1"/>
  <c r="E340" i="5"/>
  <c r="O339" i="5"/>
  <c r="BA56" i="5"/>
  <c r="T281" i="5"/>
  <c r="R281" i="5"/>
  <c r="U286" i="5"/>
  <c r="CP281" i="5"/>
  <c r="AC281" i="5" s="1"/>
  <c r="Q281" i="5"/>
  <c r="BE56" i="5" l="1"/>
  <c r="BB56" i="5"/>
  <c r="E290" i="8"/>
  <c r="X281" i="5"/>
  <c r="V281" i="5"/>
  <c r="L282" i="5" s="1"/>
  <c r="CN281" i="5"/>
  <c r="H340" i="5"/>
  <c r="I340" i="5" s="1"/>
  <c r="J340" i="5" s="1"/>
  <c r="G341" i="5" l="1"/>
  <c r="E341" i="5"/>
  <c r="O340" i="5"/>
  <c r="N282" i="5"/>
  <c r="T282" i="5" s="1"/>
  <c r="BC56" i="5"/>
  <c r="AK281" i="5"/>
  <c r="BJ56" i="5"/>
  <c r="BL56" i="5" s="1"/>
  <c r="BP56" i="5" l="1"/>
  <c r="BR56" i="5" s="1"/>
  <c r="R282" i="5"/>
  <c r="Q282" i="5"/>
  <c r="V282" i="5" s="1"/>
  <c r="L283" i="5" s="1"/>
  <c r="BI56" i="5"/>
  <c r="CD56" i="5"/>
  <c r="BD56" i="5"/>
  <c r="H341" i="5"/>
  <c r="I341" i="5" s="1"/>
  <c r="J341" i="5" s="1"/>
  <c r="U287" i="5"/>
  <c r="CP282" i="5"/>
  <c r="AC282" i="5" s="1"/>
  <c r="N283" i="5" l="1"/>
  <c r="Q283" i="5" s="1"/>
  <c r="G342" i="5"/>
  <c r="E342" i="5"/>
  <c r="O341" i="5"/>
  <c r="CN282" i="5"/>
  <c r="CJ56" i="5"/>
  <c r="BK56" i="5"/>
  <c r="BH57" i="5" s="1"/>
  <c r="BU56" i="5"/>
  <c r="CB56" i="5"/>
  <c r="F65" i="8"/>
  <c r="E291" i="8"/>
  <c r="X282" i="5"/>
  <c r="CG56" i="5"/>
  <c r="BQ56" i="5"/>
  <c r="T283" i="5" l="1"/>
  <c r="H342" i="5"/>
  <c r="I342" i="5" s="1"/>
  <c r="J342" i="5" s="1"/>
  <c r="CH56" i="5"/>
  <c r="CF56" i="5" s="1"/>
  <c r="BV56" i="5"/>
  <c r="U288" i="5"/>
  <c r="CP283" i="5"/>
  <c r="AC283" i="5" s="1"/>
  <c r="BT57" i="5"/>
  <c r="AS57" i="5"/>
  <c r="BW56" i="5"/>
  <c r="BZ56" i="5" s="1"/>
  <c r="CK56" i="5" s="1"/>
  <c r="CL56" i="5" s="1"/>
  <c r="AK282" i="5"/>
  <c r="R283" i="5"/>
  <c r="E292" i="8" s="1"/>
  <c r="CN283" i="5" l="1"/>
  <c r="E343" i="5"/>
  <c r="G343" i="5"/>
  <c r="O342" i="5"/>
  <c r="G65" i="8"/>
  <c r="BO57" i="5"/>
  <c r="AM57" i="5"/>
  <c r="X283" i="5"/>
  <c r="V283" i="5"/>
  <c r="L284" i="5" s="1"/>
  <c r="AK283" i="5" l="1"/>
  <c r="N284" i="5"/>
  <c r="AN57" i="5"/>
  <c r="H343" i="5"/>
  <c r="I343" i="5" s="1"/>
  <c r="J343" i="5" s="1"/>
  <c r="E344" i="5" l="1"/>
  <c r="O343" i="5"/>
  <c r="G344" i="5"/>
  <c r="T284" i="5"/>
  <c r="R284" i="5"/>
  <c r="Q284" i="5"/>
  <c r="U289" i="5"/>
  <c r="CP284" i="5"/>
  <c r="AC284" i="5" s="1"/>
  <c r="AP57" i="5"/>
  <c r="AO57" i="5"/>
  <c r="X284" i="5" l="1"/>
  <c r="E293" i="8"/>
  <c r="AT57" i="5"/>
  <c r="AX57" i="5"/>
  <c r="V284" i="5"/>
  <c r="L285" i="5" s="1"/>
  <c r="CN284" i="5"/>
  <c r="H344" i="5"/>
  <c r="I344" i="5" s="1"/>
  <c r="J344" i="5" s="1"/>
  <c r="E345" i="5" l="1"/>
  <c r="G345" i="5"/>
  <c r="O344" i="5"/>
  <c r="N285" i="5"/>
  <c r="R285" i="5" s="1"/>
  <c r="AU57" i="5"/>
  <c r="AK284" i="5"/>
  <c r="Q285" i="5" l="1"/>
  <c r="U290" i="5"/>
  <c r="CN285" i="5"/>
  <c r="CP285" i="5"/>
  <c r="AC285" i="5" s="1"/>
  <c r="V285" i="5"/>
  <c r="L286" i="5" s="1"/>
  <c r="I345" i="5"/>
  <c r="J345" i="5" s="1"/>
  <c r="AV57" i="5"/>
  <c r="T285" i="5"/>
  <c r="H345" i="5"/>
  <c r="O345" i="5" l="1"/>
  <c r="G346" i="5"/>
  <c r="E346" i="5"/>
  <c r="CC57" i="5"/>
  <c r="AZ57" i="5"/>
  <c r="N286" i="5"/>
  <c r="AW57" i="5"/>
  <c r="E294" i="8"/>
  <c r="X285" i="5"/>
  <c r="H346" i="5" l="1"/>
  <c r="I346" i="5" s="1"/>
  <c r="J346" i="5" s="1"/>
  <c r="U291" i="5"/>
  <c r="CP286" i="5"/>
  <c r="AC286" i="5" s="1"/>
  <c r="AK285" i="5"/>
  <c r="R286" i="5"/>
  <c r="BA57" i="5"/>
  <c r="T286" i="5"/>
  <c r="Q286" i="5"/>
  <c r="E347" i="5" l="1"/>
  <c r="O346" i="5"/>
  <c r="G347" i="5"/>
  <c r="X286" i="5"/>
  <c r="E295" i="8"/>
  <c r="CN286" i="5"/>
  <c r="BE57" i="5"/>
  <c r="BB57" i="5"/>
  <c r="V286" i="5"/>
  <c r="L287" i="5" s="1"/>
  <c r="BC57" i="5" l="1"/>
  <c r="AK286" i="5"/>
  <c r="N287" i="5"/>
  <c r="BJ57" i="5"/>
  <c r="BL57" i="5" s="1"/>
  <c r="H347" i="5"/>
  <c r="I347" i="5" s="1"/>
  <c r="J347" i="5" s="1"/>
  <c r="BP57" i="5" l="1"/>
  <c r="G348" i="5"/>
  <c r="E348" i="5"/>
  <c r="O347" i="5"/>
  <c r="U292" i="5"/>
  <c r="CP287" i="5"/>
  <c r="AC287" i="5" s="1"/>
  <c r="R287" i="5"/>
  <c r="Q287" i="5"/>
  <c r="CN287" i="5" s="1"/>
  <c r="BI57" i="5"/>
  <c r="CD57" i="5"/>
  <c r="T287" i="5"/>
  <c r="BD57" i="5"/>
  <c r="CJ57" i="5" l="1"/>
  <c r="BK57" i="5"/>
  <c r="BH58" i="5" s="1"/>
  <c r="H348" i="5"/>
  <c r="I348" i="5" s="1"/>
  <c r="J348" i="5" s="1"/>
  <c r="E296" i="8"/>
  <c r="X287" i="5"/>
  <c r="CG57" i="5"/>
  <c r="BQ57" i="5"/>
  <c r="CB57" i="5"/>
  <c r="F66" i="8"/>
  <c r="V287" i="5"/>
  <c r="L288" i="5" s="1"/>
  <c r="BR57" i="5"/>
  <c r="AK287" i="5" l="1"/>
  <c r="AS58" i="5"/>
  <c r="BU57" i="5"/>
  <c r="BW57" i="5" s="1"/>
  <c r="BZ57" i="5" s="1"/>
  <c r="N288" i="5"/>
  <c r="Q288" i="5" s="1"/>
  <c r="G349" i="5"/>
  <c r="E349" i="5"/>
  <c r="O348" i="5"/>
  <c r="U293" i="5" l="1"/>
  <c r="CP288" i="5"/>
  <c r="AC288" i="5" s="1"/>
  <c r="CH57" i="5"/>
  <c r="BV57" i="5"/>
  <c r="CK57" i="5"/>
  <c r="CL57" i="5" s="1"/>
  <c r="T288" i="5"/>
  <c r="R288" i="5"/>
  <c r="X288" i="5" s="1"/>
  <c r="H349" i="5"/>
  <c r="I349" i="5" s="1"/>
  <c r="J349" i="5" s="1"/>
  <c r="CN288" i="5" l="1"/>
  <c r="V288" i="5"/>
  <c r="L289" i="5" s="1"/>
  <c r="E350" i="5"/>
  <c r="G350" i="5"/>
  <c r="O349" i="5"/>
  <c r="AK288" i="5"/>
  <c r="N289" i="5"/>
  <c r="Q289" i="5" s="1"/>
  <c r="E297" i="8"/>
  <c r="CF57" i="5"/>
  <c r="G66" i="8"/>
  <c r="BO58" i="5" l="1"/>
  <c r="AM58" i="5"/>
  <c r="BT58" i="5"/>
  <c r="U294" i="5"/>
  <c r="CP289" i="5"/>
  <c r="AC289" i="5" s="1"/>
  <c r="T289" i="5"/>
  <c r="R289" i="5"/>
  <c r="X289" i="5" s="1"/>
  <c r="H350" i="5"/>
  <c r="I350" i="5" s="1"/>
  <c r="J350" i="5" s="1"/>
  <c r="E351" i="5" l="1"/>
  <c r="O350" i="5"/>
  <c r="G351" i="5"/>
  <c r="AK289" i="5"/>
  <c r="V289" i="5"/>
  <c r="L290" i="5" s="1"/>
  <c r="CN289" i="5"/>
  <c r="AN58" i="5"/>
  <c r="AO58" i="5" s="1"/>
  <c r="E298" i="8"/>
  <c r="N290" i="5" l="1"/>
  <c r="R290" i="5" s="1"/>
  <c r="AP58" i="5"/>
  <c r="H351" i="5"/>
  <c r="I351" i="5" s="1"/>
  <c r="J351" i="5" s="1"/>
  <c r="G352" i="5" l="1"/>
  <c r="E352" i="5"/>
  <c r="O351" i="5"/>
  <c r="U295" i="5"/>
  <c r="CP290" i="5"/>
  <c r="AC290" i="5" s="1"/>
  <c r="T290" i="5"/>
  <c r="AT58" i="5"/>
  <c r="Q290" i="5"/>
  <c r="V290" i="5" s="1"/>
  <c r="L291" i="5" s="1"/>
  <c r="CN290" i="5" l="1"/>
  <c r="N291" i="5"/>
  <c r="AU58" i="5"/>
  <c r="E299" i="8"/>
  <c r="X290" i="5"/>
  <c r="AX58" i="5"/>
  <c r="H352" i="5"/>
  <c r="I352" i="5" s="1"/>
  <c r="J352" i="5" s="1"/>
  <c r="G353" i="5" l="1"/>
  <c r="E353" i="5"/>
  <c r="O352" i="5"/>
  <c r="AV58" i="5"/>
  <c r="AW58" i="5" s="1"/>
  <c r="AK290" i="5"/>
  <c r="U296" i="5"/>
  <c r="CP291" i="5"/>
  <c r="AC291" i="5" s="1"/>
  <c r="AZ58" i="5"/>
  <c r="T291" i="5"/>
  <c r="R291" i="5"/>
  <c r="Q291" i="5"/>
  <c r="V291" i="5" s="1"/>
  <c r="L292" i="5" s="1"/>
  <c r="N292" i="5" l="1"/>
  <c r="Q292" i="5" s="1"/>
  <c r="CN291" i="5"/>
  <c r="CC58" i="5"/>
  <c r="BA58" i="5"/>
  <c r="H353" i="5"/>
  <c r="X291" i="5"/>
  <c r="E300" i="8"/>
  <c r="I353" i="5"/>
  <c r="J353" i="5" s="1"/>
  <c r="BE58" i="5" l="1"/>
  <c r="E354" i="5"/>
  <c r="G354" i="5"/>
  <c r="O353" i="5"/>
  <c r="T292" i="5"/>
  <c r="R292" i="5"/>
  <c r="E301" i="8" s="1"/>
  <c r="U297" i="5"/>
  <c r="CP292" i="5"/>
  <c r="AC292" i="5" s="1"/>
  <c r="AK291" i="5"/>
  <c r="BB58" i="5"/>
  <c r="CN292" i="5" l="1"/>
  <c r="H354" i="5"/>
  <c r="I354" i="5" s="1"/>
  <c r="J354" i="5" s="1"/>
  <c r="BJ58" i="5"/>
  <c r="BL58" i="5" s="1"/>
  <c r="X292" i="5"/>
  <c r="V292" i="5"/>
  <c r="L293" i="5" s="1"/>
  <c r="BC58" i="5"/>
  <c r="BD58" i="5" s="1"/>
  <c r="BP58" i="5" l="1"/>
  <c r="BR58" i="5" s="1"/>
  <c r="O354" i="5"/>
  <c r="G355" i="5"/>
  <c r="E355" i="5"/>
  <c r="AK292" i="5"/>
  <c r="N293" i="5"/>
  <c r="BI58" i="5"/>
  <c r="CD58" i="5"/>
  <c r="BU58" i="5" l="1"/>
  <c r="BW58" i="5"/>
  <c r="BZ58" i="5" s="1"/>
  <c r="U298" i="5"/>
  <c r="CP293" i="5"/>
  <c r="AC293" i="5" s="1"/>
  <c r="CJ58" i="5"/>
  <c r="BK58" i="5"/>
  <c r="BH59" i="5" s="1"/>
  <c r="CB58" i="5"/>
  <c r="F67" i="8"/>
  <c r="H355" i="5"/>
  <c r="I355" i="5" s="1"/>
  <c r="J355" i="5" s="1"/>
  <c r="T293" i="5"/>
  <c r="Q293" i="5"/>
  <c r="CN293" i="5" s="1"/>
  <c r="R293" i="5"/>
  <c r="CG58" i="5"/>
  <c r="BQ58" i="5"/>
  <c r="O355" i="5" l="1"/>
  <c r="E356" i="5"/>
  <c r="G356" i="5"/>
  <c r="X293" i="5"/>
  <c r="E302" i="8"/>
  <c r="V293" i="5"/>
  <c r="L294" i="5" s="1"/>
  <c r="G67" i="8"/>
  <c r="BT59" i="5"/>
  <c r="AS59" i="5"/>
  <c r="CH58" i="5"/>
  <c r="CF58" i="5" s="1"/>
  <c r="AM59" i="5" s="1"/>
  <c r="BV58" i="5"/>
  <c r="CK58" i="5"/>
  <c r="CL58" i="5" s="1"/>
  <c r="AK293" i="5" l="1"/>
  <c r="N294" i="5"/>
  <c r="BO59" i="5"/>
  <c r="H356" i="5"/>
  <c r="I356" i="5" s="1"/>
  <c r="J356" i="5" s="1"/>
  <c r="AN59" i="5"/>
  <c r="AO59" i="5" s="1"/>
  <c r="E357" i="5" l="1"/>
  <c r="G357" i="5"/>
  <c r="O356" i="5"/>
  <c r="U299" i="5"/>
  <c r="CP294" i="5"/>
  <c r="AC294" i="5" s="1"/>
  <c r="R294" i="5"/>
  <c r="Q294" i="5"/>
  <c r="AP59" i="5"/>
  <c r="T294" i="5"/>
  <c r="CN294" i="5" l="1"/>
  <c r="AT59" i="5"/>
  <c r="E303" i="8"/>
  <c r="X294" i="5"/>
  <c r="V294" i="5"/>
  <c r="L295" i="5" s="1"/>
  <c r="H357" i="5"/>
  <c r="I357" i="5" s="1"/>
  <c r="J357" i="5" s="1"/>
  <c r="G358" i="5" l="1"/>
  <c r="E358" i="5"/>
  <c r="O357" i="5"/>
  <c r="AK294" i="5"/>
  <c r="N295" i="5"/>
  <c r="T295" i="5" s="1"/>
  <c r="AU59" i="5"/>
  <c r="AX59" i="5"/>
  <c r="Q295" i="5" l="1"/>
  <c r="V295" i="5" s="1"/>
  <c r="L296" i="5" s="1"/>
  <c r="R295" i="5"/>
  <c r="AV59" i="5"/>
  <c r="AW59" i="5" s="1"/>
  <c r="H358" i="5"/>
  <c r="I358" i="5" s="1"/>
  <c r="J358" i="5" s="1"/>
  <c r="U300" i="5"/>
  <c r="CP295" i="5"/>
  <c r="AC295" i="5" s="1"/>
  <c r="CN295" i="5"/>
  <c r="AZ59" i="5" l="1"/>
  <c r="BA59" i="5" s="1"/>
  <c r="BB59" i="5" s="1"/>
  <c r="E359" i="5"/>
  <c r="G359" i="5"/>
  <c r="O358" i="5"/>
  <c r="N296" i="5"/>
  <c r="Q296" i="5" s="1"/>
  <c r="CC59" i="5"/>
  <c r="E304" i="8"/>
  <c r="X295" i="5"/>
  <c r="BC59" i="5" l="1"/>
  <c r="CP296" i="5"/>
  <c r="AC296" i="5" s="1"/>
  <c r="U301" i="5"/>
  <c r="R296" i="5"/>
  <c r="V296" i="5" s="1"/>
  <c r="L297" i="5" s="1"/>
  <c r="BE59" i="5"/>
  <c r="AK295" i="5"/>
  <c r="T296" i="5"/>
  <c r="H359" i="5"/>
  <c r="I359" i="5" s="1"/>
  <c r="J359" i="5" s="1"/>
  <c r="X296" i="5" l="1"/>
  <c r="E305" i="8"/>
  <c r="G360" i="5"/>
  <c r="E360" i="5"/>
  <c r="O359" i="5"/>
  <c r="BJ59" i="5"/>
  <c r="CN296" i="5"/>
  <c r="AK296" i="5"/>
  <c r="N297" i="5"/>
  <c r="Q297" i="5" s="1"/>
  <c r="BI59" i="5"/>
  <c r="CD59" i="5"/>
  <c r="BD59" i="5"/>
  <c r="U302" i="5" l="1"/>
  <c r="CP297" i="5"/>
  <c r="AC297" i="5" s="1"/>
  <c r="H360" i="5"/>
  <c r="I360" i="5"/>
  <c r="J360" i="5" s="1"/>
  <c r="BL59" i="5"/>
  <c r="R297" i="5"/>
  <c r="E306" i="8" s="1"/>
  <c r="CB59" i="5"/>
  <c r="F68" i="8"/>
  <c r="CJ59" i="5"/>
  <c r="BK59" i="5"/>
  <c r="BH60" i="5" s="1"/>
  <c r="T297" i="5"/>
  <c r="CN297" i="5" l="1"/>
  <c r="E361" i="5"/>
  <c r="O360" i="5"/>
  <c r="G361" i="5"/>
  <c r="AS60" i="5"/>
  <c r="BP59" i="5"/>
  <c r="BR59" i="5" s="1"/>
  <c r="X297" i="5"/>
  <c r="V297" i="5"/>
  <c r="L298" i="5" s="1"/>
  <c r="CG59" i="5" l="1"/>
  <c r="BQ59" i="5"/>
  <c r="H361" i="5"/>
  <c r="I361" i="5" s="1"/>
  <c r="J361" i="5" s="1"/>
  <c r="N298" i="5"/>
  <c r="Q298" i="5" s="1"/>
  <c r="AK297" i="5"/>
  <c r="BU59" i="5"/>
  <c r="T298" i="5" l="1"/>
  <c r="R298" i="5"/>
  <c r="X298" i="5" s="1"/>
  <c r="V298" i="5"/>
  <c r="L299" i="5" s="1"/>
  <c r="O361" i="5"/>
  <c r="G362" i="5"/>
  <c r="E362" i="5"/>
  <c r="CH59" i="5"/>
  <c r="CF59" i="5" s="1"/>
  <c r="BV59" i="5"/>
  <c r="BW59" i="5"/>
  <c r="BZ59" i="5" s="1"/>
  <c r="CK59" i="5" s="1"/>
  <c r="CL59" i="5" s="1"/>
  <c r="CN298" i="5"/>
  <c r="U303" i="5"/>
  <c r="CP298" i="5"/>
  <c r="AC298" i="5" s="1"/>
  <c r="E307" i="8" l="1"/>
  <c r="H362" i="5"/>
  <c r="I362" i="5" s="1"/>
  <c r="J362" i="5" s="1"/>
  <c r="N299" i="5"/>
  <c r="Q299" i="5" s="1"/>
  <c r="BO60" i="5"/>
  <c r="BT60" i="5"/>
  <c r="AM60" i="5"/>
  <c r="G68" i="8"/>
  <c r="AK298" i="5"/>
  <c r="E363" i="5" l="1"/>
  <c r="O362" i="5"/>
  <c r="G363" i="5"/>
  <c r="AN60" i="5"/>
  <c r="AO60" i="5" s="1"/>
  <c r="U304" i="5"/>
  <c r="CP299" i="5"/>
  <c r="AC299" i="5" s="1"/>
  <c r="R299" i="5"/>
  <c r="T299" i="5"/>
  <c r="E308" i="8" l="1"/>
  <c r="V299" i="5"/>
  <c r="L300" i="5" s="1"/>
  <c r="H363" i="5"/>
  <c r="I363" i="5" s="1"/>
  <c r="J363" i="5" s="1"/>
  <c r="X299" i="5"/>
  <c r="CN299" i="5"/>
  <c r="AP60" i="5"/>
  <c r="O363" i="5" l="1"/>
  <c r="G364" i="5"/>
  <c r="E364" i="5"/>
  <c r="N300" i="5"/>
  <c r="AK299" i="5"/>
  <c r="AT60" i="5"/>
  <c r="AX60" i="5" s="1"/>
  <c r="R300" i="5" l="1"/>
  <c r="Q300" i="5"/>
  <c r="CN300" i="5" s="1"/>
  <c r="AU60" i="5"/>
  <c r="H364" i="5"/>
  <c r="I364" i="5" s="1"/>
  <c r="J364" i="5" s="1"/>
  <c r="U305" i="5"/>
  <c r="CP300" i="5"/>
  <c r="AC300" i="5" s="1"/>
  <c r="T300" i="5"/>
  <c r="O364" i="5" l="1"/>
  <c r="G365" i="5"/>
  <c r="E365" i="5"/>
  <c r="AV60" i="5"/>
  <c r="E309" i="8"/>
  <c r="X300" i="5"/>
  <c r="V300" i="5"/>
  <c r="L301" i="5" s="1"/>
  <c r="AK300" i="5" l="1"/>
  <c r="CC60" i="5"/>
  <c r="AZ60" i="5"/>
  <c r="AW60" i="5"/>
  <c r="H365" i="5"/>
  <c r="I365" i="5" s="1"/>
  <c r="J365" i="5" s="1"/>
  <c r="N301" i="5"/>
  <c r="O365" i="5" l="1"/>
  <c r="E366" i="5"/>
  <c r="BA60" i="5"/>
  <c r="U306" i="5"/>
  <c r="CP301" i="5"/>
  <c r="AC301" i="5" s="1"/>
  <c r="T301" i="5"/>
  <c r="R301" i="5"/>
  <c r="Q301" i="5"/>
  <c r="X301" i="5" l="1"/>
  <c r="E310" i="8"/>
  <c r="BE60" i="5"/>
  <c r="BB60" i="5"/>
  <c r="CN301" i="5"/>
  <c r="H366" i="5"/>
  <c r="G366" i="5" s="1"/>
  <c r="I366" i="5" s="1"/>
  <c r="J366" i="5" s="1"/>
  <c r="O366" i="5" s="1"/>
  <c r="V301" i="5"/>
  <c r="L302" i="5" s="1"/>
  <c r="N302" i="5" l="1"/>
  <c r="T302" i="5" s="1"/>
  <c r="BC60" i="5"/>
  <c r="BJ60" i="5"/>
  <c r="BL60" i="5" s="1"/>
  <c r="AK301" i="5"/>
  <c r="BP60" i="5" l="1"/>
  <c r="BR60" i="5" s="1"/>
  <c r="BI60" i="5"/>
  <c r="CD60" i="5"/>
  <c r="U307" i="5"/>
  <c r="CP302" i="5"/>
  <c r="AC302" i="5" s="1"/>
  <c r="R302" i="5"/>
  <c r="BD60" i="5"/>
  <c r="Q302" i="5"/>
  <c r="CN302" i="5" s="1"/>
  <c r="CJ60" i="5" l="1"/>
  <c r="BK60" i="5"/>
  <c r="BH61" i="5" s="1"/>
  <c r="E311" i="8"/>
  <c r="X302" i="5"/>
  <c r="BU60" i="5"/>
  <c r="BW60" i="5" s="1"/>
  <c r="BZ60" i="5" s="1"/>
  <c r="V302" i="5"/>
  <c r="L303" i="5" s="1"/>
  <c r="CB60" i="5"/>
  <c r="F69" i="8"/>
  <c r="CG60" i="5"/>
  <c r="BQ60" i="5"/>
  <c r="AK302" i="5" l="1"/>
  <c r="CH60" i="5"/>
  <c r="CF60" i="5" s="1"/>
  <c r="BV60" i="5"/>
  <c r="CK60" i="5"/>
  <c r="CL60" i="5" s="1"/>
  <c r="G69" i="8"/>
  <c r="BT61" i="5"/>
  <c r="AS61" i="5"/>
  <c r="AM61" i="5"/>
  <c r="N303" i="5"/>
  <c r="T303" i="5" s="1"/>
  <c r="R303" i="5" l="1"/>
  <c r="Q303" i="5"/>
  <c r="X303" i="5" s="1"/>
  <c r="AN61" i="5"/>
  <c r="AO61" i="5" s="1"/>
  <c r="BO61" i="5"/>
  <c r="E312" i="8"/>
  <c r="U308" i="5"/>
  <c r="CP303" i="5"/>
  <c r="AC303" i="5" s="1"/>
  <c r="CN303" i="5"/>
  <c r="V303" i="5" l="1"/>
  <c r="L304" i="5" s="1"/>
  <c r="AK303" i="5"/>
  <c r="AP61" i="5"/>
  <c r="N304" i="5" l="1"/>
  <c r="R304" i="5" s="1"/>
  <c r="AT61" i="5"/>
  <c r="T304" i="5" l="1"/>
  <c r="Q304" i="5"/>
  <c r="CN304" i="5" s="1"/>
  <c r="V304" i="5"/>
  <c r="L305" i="5" s="1"/>
  <c r="U309" i="5"/>
  <c r="CP304" i="5"/>
  <c r="AC304" i="5" s="1"/>
  <c r="AU61" i="5"/>
  <c r="AX61" i="5"/>
  <c r="N305" i="5" l="1"/>
  <c r="T305" i="5" s="1"/>
  <c r="X304" i="5"/>
  <c r="AK304" i="5" s="1"/>
  <c r="E313" i="8"/>
  <c r="AV61" i="5"/>
  <c r="AW61" i="5" s="1"/>
  <c r="Q305" i="5" l="1"/>
  <c r="CP305" i="5"/>
  <c r="AC305" i="5" s="1"/>
  <c r="R305" i="5"/>
  <c r="U310" i="5"/>
  <c r="CC61" i="5"/>
  <c r="AZ61" i="5"/>
  <c r="CN305" i="5" l="1"/>
  <c r="V305" i="5"/>
  <c r="L306" i="5" s="1"/>
  <c r="N306" i="5" s="1"/>
  <c r="CP306" i="5" s="1"/>
  <c r="AC306" i="5" s="1"/>
  <c r="E314" i="8"/>
  <c r="X305" i="5"/>
  <c r="AK305" i="5" s="1"/>
  <c r="BA61" i="5"/>
  <c r="U311" i="5"/>
  <c r="R306" i="5" l="1"/>
  <c r="T306" i="5"/>
  <c r="Q306" i="5"/>
  <c r="V306" i="5" s="1"/>
  <c r="L307" i="5" s="1"/>
  <c r="BE61" i="5"/>
  <c r="BB61" i="5"/>
  <c r="X306" i="5" l="1"/>
  <c r="CN306" i="5"/>
  <c r="E315" i="8"/>
  <c r="AK306" i="5"/>
  <c r="BC61" i="5"/>
  <c r="BJ61" i="5"/>
  <c r="BL61" i="5" s="1"/>
  <c r="N307" i="5"/>
  <c r="U312" i="5" l="1"/>
  <c r="CP307" i="5"/>
  <c r="AC307" i="5" s="1"/>
  <c r="Q307" i="5"/>
  <c r="T307" i="5"/>
  <c r="BP61" i="5"/>
  <c r="BR61" i="5" s="1"/>
  <c r="BI61" i="5"/>
  <c r="CD61" i="5"/>
  <c r="BD61" i="5"/>
  <c r="R307" i="5"/>
  <c r="BU61" i="5" l="1"/>
  <c r="BW61" i="5" s="1"/>
  <c r="BZ61" i="5" s="1"/>
  <c r="CJ61" i="5"/>
  <c r="BK61" i="5"/>
  <c r="BH62" i="5" s="1"/>
  <c r="E316" i="8"/>
  <c r="X307" i="5"/>
  <c r="V307" i="5"/>
  <c r="L308" i="5" s="1"/>
  <c r="CN307" i="5"/>
  <c r="CG61" i="5"/>
  <c r="BQ61" i="5"/>
  <c r="CB61" i="5"/>
  <c r="F70" i="8"/>
  <c r="CK61" i="5" l="1"/>
  <c r="N308" i="5"/>
  <c r="BT62" i="5"/>
  <c r="AS62" i="5"/>
  <c r="AM62" i="5"/>
  <c r="CL61" i="5"/>
  <c r="G70" i="8"/>
  <c r="AK307" i="5"/>
  <c r="CH61" i="5"/>
  <c r="CF61" i="5" s="1"/>
  <c r="BV61" i="5"/>
  <c r="CP308" i="5" l="1"/>
  <c r="AC308" i="5" s="1"/>
  <c r="U313" i="5"/>
  <c r="Q308" i="5"/>
  <c r="AN62" i="5"/>
  <c r="T308" i="5"/>
  <c r="BO62" i="5"/>
  <c r="R308" i="5"/>
  <c r="E317" i="8" l="1"/>
  <c r="X308" i="5"/>
  <c r="AP62" i="5"/>
  <c r="CN308" i="5"/>
  <c r="AO62" i="5"/>
  <c r="V308" i="5"/>
  <c r="L309" i="5" s="1"/>
  <c r="AT62" i="5" l="1"/>
  <c r="AX62" i="5" s="1"/>
  <c r="N309" i="5"/>
  <c r="R309" i="5" s="1"/>
  <c r="AK308" i="5"/>
  <c r="T309" i="5" l="1"/>
  <c r="Q309" i="5"/>
  <c r="U314" i="5"/>
  <c r="CP309" i="5"/>
  <c r="AC309" i="5" s="1"/>
  <c r="CN309" i="5"/>
  <c r="AU62" i="5"/>
  <c r="E318" i="8" l="1"/>
  <c r="X309" i="5"/>
  <c r="AV62" i="5"/>
  <c r="V309" i="5"/>
  <c r="L310" i="5" s="1"/>
  <c r="CC62" i="5" l="1"/>
  <c r="AZ62" i="5"/>
  <c r="AW62" i="5"/>
  <c r="AK309" i="5"/>
  <c r="N310" i="5"/>
  <c r="Q310" i="5" s="1"/>
  <c r="T310" i="5" l="1"/>
  <c r="R310" i="5"/>
  <c r="V310" i="5" s="1"/>
  <c r="L311" i="5" s="1"/>
  <c r="E319" i="8"/>
  <c r="BA62" i="5"/>
  <c r="U315" i="5"/>
  <c r="CP310" i="5"/>
  <c r="AC310" i="5" s="1"/>
  <c r="CN310" i="5"/>
  <c r="X310" i="5" l="1"/>
  <c r="BE62" i="5"/>
  <c r="BB62" i="5"/>
  <c r="N311" i="5"/>
  <c r="Q311" i="5" s="1"/>
  <c r="AK310" i="5"/>
  <c r="CP311" i="5" l="1"/>
  <c r="AC311" i="5" s="1"/>
  <c r="U316" i="5"/>
  <c r="BC62" i="5"/>
  <c r="BD62" i="5" s="1"/>
  <c r="BJ62" i="5"/>
  <c r="BL62" i="5" s="1"/>
  <c r="R311" i="5"/>
  <c r="V311" i="5"/>
  <c r="L312" i="5" s="1"/>
  <c r="T311" i="5"/>
  <c r="E320" i="8" l="1"/>
  <c r="CN311" i="5"/>
  <c r="BP62" i="5"/>
  <c r="BR62" i="5" s="1"/>
  <c r="BI62" i="5"/>
  <c r="CD62" i="5"/>
  <c r="N312" i="5"/>
  <c r="X311" i="5"/>
  <c r="U317" i="5" l="1"/>
  <c r="CP312" i="5"/>
  <c r="AC312" i="5" s="1"/>
  <c r="R312" i="5"/>
  <c r="CJ62" i="5"/>
  <c r="BK62" i="5"/>
  <c r="BH63" i="5" s="1"/>
  <c r="T312" i="5"/>
  <c r="BU62" i="5"/>
  <c r="BW62" i="5" s="1"/>
  <c r="BZ62" i="5" s="1"/>
  <c r="AK311" i="5"/>
  <c r="CB62" i="5"/>
  <c r="F71" i="8"/>
  <c r="Q312" i="5"/>
  <c r="V312" i="5" s="1"/>
  <c r="L313" i="5" s="1"/>
  <c r="CG62" i="5"/>
  <c r="BQ62" i="5"/>
  <c r="N313" i="5" l="1"/>
  <c r="Q313" i="5" s="1"/>
  <c r="BT63" i="5"/>
  <c r="AS63" i="5"/>
  <c r="E321" i="8"/>
  <c r="X312" i="5"/>
  <c r="CN312" i="5"/>
  <c r="CH62" i="5"/>
  <c r="CF62" i="5" s="1"/>
  <c r="AM63" i="5" s="1"/>
  <c r="BV62" i="5"/>
  <c r="CK62" i="5"/>
  <c r="CL62" i="5" s="1"/>
  <c r="T313" i="5" l="1"/>
  <c r="R313" i="5"/>
  <c r="V313" i="5" s="1"/>
  <c r="L314" i="5" s="1"/>
  <c r="N314" i="5" s="1"/>
  <c r="T314" i="5" s="1"/>
  <c r="AK312" i="5"/>
  <c r="BO63" i="5"/>
  <c r="G71" i="8"/>
  <c r="AN63" i="5"/>
  <c r="E322" i="8"/>
  <c r="CP313" i="5"/>
  <c r="AC313" i="5" s="1"/>
  <c r="U318" i="5"/>
  <c r="CN313" i="5" l="1"/>
  <c r="X313" i="5"/>
  <c r="AK313" i="5" s="1"/>
  <c r="R314" i="5"/>
  <c r="AP63" i="5"/>
  <c r="Q314" i="5"/>
  <c r="U319" i="5"/>
  <c r="CP314" i="5"/>
  <c r="AC314" i="5" s="1"/>
  <c r="AO63" i="5"/>
  <c r="E323" i="8" l="1"/>
  <c r="X314" i="5"/>
  <c r="V314" i="5"/>
  <c r="L315" i="5" s="1"/>
  <c r="AT63" i="5"/>
  <c r="CN314" i="5"/>
  <c r="N315" i="5" l="1"/>
  <c r="Q315" i="5" s="1"/>
  <c r="AU63" i="5"/>
  <c r="AK314" i="5"/>
  <c r="AX63" i="5"/>
  <c r="T315" i="5" l="1"/>
  <c r="AV63" i="5"/>
  <c r="AW63" i="5" s="1"/>
  <c r="R315" i="5"/>
  <c r="E324" i="8" s="1"/>
  <c r="CP315" i="5"/>
  <c r="AC315" i="5" s="1"/>
  <c r="U320" i="5"/>
  <c r="CN315" i="5" l="1"/>
  <c r="CC63" i="5"/>
  <c r="AZ63" i="5"/>
  <c r="X315" i="5"/>
  <c r="V315" i="5"/>
  <c r="L316" i="5" s="1"/>
  <c r="AK315" i="5" l="1"/>
  <c r="N316" i="5"/>
  <c r="R316" i="5" s="1"/>
  <c r="BA63" i="5"/>
  <c r="Q316" i="5" l="1"/>
  <c r="V316" i="5" s="1"/>
  <c r="L317" i="5" s="1"/>
  <c r="T316" i="5"/>
  <c r="CN316" i="5"/>
  <c r="U321" i="5"/>
  <c r="CP316" i="5"/>
  <c r="AC316" i="5" s="1"/>
  <c r="BE63" i="5"/>
  <c r="BB63" i="5"/>
  <c r="N317" i="5" l="1"/>
  <c r="R317" i="5" s="1"/>
  <c r="BC63" i="5"/>
  <c r="BJ63" i="5"/>
  <c r="BL63" i="5" s="1"/>
  <c r="E325" i="8"/>
  <c r="X316" i="5"/>
  <c r="T317" i="5" l="1"/>
  <c r="AK316" i="5"/>
  <c r="U322" i="5"/>
  <c r="CP317" i="5"/>
  <c r="AC317" i="5" s="1"/>
  <c r="BI63" i="5"/>
  <c r="CD63" i="5"/>
  <c r="BD63" i="5"/>
  <c r="BP63" i="5"/>
  <c r="Q317" i="5"/>
  <c r="CN317" i="5" s="1"/>
  <c r="V317" i="5" l="1"/>
  <c r="L318" i="5" s="1"/>
  <c r="CB63" i="5"/>
  <c r="F72" i="8"/>
  <c r="CJ63" i="5"/>
  <c r="BK63" i="5"/>
  <c r="BH64" i="5" s="1"/>
  <c r="CG63" i="5"/>
  <c r="BQ63" i="5"/>
  <c r="E326" i="8"/>
  <c r="X317" i="5"/>
  <c r="BR63" i="5"/>
  <c r="BU63" i="5" l="1"/>
  <c r="BW63" i="5" s="1"/>
  <c r="BZ63" i="5" s="1"/>
  <c r="AS64" i="5"/>
  <c r="AK317" i="5"/>
  <c r="N318" i="5"/>
  <c r="U323" i="5" l="1"/>
  <c r="CP318" i="5"/>
  <c r="AC318" i="5" s="1"/>
  <c r="R318" i="5"/>
  <c r="Q318" i="5"/>
  <c r="T318" i="5"/>
  <c r="CH63" i="5"/>
  <c r="BV63" i="5"/>
  <c r="CK63" i="5"/>
  <c r="CL63" i="5" s="1"/>
  <c r="CF63" i="5" l="1"/>
  <c r="G72" i="8"/>
  <c r="E327" i="8"/>
  <c r="X318" i="5"/>
  <c r="V318" i="5"/>
  <c r="L319" i="5" s="1"/>
  <c r="CN318" i="5"/>
  <c r="N319" i="5" l="1"/>
  <c r="Q319" i="5" s="1"/>
  <c r="AK318" i="5"/>
  <c r="BO64" i="5"/>
  <c r="AM64" i="5"/>
  <c r="BT64" i="5"/>
  <c r="T319" i="5" l="1"/>
  <c r="U324" i="5"/>
  <c r="CP319" i="5"/>
  <c r="AC319" i="5" s="1"/>
  <c r="AN64" i="5"/>
  <c r="R319" i="5"/>
  <c r="E328" i="8" s="1"/>
  <c r="CN319" i="5" l="1"/>
  <c r="AP64" i="5"/>
  <c r="V319" i="5"/>
  <c r="L320" i="5" s="1"/>
  <c r="AO64" i="5"/>
  <c r="X319" i="5"/>
  <c r="AK319" i="5" l="1"/>
  <c r="N320" i="5"/>
  <c r="AT64" i="5"/>
  <c r="AX64" i="5" s="1"/>
  <c r="U325" i="5" l="1"/>
  <c r="CP320" i="5"/>
  <c r="AC320" i="5" s="1"/>
  <c r="T320" i="5"/>
  <c r="R320" i="5"/>
  <c r="Q320" i="5"/>
  <c r="AU64" i="5"/>
  <c r="V320" i="5" l="1"/>
  <c r="L321" i="5" s="1"/>
  <c r="N321" i="5"/>
  <c r="Q321" i="5" s="1"/>
  <c r="AV64" i="5"/>
  <c r="X320" i="5"/>
  <c r="E329" i="8"/>
  <c r="CN320" i="5"/>
  <c r="T321" i="5" l="1"/>
  <c r="R321" i="5"/>
  <c r="AZ64" i="5"/>
  <c r="CC64" i="5"/>
  <c r="AW64" i="5"/>
  <c r="U326" i="5"/>
  <c r="CP321" i="5"/>
  <c r="AC321" i="5" s="1"/>
  <c r="CN321" i="5"/>
  <c r="AK320" i="5"/>
  <c r="E330" i="8" l="1"/>
  <c r="V321" i="5"/>
  <c r="L322" i="5" s="1"/>
  <c r="N322" i="5"/>
  <c r="T322" i="5" s="1"/>
  <c r="X321" i="5"/>
  <c r="BA64" i="5"/>
  <c r="BB64" i="5" s="1"/>
  <c r="BC64" i="5" l="1"/>
  <c r="BI64" i="5" s="1"/>
  <c r="Q322" i="5"/>
  <c r="U327" i="5"/>
  <c r="CP322" i="5"/>
  <c r="AC322" i="5" s="1"/>
  <c r="R322" i="5"/>
  <c r="CN322" i="5" s="1"/>
  <c r="BE64" i="5"/>
  <c r="AK321" i="5"/>
  <c r="X322" i="5" l="1"/>
  <c r="E331" i="8"/>
  <c r="V322" i="5"/>
  <c r="L323" i="5" s="1"/>
  <c r="BJ64" i="5"/>
  <c r="BK64" i="5" s="1"/>
  <c r="BH65" i="5" s="1"/>
  <c r="CJ64" i="5"/>
  <c r="CD64" i="5"/>
  <c r="BD64" i="5"/>
  <c r="BL64" i="5" l="1"/>
  <c r="N323" i="5"/>
  <c r="CB64" i="5"/>
  <c r="F73" i="8"/>
  <c r="AK322" i="5"/>
  <c r="U328" i="5" l="1"/>
  <c r="CP323" i="5"/>
  <c r="AC323" i="5" s="1"/>
  <c r="BP64" i="5"/>
  <c r="Q323" i="5"/>
  <c r="R323" i="5"/>
  <c r="AS65" i="5"/>
  <c r="T323" i="5"/>
  <c r="E332" i="8" l="1"/>
  <c r="X323" i="5"/>
  <c r="CG64" i="5"/>
  <c r="BQ64" i="5"/>
  <c r="BR64" i="5"/>
  <c r="CN323" i="5"/>
  <c r="V323" i="5"/>
  <c r="L324" i="5" s="1"/>
  <c r="BU64" i="5" l="1"/>
  <c r="BW64" i="5" s="1"/>
  <c r="BZ64" i="5" s="1"/>
  <c r="N324" i="5"/>
  <c r="R324" i="5" s="1"/>
  <c r="AK323" i="5"/>
  <c r="T324" i="5" l="1"/>
  <c r="U329" i="5"/>
  <c r="CP324" i="5"/>
  <c r="AC324" i="5" s="1"/>
  <c r="Q324" i="5"/>
  <c r="CH64" i="5"/>
  <c r="BV64" i="5"/>
  <c r="CK64" i="5"/>
  <c r="CL64" i="5" s="1"/>
  <c r="X324" i="5" l="1"/>
  <c r="E333" i="8"/>
  <c r="CF64" i="5"/>
  <c r="G73" i="8"/>
  <c r="CN324" i="5"/>
  <c r="V324" i="5"/>
  <c r="L325" i="5" s="1"/>
  <c r="N325" i="5" l="1"/>
  <c r="R325" i="5" s="1"/>
  <c r="BO65" i="5"/>
  <c r="BT65" i="5"/>
  <c r="AM65" i="5"/>
  <c r="AK324" i="5"/>
  <c r="Q325" i="5" l="1"/>
  <c r="V325" i="5" s="1"/>
  <c r="L326" i="5" s="1"/>
  <c r="T325" i="5"/>
  <c r="N326" i="5"/>
  <c r="AN65" i="5"/>
  <c r="AO65" i="5" s="1"/>
  <c r="E334" i="8"/>
  <c r="X325" i="5"/>
  <c r="CN325" i="5"/>
  <c r="U330" i="5"/>
  <c r="CP325" i="5"/>
  <c r="AC325" i="5" s="1"/>
  <c r="R326" i="5" l="1"/>
  <c r="T326" i="5"/>
  <c r="AK325" i="5"/>
  <c r="U331" i="5"/>
  <c r="CP326" i="5"/>
  <c r="AC326" i="5" s="1"/>
  <c r="AP65" i="5"/>
  <c r="Q326" i="5"/>
  <c r="CN326" i="5" s="1"/>
  <c r="E335" i="8" l="1"/>
  <c r="X326" i="5"/>
  <c r="AT65" i="5"/>
  <c r="AX65" i="5" s="1"/>
  <c r="V326" i="5"/>
  <c r="L327" i="5" s="1"/>
  <c r="N327" i="5" l="1"/>
  <c r="AK326" i="5"/>
  <c r="AU65" i="5"/>
  <c r="U332" i="5" l="1"/>
  <c r="CP327" i="5"/>
  <c r="AC327" i="5" s="1"/>
  <c r="Q327" i="5"/>
  <c r="T327" i="5"/>
  <c r="R327" i="5"/>
  <c r="AV65" i="5"/>
  <c r="V327" i="5" l="1"/>
  <c r="L328" i="5" s="1"/>
  <c r="N328" i="5"/>
  <c r="Q328" i="5" s="1"/>
  <c r="E336" i="8"/>
  <c r="X327" i="5"/>
  <c r="CC65" i="5"/>
  <c r="AZ65" i="5"/>
  <c r="AW65" i="5"/>
  <c r="CN327" i="5"/>
  <c r="T328" i="5" l="1"/>
  <c r="R328" i="5"/>
  <c r="X328" i="5" s="1"/>
  <c r="AK327" i="5"/>
  <c r="BA65" i="5"/>
  <c r="U333" i="5"/>
  <c r="CP328" i="5"/>
  <c r="AC328" i="5" s="1"/>
  <c r="CN328" i="5"/>
  <c r="E337" i="8"/>
  <c r="V328" i="5" l="1"/>
  <c r="L329" i="5" s="1"/>
  <c r="N329" i="5"/>
  <c r="R329" i="5" s="1"/>
  <c r="BE65" i="5"/>
  <c r="AK328" i="5"/>
  <c r="BB65" i="5"/>
  <c r="T329" i="5" l="1"/>
  <c r="Q329" i="5"/>
  <c r="X329" i="5" s="1"/>
  <c r="BC65" i="5"/>
  <c r="V329" i="5"/>
  <c r="L330" i="5" s="1"/>
  <c r="BJ65" i="5"/>
  <c r="BL65" i="5" s="1"/>
  <c r="U334" i="5"/>
  <c r="CP329" i="5"/>
  <c r="AC329" i="5" s="1"/>
  <c r="E338" i="8" l="1"/>
  <c r="CN329" i="5"/>
  <c r="BP65" i="5"/>
  <c r="N330" i="5"/>
  <c r="BI65" i="5"/>
  <c r="CD65" i="5"/>
  <c r="AK329" i="5"/>
  <c r="BD65" i="5"/>
  <c r="U335" i="5" l="1"/>
  <c r="CP330" i="5"/>
  <c r="AC330" i="5" s="1"/>
  <c r="R330" i="5"/>
  <c r="T330" i="5"/>
  <c r="CB65" i="5"/>
  <c r="F74" i="8"/>
  <c r="CG65" i="5"/>
  <c r="BQ65" i="5"/>
  <c r="Q330" i="5"/>
  <c r="CJ65" i="5"/>
  <c r="BK65" i="5"/>
  <c r="BH66" i="5" s="1"/>
  <c r="BR65" i="5"/>
  <c r="AS66" i="5" l="1"/>
  <c r="E339" i="8"/>
  <c r="X330" i="5"/>
  <c r="CN330" i="5"/>
  <c r="BU65" i="5"/>
  <c r="BW65" i="5" s="1"/>
  <c r="BZ65" i="5" s="1"/>
  <c r="V330" i="5"/>
  <c r="L331" i="5" s="1"/>
  <c r="CH65" i="5" l="1"/>
  <c r="BV65" i="5"/>
  <c r="CK65" i="5"/>
  <c r="CL65" i="5" s="1"/>
  <c r="N331" i="5"/>
  <c r="T331" i="5" s="1"/>
  <c r="AK330" i="5"/>
  <c r="Q331" i="5" l="1"/>
  <c r="R331" i="5"/>
  <c r="CF65" i="5"/>
  <c r="G74" i="8"/>
  <c r="U336" i="5"/>
  <c r="CP331" i="5"/>
  <c r="AC331" i="5" s="1"/>
  <c r="CN331" i="5"/>
  <c r="V331" i="5"/>
  <c r="L332" i="5" s="1"/>
  <c r="BO66" i="5" l="1"/>
  <c r="BT66" i="5"/>
  <c r="AM66" i="5"/>
  <c r="N332" i="5"/>
  <c r="R332" i="5" s="1"/>
  <c r="E340" i="8"/>
  <c r="X331" i="5"/>
  <c r="Q332" i="5" l="1"/>
  <c r="V332" i="5" s="1"/>
  <c r="L333" i="5" s="1"/>
  <c r="N333" i="5" s="1"/>
  <c r="Q333" i="5" s="1"/>
  <c r="T332" i="5"/>
  <c r="AK331" i="5"/>
  <c r="AN66" i="5"/>
  <c r="U337" i="5"/>
  <c r="CP332" i="5"/>
  <c r="AC332" i="5" s="1"/>
  <c r="X332" i="5" l="1"/>
  <c r="E341" i="8"/>
  <c r="CN332" i="5"/>
  <c r="AP66" i="5"/>
  <c r="AO66" i="5"/>
  <c r="R333" i="5"/>
  <c r="CN333" i="5" s="1"/>
  <c r="U338" i="5"/>
  <c r="CP333" i="5"/>
  <c r="AC333" i="5" s="1"/>
  <c r="T333" i="5"/>
  <c r="AK332" i="5"/>
  <c r="E342" i="8" l="1"/>
  <c r="V333" i="5"/>
  <c r="L334" i="5" s="1"/>
  <c r="AT66" i="5"/>
  <c r="X333" i="5"/>
  <c r="AK333" i="5" l="1"/>
  <c r="N334" i="5"/>
  <c r="Q334" i="5" s="1"/>
  <c r="AU66" i="5"/>
  <c r="AX66" i="5"/>
  <c r="T334" i="5" l="1"/>
  <c r="R334" i="5"/>
  <c r="E343" i="8" s="1"/>
  <c r="CP334" i="5"/>
  <c r="AC334" i="5" s="1"/>
  <c r="U339" i="5"/>
  <c r="AV66" i="5"/>
  <c r="V334" i="5" l="1"/>
  <c r="L335" i="5" s="1"/>
  <c r="CC66" i="5"/>
  <c r="CN334" i="5"/>
  <c r="X334" i="5"/>
  <c r="AZ66" i="5"/>
  <c r="AW66" i="5"/>
  <c r="AK334" i="5" l="1"/>
  <c r="BA66" i="5"/>
  <c r="N335" i="5"/>
  <c r="R335" i="5" s="1"/>
  <c r="BE66" i="5" l="1"/>
  <c r="BB66" i="5"/>
  <c r="U340" i="5"/>
  <c r="CP335" i="5"/>
  <c r="AC335" i="5" s="1"/>
  <c r="T335" i="5"/>
  <c r="Q335" i="5"/>
  <c r="CN335" i="5" s="1"/>
  <c r="V335" i="5" l="1"/>
  <c r="L336" i="5" s="1"/>
  <c r="BC66" i="5"/>
  <c r="N336" i="5"/>
  <c r="Q336" i="5" s="1"/>
  <c r="BJ66" i="5"/>
  <c r="BL66" i="5" s="1"/>
  <c r="E344" i="8"/>
  <c r="X335" i="5"/>
  <c r="T336" i="5" l="1"/>
  <c r="R336" i="5"/>
  <c r="V336" i="5" s="1"/>
  <c r="L337" i="5" s="1"/>
  <c r="N337" i="5" s="1"/>
  <c r="R337" i="5" s="1"/>
  <c r="BP66" i="5"/>
  <c r="BR66" i="5" s="1"/>
  <c r="E345" i="8"/>
  <c r="X336" i="5"/>
  <c r="CP336" i="5"/>
  <c r="AC336" i="5" s="1"/>
  <c r="U341" i="5"/>
  <c r="AK335" i="5"/>
  <c r="BI66" i="5"/>
  <c r="CD66" i="5"/>
  <c r="BD66" i="5"/>
  <c r="CN336" i="5" l="1"/>
  <c r="BU66" i="5"/>
  <c r="BW66" i="5" s="1"/>
  <c r="BZ66" i="5" s="1"/>
  <c r="U342" i="5"/>
  <c r="CP337" i="5"/>
  <c r="AC337" i="5" s="1"/>
  <c r="Q337" i="5"/>
  <c r="T337" i="5"/>
  <c r="CB66" i="5"/>
  <c r="F75" i="8"/>
  <c r="AK336" i="5"/>
  <c r="CJ66" i="5"/>
  <c r="BK66" i="5"/>
  <c r="BH67" i="5" s="1"/>
  <c r="CG66" i="5"/>
  <c r="BQ66" i="5"/>
  <c r="E346" i="8" l="1"/>
  <c r="X337" i="5"/>
  <c r="CN337" i="5"/>
  <c r="BT67" i="5"/>
  <c r="AS67" i="5"/>
  <c r="AM67" i="5"/>
  <c r="V337" i="5"/>
  <c r="L338" i="5" s="1"/>
  <c r="G75" i="8"/>
  <c r="CH66" i="5"/>
  <c r="CF66" i="5" s="1"/>
  <c r="BV66" i="5"/>
  <c r="CK66" i="5"/>
  <c r="CL66" i="5" s="1"/>
  <c r="AK337" i="5" l="1"/>
  <c r="N338" i="5"/>
  <c r="AN67" i="5"/>
  <c r="BO67" i="5"/>
  <c r="T338" i="5" l="1"/>
  <c r="AP67" i="5"/>
  <c r="U343" i="5"/>
  <c r="CP338" i="5"/>
  <c r="AC338" i="5" s="1"/>
  <c r="R338" i="5"/>
  <c r="Q338" i="5"/>
  <c r="CN338" i="5" s="1"/>
  <c r="AO67" i="5"/>
  <c r="AT67" i="5" l="1"/>
  <c r="E347" i="8"/>
  <c r="X338" i="5"/>
  <c r="V338" i="5"/>
  <c r="L339" i="5" s="1"/>
  <c r="AK338" i="5" l="1"/>
  <c r="AU67" i="5"/>
  <c r="N339" i="5"/>
  <c r="Q339" i="5" s="1"/>
  <c r="AX67" i="5"/>
  <c r="AV67" i="5" l="1"/>
  <c r="U344" i="5"/>
  <c r="CP339" i="5"/>
  <c r="AC339" i="5" s="1"/>
  <c r="T339" i="5"/>
  <c r="R339" i="5"/>
  <c r="E348" i="8" s="1"/>
  <c r="CC67" i="5" l="1"/>
  <c r="AW67" i="5"/>
  <c r="V339" i="5"/>
  <c r="L340" i="5" s="1"/>
  <c r="X339" i="5"/>
  <c r="CN339" i="5"/>
  <c r="AZ67" i="5"/>
  <c r="N340" i="5" l="1"/>
  <c r="BA67" i="5"/>
  <c r="BB67" i="5" s="1"/>
  <c r="AK339" i="5"/>
  <c r="U345" i="5" l="1"/>
  <c r="CP340" i="5"/>
  <c r="AC340" i="5" s="1"/>
  <c r="BC67" i="5"/>
  <c r="BI67" i="5" s="1"/>
  <c r="T340" i="5"/>
  <c r="R340" i="5"/>
  <c r="BE67" i="5"/>
  <c r="Q340" i="5"/>
  <c r="V340" i="5" s="1"/>
  <c r="L341" i="5" s="1"/>
  <c r="N341" i="5" l="1"/>
  <c r="R341" i="5" s="1"/>
  <c r="CJ67" i="5"/>
  <c r="BD67" i="5"/>
  <c r="E349" i="8"/>
  <c r="X340" i="5"/>
  <c r="BJ67" i="5"/>
  <c r="BK67" i="5" s="1"/>
  <c r="BH68" i="5" s="1"/>
  <c r="CN340" i="5"/>
  <c r="CD67" i="5"/>
  <c r="BL67" i="5" l="1"/>
  <c r="T341" i="5"/>
  <c r="AK340" i="5"/>
  <c r="CB67" i="5"/>
  <c r="F76" i="8"/>
  <c r="U346" i="5"/>
  <c r="CP341" i="5"/>
  <c r="AC341" i="5" s="1"/>
  <c r="Q341" i="5"/>
  <c r="E350" i="8" l="1"/>
  <c r="X341" i="5"/>
  <c r="V341" i="5"/>
  <c r="L342" i="5" s="1"/>
  <c r="BP67" i="5"/>
  <c r="BR67" i="5" s="1"/>
  <c r="CN341" i="5"/>
  <c r="AS68" i="5"/>
  <c r="BU67" i="5" l="1"/>
  <c r="BW67" i="5" s="1"/>
  <c r="BZ67" i="5" s="1"/>
  <c r="CK67" i="5" s="1"/>
  <c r="CL67" i="5" s="1"/>
  <c r="N342" i="5"/>
  <c r="AK341" i="5"/>
  <c r="CG67" i="5"/>
  <c r="BQ67" i="5"/>
  <c r="Q342" i="5" l="1"/>
  <c r="R342" i="5"/>
  <c r="U347" i="5"/>
  <c r="CP342" i="5"/>
  <c r="AC342" i="5" s="1"/>
  <c r="CN342" i="5"/>
  <c r="T342" i="5"/>
  <c r="CH67" i="5"/>
  <c r="CF67" i="5" s="1"/>
  <c r="BV67" i="5"/>
  <c r="E351" i="8" l="1"/>
  <c r="X342" i="5"/>
  <c r="BO68" i="5"/>
  <c r="BT68" i="5"/>
  <c r="AM68" i="5"/>
  <c r="G76" i="8"/>
  <c r="V342" i="5"/>
  <c r="L343" i="5" s="1"/>
  <c r="AN68" i="5" l="1"/>
  <c r="N343" i="5"/>
  <c r="AK342" i="5"/>
  <c r="R343" i="5" l="1"/>
  <c r="AP68" i="5"/>
  <c r="Q343" i="5"/>
  <c r="CN343" i="5" s="1"/>
  <c r="AO68" i="5"/>
  <c r="U348" i="5"/>
  <c r="CP343" i="5"/>
  <c r="AC343" i="5" s="1"/>
  <c r="T343" i="5"/>
  <c r="X343" i="5" l="1"/>
  <c r="E352" i="8"/>
  <c r="AT68" i="5"/>
  <c r="V343" i="5"/>
  <c r="L344" i="5" s="1"/>
  <c r="N344" i="5" l="1"/>
  <c r="AU68" i="5"/>
  <c r="AX68" i="5"/>
  <c r="AK343" i="5"/>
  <c r="T344" i="5" l="1"/>
  <c r="U349" i="5"/>
  <c r="CP344" i="5"/>
  <c r="AC344" i="5" s="1"/>
  <c r="AV68" i="5"/>
  <c r="R344" i="5"/>
  <c r="Q344" i="5"/>
  <c r="CC68" i="5" l="1"/>
  <c r="AW68" i="5"/>
  <c r="E353" i="8"/>
  <c r="X344" i="5"/>
  <c r="CN344" i="5"/>
  <c r="AZ68" i="5"/>
  <c r="V344" i="5"/>
  <c r="L345" i="5" s="1"/>
  <c r="N345" i="5" l="1"/>
  <c r="Q345" i="5" s="1"/>
  <c r="AK344" i="5"/>
  <c r="BA68" i="5"/>
  <c r="T345" i="5" l="1"/>
  <c r="R345" i="5"/>
  <c r="X345" i="5" s="1"/>
  <c r="BE68" i="5"/>
  <c r="BB68" i="5"/>
  <c r="U350" i="5"/>
  <c r="CP345" i="5"/>
  <c r="AC345" i="5" s="1"/>
  <c r="AK345" i="5" l="1"/>
  <c r="BJ68" i="5"/>
  <c r="BL68" i="5" s="1"/>
  <c r="CN345" i="5"/>
  <c r="E354" i="8"/>
  <c r="V345" i="5"/>
  <c r="L346" i="5" s="1"/>
  <c r="BC68" i="5"/>
  <c r="BP68" i="5" l="1"/>
  <c r="BI68" i="5"/>
  <c r="CD68" i="5"/>
  <c r="BD68" i="5"/>
  <c r="N346" i="5"/>
  <c r="Q346" i="5" s="1"/>
  <c r="R346" i="5" l="1"/>
  <c r="V346" i="5" s="1"/>
  <c r="L347" i="5" s="1"/>
  <c r="CJ68" i="5"/>
  <c r="BK68" i="5"/>
  <c r="BH69" i="5" s="1"/>
  <c r="T346" i="5"/>
  <c r="E355" i="8" s="1"/>
  <c r="CG68" i="5"/>
  <c r="BQ68" i="5"/>
  <c r="CB68" i="5"/>
  <c r="F77" i="8"/>
  <c r="CN346" i="5"/>
  <c r="U351" i="5"/>
  <c r="CP346" i="5"/>
  <c r="AC346" i="5" s="1"/>
  <c r="BR68" i="5"/>
  <c r="BU68" i="5" l="1"/>
  <c r="BW68" i="5"/>
  <c r="BZ68" i="5" s="1"/>
  <c r="N347" i="5"/>
  <c r="T347" i="5" s="1"/>
  <c r="X346" i="5"/>
  <c r="AS69" i="5"/>
  <c r="R347" i="5" l="1"/>
  <c r="AK346" i="5"/>
  <c r="U352" i="5"/>
  <c r="CP347" i="5"/>
  <c r="AC347" i="5" s="1"/>
  <c r="Q347" i="5"/>
  <c r="CH68" i="5"/>
  <c r="BV68" i="5"/>
  <c r="CK68" i="5"/>
  <c r="CL68" i="5" s="1"/>
  <c r="E356" i="8" l="1"/>
  <c r="X347" i="5"/>
  <c r="CF68" i="5"/>
  <c r="G77" i="8"/>
  <c r="CN347" i="5"/>
  <c r="V347" i="5"/>
  <c r="L348" i="5" s="1"/>
  <c r="BO69" i="5" l="1"/>
  <c r="AM69" i="5"/>
  <c r="BT69" i="5"/>
  <c r="AK347" i="5"/>
  <c r="N348" i="5"/>
  <c r="T348" i="5" s="1"/>
  <c r="R348" i="5" l="1"/>
  <c r="Q348" i="5"/>
  <c r="V348" i="5" s="1"/>
  <c r="L349" i="5" s="1"/>
  <c r="X348" i="5"/>
  <c r="AN69" i="5"/>
  <c r="CN348" i="5"/>
  <c r="U353" i="5"/>
  <c r="CP348" i="5"/>
  <c r="AC348" i="5" s="1"/>
  <c r="E357" i="8" l="1"/>
  <c r="AP69" i="5"/>
  <c r="N349" i="5"/>
  <c r="AO69" i="5"/>
  <c r="AK348" i="5"/>
  <c r="U354" i="5" l="1"/>
  <c r="CP349" i="5"/>
  <c r="AC349" i="5" s="1"/>
  <c r="AT69" i="5"/>
  <c r="AX69" i="5" s="1"/>
  <c r="T349" i="5"/>
  <c r="R349" i="5"/>
  <c r="Q349" i="5"/>
  <c r="CN349" i="5" s="1"/>
  <c r="V349" i="5" l="1"/>
  <c r="L350" i="5" s="1"/>
  <c r="AU69" i="5"/>
  <c r="X349" i="5"/>
  <c r="E358" i="8"/>
  <c r="N350" i="5" l="1"/>
  <c r="R350" i="5" s="1"/>
  <c r="AV69" i="5"/>
  <c r="AW69" i="5" s="1"/>
  <c r="AK349" i="5"/>
  <c r="Q350" i="5" l="1"/>
  <c r="CC69" i="5"/>
  <c r="AZ69" i="5"/>
  <c r="CN350" i="5"/>
  <c r="CP350" i="5"/>
  <c r="AC350" i="5" s="1"/>
  <c r="U355" i="5"/>
  <c r="T350" i="5"/>
  <c r="V350" i="5"/>
  <c r="L351" i="5" s="1"/>
  <c r="BA69" i="5" l="1"/>
  <c r="N351" i="5"/>
  <c r="E359" i="8"/>
  <c r="X350" i="5"/>
  <c r="Q351" i="5" l="1"/>
  <c r="R351" i="5"/>
  <c r="AK350" i="5"/>
  <c r="CP351" i="5"/>
  <c r="AC351" i="5" s="1"/>
  <c r="CN351" i="5"/>
  <c r="U356" i="5"/>
  <c r="K28" i="9" s="1"/>
  <c r="BE69" i="5"/>
  <c r="T351" i="5"/>
  <c r="BB69" i="5"/>
  <c r="BC69" i="5" l="1"/>
  <c r="X351" i="5"/>
  <c r="E360" i="8"/>
  <c r="BJ69" i="5"/>
  <c r="BL69" i="5" s="1"/>
  <c r="V351" i="5"/>
  <c r="L352" i="5" s="1"/>
  <c r="BP69" i="5" l="1"/>
  <c r="BR69" i="5" s="1"/>
  <c r="AK351" i="5"/>
  <c r="BI69" i="5"/>
  <c r="CD69" i="5"/>
  <c r="N352" i="5"/>
  <c r="BD69" i="5"/>
  <c r="BU69" i="5" l="1"/>
  <c r="CP352" i="5"/>
  <c r="AC352" i="5" s="1"/>
  <c r="U357" i="5"/>
  <c r="K29" i="9" s="1"/>
  <c r="CJ69" i="5"/>
  <c r="BK69" i="5"/>
  <c r="BH70" i="5" s="1"/>
  <c r="T352" i="5"/>
  <c r="Q352" i="5"/>
  <c r="CB69" i="5"/>
  <c r="F78" i="8"/>
  <c r="R352" i="5"/>
  <c r="CG69" i="5"/>
  <c r="BQ69" i="5"/>
  <c r="CN352" i="5" l="1"/>
  <c r="AS70" i="5"/>
  <c r="CH69" i="5"/>
  <c r="CF69" i="5" s="1"/>
  <c r="AM70" i="5" s="1"/>
  <c r="BV69" i="5"/>
  <c r="CK69" i="5"/>
  <c r="CL69" i="5" s="1"/>
  <c r="X352" i="5"/>
  <c r="E361" i="8"/>
  <c r="V352" i="5"/>
  <c r="L353" i="5" s="1"/>
  <c r="BW69" i="5"/>
  <c r="BZ69" i="5" s="1"/>
  <c r="BT70" i="5" l="1"/>
  <c r="AN70" i="5"/>
  <c r="AK352" i="5"/>
  <c r="BO70" i="5"/>
  <c r="N353" i="5"/>
  <c r="Q353" i="5" s="1"/>
  <c r="G78" i="8"/>
  <c r="R353" i="5" l="1"/>
  <c r="T353" i="5"/>
  <c r="V353" i="5"/>
  <c r="L354" i="5" s="1"/>
  <c r="E362" i="8"/>
  <c r="X353" i="5"/>
  <c r="AP70" i="5"/>
  <c r="N354" i="5"/>
  <c r="R354" i="5" s="1"/>
  <c r="CP353" i="5"/>
  <c r="AC353" i="5" s="1"/>
  <c r="CN353" i="5"/>
  <c r="U358" i="5"/>
  <c r="K30" i="9" s="1"/>
  <c r="AO70" i="5"/>
  <c r="Q354" i="5" l="1"/>
  <c r="T354" i="5"/>
  <c r="X354" i="5" s="1"/>
  <c r="AT70" i="5"/>
  <c r="AX70" i="5" s="1"/>
  <c r="AK353" i="5"/>
  <c r="U359" i="5"/>
  <c r="K31" i="9" s="1"/>
  <c r="CP354" i="5"/>
  <c r="AC354" i="5" s="1"/>
  <c r="CN354" i="5"/>
  <c r="E363" i="8"/>
  <c r="V354" i="5"/>
  <c r="L355" i="5" s="1"/>
  <c r="N355" i="5" l="1"/>
  <c r="R355" i="5" s="1"/>
  <c r="AK354" i="5"/>
  <c r="AU70" i="5"/>
  <c r="T355" i="5" l="1"/>
  <c r="AV70" i="5"/>
  <c r="Q355" i="5"/>
  <c r="CP355" i="5"/>
  <c r="AC355" i="5" s="1"/>
  <c r="U360" i="5"/>
  <c r="K32" i="9" s="1"/>
  <c r="X355" i="5" l="1"/>
  <c r="E364" i="8"/>
  <c r="V355" i="5"/>
  <c r="L356" i="5" s="1"/>
  <c r="CN355" i="5"/>
  <c r="CC70" i="5"/>
  <c r="AZ70" i="5"/>
  <c r="AW70" i="5"/>
  <c r="N356" i="5" l="1"/>
  <c r="BA70" i="5"/>
  <c r="BB70" i="5" s="1"/>
  <c r="AK355" i="5"/>
  <c r="U361" i="5" l="1"/>
  <c r="K33" i="9" s="1"/>
  <c r="CP356" i="5"/>
  <c r="AC356" i="5" s="1"/>
  <c r="E28" i="9"/>
  <c r="BC70" i="5"/>
  <c r="BI70" i="5" s="1"/>
  <c r="Q356" i="5"/>
  <c r="T356" i="5"/>
  <c r="I28" i="9" s="1"/>
  <c r="BE70" i="5"/>
  <c r="R356" i="5"/>
  <c r="F28" i="9" s="1"/>
  <c r="E365" i="8" l="1"/>
  <c r="X356" i="5"/>
  <c r="H28" i="9"/>
  <c r="CJ70" i="5"/>
  <c r="BJ70" i="5"/>
  <c r="BK70" i="5" s="1"/>
  <c r="BH71" i="5" s="1"/>
  <c r="CD70" i="5"/>
  <c r="CN356" i="5"/>
  <c r="BD70" i="5"/>
  <c r="V356" i="5"/>
  <c r="BL70" i="5" l="1"/>
  <c r="C28" i="9"/>
  <c r="L357" i="5"/>
  <c r="CB70" i="5"/>
  <c r="F79" i="8"/>
  <c r="AK356" i="5"/>
  <c r="BP70" i="5"/>
  <c r="N357" i="5" l="1"/>
  <c r="T357" i="5" s="1"/>
  <c r="I29" i="9" s="1"/>
  <c r="AS71" i="5"/>
  <c r="CG70" i="5"/>
  <c r="BQ70" i="5"/>
  <c r="BR70" i="5"/>
  <c r="BU70" i="5" l="1"/>
  <c r="BW70" i="5" s="1"/>
  <c r="BZ70" i="5" s="1"/>
  <c r="E29" i="9"/>
  <c r="U362" i="5"/>
  <c r="K34" i="9" s="1"/>
  <c r="CP357" i="5"/>
  <c r="AC357" i="5" s="1"/>
  <c r="R357" i="5"/>
  <c r="F29" i="9" s="1"/>
  <c r="Q357" i="5"/>
  <c r="E366" i="8" l="1"/>
  <c r="H29" i="9"/>
  <c r="X357" i="5"/>
  <c r="V357" i="5"/>
  <c r="CN357" i="5"/>
  <c r="CH70" i="5"/>
  <c r="BV70" i="5"/>
  <c r="CK70" i="5"/>
  <c r="CL70" i="5" s="1"/>
  <c r="CF70" i="5" l="1"/>
  <c r="G79" i="8"/>
  <c r="AK357" i="5"/>
  <c r="L358" i="5"/>
  <c r="C29" i="9"/>
  <c r="N358" i="5" l="1"/>
  <c r="T358" i="5" s="1"/>
  <c r="I30" i="9" s="1"/>
  <c r="BO71" i="5"/>
  <c r="BT71" i="5"/>
  <c r="AM71" i="5"/>
  <c r="CP358" i="5" l="1"/>
  <c r="AC358" i="5" s="1"/>
  <c r="E30" i="9"/>
  <c r="U363" i="5"/>
  <c r="K35" i="9" s="1"/>
  <c r="R358" i="5"/>
  <c r="F30" i="9" s="1"/>
  <c r="AN71" i="5"/>
  <c r="AO71" i="5" s="1"/>
  <c r="Q358" i="5"/>
  <c r="V358" i="5" l="1"/>
  <c r="H30" i="9"/>
  <c r="E367" i="8"/>
  <c r="X358" i="5"/>
  <c r="CN358" i="5"/>
  <c r="AP71" i="5"/>
  <c r="AT71" i="5" l="1"/>
  <c r="AK358" i="5"/>
  <c r="L359" i="5"/>
  <c r="C30" i="9"/>
  <c r="N359" i="5" l="1"/>
  <c r="AU71" i="5"/>
  <c r="AX71" i="5"/>
  <c r="T359" i="5" l="1"/>
  <c r="I31" i="9" s="1"/>
  <c r="E31" i="9"/>
  <c r="U364" i="5"/>
  <c r="K36" i="9" s="1"/>
  <c r="CP359" i="5"/>
  <c r="AC359" i="5" s="1"/>
  <c r="Q359" i="5"/>
  <c r="AV71" i="5"/>
  <c r="AW71" i="5" s="1"/>
  <c r="R359" i="5"/>
  <c r="F31" i="9" s="1"/>
  <c r="CC71" i="5" l="1"/>
  <c r="AZ71" i="5"/>
  <c r="E368" i="8"/>
  <c r="X359" i="5"/>
  <c r="H31" i="9"/>
  <c r="CN359" i="5"/>
  <c r="V359" i="5"/>
  <c r="C31" i="9" l="1"/>
  <c r="L360" i="5"/>
  <c r="AK359" i="5"/>
  <c r="BA71" i="5"/>
  <c r="BB71" i="5" s="1"/>
  <c r="BC71" i="5" l="1"/>
  <c r="BI71" i="5" s="1"/>
  <c r="N360" i="5"/>
  <c r="R360" i="5" s="1"/>
  <c r="F32" i="9" s="1"/>
  <c r="BE71" i="5"/>
  <c r="Q360" i="5" l="1"/>
  <c r="BJ71" i="5"/>
  <c r="T360" i="5"/>
  <c r="I32" i="9" s="1"/>
  <c r="CJ71" i="5"/>
  <c r="BK71" i="5"/>
  <c r="BH72" i="5" s="1"/>
  <c r="CP360" i="5"/>
  <c r="AC360" i="5" s="1"/>
  <c r="CN360" i="5"/>
  <c r="U365" i="5"/>
  <c r="K37" i="9" s="1"/>
  <c r="E32" i="9"/>
  <c r="CD71" i="5"/>
  <c r="BD71" i="5"/>
  <c r="CB71" i="5" l="1"/>
  <c r="F80" i="8"/>
  <c r="BL71" i="5"/>
  <c r="H32" i="9"/>
  <c r="E369" i="8"/>
  <c r="X360" i="5"/>
  <c r="V360" i="5"/>
  <c r="BP71" i="5" l="1"/>
  <c r="L361" i="5"/>
  <c r="C32" i="9"/>
  <c r="AS72" i="5"/>
  <c r="AK360" i="5"/>
  <c r="N361" i="5" l="1"/>
  <c r="Q361" i="5" s="1"/>
  <c r="CG71" i="5"/>
  <c r="BQ71" i="5"/>
  <c r="BR71" i="5"/>
  <c r="H33" i="9" l="1"/>
  <c r="T361" i="5"/>
  <c r="I33" i="9" s="1"/>
  <c r="BU71" i="5"/>
  <c r="BW71" i="5" s="1"/>
  <c r="BZ71" i="5" s="1"/>
  <c r="U366" i="5"/>
  <c r="K38" i="9" s="1"/>
  <c r="CP361" i="5"/>
  <c r="AC361" i="5" s="1"/>
  <c r="E33" i="9"/>
  <c r="R361" i="5"/>
  <c r="F33" i="9" s="1"/>
  <c r="V361" i="5" l="1"/>
  <c r="CN361" i="5"/>
  <c r="C33" i="9"/>
  <c r="L362" i="5"/>
  <c r="CH71" i="5"/>
  <c r="BV71" i="5"/>
  <c r="CK71" i="5"/>
  <c r="CL71" i="5" s="1"/>
  <c r="E370" i="8"/>
  <c r="X361" i="5"/>
  <c r="CF71" i="5" l="1"/>
  <c r="G80" i="8"/>
  <c r="N362" i="5"/>
  <c r="AK361" i="5"/>
  <c r="T362" i="5" l="1"/>
  <c r="I34" i="9" s="1"/>
  <c r="Q362" i="5"/>
  <c r="R362" i="5"/>
  <c r="F34" i="9" s="1"/>
  <c r="CP362" i="5"/>
  <c r="AC362" i="5" s="1"/>
  <c r="E34" i="9"/>
  <c r="CN362" i="5"/>
  <c r="BO72" i="5"/>
  <c r="AM72" i="5"/>
  <c r="BT72" i="5"/>
  <c r="AN72" i="5" l="1"/>
  <c r="X362" i="5"/>
  <c r="E371" i="8"/>
  <c r="H34" i="9"/>
  <c r="V362" i="5"/>
  <c r="C34" i="9" l="1"/>
  <c r="L363" i="5"/>
  <c r="AK362" i="5"/>
  <c r="AP72" i="5"/>
  <c r="AO72" i="5"/>
  <c r="AT72" i="5" l="1"/>
  <c r="N363" i="5"/>
  <c r="Q363" i="5" s="1"/>
  <c r="H35" i="9" l="1"/>
  <c r="CP363" i="5"/>
  <c r="AC363" i="5" s="1"/>
  <c r="E35" i="9"/>
  <c r="AU72" i="5"/>
  <c r="R363" i="5"/>
  <c r="F35" i="9" s="1"/>
  <c r="AX72" i="5"/>
  <c r="T363" i="5"/>
  <c r="I35" i="9" s="1"/>
  <c r="CN363" i="5" l="1"/>
  <c r="X363" i="5"/>
  <c r="V363" i="5"/>
  <c r="AV72" i="5"/>
  <c r="E372" i="8"/>
  <c r="AK363" i="5" l="1"/>
  <c r="CC72" i="5"/>
  <c r="L364" i="5"/>
  <c r="C35" i="9"/>
  <c r="AZ72" i="5"/>
  <c r="AW72" i="5"/>
  <c r="N364" i="5" l="1"/>
  <c r="R364" i="5" s="1"/>
  <c r="F36" i="9" s="1"/>
  <c r="BA72" i="5"/>
  <c r="BB72" i="5" s="1"/>
  <c r="BC72" i="5" l="1"/>
  <c r="BI72" i="5" s="1"/>
  <c r="CP364" i="5"/>
  <c r="AC364" i="5" s="1"/>
  <c r="E36" i="9"/>
  <c r="Q364" i="5"/>
  <c r="CN364" i="5" s="1"/>
  <c r="T364" i="5"/>
  <c r="I36" i="9" s="1"/>
  <c r="BE72" i="5"/>
  <c r="V364" i="5" l="1"/>
  <c r="BJ72" i="5"/>
  <c r="X364" i="5"/>
  <c r="H36" i="9"/>
  <c r="E373" i="8"/>
  <c r="CJ72" i="5"/>
  <c r="CD72" i="5"/>
  <c r="BD72" i="5"/>
  <c r="AK364" i="5" l="1"/>
  <c r="CB72" i="5"/>
  <c r="F81" i="8"/>
  <c r="BL72" i="5"/>
  <c r="BK72" i="5"/>
  <c r="BH73" i="5" s="1"/>
  <c r="L365" i="5"/>
  <c r="C36" i="9"/>
  <c r="BP72" i="5" l="1"/>
  <c r="BR72" i="5"/>
  <c r="AS73" i="5"/>
  <c r="N365" i="5"/>
  <c r="R365" i="5" s="1"/>
  <c r="F37" i="9" s="1"/>
  <c r="T365" i="5" l="1"/>
  <c r="I37" i="9" s="1"/>
  <c r="Q365" i="5"/>
  <c r="BU72" i="5"/>
  <c r="CG72" i="5"/>
  <c r="BQ72" i="5"/>
  <c r="E37" i="9"/>
  <c r="CP365" i="5"/>
  <c r="AC365" i="5" s="1"/>
  <c r="CH72" i="5" l="1"/>
  <c r="CF72" i="5" s="1"/>
  <c r="BV72" i="5"/>
  <c r="E374" i="8"/>
  <c r="X365" i="5"/>
  <c r="H37" i="9"/>
  <c r="V365" i="5"/>
  <c r="G81" i="8"/>
  <c r="BW72" i="5"/>
  <c r="BZ72" i="5" s="1"/>
  <c r="CK72" i="5" s="1"/>
  <c r="CL72" i="5" s="1"/>
  <c r="CN365" i="5"/>
  <c r="AK365" i="5" l="1"/>
  <c r="C37" i="9"/>
  <c r="L366" i="5"/>
  <c r="BO73" i="5"/>
  <c r="AM73" i="5"/>
  <c r="BT73" i="5"/>
  <c r="AN73" i="5" l="1"/>
  <c r="N366" i="5"/>
  <c r="R366" i="5" s="1"/>
  <c r="F38" i="9" l="1"/>
  <c r="R5" i="5"/>
  <c r="E38" i="9"/>
  <c r="CP366" i="5"/>
  <c r="AC366" i="5" s="1"/>
  <c r="N5" i="5"/>
  <c r="Q366" i="5"/>
  <c r="CN366" i="5" s="1"/>
  <c r="O5" i="9" s="1"/>
  <c r="AP73" i="5"/>
  <c r="AO73" i="5"/>
  <c r="T366" i="5"/>
  <c r="I38" i="9" s="1"/>
  <c r="E14" i="9" l="1"/>
  <c r="I5" i="9" s="1"/>
  <c r="V366" i="5"/>
  <c r="H38" i="9"/>
  <c r="E375" i="8"/>
  <c r="X366" i="5"/>
  <c r="Q5" i="5"/>
  <c r="H14" i="9" s="1"/>
  <c r="AT73" i="5"/>
  <c r="AX73" i="5" s="1"/>
  <c r="E6" i="8" l="1"/>
  <c r="E8" i="8"/>
  <c r="L5" i="1"/>
  <c r="C38" i="9"/>
  <c r="AK366" i="5"/>
  <c r="AU73" i="5"/>
  <c r="L7" i="1"/>
  <c r="AV73" i="5" l="1"/>
  <c r="CC73" i="5" l="1"/>
  <c r="AZ73" i="5"/>
  <c r="AW73" i="5"/>
  <c r="BA73" i="5" l="1"/>
  <c r="BE73" i="5" l="1"/>
  <c r="BB73" i="5"/>
  <c r="BJ73" i="5" l="1"/>
  <c r="BL73" i="5" s="1"/>
  <c r="BC73" i="5"/>
  <c r="BP73" i="5" l="1"/>
  <c r="BR73" i="5" s="1"/>
  <c r="BI73" i="5"/>
  <c r="CD73" i="5"/>
  <c r="BD73" i="5"/>
  <c r="BU73" i="5" l="1"/>
  <c r="BW73" i="5" s="1"/>
  <c r="BZ73" i="5" s="1"/>
  <c r="CJ73" i="5"/>
  <c r="BK73" i="5"/>
  <c r="BH74" i="5" s="1"/>
  <c r="CB73" i="5"/>
  <c r="F82" i="8"/>
  <c r="CG73" i="5"/>
  <c r="BQ73" i="5"/>
  <c r="AS74" i="5" l="1"/>
  <c r="CH73" i="5"/>
  <c r="CF73" i="5" s="1"/>
  <c r="BT74" i="5" s="1"/>
  <c r="BV73" i="5"/>
  <c r="CK73" i="5"/>
  <c r="CL73" i="5" s="1"/>
  <c r="AM74" i="5" l="1"/>
  <c r="AN74" i="5" s="1"/>
  <c r="G82" i="8"/>
  <c r="BO74" i="5"/>
  <c r="AP74" i="5" l="1"/>
  <c r="AO74" i="5"/>
  <c r="AT74" i="5" l="1"/>
  <c r="AX74" i="5" s="1"/>
  <c r="AU74" i="5" l="1"/>
  <c r="AV74" i="5" l="1"/>
  <c r="AW74" i="5" s="1"/>
  <c r="AZ74" i="5" l="1"/>
  <c r="CC74" i="5"/>
  <c r="BA74" i="5" l="1"/>
  <c r="BE74" i="5" l="1"/>
  <c r="BB74" i="5"/>
  <c r="BC74" i="5" l="1"/>
  <c r="BJ74" i="5"/>
  <c r="BL74" i="5" s="1"/>
  <c r="BP74" i="5" l="1"/>
  <c r="BI74" i="5"/>
  <c r="CD74" i="5"/>
  <c r="BD74" i="5"/>
  <c r="CB74" i="5" l="1"/>
  <c r="F83" i="8"/>
  <c r="CJ74" i="5"/>
  <c r="BK74" i="5"/>
  <c r="BH75" i="5" s="1"/>
  <c r="CG74" i="5"/>
  <c r="BQ74" i="5"/>
  <c r="BR74" i="5"/>
  <c r="BU74" i="5" l="1"/>
  <c r="BW74" i="5" s="1"/>
  <c r="BZ74" i="5" s="1"/>
  <c r="AS75" i="5"/>
  <c r="CH74" i="5" l="1"/>
  <c r="BV74" i="5"/>
  <c r="CK74" i="5"/>
  <c r="CL74" i="5" s="1"/>
  <c r="CF74" i="5" l="1"/>
  <c r="G83" i="8"/>
  <c r="BO75" i="5" l="1"/>
  <c r="AM75" i="5"/>
  <c r="BT75" i="5"/>
  <c r="AN75" i="5" l="1"/>
  <c r="AO75" i="5" s="1"/>
  <c r="AP75" i="5" l="1"/>
  <c r="AT75" i="5" l="1"/>
  <c r="AU75" i="5" l="1"/>
  <c r="AX75" i="5"/>
  <c r="AV75" i="5" l="1"/>
  <c r="AW75" i="5" s="1"/>
  <c r="CC75" i="5" l="1"/>
  <c r="AZ75" i="5"/>
  <c r="BA75" i="5" l="1"/>
  <c r="BE75" i="5" l="1"/>
  <c r="BB75" i="5"/>
  <c r="BC75" i="5" l="1"/>
  <c r="BJ75" i="5"/>
  <c r="BL75" i="5" s="1"/>
  <c r="BP75" i="5" l="1"/>
  <c r="BR75" i="5" s="1"/>
  <c r="BI75" i="5"/>
  <c r="CD75" i="5"/>
  <c r="BD75" i="5"/>
  <c r="CB75" i="5" l="1"/>
  <c r="F84" i="8"/>
  <c r="BU75" i="5"/>
  <c r="BW75" i="5" s="1"/>
  <c r="BZ75" i="5" s="1"/>
  <c r="CJ75" i="5"/>
  <c r="BK75" i="5"/>
  <c r="BH76" i="5" s="1"/>
  <c r="CG75" i="5"/>
  <c r="BQ75" i="5"/>
  <c r="CH75" i="5" l="1"/>
  <c r="CF75" i="5" s="1"/>
  <c r="BV75" i="5"/>
  <c r="CK75" i="5"/>
  <c r="CL75" i="5" s="1"/>
  <c r="BT76" i="5"/>
  <c r="AS76" i="5"/>
  <c r="AM76" i="5"/>
  <c r="BO76" i="5" l="1"/>
  <c r="AN76" i="5"/>
  <c r="G84" i="8"/>
  <c r="AP76" i="5" l="1"/>
  <c r="AO76" i="5"/>
  <c r="AT76" i="5" l="1"/>
  <c r="AU76" i="5" l="1"/>
  <c r="AX76" i="5"/>
  <c r="AV76" i="5" l="1"/>
  <c r="AZ76" i="5" s="1"/>
  <c r="BA76" i="5" l="1"/>
  <c r="AW76" i="5"/>
  <c r="CC76" i="5"/>
  <c r="BE76" i="5" l="1"/>
  <c r="BB76" i="5"/>
  <c r="BC76" i="5" l="1"/>
  <c r="BJ76" i="5"/>
  <c r="BL76" i="5" s="1"/>
  <c r="BP76" i="5" l="1"/>
  <c r="BI76" i="5"/>
  <c r="CD76" i="5"/>
  <c r="BD76" i="5"/>
  <c r="CB76" i="5" l="1"/>
  <c r="F85" i="8"/>
  <c r="CG76" i="5"/>
  <c r="BQ76" i="5"/>
  <c r="CJ76" i="5"/>
  <c r="BK76" i="5"/>
  <c r="BH77" i="5" s="1"/>
  <c r="BR76" i="5"/>
  <c r="BU76" i="5" l="1"/>
  <c r="AS77" i="5"/>
  <c r="CH76" i="5" l="1"/>
  <c r="BV76" i="5"/>
  <c r="BW76" i="5"/>
  <c r="BZ76" i="5" s="1"/>
  <c r="CK76" i="5" s="1"/>
  <c r="CL76" i="5" s="1"/>
  <c r="CF76" i="5" l="1"/>
  <c r="G85" i="8"/>
  <c r="BO77" i="5" l="1"/>
  <c r="BT77" i="5"/>
  <c r="AM77" i="5"/>
  <c r="AN77" i="5" l="1"/>
  <c r="AP77" i="5" l="1"/>
  <c r="AO77" i="5"/>
  <c r="AT77" i="5" l="1"/>
  <c r="AX77" i="5" s="1"/>
  <c r="AU77" i="5" l="1"/>
  <c r="AV77" i="5" l="1"/>
  <c r="AW77" i="5" s="1"/>
  <c r="AZ77" i="5" l="1"/>
  <c r="CC77" i="5"/>
  <c r="BA77" i="5" l="1"/>
  <c r="BE77" i="5" l="1"/>
  <c r="BB77" i="5"/>
  <c r="BC77" i="5" l="1"/>
  <c r="BJ77" i="5"/>
  <c r="BL77" i="5" s="1"/>
  <c r="BP77" i="5" l="1"/>
  <c r="BR77" i="5" s="1"/>
  <c r="BI77" i="5"/>
  <c r="CD77" i="5"/>
  <c r="BD77" i="5"/>
  <c r="BU77" i="5" l="1"/>
  <c r="CB77" i="5"/>
  <c r="F86" i="8"/>
  <c r="CJ77" i="5"/>
  <c r="BK77" i="5"/>
  <c r="BH78" i="5" s="1"/>
  <c r="CG77" i="5"/>
  <c r="BQ77" i="5"/>
  <c r="BT78" i="5" l="1"/>
  <c r="AS78" i="5"/>
  <c r="AM78" i="5"/>
  <c r="CH77" i="5"/>
  <c r="CF77" i="5" s="1"/>
  <c r="BV77" i="5"/>
  <c r="BW77" i="5"/>
  <c r="BZ77" i="5" s="1"/>
  <c r="CK77" i="5" s="1"/>
  <c r="CL77" i="5" s="1"/>
  <c r="BO78" i="5" l="1"/>
  <c r="AN78" i="5"/>
  <c r="G86" i="8"/>
  <c r="AP78" i="5" l="1"/>
  <c r="AO78" i="5"/>
  <c r="AT78" i="5" l="1"/>
  <c r="AX78" i="5" s="1"/>
  <c r="AU78" i="5" l="1"/>
  <c r="AV78" i="5" l="1"/>
  <c r="AW78" i="5" s="1"/>
  <c r="AZ78" i="5" l="1"/>
  <c r="CC78" i="5"/>
  <c r="BA78" i="5" l="1"/>
  <c r="BE78" i="5" l="1"/>
  <c r="BB78" i="5"/>
  <c r="BC78" i="5" l="1"/>
  <c r="BJ78" i="5"/>
  <c r="BL78" i="5" s="1"/>
  <c r="BP78" i="5" l="1"/>
  <c r="BI78" i="5"/>
  <c r="CD78" i="5"/>
  <c r="BD78" i="5"/>
  <c r="CG78" i="5" l="1"/>
  <c r="BQ78" i="5"/>
  <c r="CB78" i="5"/>
  <c r="F87" i="8"/>
  <c r="CJ78" i="5"/>
  <c r="BK78" i="5"/>
  <c r="BH79" i="5" s="1"/>
  <c r="BR78" i="5"/>
  <c r="BU78" i="5" l="1"/>
  <c r="BW78" i="5"/>
  <c r="BZ78" i="5" s="1"/>
  <c r="AS79" i="5"/>
  <c r="CH78" i="5" l="1"/>
  <c r="BV78" i="5"/>
  <c r="CK78" i="5"/>
  <c r="CL78" i="5" s="1"/>
  <c r="CF78" i="5" l="1"/>
  <c r="G87" i="8"/>
  <c r="BO79" i="5" l="1"/>
  <c r="AM79" i="5"/>
  <c r="BT79" i="5"/>
  <c r="AN79" i="5" l="1"/>
  <c r="AP79" i="5" l="1"/>
  <c r="AO79" i="5"/>
  <c r="AT79" i="5" l="1"/>
  <c r="AX79" i="5" s="1"/>
  <c r="AU79" i="5" l="1"/>
  <c r="AV79" i="5" l="1"/>
  <c r="AW79" i="5" s="1"/>
  <c r="AZ79" i="5" l="1"/>
  <c r="CC79" i="5"/>
  <c r="BA79" i="5" l="1"/>
  <c r="BB79" i="5" s="1"/>
  <c r="BC79" i="5" l="1"/>
  <c r="BI79" i="5" s="1"/>
  <c r="BE79" i="5"/>
  <c r="CJ79" i="5" l="1"/>
  <c r="BJ79" i="5"/>
  <c r="BL79" i="5" s="1"/>
  <c r="CD79" i="5"/>
  <c r="BD79" i="5"/>
  <c r="BP79" i="5" l="1"/>
  <c r="BR79" i="5" s="1"/>
  <c r="BK79" i="5"/>
  <c r="BH80" i="5" s="1"/>
  <c r="CB79" i="5"/>
  <c r="F88" i="8"/>
  <c r="BU79" i="5" l="1"/>
  <c r="BW79" i="5" s="1"/>
  <c r="BZ79" i="5" s="1"/>
  <c r="AS80" i="5"/>
  <c r="CG79" i="5"/>
  <c r="BQ79" i="5"/>
  <c r="CH79" i="5" l="1"/>
  <c r="CF79" i="5" s="1"/>
  <c r="BV79" i="5"/>
  <c r="CK79" i="5"/>
  <c r="CL79" i="5" s="1"/>
  <c r="BO80" i="5" l="1"/>
  <c r="AM80" i="5"/>
  <c r="BT80" i="5"/>
  <c r="G88" i="8"/>
  <c r="AN80" i="5" l="1"/>
  <c r="AP80" i="5" l="1"/>
  <c r="AO80" i="5"/>
  <c r="AT80" i="5" l="1"/>
  <c r="AX80" i="5" s="1"/>
  <c r="AU80" i="5" l="1"/>
  <c r="AV80" i="5" l="1"/>
  <c r="CC80" i="5" l="1"/>
  <c r="AZ80" i="5"/>
  <c r="AW80" i="5"/>
  <c r="BA80" i="5" l="1"/>
  <c r="BE80" i="5" l="1"/>
  <c r="BB80" i="5"/>
  <c r="BC80" i="5" l="1"/>
  <c r="BJ80" i="5"/>
  <c r="BL80" i="5" s="1"/>
  <c r="BP80" i="5" l="1"/>
  <c r="BR80" i="5"/>
  <c r="BI80" i="5"/>
  <c r="CD80" i="5"/>
  <c r="BD80" i="5"/>
  <c r="CB80" i="5" l="1"/>
  <c r="F89" i="8"/>
  <c r="BU80" i="5"/>
  <c r="BW80" i="5" s="1"/>
  <c r="BZ80" i="5" s="1"/>
  <c r="CJ80" i="5"/>
  <c r="BK80" i="5"/>
  <c r="BH81" i="5" s="1"/>
  <c r="CG80" i="5"/>
  <c r="BQ80" i="5"/>
  <c r="CH80" i="5" l="1"/>
  <c r="CF80" i="5" s="1"/>
  <c r="BV80" i="5"/>
  <c r="CK80" i="5"/>
  <c r="CL80" i="5" s="1"/>
  <c r="BT81" i="5"/>
  <c r="AS81" i="5"/>
  <c r="BO81" i="5" l="1"/>
  <c r="AM81" i="5"/>
  <c r="G89" i="8"/>
  <c r="AN81" i="5" l="1"/>
  <c r="AP81" i="5" l="1"/>
  <c r="AO81" i="5"/>
  <c r="AT81" i="5" l="1"/>
  <c r="AX81" i="5" s="1"/>
  <c r="AU81" i="5" l="1"/>
  <c r="AV81" i="5" l="1"/>
  <c r="AW81" i="5" s="1"/>
  <c r="AZ81" i="5" l="1"/>
  <c r="CC81" i="5"/>
  <c r="BA81" i="5" l="1"/>
  <c r="BE81" i="5" l="1"/>
  <c r="BB81" i="5"/>
  <c r="BC81" i="5" l="1"/>
  <c r="BJ81" i="5"/>
  <c r="BL81" i="5" s="1"/>
  <c r="BP81" i="5" l="1"/>
  <c r="BR81" i="5" s="1"/>
  <c r="BI81" i="5"/>
  <c r="CD81" i="5"/>
  <c r="BD81" i="5"/>
  <c r="BU81" i="5" l="1"/>
  <c r="BW81" i="5" s="1"/>
  <c r="BZ81" i="5" s="1"/>
  <c r="CB81" i="5"/>
  <c r="F90" i="8"/>
  <c r="CJ81" i="5"/>
  <c r="BK81" i="5"/>
  <c r="BH82" i="5" s="1"/>
  <c r="CG81" i="5"/>
  <c r="BQ81" i="5"/>
  <c r="AS82" i="5" l="1"/>
  <c r="CH81" i="5"/>
  <c r="CF81" i="5" s="1"/>
  <c r="BT82" i="5" s="1"/>
  <c r="BV81" i="5"/>
  <c r="CK81" i="5"/>
  <c r="CL81" i="5" s="1"/>
  <c r="AM82" i="5" l="1"/>
  <c r="G90" i="8"/>
  <c r="BO82" i="5"/>
  <c r="AN82" i="5"/>
  <c r="AP82" i="5" l="1"/>
  <c r="AO82" i="5"/>
  <c r="AT82" i="5" l="1"/>
  <c r="AX82" i="5"/>
  <c r="AU82" i="5" l="1"/>
  <c r="AV82" i="5" l="1"/>
  <c r="AW82" i="5" s="1"/>
  <c r="AZ82" i="5" l="1"/>
  <c r="CC82" i="5"/>
  <c r="BA82" i="5" l="1"/>
  <c r="BE82" i="5" l="1"/>
  <c r="BB82" i="5"/>
  <c r="BC82" i="5" l="1"/>
  <c r="BJ82" i="5"/>
  <c r="BL82" i="5" s="1"/>
  <c r="BP82" i="5" l="1"/>
  <c r="BR82" i="5" s="1"/>
  <c r="BI82" i="5"/>
  <c r="CD82" i="5"/>
  <c r="BD82" i="5"/>
  <c r="BU82" i="5" l="1"/>
  <c r="BW82" i="5" s="1"/>
  <c r="BZ82" i="5" s="1"/>
  <c r="CB82" i="5"/>
  <c r="F91" i="8"/>
  <c r="CJ82" i="5"/>
  <c r="BK82" i="5"/>
  <c r="BH83" i="5" s="1"/>
  <c r="CG82" i="5"/>
  <c r="BQ82" i="5"/>
  <c r="BT83" i="5" l="1"/>
  <c r="AS83" i="5"/>
  <c r="CH82" i="5"/>
  <c r="CF82" i="5" s="1"/>
  <c r="BV82" i="5"/>
  <c r="CK82" i="5"/>
  <c r="CL82" i="5" s="1"/>
  <c r="BO83" i="5" l="1"/>
  <c r="AM83" i="5"/>
  <c r="G91" i="8"/>
  <c r="AN83" i="5" l="1"/>
  <c r="AP83" i="5" l="1"/>
  <c r="AO83" i="5"/>
  <c r="AT83" i="5" l="1"/>
  <c r="AU83" i="5" l="1"/>
  <c r="AX83" i="5"/>
  <c r="AV83" i="5" l="1"/>
  <c r="CC83" i="5" l="1"/>
  <c r="AW83" i="5"/>
  <c r="AZ83" i="5"/>
  <c r="BA83" i="5" l="1"/>
  <c r="BE83" i="5" l="1"/>
  <c r="BB83" i="5"/>
  <c r="BC83" i="5" l="1"/>
  <c r="BJ83" i="5"/>
  <c r="BL83" i="5" s="1"/>
  <c r="BP83" i="5" l="1"/>
  <c r="BR83" i="5" s="1"/>
  <c r="BI83" i="5"/>
  <c r="CD83" i="5"/>
  <c r="BD83" i="5"/>
  <c r="CJ83" i="5" l="1"/>
  <c r="BK83" i="5"/>
  <c r="BH84" i="5" s="1"/>
  <c r="BU83" i="5"/>
  <c r="CB83" i="5"/>
  <c r="F92" i="8"/>
  <c r="CG83" i="5"/>
  <c r="BQ83" i="5"/>
  <c r="CH83" i="5" l="1"/>
  <c r="CF83" i="5" s="1"/>
  <c r="BV83" i="5"/>
  <c r="G92" i="8"/>
  <c r="BT84" i="5"/>
  <c r="AS84" i="5"/>
  <c r="AM84" i="5"/>
  <c r="BW83" i="5"/>
  <c r="BZ83" i="5" s="1"/>
  <c r="CK83" i="5" s="1"/>
  <c r="CL83" i="5" s="1"/>
  <c r="AN84" i="5" l="1"/>
  <c r="BO84" i="5"/>
  <c r="AP84" i="5" l="1"/>
  <c r="AO84" i="5"/>
  <c r="AT84" i="5" l="1"/>
  <c r="AX84" i="5" s="1"/>
  <c r="AU84" i="5" l="1"/>
  <c r="AV84" i="5" l="1"/>
  <c r="AW84" i="5" s="1"/>
  <c r="AZ84" i="5" l="1"/>
  <c r="CC84" i="5"/>
  <c r="BA84" i="5" l="1"/>
  <c r="BE84" i="5" l="1"/>
  <c r="BB84" i="5"/>
  <c r="BC84" i="5" l="1"/>
  <c r="BJ84" i="5"/>
  <c r="BL84" i="5" s="1"/>
  <c r="BP84" i="5" l="1"/>
  <c r="BR84" i="5"/>
  <c r="BI84" i="5"/>
  <c r="CD84" i="5"/>
  <c r="BD84" i="5"/>
  <c r="BU84" i="5" l="1"/>
  <c r="BW84" i="5" s="1"/>
  <c r="BZ84" i="5" s="1"/>
  <c r="CB84" i="5"/>
  <c r="F93" i="8"/>
  <c r="CJ84" i="5"/>
  <c r="BK84" i="5"/>
  <c r="BH85" i="5" s="1"/>
  <c r="CG84" i="5"/>
  <c r="BQ84" i="5"/>
  <c r="AS85" i="5" l="1"/>
  <c r="AM85" i="5"/>
  <c r="CH84" i="5"/>
  <c r="CF84" i="5" s="1"/>
  <c r="BT85" i="5" s="1"/>
  <c r="BV84" i="5"/>
  <c r="CK84" i="5"/>
  <c r="CL84" i="5" s="1"/>
  <c r="G93" i="8"/>
  <c r="AN85" i="5" l="1"/>
  <c r="AO85" i="5" s="1"/>
  <c r="BO85" i="5"/>
  <c r="AP85" i="5" l="1"/>
  <c r="AT85" i="5" l="1"/>
  <c r="AX85" i="5"/>
  <c r="AU85" i="5" l="1"/>
  <c r="AV85" i="5" l="1"/>
  <c r="AW85" i="5" s="1"/>
  <c r="AZ85" i="5" l="1"/>
  <c r="CC85" i="5"/>
  <c r="BA85" i="5" l="1"/>
  <c r="BB85" i="5" s="1"/>
  <c r="BC85" i="5" l="1"/>
  <c r="BI85" i="5" s="1"/>
  <c r="BE85" i="5"/>
  <c r="CJ85" i="5" l="1"/>
  <c r="BJ85" i="5"/>
  <c r="CD85" i="5"/>
  <c r="BD85" i="5"/>
  <c r="CB85" i="5" l="1"/>
  <c r="F94" i="8"/>
  <c r="BL85" i="5"/>
  <c r="BK85" i="5"/>
  <c r="BH86" i="5" s="1"/>
  <c r="AS86" i="5" l="1"/>
  <c r="BP85" i="5"/>
  <c r="CG85" i="5" l="1"/>
  <c r="BQ85" i="5"/>
  <c r="BR85" i="5"/>
  <c r="BU85" i="5" l="1"/>
  <c r="BW85" i="5" s="1"/>
  <c r="BZ85" i="5" s="1"/>
  <c r="CH85" i="5" l="1"/>
  <c r="BV85" i="5"/>
  <c r="CK85" i="5"/>
  <c r="CL85" i="5" s="1"/>
  <c r="CF85" i="5" l="1"/>
  <c r="G94" i="8"/>
  <c r="BO86" i="5" l="1"/>
  <c r="BT86" i="5"/>
  <c r="AM86" i="5"/>
  <c r="AN86" i="5" l="1"/>
  <c r="AP86" i="5" l="1"/>
  <c r="AO86" i="5"/>
  <c r="AT86" i="5" l="1"/>
  <c r="AX86" i="5" s="1"/>
  <c r="AU86" i="5" l="1"/>
  <c r="AV86" i="5" l="1"/>
  <c r="AW86" i="5" s="1"/>
  <c r="CC86" i="5" l="1"/>
  <c r="AZ86" i="5"/>
  <c r="BA86" i="5" l="1"/>
  <c r="BE86" i="5" l="1"/>
  <c r="BB86" i="5"/>
  <c r="BC86" i="5" l="1"/>
  <c r="BJ86" i="5"/>
  <c r="BL86" i="5" s="1"/>
  <c r="BP86" i="5" l="1"/>
  <c r="BI86" i="5"/>
  <c r="CD86" i="5"/>
  <c r="BD86" i="5"/>
  <c r="CJ86" i="5" l="1"/>
  <c r="BK86" i="5"/>
  <c r="BH87" i="5" s="1"/>
  <c r="CB86" i="5"/>
  <c r="F95" i="8"/>
  <c r="CG86" i="5"/>
  <c r="BQ86" i="5"/>
  <c r="BR86" i="5"/>
  <c r="BU86" i="5" l="1"/>
  <c r="BW86" i="5" s="1"/>
  <c r="BZ86" i="5" s="1"/>
  <c r="AS87" i="5"/>
  <c r="CH86" i="5" l="1"/>
  <c r="BV86" i="5"/>
  <c r="CK86" i="5"/>
  <c r="CL86" i="5" s="1"/>
  <c r="CF86" i="5" l="1"/>
  <c r="G95" i="8"/>
  <c r="BO87" i="5" l="1"/>
  <c r="AM87" i="5"/>
  <c r="BT87" i="5"/>
  <c r="AN87" i="5" l="1"/>
  <c r="AP87" i="5" l="1"/>
  <c r="AO87" i="5"/>
  <c r="AT87" i="5" l="1"/>
  <c r="AX87" i="5" s="1"/>
  <c r="AU87" i="5" l="1"/>
  <c r="AV87" i="5" l="1"/>
  <c r="AW87" i="5" s="1"/>
  <c r="CC87" i="5" l="1"/>
  <c r="AZ87" i="5"/>
  <c r="BA87" i="5" l="1"/>
  <c r="BE87" i="5" l="1"/>
  <c r="BB87" i="5"/>
  <c r="BC87" i="5" l="1"/>
  <c r="BJ87" i="5"/>
  <c r="BL87" i="5" s="1"/>
  <c r="BP87" i="5" l="1"/>
  <c r="BR87" i="5"/>
  <c r="BI87" i="5"/>
  <c r="CD87" i="5"/>
  <c r="BD87" i="5"/>
  <c r="CB87" i="5" l="1"/>
  <c r="F96" i="8"/>
  <c r="CJ87" i="5"/>
  <c r="BK87" i="5"/>
  <c r="BH88" i="5" s="1"/>
  <c r="BU87" i="5"/>
  <c r="CG87" i="5"/>
  <c r="BQ87" i="5"/>
  <c r="CH87" i="5" l="1"/>
  <c r="CF87" i="5" s="1"/>
  <c r="BV87" i="5"/>
  <c r="G96" i="8"/>
  <c r="BW87" i="5"/>
  <c r="BZ87" i="5" s="1"/>
  <c r="CK87" i="5" s="1"/>
  <c r="CL87" i="5" s="1"/>
  <c r="BT88" i="5"/>
  <c r="AS88" i="5"/>
  <c r="AM88" i="5"/>
  <c r="AN88" i="5" l="1"/>
  <c r="BO88" i="5"/>
  <c r="AP88" i="5" l="1"/>
  <c r="AO88" i="5"/>
  <c r="AT88" i="5" l="1"/>
  <c r="AX88" i="5"/>
  <c r="AU88" i="5" l="1"/>
  <c r="AV88" i="5" l="1"/>
  <c r="AZ88" i="5" l="1"/>
  <c r="CC88" i="5"/>
  <c r="AW88" i="5"/>
  <c r="BA88" i="5" l="1"/>
  <c r="BB88" i="5" s="1"/>
  <c r="BE88" i="5" l="1"/>
  <c r="BC88" i="5"/>
  <c r="BI88" i="5" s="1"/>
  <c r="CJ88" i="5" l="1"/>
  <c r="BD88" i="5"/>
  <c r="BJ88" i="5"/>
  <c r="BL88" i="5" s="1"/>
  <c r="CD88" i="5"/>
  <c r="BP88" i="5" l="1"/>
  <c r="BR88" i="5" s="1"/>
  <c r="BK88" i="5"/>
  <c r="BH89" i="5" s="1"/>
  <c r="CB88" i="5"/>
  <c r="F97" i="8"/>
  <c r="BU88" i="5" l="1"/>
  <c r="BW88" i="5"/>
  <c r="BZ88" i="5" s="1"/>
  <c r="AS89" i="5"/>
  <c r="CG88" i="5"/>
  <c r="BQ88" i="5"/>
  <c r="CH88" i="5" l="1"/>
  <c r="CF88" i="5" s="1"/>
  <c r="BV88" i="5"/>
  <c r="CK88" i="5"/>
  <c r="CL88" i="5" s="1"/>
  <c r="BO89" i="5" l="1"/>
  <c r="AM89" i="5"/>
  <c r="BT89" i="5"/>
  <c r="G97" i="8"/>
  <c r="AN89" i="5" l="1"/>
  <c r="AO89" i="5" s="1"/>
  <c r="AP89" i="5" l="1"/>
  <c r="AT89" i="5" l="1"/>
  <c r="AX89" i="5" s="1"/>
  <c r="AU89" i="5" l="1"/>
  <c r="AV89" i="5" l="1"/>
  <c r="AW89" i="5" s="1"/>
  <c r="AZ89" i="5" l="1"/>
  <c r="CC89" i="5"/>
  <c r="BA89" i="5" l="1"/>
  <c r="BB89" i="5" s="1"/>
  <c r="BC89" i="5" l="1"/>
  <c r="BI89" i="5" s="1"/>
  <c r="BE89" i="5"/>
  <c r="CD89" i="5" l="1"/>
  <c r="BJ89" i="5"/>
  <c r="CJ89" i="5"/>
  <c r="BD89" i="5"/>
  <c r="BL89" i="5" l="1"/>
  <c r="BK89" i="5"/>
  <c r="BH90" i="5" s="1"/>
  <c r="CB89" i="5"/>
  <c r="F98" i="8"/>
  <c r="AS90" i="5" l="1"/>
  <c r="BP89" i="5"/>
  <c r="BR89" i="5" s="1"/>
  <c r="BU89" i="5" l="1"/>
  <c r="BW89" i="5"/>
  <c r="BZ89" i="5" s="1"/>
  <c r="CG89" i="5"/>
  <c r="BQ89" i="5"/>
  <c r="CK89" i="5"/>
  <c r="CL89" i="5" s="1"/>
  <c r="CH89" i="5" l="1"/>
  <c r="CF89" i="5" s="1"/>
  <c r="BV89" i="5"/>
  <c r="BO90" i="5" l="1"/>
  <c r="AM90" i="5"/>
  <c r="BT90" i="5"/>
  <c r="G98" i="8"/>
  <c r="AN90" i="5" l="1"/>
  <c r="AP90" i="5" l="1"/>
  <c r="AO90" i="5"/>
  <c r="AT90" i="5" l="1"/>
  <c r="AX90" i="5" s="1"/>
  <c r="AU90" i="5" l="1"/>
  <c r="AV90" i="5" l="1"/>
  <c r="AW90" i="5" s="1"/>
  <c r="CC90" i="5" l="1"/>
  <c r="AZ90" i="5"/>
  <c r="BA90" i="5" l="1"/>
  <c r="BB90" i="5" s="1"/>
  <c r="BC90" i="5" l="1"/>
  <c r="BI90" i="5" s="1"/>
  <c r="BE90" i="5"/>
  <c r="CD90" i="5" l="1"/>
  <c r="CJ90" i="5"/>
  <c r="BJ90" i="5"/>
  <c r="BK90" i="5" s="1"/>
  <c r="BH91" i="5" s="1"/>
  <c r="BD90" i="5"/>
  <c r="BL90" i="5" l="1"/>
  <c r="CB90" i="5"/>
  <c r="F99" i="8"/>
  <c r="AS91" i="5" l="1"/>
  <c r="BP90" i="5"/>
  <c r="CG90" i="5" l="1"/>
  <c r="BQ90" i="5"/>
  <c r="BR90" i="5"/>
  <c r="BU90" i="5" l="1"/>
  <c r="BW90" i="5" s="1"/>
  <c r="BZ90" i="5" s="1"/>
  <c r="CH90" i="5" l="1"/>
  <c r="BV90" i="5"/>
  <c r="CK90" i="5"/>
  <c r="CL90" i="5" s="1"/>
  <c r="CF90" i="5" l="1"/>
  <c r="G99" i="8"/>
  <c r="BO91" i="5" l="1"/>
  <c r="AM91" i="5"/>
  <c r="BT91" i="5"/>
  <c r="AN91" i="5" l="1"/>
  <c r="AO91" i="5" s="1"/>
  <c r="AP91" i="5" l="1"/>
  <c r="AT91" i="5" l="1"/>
  <c r="AU91" i="5" l="1"/>
  <c r="AX91" i="5"/>
  <c r="AV91" i="5" l="1"/>
  <c r="CC91" i="5" l="1"/>
  <c r="AW91" i="5"/>
  <c r="AZ91" i="5"/>
  <c r="BA91" i="5" l="1"/>
  <c r="BE91" i="5" l="1"/>
  <c r="BB91" i="5"/>
  <c r="BC91" i="5" l="1"/>
  <c r="BJ91" i="5"/>
  <c r="BL91" i="5" s="1"/>
  <c r="BP91" i="5" l="1"/>
  <c r="BR91" i="5"/>
  <c r="BI91" i="5"/>
  <c r="CD91" i="5"/>
  <c r="BD91" i="5"/>
  <c r="CB91" i="5" l="1"/>
  <c r="F100" i="8"/>
  <c r="CJ91" i="5"/>
  <c r="BK91" i="5"/>
  <c r="BH92" i="5" s="1"/>
  <c r="BU91" i="5"/>
  <c r="CG91" i="5"/>
  <c r="BQ91" i="5"/>
  <c r="CH91" i="5" l="1"/>
  <c r="CF91" i="5" s="1"/>
  <c r="BV91" i="5"/>
  <c r="G100" i="8"/>
  <c r="BW91" i="5"/>
  <c r="BZ91" i="5" s="1"/>
  <c r="CK91" i="5" s="1"/>
  <c r="CL91" i="5" s="1"/>
  <c r="BT92" i="5"/>
  <c r="AS92" i="5"/>
  <c r="AM92" i="5"/>
  <c r="AN92" i="5" l="1"/>
  <c r="BO92" i="5"/>
  <c r="AP92" i="5" l="1"/>
  <c r="AO92" i="5"/>
  <c r="AT92" i="5" l="1"/>
  <c r="AX92" i="5" s="1"/>
  <c r="AU92" i="5" l="1"/>
  <c r="AV92" i="5" l="1"/>
  <c r="AW92" i="5" s="1"/>
  <c r="CC92" i="5" l="1"/>
  <c r="AZ92" i="5"/>
  <c r="BA92" i="5" l="1"/>
  <c r="BE92" i="5" l="1"/>
  <c r="BB92" i="5"/>
  <c r="BC92" i="5" l="1"/>
  <c r="BJ92" i="5"/>
  <c r="BL92" i="5" s="1"/>
  <c r="BP92" i="5" l="1"/>
  <c r="BI92" i="5"/>
  <c r="CD92" i="5"/>
  <c r="BD92" i="5"/>
  <c r="CJ92" i="5" l="1"/>
  <c r="BK92" i="5"/>
  <c r="BH93" i="5" s="1"/>
  <c r="CB92" i="5"/>
  <c r="F101" i="8"/>
  <c r="CG92" i="5"/>
  <c r="BQ92" i="5"/>
  <c r="BR92" i="5"/>
  <c r="BU92" i="5" l="1"/>
  <c r="BW92" i="5" s="1"/>
  <c r="BZ92" i="5" s="1"/>
  <c r="AS93" i="5"/>
  <c r="CH92" i="5" l="1"/>
  <c r="BV92" i="5"/>
  <c r="CK92" i="5"/>
  <c r="CL92" i="5" s="1"/>
  <c r="CF92" i="5" l="1"/>
  <c r="G101" i="8"/>
  <c r="BO93" i="5" l="1"/>
  <c r="AM93" i="5"/>
  <c r="BT93" i="5"/>
  <c r="AN93" i="5" l="1"/>
  <c r="AO93" i="5" s="1"/>
  <c r="AP93" i="5" l="1"/>
  <c r="AT93" i="5" l="1"/>
  <c r="AX93" i="5" s="1"/>
  <c r="AU93" i="5" l="1"/>
  <c r="AV93" i="5" l="1"/>
  <c r="AW93" i="5" s="1"/>
  <c r="CC93" i="5" l="1"/>
  <c r="AZ93" i="5"/>
  <c r="BA93" i="5" l="1"/>
  <c r="BE93" i="5" l="1"/>
  <c r="BB93" i="5"/>
  <c r="BC93" i="5" l="1"/>
  <c r="BJ93" i="5"/>
  <c r="BL93" i="5" s="1"/>
  <c r="BP93" i="5" l="1"/>
  <c r="BR93" i="5" s="1"/>
  <c r="BI93" i="5"/>
  <c r="CD93" i="5"/>
  <c r="BD93" i="5"/>
  <c r="CJ93" i="5" l="1"/>
  <c r="BK93" i="5"/>
  <c r="BH94" i="5" s="1"/>
  <c r="CB93" i="5"/>
  <c r="F102" i="8"/>
  <c r="BU93" i="5"/>
  <c r="CG93" i="5"/>
  <c r="BQ93" i="5"/>
  <c r="CH93" i="5" l="1"/>
  <c r="CF93" i="5" s="1"/>
  <c r="BV93" i="5"/>
  <c r="BT94" i="5"/>
  <c r="AS94" i="5"/>
  <c r="BW93" i="5"/>
  <c r="BZ93" i="5" s="1"/>
  <c r="CK93" i="5" s="1"/>
  <c r="CL93" i="5" s="1"/>
  <c r="BO94" i="5" l="1"/>
  <c r="AM94" i="5"/>
  <c r="G102" i="8"/>
  <c r="AN94" i="5" l="1"/>
  <c r="AP94" i="5" l="1"/>
  <c r="AO94" i="5"/>
  <c r="AT94" i="5" l="1"/>
  <c r="AX94" i="5"/>
  <c r="AU94" i="5" l="1"/>
  <c r="AV94" i="5" l="1"/>
  <c r="AZ94" i="5" l="1"/>
  <c r="CC94" i="5"/>
  <c r="AW94" i="5"/>
  <c r="BA94" i="5" l="1"/>
  <c r="BE94" i="5" l="1"/>
  <c r="BB94" i="5"/>
  <c r="BC94" i="5" l="1"/>
  <c r="BJ94" i="5"/>
  <c r="BL94" i="5" s="1"/>
  <c r="BP94" i="5" l="1"/>
  <c r="BR94" i="5"/>
  <c r="BI94" i="5"/>
  <c r="CD94" i="5"/>
  <c r="BD94" i="5"/>
  <c r="CB94" i="5" l="1"/>
  <c r="F103" i="8"/>
  <c r="CJ94" i="5"/>
  <c r="BK94" i="5"/>
  <c r="BH95" i="5" s="1"/>
  <c r="BU94" i="5"/>
  <c r="CG94" i="5"/>
  <c r="BQ94" i="5"/>
  <c r="CH94" i="5" l="1"/>
  <c r="CF94" i="5" s="1"/>
  <c r="BV94" i="5"/>
  <c r="BW94" i="5"/>
  <c r="BZ94" i="5" s="1"/>
  <c r="CK94" i="5" s="1"/>
  <c r="CL94" i="5" s="1"/>
  <c r="BT95" i="5"/>
  <c r="AS95" i="5"/>
  <c r="AM95" i="5"/>
  <c r="AN95" i="5" l="1"/>
  <c r="BO95" i="5"/>
  <c r="G103" i="8"/>
  <c r="AP95" i="5" l="1"/>
  <c r="AO95" i="5"/>
  <c r="AT95" i="5" l="1"/>
  <c r="AX95" i="5" s="1"/>
  <c r="AU95" i="5" l="1"/>
  <c r="AV95" i="5" l="1"/>
  <c r="AW95" i="5" s="1"/>
  <c r="CC95" i="5" l="1"/>
  <c r="AZ95" i="5"/>
  <c r="BA95" i="5" l="1"/>
  <c r="BE95" i="5" l="1"/>
  <c r="BB95" i="5"/>
  <c r="BC95" i="5" l="1"/>
  <c r="BJ95" i="5"/>
  <c r="BL95" i="5" s="1"/>
  <c r="BP95" i="5" l="1"/>
  <c r="BR95" i="5" s="1"/>
  <c r="BI95" i="5"/>
  <c r="CD95" i="5"/>
  <c r="BD95" i="5"/>
  <c r="BU95" i="5" l="1"/>
  <c r="BW95" i="5"/>
  <c r="BZ95" i="5" s="1"/>
  <c r="CK95" i="5"/>
  <c r="CB95" i="5"/>
  <c r="F104" i="8"/>
  <c r="CJ95" i="5"/>
  <c r="CL95" i="5" s="1"/>
  <c r="BK95" i="5"/>
  <c r="BH96" i="5" s="1"/>
  <c r="CG95" i="5"/>
  <c r="BQ95" i="5"/>
  <c r="AS96" i="5" l="1"/>
  <c r="AM96" i="5"/>
  <c r="CH95" i="5"/>
  <c r="CF95" i="5" s="1"/>
  <c r="BT96" i="5" s="1"/>
  <c r="BV95" i="5"/>
  <c r="AN96" i="5" l="1"/>
  <c r="AO96" i="5" s="1"/>
  <c r="BO96" i="5"/>
  <c r="G104" i="8"/>
  <c r="AP96" i="5" l="1"/>
  <c r="AT96" i="5" l="1"/>
  <c r="AX96" i="5" s="1"/>
  <c r="AU96" i="5" l="1"/>
  <c r="AV96" i="5" l="1"/>
  <c r="AW96" i="5" s="1"/>
  <c r="AZ96" i="5" l="1"/>
  <c r="CC96" i="5"/>
  <c r="BA96" i="5" l="1"/>
  <c r="BB96" i="5" s="1"/>
  <c r="BC96" i="5" l="1"/>
  <c r="BI96" i="5" s="1"/>
  <c r="BE96" i="5"/>
  <c r="BJ96" i="5" l="1"/>
  <c r="BL96" i="5" s="1"/>
  <c r="CD96" i="5"/>
  <c r="CJ96" i="5"/>
  <c r="BD96" i="5"/>
  <c r="BK96" i="5" l="1"/>
  <c r="BH97" i="5" s="1"/>
  <c r="BP96" i="5"/>
  <c r="BR96" i="5" s="1"/>
  <c r="CB96" i="5"/>
  <c r="F105" i="8"/>
  <c r="BU96" i="5" l="1"/>
  <c r="BW96" i="5" s="1"/>
  <c r="BZ96" i="5" s="1"/>
  <c r="AS97" i="5"/>
  <c r="CG96" i="5"/>
  <c r="BQ96" i="5"/>
  <c r="CH96" i="5" l="1"/>
  <c r="CF96" i="5" s="1"/>
  <c r="BV96" i="5"/>
  <c r="CK96" i="5"/>
  <c r="CL96" i="5" s="1"/>
  <c r="BO97" i="5" l="1"/>
  <c r="AM97" i="5"/>
  <c r="BT97" i="5"/>
  <c r="G105" i="8"/>
  <c r="AN97" i="5" l="1"/>
  <c r="AP97" i="5" l="1"/>
  <c r="AO97" i="5"/>
  <c r="AT97" i="5" l="1"/>
  <c r="AU97" i="5" l="1"/>
  <c r="AX97" i="5"/>
  <c r="AV97" i="5" l="1"/>
  <c r="AZ97" i="5" s="1"/>
  <c r="BA97" i="5" l="1"/>
  <c r="AW97" i="5"/>
  <c r="CC97" i="5"/>
  <c r="BE97" i="5" l="1"/>
  <c r="BB97" i="5"/>
  <c r="BJ97" i="5" l="1"/>
  <c r="BL97" i="5" s="1"/>
  <c r="BC97" i="5"/>
  <c r="BP97" i="5" l="1"/>
  <c r="BR97" i="5"/>
  <c r="BI97" i="5"/>
  <c r="CD97" i="5"/>
  <c r="BD97" i="5"/>
  <c r="CB97" i="5" l="1"/>
  <c r="F106" i="8"/>
  <c r="BU97" i="5"/>
  <c r="BW97" i="5" s="1"/>
  <c r="BZ97" i="5" s="1"/>
  <c r="CJ97" i="5"/>
  <c r="BK97" i="5"/>
  <c r="BH98" i="5" s="1"/>
  <c r="CG97" i="5"/>
  <c r="BQ97" i="5"/>
  <c r="CH97" i="5" l="1"/>
  <c r="CF97" i="5" s="1"/>
  <c r="AM98" i="5" s="1"/>
  <c r="BV97" i="5"/>
  <c r="CK97" i="5"/>
  <c r="CL97" i="5" s="1"/>
  <c r="BT98" i="5"/>
  <c r="AS98" i="5"/>
  <c r="AN98" i="5" l="1"/>
  <c r="BO98" i="5"/>
  <c r="G106" i="8"/>
  <c r="AP98" i="5" l="1"/>
  <c r="AO98" i="5"/>
  <c r="AT98" i="5" l="1"/>
  <c r="AX98" i="5"/>
  <c r="AU98" i="5" l="1"/>
  <c r="AV98" i="5" l="1"/>
  <c r="AW98" i="5" s="1"/>
  <c r="AZ98" i="5" l="1"/>
  <c r="CC98" i="5"/>
  <c r="BA98" i="5" l="1"/>
  <c r="BB98" i="5" s="1"/>
  <c r="BC98" i="5" l="1"/>
  <c r="BI98" i="5" s="1"/>
  <c r="BE98" i="5"/>
  <c r="BJ98" i="5" l="1"/>
  <c r="BL98" i="5" s="1"/>
  <c r="CD98" i="5"/>
  <c r="CJ98" i="5"/>
  <c r="BK98" i="5"/>
  <c r="BH99" i="5" s="1"/>
  <c r="BD98" i="5"/>
  <c r="BP98" i="5" l="1"/>
  <c r="BR98" i="5" s="1"/>
  <c r="CB98" i="5"/>
  <c r="F107" i="8"/>
  <c r="AS99" i="5" l="1"/>
  <c r="BU98" i="5"/>
  <c r="CG98" i="5"/>
  <c r="BQ98" i="5"/>
  <c r="CH98" i="5" l="1"/>
  <c r="CF98" i="5" s="1"/>
  <c r="BV98" i="5"/>
  <c r="BW98" i="5"/>
  <c r="BZ98" i="5" s="1"/>
  <c r="CK98" i="5" s="1"/>
  <c r="CL98" i="5" s="1"/>
  <c r="BO99" i="5" l="1"/>
  <c r="BT99" i="5"/>
  <c r="AM99" i="5"/>
  <c r="G107" i="8"/>
  <c r="AN99" i="5" l="1"/>
  <c r="AP99" i="5" l="1"/>
  <c r="AO99" i="5"/>
  <c r="AT99" i="5" l="1"/>
  <c r="AX99" i="5" s="1"/>
  <c r="AU99" i="5" l="1"/>
  <c r="AV99" i="5" l="1"/>
  <c r="AW99" i="5" s="1"/>
  <c r="CC99" i="5" l="1"/>
  <c r="AZ99" i="5"/>
  <c r="BA99" i="5" l="1"/>
  <c r="BE99" i="5" l="1"/>
  <c r="BB99" i="5"/>
  <c r="BC99" i="5" l="1"/>
  <c r="BJ99" i="5"/>
  <c r="BL99" i="5" s="1"/>
  <c r="BP99" i="5" l="1"/>
  <c r="BR99" i="5" s="1"/>
  <c r="BI99" i="5"/>
  <c r="CD99" i="5"/>
  <c r="BD99" i="5"/>
  <c r="BU99" i="5" l="1"/>
  <c r="BW99" i="5" s="1"/>
  <c r="BZ99" i="5" s="1"/>
  <c r="CB99" i="5"/>
  <c r="F108" i="8"/>
  <c r="CJ99" i="5"/>
  <c r="BK99" i="5"/>
  <c r="BH100" i="5" s="1"/>
  <c r="CG99" i="5"/>
  <c r="BQ99" i="5"/>
  <c r="AS100" i="5" l="1"/>
  <c r="CH99" i="5"/>
  <c r="CF99" i="5" s="1"/>
  <c r="BT100" i="5" s="1"/>
  <c r="BV99" i="5"/>
  <c r="CK99" i="5"/>
  <c r="CL99" i="5" s="1"/>
  <c r="AM100" i="5" l="1"/>
  <c r="AN100" i="5" s="1"/>
  <c r="G108" i="8"/>
  <c r="BO100" i="5"/>
  <c r="AP100" i="5" l="1"/>
  <c r="AO100" i="5"/>
  <c r="AT100" i="5" l="1"/>
  <c r="AX100" i="5" s="1"/>
  <c r="AU100" i="5" l="1"/>
  <c r="AV100" i="5" l="1"/>
  <c r="AW100" i="5" s="1"/>
  <c r="CC100" i="5" l="1"/>
  <c r="AZ100" i="5"/>
  <c r="BA100" i="5" l="1"/>
  <c r="BE100" i="5" l="1"/>
  <c r="BB100" i="5"/>
  <c r="BC100" i="5" l="1"/>
  <c r="BJ100" i="5"/>
  <c r="BL100" i="5" s="1"/>
  <c r="BP100" i="5" l="1"/>
  <c r="BI100" i="5"/>
  <c r="CD100" i="5"/>
  <c r="BD100" i="5"/>
  <c r="CG100" i="5" l="1"/>
  <c r="BQ100" i="5"/>
  <c r="CB100" i="5"/>
  <c r="F109" i="8"/>
  <c r="CJ100" i="5"/>
  <c r="BK100" i="5"/>
  <c r="BH101" i="5" s="1"/>
  <c r="BR100" i="5"/>
  <c r="AS101" i="5" l="1"/>
  <c r="BU100" i="5"/>
  <c r="CH100" i="5" l="1"/>
  <c r="BV100" i="5"/>
  <c r="BW100" i="5"/>
  <c r="BZ100" i="5" s="1"/>
  <c r="CK100" i="5" s="1"/>
  <c r="CL100" i="5" s="1"/>
  <c r="CF100" i="5" l="1"/>
  <c r="G109" i="8"/>
  <c r="BO101" i="5" l="1"/>
  <c r="BT101" i="5"/>
  <c r="AM101" i="5"/>
  <c r="AN101" i="5" l="1"/>
  <c r="AP101" i="5" l="1"/>
  <c r="AO101" i="5"/>
  <c r="AT101" i="5" l="1"/>
  <c r="AX101" i="5" s="1"/>
  <c r="AU101" i="5" l="1"/>
  <c r="AV101" i="5" l="1"/>
  <c r="AW101" i="5" s="1"/>
  <c r="CC101" i="5" l="1"/>
  <c r="AZ101" i="5"/>
  <c r="BA101" i="5" l="1"/>
  <c r="BE101" i="5" l="1"/>
  <c r="BB101" i="5"/>
  <c r="BC101" i="5" l="1"/>
  <c r="BJ101" i="5"/>
  <c r="BL101" i="5" s="1"/>
  <c r="BP101" i="5" l="1"/>
  <c r="BR101" i="5" s="1"/>
  <c r="BI101" i="5"/>
  <c r="CD101" i="5"/>
  <c r="BD101" i="5"/>
  <c r="CB101" i="5" l="1"/>
  <c r="F110" i="8"/>
  <c r="BU101" i="5"/>
  <c r="BW101" i="5" s="1"/>
  <c r="BZ101" i="5" s="1"/>
  <c r="CJ101" i="5"/>
  <c r="BK101" i="5"/>
  <c r="BH102" i="5" s="1"/>
  <c r="CG101" i="5"/>
  <c r="BQ101" i="5"/>
  <c r="CH101" i="5" l="1"/>
  <c r="CF101" i="5" s="1"/>
  <c r="BV101" i="5"/>
  <c r="CK101" i="5"/>
  <c r="CL101" i="5" s="1"/>
  <c r="BT102" i="5"/>
  <c r="AS102" i="5"/>
  <c r="BO102" i="5" l="1"/>
  <c r="AM102" i="5"/>
  <c r="G110" i="8"/>
  <c r="AN102" i="5" l="1"/>
  <c r="AP102" i="5" l="1"/>
  <c r="AO102" i="5"/>
  <c r="AT102" i="5" l="1"/>
  <c r="AX102" i="5" s="1"/>
  <c r="AU102" i="5" l="1"/>
  <c r="AV102" i="5" l="1"/>
  <c r="CC102" i="5" l="1"/>
  <c r="AZ102" i="5"/>
  <c r="AW102" i="5"/>
  <c r="BA102" i="5" l="1"/>
  <c r="BE102" i="5" l="1"/>
  <c r="BB102" i="5"/>
  <c r="BC102" i="5" l="1"/>
  <c r="BJ102" i="5"/>
  <c r="BL102" i="5" s="1"/>
  <c r="BP102" i="5" l="1"/>
  <c r="BR102" i="5"/>
  <c r="BI102" i="5"/>
  <c r="CD102" i="5"/>
  <c r="BD102" i="5"/>
  <c r="CJ102" i="5" l="1"/>
  <c r="BK102" i="5"/>
  <c r="BH103" i="5" s="1"/>
  <c r="BU102" i="5"/>
  <c r="CB102" i="5"/>
  <c r="F111" i="8"/>
  <c r="CG102" i="5"/>
  <c r="BQ102" i="5"/>
  <c r="CH102" i="5" l="1"/>
  <c r="CF102" i="5" s="1"/>
  <c r="BV102" i="5"/>
  <c r="BT103" i="5"/>
  <c r="AS103" i="5"/>
  <c r="BW102" i="5"/>
  <c r="BZ102" i="5" s="1"/>
  <c r="CK102" i="5" s="1"/>
  <c r="CL102" i="5" s="1"/>
  <c r="BO103" i="5" l="1"/>
  <c r="AM103" i="5"/>
  <c r="G111" i="8"/>
  <c r="AN103" i="5" l="1"/>
  <c r="AP103" i="5" l="1"/>
  <c r="AO103" i="5"/>
  <c r="AT103" i="5" l="1"/>
  <c r="AX103" i="5"/>
  <c r="AU103" i="5" l="1"/>
  <c r="AV103" i="5" l="1"/>
  <c r="AW103" i="5" s="1"/>
  <c r="AZ103" i="5" l="1"/>
  <c r="CC103" i="5"/>
  <c r="BA103" i="5" l="1"/>
  <c r="BB103" i="5" s="1"/>
  <c r="BC103" i="5" l="1"/>
  <c r="BI103" i="5" s="1"/>
  <c r="BE103" i="5"/>
  <c r="BJ103" i="5" l="1"/>
  <c r="CD103" i="5"/>
  <c r="CJ103" i="5"/>
  <c r="BK103" i="5"/>
  <c r="BH104" i="5" s="1"/>
  <c r="BD103" i="5"/>
  <c r="CB103" i="5" l="1"/>
  <c r="F112" i="8"/>
  <c r="BL103" i="5"/>
  <c r="BP103" i="5" l="1"/>
  <c r="BR103" i="5"/>
  <c r="AS104" i="5"/>
  <c r="BU103" i="5" l="1"/>
  <c r="BW103" i="5"/>
  <c r="BZ103" i="5" s="1"/>
  <c r="CG103" i="5"/>
  <c r="BQ103" i="5"/>
  <c r="CK103" i="5"/>
  <c r="CL103" i="5" s="1"/>
  <c r="CH103" i="5" l="1"/>
  <c r="CF103" i="5" s="1"/>
  <c r="BV103" i="5"/>
  <c r="BO104" i="5" l="1"/>
  <c r="AM104" i="5"/>
  <c r="BT104" i="5"/>
  <c r="G112" i="8"/>
  <c r="AN104" i="5" l="1"/>
  <c r="AP104" i="5" l="1"/>
  <c r="AO104" i="5"/>
  <c r="AT104" i="5" l="1"/>
  <c r="AX104" i="5" s="1"/>
  <c r="AU104" i="5" l="1"/>
  <c r="AV104" i="5" l="1"/>
  <c r="AW104" i="5" s="1"/>
  <c r="CC104" i="5" l="1"/>
  <c r="AZ104" i="5"/>
  <c r="BA104" i="5" l="1"/>
  <c r="BE104" i="5" l="1"/>
  <c r="BB104" i="5"/>
  <c r="BC104" i="5" l="1"/>
  <c r="BJ104" i="5"/>
  <c r="BL104" i="5" s="1"/>
  <c r="BP104" i="5" l="1"/>
  <c r="BR104" i="5" s="1"/>
  <c r="BI104" i="5"/>
  <c r="CD104" i="5"/>
  <c r="BD104" i="5"/>
  <c r="CJ104" i="5" l="1"/>
  <c r="BK104" i="5"/>
  <c r="BH105" i="5" s="1"/>
  <c r="BU104" i="5"/>
  <c r="BW104" i="5" s="1"/>
  <c r="BZ104" i="5" s="1"/>
  <c r="CB104" i="5"/>
  <c r="F113" i="8"/>
  <c r="CG104" i="5"/>
  <c r="BQ104" i="5"/>
  <c r="AS105" i="5" l="1"/>
  <c r="AM105" i="5"/>
  <c r="CH104" i="5"/>
  <c r="CF104" i="5" s="1"/>
  <c r="BT105" i="5" s="1"/>
  <c r="BV104" i="5"/>
  <c r="CK104" i="5"/>
  <c r="CL104" i="5" s="1"/>
  <c r="AN105" i="5" l="1"/>
  <c r="BO105" i="5"/>
  <c r="G113" i="8"/>
  <c r="AP105" i="5" l="1"/>
  <c r="AO105" i="5"/>
  <c r="AT105" i="5" l="1"/>
  <c r="AU105" i="5" l="1"/>
  <c r="AX105" i="5"/>
  <c r="AV105" i="5" l="1"/>
  <c r="AZ105" i="5" s="1"/>
  <c r="BA105" i="5" l="1"/>
  <c r="AW105" i="5"/>
  <c r="CC105" i="5"/>
  <c r="BE105" i="5" l="1"/>
  <c r="BB105" i="5"/>
  <c r="BC105" i="5" l="1"/>
  <c r="BJ105" i="5"/>
  <c r="BL105" i="5" s="1"/>
  <c r="BP105" i="5" l="1"/>
  <c r="BR105" i="5" s="1"/>
  <c r="BI105" i="5"/>
  <c r="CD105" i="5"/>
  <c r="BD105" i="5"/>
  <c r="BU105" i="5" l="1"/>
  <c r="BW105" i="5" s="1"/>
  <c r="BZ105" i="5" s="1"/>
  <c r="CJ105" i="5"/>
  <c r="BK105" i="5"/>
  <c r="BH106" i="5" s="1"/>
  <c r="CB105" i="5"/>
  <c r="F114" i="8"/>
  <c r="CG105" i="5"/>
  <c r="BQ105" i="5"/>
  <c r="AS106" i="5" l="1"/>
  <c r="CH105" i="5"/>
  <c r="CF105" i="5" s="1"/>
  <c r="BT106" i="5" s="1"/>
  <c r="BV105" i="5"/>
  <c r="CK105" i="5"/>
  <c r="CL105" i="5" s="1"/>
  <c r="G114" i="8" l="1"/>
  <c r="AM106" i="5"/>
  <c r="AN106" i="5" s="1"/>
  <c r="BO106" i="5"/>
  <c r="AP106" i="5" l="1"/>
  <c r="AO106" i="5"/>
  <c r="AT106" i="5" l="1"/>
  <c r="AX106" i="5" s="1"/>
  <c r="AU106" i="5" l="1"/>
  <c r="AV106" i="5" l="1"/>
  <c r="AW106" i="5" s="1"/>
  <c r="CC106" i="5" l="1"/>
  <c r="AZ106" i="5"/>
  <c r="BA106" i="5" l="1"/>
  <c r="BE106" i="5" l="1"/>
  <c r="BB106" i="5"/>
  <c r="BC106" i="5" l="1"/>
  <c r="BJ106" i="5"/>
  <c r="BL106" i="5" s="1"/>
  <c r="BP106" i="5" l="1"/>
  <c r="BR106" i="5"/>
  <c r="BI106" i="5"/>
  <c r="CD106" i="5"/>
  <c r="BD106" i="5"/>
  <c r="CB106" i="5" l="1"/>
  <c r="F115" i="8"/>
  <c r="BU106" i="5"/>
  <c r="CJ106" i="5"/>
  <c r="BK106" i="5"/>
  <c r="BH107" i="5" s="1"/>
  <c r="CG106" i="5"/>
  <c r="BQ106" i="5"/>
  <c r="CH106" i="5" l="1"/>
  <c r="CF106" i="5" s="1"/>
  <c r="BV106" i="5"/>
  <c r="BW106" i="5"/>
  <c r="BZ106" i="5" s="1"/>
  <c r="CK106" i="5" s="1"/>
  <c r="CL106" i="5" s="1"/>
  <c r="G115" i="8"/>
  <c r="BT107" i="5"/>
  <c r="AS107" i="5"/>
  <c r="AM107" i="5"/>
  <c r="AN107" i="5" l="1"/>
  <c r="BO107" i="5"/>
  <c r="AP107" i="5" l="1"/>
  <c r="AO107" i="5"/>
  <c r="AT107" i="5" l="1"/>
  <c r="AX107" i="5" s="1"/>
  <c r="AU107" i="5" l="1"/>
  <c r="AV107" i="5" l="1"/>
  <c r="AW107" i="5" s="1"/>
  <c r="AZ107" i="5" l="1"/>
  <c r="CC107" i="5"/>
  <c r="BA107" i="5" l="1"/>
  <c r="BE107" i="5" l="1"/>
  <c r="BB107" i="5"/>
  <c r="BC107" i="5" l="1"/>
  <c r="BJ107" i="5"/>
  <c r="BL107" i="5" s="1"/>
  <c r="BP107" i="5" l="1"/>
  <c r="BR107" i="5" s="1"/>
  <c r="BI107" i="5"/>
  <c r="CD107" i="5"/>
  <c r="BD107" i="5"/>
  <c r="CB107" i="5" l="1"/>
  <c r="F116" i="8"/>
  <c r="BU107" i="5"/>
  <c r="CJ107" i="5"/>
  <c r="BK107" i="5"/>
  <c r="BH108" i="5" s="1"/>
  <c r="CG107" i="5"/>
  <c r="BQ107" i="5"/>
  <c r="CH107" i="5" l="1"/>
  <c r="CF107" i="5" s="1"/>
  <c r="BV107" i="5"/>
  <c r="BW107" i="5"/>
  <c r="BZ107" i="5" s="1"/>
  <c r="CK107" i="5" s="1"/>
  <c r="CL107" i="5" s="1"/>
  <c r="BT108" i="5"/>
  <c r="AS108" i="5"/>
  <c r="AM108" i="5"/>
  <c r="BO108" i="5" l="1"/>
  <c r="AN108" i="5"/>
  <c r="AO108" i="5" s="1"/>
  <c r="G116" i="8"/>
  <c r="AP108" i="5" l="1"/>
  <c r="AT108" i="5" l="1"/>
  <c r="AX108" i="5" s="1"/>
  <c r="AU108" i="5" l="1"/>
  <c r="AV108" i="5" l="1"/>
  <c r="AW108" i="5" s="1"/>
  <c r="CC108" i="5" l="1"/>
  <c r="AZ108" i="5"/>
  <c r="BA108" i="5" l="1"/>
  <c r="BE108" i="5" l="1"/>
  <c r="BB108" i="5"/>
  <c r="BJ108" i="5" l="1"/>
  <c r="BL108" i="5" s="1"/>
  <c r="BC108" i="5"/>
  <c r="BP108" i="5" l="1"/>
  <c r="BI108" i="5"/>
  <c r="CD108" i="5"/>
  <c r="BD108" i="5"/>
  <c r="CG108" i="5" l="1"/>
  <c r="BQ108" i="5"/>
  <c r="CB108" i="5"/>
  <c r="F117" i="8"/>
  <c r="CJ108" i="5"/>
  <c r="BK108" i="5"/>
  <c r="BH109" i="5" s="1"/>
  <c r="BR108" i="5"/>
  <c r="BU108" i="5" l="1"/>
  <c r="BW108" i="5" s="1"/>
  <c r="BZ108" i="5" s="1"/>
  <c r="AS109" i="5"/>
  <c r="CH108" i="5" l="1"/>
  <c r="BV108" i="5"/>
  <c r="CK108" i="5"/>
  <c r="CL108" i="5" s="1"/>
  <c r="CF108" i="5" l="1"/>
  <c r="G117" i="8"/>
  <c r="BO109" i="5" l="1"/>
  <c r="AM109" i="5"/>
  <c r="BT109" i="5"/>
  <c r="AN109" i="5" l="1"/>
  <c r="AO109" i="5" s="1"/>
  <c r="AP109" i="5" l="1"/>
  <c r="AT109" i="5" l="1"/>
  <c r="AX109" i="5" s="1"/>
  <c r="AU109" i="5" l="1"/>
  <c r="AV109" i="5" l="1"/>
  <c r="AW109" i="5" s="1"/>
  <c r="AZ109" i="5" l="1"/>
  <c r="CC109" i="5"/>
  <c r="BA109" i="5" l="1"/>
  <c r="BE109" i="5" l="1"/>
  <c r="BB109" i="5"/>
  <c r="BC109" i="5" l="1"/>
  <c r="BJ109" i="5"/>
  <c r="BL109" i="5" s="1"/>
  <c r="BP109" i="5" l="1"/>
  <c r="BR109" i="5" s="1"/>
  <c r="BI109" i="5"/>
  <c r="CD109" i="5"/>
  <c r="BD109" i="5"/>
  <c r="BU109" i="5" l="1"/>
  <c r="BW109" i="5" s="1"/>
  <c r="BZ109" i="5" s="1"/>
  <c r="CB109" i="5"/>
  <c r="F118" i="8"/>
  <c r="CJ109" i="5"/>
  <c r="BK109" i="5"/>
  <c r="BH110" i="5" s="1"/>
  <c r="CG109" i="5"/>
  <c r="BQ109" i="5"/>
  <c r="BT110" i="5" l="1"/>
  <c r="AS110" i="5"/>
  <c r="CH109" i="5"/>
  <c r="CF109" i="5" s="1"/>
  <c r="AM110" i="5" s="1"/>
  <c r="BV109" i="5"/>
  <c r="CK109" i="5"/>
  <c r="CL109" i="5" s="1"/>
  <c r="AN110" i="5" l="1"/>
  <c r="BO110" i="5"/>
  <c r="G118" i="8"/>
  <c r="AP110" i="5" l="1"/>
  <c r="AO110" i="5"/>
  <c r="AT110" i="5" l="1"/>
  <c r="AX110" i="5" s="1"/>
  <c r="AU110" i="5" l="1"/>
  <c r="AV110" i="5" l="1"/>
  <c r="CC110" i="5" l="1"/>
  <c r="AZ110" i="5"/>
  <c r="AW110" i="5"/>
  <c r="BA110" i="5" l="1"/>
  <c r="BE110" i="5" l="1"/>
  <c r="BB110" i="5"/>
  <c r="BJ110" i="5" l="1"/>
  <c r="BL110" i="5" s="1"/>
  <c r="BC110" i="5"/>
  <c r="BP110" i="5" l="1"/>
  <c r="BR110" i="5" s="1"/>
  <c r="BI110" i="5"/>
  <c r="CD110" i="5"/>
  <c r="BD110" i="5"/>
  <c r="CB110" i="5" l="1"/>
  <c r="F119" i="8"/>
  <c r="CJ110" i="5"/>
  <c r="BK110" i="5"/>
  <c r="BH111" i="5" s="1"/>
  <c r="BU110" i="5"/>
  <c r="BW110" i="5" s="1"/>
  <c r="BZ110" i="5" s="1"/>
  <c r="CG110" i="5"/>
  <c r="BQ110" i="5"/>
  <c r="CH110" i="5" l="1"/>
  <c r="CF110" i="5" s="1"/>
  <c r="BT111" i="5" s="1"/>
  <c r="BV110" i="5"/>
  <c r="CK110" i="5"/>
  <c r="CL110" i="5" s="1"/>
  <c r="AS111" i="5"/>
  <c r="AM111" i="5" l="1"/>
  <c r="AN111" i="5"/>
  <c r="BO111" i="5"/>
  <c r="G119" i="8"/>
  <c r="AP111" i="5" l="1"/>
  <c r="AO111" i="5"/>
  <c r="AT111" i="5" l="1"/>
  <c r="AX111" i="5" s="1"/>
  <c r="AU111" i="5" l="1"/>
  <c r="AV111" i="5" l="1"/>
  <c r="AW111" i="5" s="1"/>
  <c r="AZ111" i="5" l="1"/>
  <c r="CC111" i="5"/>
  <c r="BA111" i="5" l="1"/>
  <c r="BE111" i="5" l="1"/>
  <c r="BB111" i="5"/>
  <c r="BJ111" i="5" l="1"/>
  <c r="BL111" i="5" s="1"/>
  <c r="BC111" i="5"/>
  <c r="BP111" i="5" l="1"/>
  <c r="BR111" i="5" s="1"/>
  <c r="BI111" i="5"/>
  <c r="CD111" i="5"/>
  <c r="BD111" i="5"/>
  <c r="CB111" i="5" l="1"/>
  <c r="F120" i="8"/>
  <c r="CJ111" i="5"/>
  <c r="BK111" i="5"/>
  <c r="BH112" i="5" s="1"/>
  <c r="BU111" i="5"/>
  <c r="CG111" i="5"/>
  <c r="BQ111" i="5"/>
  <c r="CH111" i="5" l="1"/>
  <c r="CF111" i="5" s="1"/>
  <c r="BV111" i="5"/>
  <c r="G120" i="8"/>
  <c r="BW111" i="5"/>
  <c r="BZ111" i="5" s="1"/>
  <c r="CK111" i="5" s="1"/>
  <c r="CL111" i="5" s="1"/>
  <c r="BT112" i="5"/>
  <c r="AS112" i="5"/>
  <c r="AM112" i="5"/>
  <c r="AN112" i="5" l="1"/>
  <c r="BO112" i="5"/>
  <c r="AP112" i="5" l="1"/>
  <c r="AO112" i="5"/>
  <c r="AT112" i="5" l="1"/>
  <c r="AX112" i="5" s="1"/>
  <c r="AU112" i="5" l="1"/>
  <c r="AV112" i="5" l="1"/>
  <c r="AW112" i="5" s="1"/>
  <c r="CC112" i="5" l="1"/>
  <c r="AZ112" i="5"/>
  <c r="BA112" i="5" l="1"/>
  <c r="BE112" i="5" l="1"/>
  <c r="BB112" i="5"/>
  <c r="BC112" i="5" l="1"/>
  <c r="BJ112" i="5"/>
  <c r="BL112" i="5" s="1"/>
  <c r="BP112" i="5" l="1"/>
  <c r="BR112" i="5" s="1"/>
  <c r="BI112" i="5"/>
  <c r="CD112" i="5"/>
  <c r="BD112" i="5"/>
  <c r="BU112" i="5" l="1"/>
  <c r="BW112" i="5" s="1"/>
  <c r="BZ112" i="5" s="1"/>
  <c r="CJ112" i="5"/>
  <c r="BK112" i="5"/>
  <c r="BH113" i="5" s="1"/>
  <c r="CB112" i="5"/>
  <c r="F121" i="8"/>
  <c r="CG112" i="5"/>
  <c r="BQ112" i="5"/>
  <c r="BT113" i="5" l="1"/>
  <c r="AS113" i="5"/>
  <c r="AM113" i="5"/>
  <c r="CH112" i="5"/>
  <c r="CF112" i="5" s="1"/>
  <c r="BV112" i="5"/>
  <c r="CK112" i="5"/>
  <c r="CL112" i="5" s="1"/>
  <c r="AN113" i="5" l="1"/>
  <c r="BO113" i="5"/>
  <c r="G121" i="8"/>
  <c r="AP113" i="5" l="1"/>
  <c r="AO113" i="5"/>
  <c r="AT113" i="5" l="1"/>
  <c r="AU113" i="5" l="1"/>
  <c r="AX113" i="5"/>
  <c r="AV113" i="5" l="1"/>
  <c r="CC113" i="5" l="1"/>
  <c r="AZ113" i="5"/>
  <c r="AW113" i="5"/>
  <c r="BA113" i="5" l="1"/>
  <c r="BE113" i="5" l="1"/>
  <c r="BB113" i="5"/>
  <c r="BJ113" i="5" l="1"/>
  <c r="BL113" i="5" s="1"/>
  <c r="BC113" i="5"/>
  <c r="BP113" i="5" l="1"/>
  <c r="BR113" i="5" s="1"/>
  <c r="BI113" i="5"/>
  <c r="CD113" i="5"/>
  <c r="BD113" i="5"/>
  <c r="CB113" i="5" l="1"/>
  <c r="F122" i="8"/>
  <c r="CJ113" i="5"/>
  <c r="BK113" i="5"/>
  <c r="BH114" i="5" s="1"/>
  <c r="BU113" i="5"/>
  <c r="CG113" i="5"/>
  <c r="BQ113" i="5"/>
  <c r="CH113" i="5" l="1"/>
  <c r="CF113" i="5" s="1"/>
  <c r="BV113" i="5"/>
  <c r="G122" i="8"/>
  <c r="BW113" i="5"/>
  <c r="BZ113" i="5" s="1"/>
  <c r="CK113" i="5" s="1"/>
  <c r="CL113" i="5" s="1"/>
  <c r="BT114" i="5"/>
  <c r="AS114" i="5"/>
  <c r="AM114" i="5"/>
  <c r="AN114" i="5" l="1"/>
  <c r="BO114" i="5"/>
  <c r="AP114" i="5" l="1"/>
  <c r="AO114" i="5"/>
  <c r="AT114" i="5" l="1"/>
  <c r="AX114" i="5" s="1"/>
  <c r="AU114" i="5" l="1"/>
  <c r="AV114" i="5" l="1"/>
  <c r="AW114" i="5" s="1"/>
  <c r="AZ114" i="5" l="1"/>
  <c r="CC114" i="5"/>
  <c r="BA114" i="5" l="1"/>
  <c r="BB114" i="5" s="1"/>
  <c r="BC114" i="5" l="1"/>
  <c r="BI114" i="5" s="1"/>
  <c r="BE114" i="5"/>
  <c r="CD114" i="5" l="1"/>
  <c r="CJ114" i="5"/>
  <c r="BJ114" i="5"/>
  <c r="BL114" i="5" s="1"/>
  <c r="BD114" i="5"/>
  <c r="BP114" i="5" l="1"/>
  <c r="BR114" i="5"/>
  <c r="BK114" i="5"/>
  <c r="BH115" i="5" s="1"/>
  <c r="CB114" i="5"/>
  <c r="F123" i="8"/>
  <c r="AS115" i="5" l="1"/>
  <c r="BU114" i="5"/>
  <c r="CG114" i="5"/>
  <c r="BQ114" i="5"/>
  <c r="CH114" i="5" l="1"/>
  <c r="CF114" i="5" s="1"/>
  <c r="BV114" i="5"/>
  <c r="BW114" i="5"/>
  <c r="BZ114" i="5" s="1"/>
  <c r="CK114" i="5" s="1"/>
  <c r="CL114" i="5" s="1"/>
  <c r="G123" i="8"/>
  <c r="BO115" i="5" l="1"/>
  <c r="BT115" i="5"/>
  <c r="AM115" i="5"/>
  <c r="AN115" i="5" l="1"/>
  <c r="AP115" i="5" l="1"/>
  <c r="AO115" i="5"/>
  <c r="AT115" i="5" l="1"/>
  <c r="AX115" i="5" s="1"/>
  <c r="AU115" i="5" l="1"/>
  <c r="AV115" i="5" l="1"/>
  <c r="AW115" i="5" s="1"/>
  <c r="AZ115" i="5" l="1"/>
  <c r="CC115" i="5"/>
  <c r="BA115" i="5" l="1"/>
  <c r="BE115" i="5" l="1"/>
  <c r="BB115" i="5"/>
  <c r="BC115" i="5" l="1"/>
  <c r="BJ115" i="5"/>
  <c r="BL115" i="5" s="1"/>
  <c r="BP115" i="5" l="1"/>
  <c r="BR115" i="5" s="1"/>
  <c r="BI115" i="5"/>
  <c r="CD115" i="5"/>
  <c r="BD115" i="5"/>
  <c r="BU115" i="5" l="1"/>
  <c r="BW115" i="5" s="1"/>
  <c r="BZ115" i="5" s="1"/>
  <c r="CJ115" i="5"/>
  <c r="BK115" i="5"/>
  <c r="BH116" i="5" s="1"/>
  <c r="CB115" i="5"/>
  <c r="F124" i="8"/>
  <c r="CG115" i="5"/>
  <c r="BQ115" i="5"/>
  <c r="AS116" i="5" l="1"/>
  <c r="CH115" i="5"/>
  <c r="CF115" i="5" s="1"/>
  <c r="BT116" i="5" s="1"/>
  <c r="BV115" i="5"/>
  <c r="CK115" i="5"/>
  <c r="CL115" i="5" s="1"/>
  <c r="AM116" i="5" l="1"/>
  <c r="AN116" i="5" s="1"/>
  <c r="BO116" i="5"/>
  <c r="G124" i="8"/>
  <c r="AP116" i="5" l="1"/>
  <c r="AO116" i="5"/>
  <c r="AT116" i="5" l="1"/>
  <c r="AX116" i="5" s="1"/>
  <c r="AU116" i="5" l="1"/>
  <c r="AV116" i="5" l="1"/>
  <c r="AW116" i="5" s="1"/>
  <c r="AZ116" i="5" l="1"/>
  <c r="CC116" i="5"/>
  <c r="BA116" i="5" l="1"/>
  <c r="BE116" i="5" l="1"/>
  <c r="BB116" i="5"/>
  <c r="BC116" i="5" l="1"/>
  <c r="BJ116" i="5"/>
  <c r="BL116" i="5" s="1"/>
  <c r="BP116" i="5" l="1"/>
  <c r="BI116" i="5"/>
  <c r="CD116" i="5"/>
  <c r="BD116" i="5"/>
  <c r="CJ116" i="5" l="1"/>
  <c r="BK116" i="5"/>
  <c r="BH117" i="5" s="1"/>
  <c r="CB116" i="5"/>
  <c r="F125" i="8"/>
  <c r="CG116" i="5"/>
  <c r="BQ116" i="5"/>
  <c r="BR116" i="5"/>
  <c r="BU116" i="5" l="1"/>
  <c r="BW116" i="5" s="1"/>
  <c r="BZ116" i="5" s="1"/>
  <c r="AS117" i="5"/>
  <c r="CH116" i="5" l="1"/>
  <c r="BV116" i="5"/>
  <c r="CK116" i="5"/>
  <c r="CL116" i="5" s="1"/>
  <c r="CF116" i="5" l="1"/>
  <c r="G125" i="8"/>
  <c r="BO117" i="5" l="1"/>
  <c r="BT117" i="5"/>
  <c r="AM117" i="5"/>
  <c r="AN117" i="5" l="1"/>
  <c r="AP117" i="5" l="1"/>
  <c r="AO117" i="5"/>
  <c r="AT117" i="5" l="1"/>
  <c r="AX117" i="5" s="1"/>
  <c r="AU117" i="5" l="1"/>
  <c r="AV117" i="5" l="1"/>
  <c r="AW117" i="5" s="1"/>
  <c r="CC117" i="5" l="1"/>
  <c r="AZ117" i="5"/>
  <c r="BA117" i="5" l="1"/>
  <c r="BE117" i="5" l="1"/>
  <c r="BB117" i="5"/>
  <c r="BC117" i="5" l="1"/>
  <c r="BJ117" i="5"/>
  <c r="BL117" i="5" s="1"/>
  <c r="BP117" i="5" l="1"/>
  <c r="BR117" i="5"/>
  <c r="BI117" i="5"/>
  <c r="CD117" i="5"/>
  <c r="BD117" i="5"/>
  <c r="BU117" i="5" l="1"/>
  <c r="BW117" i="5" s="1"/>
  <c r="BZ117" i="5" s="1"/>
  <c r="CB117" i="5"/>
  <c r="F126" i="8"/>
  <c r="CJ117" i="5"/>
  <c r="BK117" i="5"/>
  <c r="BH118" i="5" s="1"/>
  <c r="CG117" i="5"/>
  <c r="BQ117" i="5"/>
  <c r="AS118" i="5" l="1"/>
  <c r="CH117" i="5"/>
  <c r="CF117" i="5" s="1"/>
  <c r="BT118" i="5" s="1"/>
  <c r="BV117" i="5"/>
  <c r="CK117" i="5"/>
  <c r="CL117" i="5" s="1"/>
  <c r="BO118" i="5" l="1"/>
  <c r="AM118" i="5"/>
  <c r="G126" i="8"/>
  <c r="AN118" i="5" l="1"/>
  <c r="AP118" i="5" l="1"/>
  <c r="AO118" i="5"/>
  <c r="AT118" i="5" l="1"/>
  <c r="AX118" i="5"/>
  <c r="AU118" i="5" l="1"/>
  <c r="AV118" i="5" l="1"/>
  <c r="AZ118" i="5" l="1"/>
  <c r="CC118" i="5"/>
  <c r="AW118" i="5"/>
  <c r="BA118" i="5" l="1"/>
  <c r="BE118" i="5" l="1"/>
  <c r="BB118" i="5"/>
  <c r="BJ118" i="5" l="1"/>
  <c r="BL118" i="5" s="1"/>
  <c r="BC118" i="5"/>
  <c r="BD118" i="5" s="1"/>
  <c r="BP118" i="5" l="1"/>
  <c r="BR118" i="5" s="1"/>
  <c r="BI118" i="5"/>
  <c r="CD118" i="5"/>
  <c r="CB118" i="5" l="1"/>
  <c r="F127" i="8"/>
  <c r="CJ118" i="5"/>
  <c r="BK118" i="5"/>
  <c r="BH119" i="5" s="1"/>
  <c r="BU118" i="5"/>
  <c r="BW118" i="5" s="1"/>
  <c r="BZ118" i="5" s="1"/>
  <c r="CG118" i="5"/>
  <c r="BQ118" i="5"/>
  <c r="CH118" i="5" l="1"/>
  <c r="CF118" i="5" s="1"/>
  <c r="BV118" i="5"/>
  <c r="CK118" i="5"/>
  <c r="CL118" i="5" s="1"/>
  <c r="BT119" i="5"/>
  <c r="AS119" i="5"/>
  <c r="BO119" i="5" l="1"/>
  <c r="G127" i="8"/>
  <c r="AM119" i="5"/>
  <c r="AN119" i="5" l="1"/>
  <c r="AP119" i="5" l="1"/>
  <c r="AO119" i="5"/>
  <c r="AT119" i="5" l="1"/>
  <c r="AX119" i="5" s="1"/>
  <c r="AU119" i="5" l="1"/>
  <c r="AV119" i="5" l="1"/>
  <c r="AW119" i="5" s="1"/>
  <c r="AZ119" i="5" l="1"/>
  <c r="CC119" i="5"/>
  <c r="BA119" i="5" l="1"/>
  <c r="BE119" i="5" l="1"/>
  <c r="BB119" i="5"/>
  <c r="BJ119" i="5" l="1"/>
  <c r="BL119" i="5" s="1"/>
  <c r="BC119" i="5"/>
  <c r="BP119" i="5" l="1"/>
  <c r="BR119" i="5" s="1"/>
  <c r="BI119" i="5"/>
  <c r="CD119" i="5"/>
  <c r="BD119" i="5"/>
  <c r="BU119" i="5" l="1"/>
  <c r="BW119" i="5"/>
  <c r="BZ119" i="5" s="1"/>
  <c r="CJ119" i="5"/>
  <c r="BK119" i="5"/>
  <c r="BH120" i="5" s="1"/>
  <c r="CB119" i="5"/>
  <c r="F128" i="8"/>
  <c r="CG119" i="5"/>
  <c r="BQ119" i="5"/>
  <c r="AS120" i="5" l="1"/>
  <c r="AM120" i="5"/>
  <c r="CH119" i="5"/>
  <c r="CF119" i="5" s="1"/>
  <c r="BT120" i="5" s="1"/>
  <c r="BV119" i="5"/>
  <c r="CK119" i="5"/>
  <c r="CL119" i="5" s="1"/>
  <c r="G128" i="8" l="1"/>
  <c r="AN120" i="5"/>
  <c r="BO120" i="5"/>
  <c r="AP120" i="5" l="1"/>
  <c r="AO120" i="5"/>
  <c r="AT120" i="5" l="1"/>
  <c r="AU120" i="5" l="1"/>
  <c r="AX120" i="5"/>
  <c r="AV120" i="5" l="1"/>
  <c r="AW120" i="5" s="1"/>
  <c r="AZ120" i="5" l="1"/>
  <c r="CC120" i="5"/>
  <c r="BA120" i="5" l="1"/>
  <c r="BE120" i="5" l="1"/>
  <c r="BB120" i="5"/>
  <c r="BC120" i="5" l="1"/>
  <c r="BJ120" i="5"/>
  <c r="BL120" i="5" s="1"/>
  <c r="BP120" i="5" l="1"/>
  <c r="BR120" i="5" s="1"/>
  <c r="BI120" i="5"/>
  <c r="CD120" i="5"/>
  <c r="BD120" i="5"/>
  <c r="BU120" i="5" l="1"/>
  <c r="BW120" i="5" s="1"/>
  <c r="BZ120" i="5" s="1"/>
  <c r="CB120" i="5"/>
  <c r="F129" i="8"/>
  <c r="CJ120" i="5"/>
  <c r="BK120" i="5"/>
  <c r="BH121" i="5" s="1"/>
  <c r="CG120" i="5"/>
  <c r="BQ120" i="5"/>
  <c r="AS121" i="5" l="1"/>
  <c r="CH120" i="5"/>
  <c r="CF120" i="5" s="1"/>
  <c r="BT121" i="5" s="1"/>
  <c r="BV120" i="5"/>
  <c r="CK120" i="5"/>
  <c r="CL120" i="5" s="1"/>
  <c r="BO121" i="5" l="1"/>
  <c r="AM121" i="5"/>
  <c r="G129" i="8"/>
  <c r="AN121" i="5" l="1"/>
  <c r="AP121" i="5" l="1"/>
  <c r="AO121" i="5"/>
  <c r="AT121" i="5" l="1"/>
  <c r="AU121" i="5" l="1"/>
  <c r="AX121" i="5"/>
  <c r="AV121" i="5" l="1"/>
  <c r="AW121" i="5" s="1"/>
  <c r="AZ121" i="5" l="1"/>
  <c r="BA121" i="5" s="1"/>
  <c r="CC121" i="5"/>
  <c r="BE121" i="5" l="1"/>
  <c r="BB121" i="5"/>
  <c r="BC121" i="5" l="1"/>
  <c r="BJ121" i="5"/>
  <c r="BL121" i="5" s="1"/>
  <c r="BP121" i="5" l="1"/>
  <c r="BR121" i="5" s="1"/>
  <c r="BI121" i="5"/>
  <c r="CD121" i="5"/>
  <c r="BD121" i="5"/>
  <c r="CB121" i="5" l="1"/>
  <c r="F130" i="8"/>
  <c r="CJ121" i="5"/>
  <c r="BK121" i="5"/>
  <c r="BH122" i="5" s="1"/>
  <c r="BU121" i="5"/>
  <c r="CG121" i="5"/>
  <c r="BQ121" i="5"/>
  <c r="CH121" i="5" l="1"/>
  <c r="CF121" i="5" s="1"/>
  <c r="BV121" i="5"/>
  <c r="BW121" i="5"/>
  <c r="BZ121" i="5" s="1"/>
  <c r="CK121" i="5" s="1"/>
  <c r="CL121" i="5" s="1"/>
  <c r="BT122" i="5"/>
  <c r="AS122" i="5"/>
  <c r="AM122" i="5"/>
  <c r="AN122" i="5" l="1"/>
  <c r="BO122" i="5"/>
  <c r="G130" i="8"/>
  <c r="AP122" i="5" l="1"/>
  <c r="AO122" i="5"/>
  <c r="AT122" i="5" l="1"/>
  <c r="AX122" i="5" s="1"/>
  <c r="AU122" i="5" l="1"/>
  <c r="AV122" i="5" l="1"/>
  <c r="AW122" i="5" s="1"/>
  <c r="AZ122" i="5" l="1"/>
  <c r="CC122" i="5"/>
  <c r="BA122" i="5" l="1"/>
  <c r="BE122" i="5" l="1"/>
  <c r="BB122" i="5"/>
  <c r="BC122" i="5" l="1"/>
  <c r="BJ122" i="5"/>
  <c r="BL122" i="5" s="1"/>
  <c r="BP122" i="5" l="1"/>
  <c r="BR122" i="5" s="1"/>
  <c r="BI122" i="5"/>
  <c r="CD122" i="5"/>
  <c r="BD122" i="5"/>
  <c r="CB122" i="5" l="1"/>
  <c r="F131" i="8"/>
  <c r="CJ122" i="5"/>
  <c r="BK122" i="5"/>
  <c r="BH123" i="5" s="1"/>
  <c r="BU122" i="5"/>
  <c r="CG122" i="5"/>
  <c r="BQ122" i="5"/>
  <c r="CH122" i="5" l="1"/>
  <c r="CF122" i="5" s="1"/>
  <c r="BV122" i="5"/>
  <c r="BW122" i="5"/>
  <c r="BZ122" i="5" s="1"/>
  <c r="CK122" i="5" s="1"/>
  <c r="CL122" i="5" s="1"/>
  <c r="BT123" i="5"/>
  <c r="AS123" i="5"/>
  <c r="AM123" i="5"/>
  <c r="G131" i="8" l="1"/>
  <c r="AN123" i="5"/>
  <c r="BO123" i="5"/>
  <c r="AP123" i="5" l="1"/>
  <c r="AO123" i="5"/>
  <c r="AT123" i="5" l="1"/>
  <c r="AX123" i="5" s="1"/>
  <c r="AU123" i="5" l="1"/>
  <c r="AV123" i="5" l="1"/>
  <c r="AW123" i="5" s="1"/>
  <c r="AZ123" i="5" l="1"/>
  <c r="CC123" i="5"/>
  <c r="BA123" i="5" l="1"/>
  <c r="BE123" i="5" l="1"/>
  <c r="BB123" i="5"/>
  <c r="BJ123" i="5" l="1"/>
  <c r="BL123" i="5" s="1"/>
  <c r="BC123" i="5"/>
  <c r="BP123" i="5" l="1"/>
  <c r="BR123" i="5"/>
  <c r="BI123" i="5"/>
  <c r="CD123" i="5"/>
  <c r="BD123" i="5"/>
  <c r="CB123" i="5" l="1"/>
  <c r="F132" i="8"/>
  <c r="BU123" i="5"/>
  <c r="CJ123" i="5"/>
  <c r="BK123" i="5"/>
  <c r="BH124" i="5" s="1"/>
  <c r="CG123" i="5"/>
  <c r="BQ123" i="5"/>
  <c r="CH123" i="5" l="1"/>
  <c r="CF123" i="5" s="1"/>
  <c r="BV123" i="5"/>
  <c r="BW123" i="5"/>
  <c r="BZ123" i="5" s="1"/>
  <c r="CK123" i="5" s="1"/>
  <c r="CL123" i="5" s="1"/>
  <c r="BT124" i="5"/>
  <c r="AS124" i="5"/>
  <c r="AM124" i="5"/>
  <c r="AN124" i="5" l="1"/>
  <c r="BO124" i="5"/>
  <c r="G132" i="8"/>
  <c r="AP124" i="5" l="1"/>
  <c r="AO124" i="5"/>
  <c r="AT124" i="5" l="1"/>
  <c r="AX124" i="5" s="1"/>
  <c r="AU124" i="5" l="1"/>
  <c r="AV124" i="5" l="1"/>
  <c r="AW124" i="5" s="1"/>
  <c r="CC124" i="5" l="1"/>
  <c r="AZ124" i="5"/>
  <c r="BA124" i="5" l="1"/>
  <c r="BE124" i="5" l="1"/>
  <c r="BB124" i="5"/>
  <c r="BC124" i="5" l="1"/>
  <c r="BJ124" i="5"/>
  <c r="BL124" i="5" s="1"/>
  <c r="BP124" i="5" l="1"/>
  <c r="BI124" i="5"/>
  <c r="CD124" i="5"/>
  <c r="BD124" i="5"/>
  <c r="CJ124" i="5" l="1"/>
  <c r="BK124" i="5"/>
  <c r="BH125" i="5" s="1"/>
  <c r="CG124" i="5"/>
  <c r="BQ124" i="5"/>
  <c r="CB124" i="5"/>
  <c r="F133" i="8"/>
  <c r="BR124" i="5"/>
  <c r="BU124" i="5" l="1"/>
  <c r="BW124" i="5" s="1"/>
  <c r="BZ124" i="5" s="1"/>
  <c r="AS125" i="5"/>
  <c r="CH124" i="5" l="1"/>
  <c r="BV124" i="5"/>
  <c r="CK124" i="5"/>
  <c r="CL124" i="5" s="1"/>
  <c r="CF124" i="5" l="1"/>
  <c r="G133" i="8"/>
  <c r="BO125" i="5" l="1"/>
  <c r="BT125" i="5"/>
  <c r="AM125" i="5"/>
  <c r="AN125" i="5" l="1"/>
  <c r="AP125" i="5" l="1"/>
  <c r="AO125" i="5"/>
  <c r="AT125" i="5" l="1"/>
  <c r="AU125" i="5" l="1"/>
  <c r="AX125" i="5"/>
  <c r="AV125" i="5" l="1"/>
  <c r="AW125" i="5" s="1"/>
  <c r="CC125" i="5" l="1"/>
  <c r="AZ125" i="5"/>
  <c r="BA125" i="5" l="1"/>
  <c r="BE125" i="5" l="1"/>
  <c r="BB125" i="5"/>
  <c r="BJ125" i="5" l="1"/>
  <c r="BL125" i="5" s="1"/>
  <c r="BC125" i="5"/>
  <c r="BP125" i="5" l="1"/>
  <c r="BR125" i="5" s="1"/>
  <c r="BI125" i="5"/>
  <c r="CD125" i="5"/>
  <c r="BD125" i="5"/>
  <c r="CB125" i="5" l="1"/>
  <c r="F134" i="8"/>
  <c r="BU125" i="5"/>
  <c r="BW125" i="5" s="1"/>
  <c r="BZ125" i="5" s="1"/>
  <c r="CJ125" i="5"/>
  <c r="BK125" i="5"/>
  <c r="BH126" i="5" s="1"/>
  <c r="CG125" i="5"/>
  <c r="BQ125" i="5"/>
  <c r="CH125" i="5" l="1"/>
  <c r="CF125" i="5" s="1"/>
  <c r="BV125" i="5"/>
  <c r="CK125" i="5"/>
  <c r="CL125" i="5" s="1"/>
  <c r="BT126" i="5"/>
  <c r="AS126" i="5"/>
  <c r="BO126" i="5" l="1"/>
  <c r="AM126" i="5"/>
  <c r="G134" i="8"/>
  <c r="AN126" i="5" l="1"/>
  <c r="AP126" i="5" l="1"/>
  <c r="AO126" i="5"/>
  <c r="AT126" i="5" l="1"/>
  <c r="AX126" i="5" s="1"/>
  <c r="AU126" i="5" l="1"/>
  <c r="AV126" i="5" l="1"/>
  <c r="AZ126" i="5" l="1"/>
  <c r="CC126" i="5"/>
  <c r="AW126" i="5"/>
  <c r="BA126" i="5" l="1"/>
  <c r="BE126" i="5" l="1"/>
  <c r="BB126" i="5"/>
  <c r="BC126" i="5" l="1"/>
  <c r="BJ126" i="5"/>
  <c r="BL126" i="5" s="1"/>
  <c r="BP126" i="5" l="1"/>
  <c r="BR126" i="5" s="1"/>
  <c r="BI126" i="5"/>
  <c r="CD126" i="5"/>
  <c r="BD126" i="5"/>
  <c r="CB126" i="5" l="1"/>
  <c r="F135" i="8"/>
  <c r="CJ126" i="5"/>
  <c r="BK126" i="5"/>
  <c r="BH127" i="5" s="1"/>
  <c r="BU126" i="5"/>
  <c r="CG126" i="5"/>
  <c r="BQ126" i="5"/>
  <c r="CH126" i="5" l="1"/>
  <c r="CF126" i="5" s="1"/>
  <c r="BV126" i="5"/>
  <c r="G135" i="8"/>
  <c r="BW126" i="5"/>
  <c r="BZ126" i="5" s="1"/>
  <c r="CK126" i="5" s="1"/>
  <c r="CL126" i="5" s="1"/>
  <c r="BT127" i="5"/>
  <c r="AS127" i="5"/>
  <c r="AM127" i="5"/>
  <c r="AN127" i="5" l="1"/>
  <c r="BO127" i="5"/>
  <c r="AP127" i="5" l="1"/>
  <c r="AO127" i="5"/>
  <c r="AT127" i="5" l="1"/>
  <c r="AX127" i="5" s="1"/>
  <c r="AU127" i="5" l="1"/>
  <c r="AV127" i="5" l="1"/>
  <c r="AZ127" i="5" l="1"/>
  <c r="CC127" i="5"/>
  <c r="AW127" i="5"/>
  <c r="BA127" i="5" l="1"/>
  <c r="BB127" i="5" s="1"/>
  <c r="BC127" i="5" l="1"/>
  <c r="BI127" i="5" s="1"/>
  <c r="BE127" i="5"/>
  <c r="CD127" i="5" l="1"/>
  <c r="BJ127" i="5"/>
  <c r="BL127" i="5" s="1"/>
  <c r="CJ127" i="5"/>
  <c r="BD127" i="5"/>
  <c r="BP127" i="5" l="1"/>
  <c r="BR127" i="5" s="1"/>
  <c r="BK127" i="5"/>
  <c r="BH128" i="5" s="1"/>
  <c r="CB127" i="5"/>
  <c r="F136" i="8"/>
  <c r="AS128" i="5" l="1"/>
  <c r="BU127" i="5"/>
  <c r="CG127" i="5"/>
  <c r="BQ127" i="5"/>
  <c r="CH127" i="5" l="1"/>
  <c r="CF127" i="5" s="1"/>
  <c r="BV127" i="5"/>
  <c r="G136" i="8"/>
  <c r="BW127" i="5"/>
  <c r="BZ127" i="5" s="1"/>
  <c r="CK127" i="5" s="1"/>
  <c r="CL127" i="5" s="1"/>
  <c r="BO128" i="5" l="1"/>
  <c r="AM128" i="5"/>
  <c r="BT128" i="5"/>
  <c r="AN128" i="5" l="1"/>
  <c r="AP128" i="5" l="1"/>
  <c r="AO128" i="5"/>
  <c r="AT128" i="5" l="1"/>
  <c r="AX128" i="5" s="1"/>
  <c r="AU128" i="5" l="1"/>
  <c r="AV128" i="5" l="1"/>
  <c r="AW128" i="5" s="1"/>
  <c r="AZ128" i="5" l="1"/>
  <c r="CC128" i="5"/>
  <c r="BA128" i="5" l="1"/>
  <c r="BE128" i="5" l="1"/>
  <c r="BB128" i="5"/>
  <c r="BC128" i="5" l="1"/>
  <c r="BJ128" i="5"/>
  <c r="BL128" i="5" s="1"/>
  <c r="BP128" i="5" l="1"/>
  <c r="BR128" i="5" s="1"/>
  <c r="BI128" i="5"/>
  <c r="CD128" i="5"/>
  <c r="BD128" i="5"/>
  <c r="BU128" i="5" l="1"/>
  <c r="BW128" i="5"/>
  <c r="BZ128" i="5" s="1"/>
  <c r="CB128" i="5"/>
  <c r="F137" i="8"/>
  <c r="CJ128" i="5"/>
  <c r="BK128" i="5"/>
  <c r="BH129" i="5" s="1"/>
  <c r="CG128" i="5"/>
  <c r="BQ128" i="5"/>
  <c r="AS129" i="5" l="1"/>
  <c r="CH128" i="5"/>
  <c r="CF128" i="5" s="1"/>
  <c r="BT129" i="5" s="1"/>
  <c r="BV128" i="5"/>
  <c r="CK128" i="5"/>
  <c r="CL128" i="5" s="1"/>
  <c r="AM129" i="5" l="1"/>
  <c r="G137" i="8"/>
  <c r="AN129" i="5"/>
  <c r="BO129" i="5"/>
  <c r="AP129" i="5" l="1"/>
  <c r="AO129" i="5"/>
  <c r="AT129" i="5" l="1"/>
  <c r="AX129" i="5" s="1"/>
  <c r="AU129" i="5" l="1"/>
  <c r="AV129" i="5" l="1"/>
  <c r="AZ129" i="5" l="1"/>
  <c r="CC129" i="5"/>
  <c r="AW129" i="5"/>
  <c r="BA129" i="5" l="1"/>
  <c r="BE129" i="5" l="1"/>
  <c r="BB129" i="5"/>
  <c r="BC129" i="5" l="1"/>
  <c r="BD129" i="5" s="1"/>
  <c r="BJ129" i="5"/>
  <c r="BL129" i="5" s="1"/>
  <c r="BP129" i="5" l="1"/>
  <c r="BI129" i="5"/>
  <c r="CD129" i="5"/>
  <c r="CB129" i="5" l="1"/>
  <c r="F138" i="8"/>
  <c r="CG129" i="5"/>
  <c r="BQ129" i="5"/>
  <c r="CJ129" i="5"/>
  <c r="BK129" i="5"/>
  <c r="BH130" i="5" s="1"/>
  <c r="BR129" i="5"/>
  <c r="BU129" i="5" l="1"/>
  <c r="AS130" i="5"/>
  <c r="CH129" i="5" l="1"/>
  <c r="BV129" i="5"/>
  <c r="BW129" i="5"/>
  <c r="BZ129" i="5" s="1"/>
  <c r="CK129" i="5" s="1"/>
  <c r="CL129" i="5" s="1"/>
  <c r="CF129" i="5" l="1"/>
  <c r="G138" i="8"/>
  <c r="BO130" i="5" l="1"/>
  <c r="AM130" i="5"/>
  <c r="BT130" i="5"/>
  <c r="AN130" i="5" l="1"/>
  <c r="AO130" i="5" s="1"/>
  <c r="AP130" i="5" l="1"/>
  <c r="AT130" i="5" l="1"/>
  <c r="AU130" i="5" l="1"/>
  <c r="AX130" i="5"/>
  <c r="AV130" i="5" l="1"/>
  <c r="CC130" i="5" l="1"/>
  <c r="AZ130" i="5"/>
  <c r="AW130" i="5"/>
  <c r="BA130" i="5" l="1"/>
  <c r="BE130" i="5" l="1"/>
  <c r="BB130" i="5"/>
  <c r="BC130" i="5" l="1"/>
  <c r="BJ130" i="5"/>
  <c r="BL130" i="5" s="1"/>
  <c r="BP130" i="5" l="1"/>
  <c r="BR130" i="5"/>
  <c r="BI130" i="5"/>
  <c r="CD130" i="5"/>
  <c r="BD130" i="5"/>
  <c r="CB130" i="5" l="1"/>
  <c r="F139" i="8"/>
  <c r="CJ130" i="5"/>
  <c r="BK130" i="5"/>
  <c r="BH131" i="5" s="1"/>
  <c r="BU130" i="5"/>
  <c r="CG130" i="5"/>
  <c r="BQ130" i="5"/>
  <c r="CH130" i="5" l="1"/>
  <c r="CF130" i="5" s="1"/>
  <c r="BV130" i="5"/>
  <c r="BW130" i="5"/>
  <c r="BZ130" i="5" s="1"/>
  <c r="CK130" i="5" s="1"/>
  <c r="CL130" i="5" s="1"/>
  <c r="AS131" i="5"/>
  <c r="AM131" i="5"/>
  <c r="BO131" i="5" l="1"/>
  <c r="AN131" i="5"/>
  <c r="AO131" i="5" s="1"/>
  <c r="BT131" i="5"/>
  <c r="G139" i="8"/>
  <c r="AP131" i="5" l="1"/>
  <c r="AT131" i="5" l="1"/>
  <c r="AX131" i="5" s="1"/>
  <c r="AU131" i="5" l="1"/>
  <c r="AV131" i="5" l="1"/>
  <c r="AZ131" i="5" l="1"/>
  <c r="CC131" i="5"/>
  <c r="AW131" i="5"/>
  <c r="BA131" i="5" l="1"/>
  <c r="BB131" i="5" s="1"/>
  <c r="BC131" i="5" l="1"/>
  <c r="BI131" i="5" s="1"/>
  <c r="BE131" i="5"/>
  <c r="BJ131" i="5" l="1"/>
  <c r="CD131" i="5"/>
  <c r="CJ131" i="5"/>
  <c r="BK131" i="5"/>
  <c r="BH132" i="5" s="1"/>
  <c r="BD131" i="5"/>
  <c r="CB131" i="5" l="1"/>
  <c r="F140" i="8"/>
  <c r="BL131" i="5"/>
  <c r="AS132" i="5" l="1"/>
  <c r="BP131" i="5"/>
  <c r="BR131" i="5" s="1"/>
  <c r="BU131" i="5" l="1"/>
  <c r="BW131" i="5"/>
  <c r="BZ131" i="5" s="1"/>
  <c r="CG131" i="5"/>
  <c r="BQ131" i="5"/>
  <c r="CK131" i="5"/>
  <c r="CL131" i="5" s="1"/>
  <c r="CH131" i="5" l="1"/>
  <c r="CF131" i="5" s="1"/>
  <c r="BV131" i="5"/>
  <c r="BO132" i="5" l="1"/>
  <c r="BT132" i="5"/>
  <c r="AM132" i="5"/>
  <c r="G140" i="8"/>
  <c r="AN132" i="5" l="1"/>
  <c r="AP132" i="5" l="1"/>
  <c r="AO132" i="5"/>
  <c r="AT132" i="5" l="1"/>
  <c r="AX132" i="5" s="1"/>
  <c r="AU132" i="5" l="1"/>
  <c r="AV132" i="5" l="1"/>
  <c r="AW132" i="5" s="1"/>
  <c r="CC132" i="5" l="1"/>
  <c r="AZ132" i="5"/>
  <c r="BA132" i="5" l="1"/>
  <c r="BE132" i="5" l="1"/>
  <c r="BB132" i="5"/>
  <c r="BC132" i="5" l="1"/>
  <c r="BJ132" i="5"/>
  <c r="BL132" i="5" s="1"/>
  <c r="BP132" i="5" l="1"/>
  <c r="BI132" i="5"/>
  <c r="CD132" i="5"/>
  <c r="BD132" i="5"/>
  <c r="CG132" i="5" l="1"/>
  <c r="BQ132" i="5"/>
  <c r="CB132" i="5"/>
  <c r="F141" i="8"/>
  <c r="CJ132" i="5"/>
  <c r="BK132" i="5"/>
  <c r="BH133" i="5" s="1"/>
  <c r="BR132" i="5"/>
  <c r="BU132" i="5" l="1"/>
  <c r="BW132" i="5" s="1"/>
  <c r="BZ132" i="5" s="1"/>
  <c r="AS133" i="5"/>
  <c r="CH132" i="5" l="1"/>
  <c r="BV132" i="5"/>
  <c r="CK132" i="5"/>
  <c r="CL132" i="5" s="1"/>
  <c r="CF132" i="5" l="1"/>
  <c r="G141" i="8"/>
  <c r="BO133" i="5" l="1"/>
  <c r="BT133" i="5"/>
  <c r="AM133" i="5"/>
  <c r="AN133" i="5" l="1"/>
  <c r="AP133" i="5" l="1"/>
  <c r="AO133" i="5"/>
  <c r="AT133" i="5" l="1"/>
  <c r="AX133" i="5" s="1"/>
  <c r="AU133" i="5" l="1"/>
  <c r="AV133" i="5" l="1"/>
  <c r="AW133" i="5" s="1"/>
  <c r="AZ133" i="5" l="1"/>
  <c r="CC133" i="5"/>
  <c r="BA133" i="5" l="1"/>
  <c r="BE133" i="5" l="1"/>
  <c r="BB133" i="5"/>
  <c r="BC133" i="5" l="1"/>
  <c r="BJ133" i="5"/>
  <c r="BL133" i="5" s="1"/>
  <c r="BP133" i="5" l="1"/>
  <c r="BR133" i="5" s="1"/>
  <c r="BI133" i="5"/>
  <c r="CD133" i="5"/>
  <c r="BD133" i="5"/>
  <c r="CJ133" i="5" l="1"/>
  <c r="BK133" i="5"/>
  <c r="BH134" i="5" s="1"/>
  <c r="CB133" i="5"/>
  <c r="F142" i="8"/>
  <c r="BU133" i="5"/>
  <c r="CG133" i="5"/>
  <c r="BQ133" i="5"/>
  <c r="CH133" i="5" l="1"/>
  <c r="CF133" i="5" s="1"/>
  <c r="BV133" i="5"/>
  <c r="BT134" i="5"/>
  <c r="AS134" i="5"/>
  <c r="AM134" i="5"/>
  <c r="BW133" i="5"/>
  <c r="BZ133" i="5" s="1"/>
  <c r="CK133" i="5" s="1"/>
  <c r="CL133" i="5" s="1"/>
  <c r="G142" i="8" l="1"/>
  <c r="AN134" i="5"/>
  <c r="BO134" i="5"/>
  <c r="AP134" i="5" l="1"/>
  <c r="AO134" i="5"/>
  <c r="AT134" i="5" l="1"/>
  <c r="AU134" i="5" l="1"/>
  <c r="AX134" i="5"/>
  <c r="AV134" i="5" l="1"/>
  <c r="AZ134" i="5" s="1"/>
  <c r="BA134" i="5" l="1"/>
  <c r="CC134" i="5"/>
  <c r="AW134" i="5"/>
  <c r="BE134" i="5" l="1"/>
  <c r="BB134" i="5"/>
  <c r="BC134" i="5" l="1"/>
  <c r="BJ134" i="5"/>
  <c r="BL134" i="5" s="1"/>
  <c r="BP134" i="5" l="1"/>
  <c r="BR134" i="5" s="1"/>
  <c r="BI134" i="5"/>
  <c r="CD134" i="5"/>
  <c r="BD134" i="5"/>
  <c r="CB134" i="5" l="1"/>
  <c r="F143" i="8"/>
  <c r="CJ134" i="5"/>
  <c r="BK134" i="5"/>
  <c r="BH135" i="5" s="1"/>
  <c r="BU134" i="5"/>
  <c r="CG134" i="5"/>
  <c r="BQ134" i="5"/>
  <c r="CH134" i="5" l="1"/>
  <c r="CF134" i="5" s="1"/>
  <c r="BV134" i="5"/>
  <c r="G143" i="8"/>
  <c r="BW134" i="5"/>
  <c r="BZ134" i="5" s="1"/>
  <c r="CK134" i="5" s="1"/>
  <c r="CL134" i="5" s="1"/>
  <c r="BT135" i="5"/>
  <c r="AS135" i="5"/>
  <c r="AM135" i="5"/>
  <c r="AN135" i="5" l="1"/>
  <c r="BO135" i="5"/>
  <c r="AP135" i="5" l="1"/>
  <c r="AO135" i="5"/>
  <c r="AT135" i="5" l="1"/>
  <c r="AX135" i="5" s="1"/>
  <c r="AU135" i="5" l="1"/>
  <c r="AV135" i="5" l="1"/>
  <c r="AW135" i="5" s="1"/>
  <c r="AZ135" i="5" l="1"/>
  <c r="CC135" i="5"/>
  <c r="BA135" i="5" l="1"/>
  <c r="BE135" i="5" l="1"/>
  <c r="BB135" i="5"/>
  <c r="BC135" i="5" l="1"/>
  <c r="BJ135" i="5"/>
  <c r="BL135" i="5" s="1"/>
  <c r="BP135" i="5" l="1"/>
  <c r="BR135" i="5" s="1"/>
  <c r="BI135" i="5"/>
  <c r="CD135" i="5"/>
  <c r="BD135" i="5"/>
  <c r="BU135" i="5" l="1"/>
  <c r="CB135" i="5"/>
  <c r="F144" i="8"/>
  <c r="CJ135" i="5"/>
  <c r="BK135" i="5"/>
  <c r="BH136" i="5" s="1"/>
  <c r="CG135" i="5"/>
  <c r="BQ135" i="5"/>
  <c r="BT136" i="5" l="1"/>
  <c r="AS136" i="5"/>
  <c r="CH135" i="5"/>
  <c r="CF135" i="5" s="1"/>
  <c r="AM136" i="5" s="1"/>
  <c r="BV135" i="5"/>
  <c r="BW135" i="5"/>
  <c r="BZ135" i="5" s="1"/>
  <c r="CK135" i="5" s="1"/>
  <c r="CL135" i="5" s="1"/>
  <c r="G144" i="8" l="1"/>
  <c r="BO136" i="5"/>
  <c r="AN136" i="5"/>
  <c r="AP136" i="5" l="1"/>
  <c r="AO136" i="5"/>
  <c r="AT136" i="5" l="1"/>
  <c r="AX136" i="5" s="1"/>
  <c r="AU136" i="5" l="1"/>
  <c r="AV136" i="5" l="1"/>
  <c r="AW136" i="5" s="1"/>
  <c r="CC136" i="5" l="1"/>
  <c r="AZ136" i="5"/>
  <c r="BA136" i="5" l="1"/>
  <c r="BE136" i="5" l="1"/>
  <c r="BB136" i="5"/>
  <c r="BJ136" i="5" l="1"/>
  <c r="BL136" i="5" s="1"/>
  <c r="BC136" i="5"/>
  <c r="BP136" i="5" l="1"/>
  <c r="BR136" i="5" s="1"/>
  <c r="BI136" i="5"/>
  <c r="CD136" i="5"/>
  <c r="BD136" i="5"/>
  <c r="BU136" i="5" l="1"/>
  <c r="BW136" i="5" s="1"/>
  <c r="BZ136" i="5" s="1"/>
  <c r="CB136" i="5"/>
  <c r="F145" i="8"/>
  <c r="CJ136" i="5"/>
  <c r="BK136" i="5"/>
  <c r="BH137" i="5" s="1"/>
  <c r="CG136" i="5"/>
  <c r="BQ136" i="5"/>
  <c r="BT137" i="5" l="1"/>
  <c r="AS137" i="5"/>
  <c r="AM137" i="5"/>
  <c r="CH136" i="5"/>
  <c r="CF136" i="5" s="1"/>
  <c r="BV136" i="5"/>
  <c r="CK136" i="5"/>
  <c r="CL136" i="5" s="1"/>
  <c r="G145" i="8" l="1"/>
  <c r="BO137" i="5"/>
  <c r="AN137" i="5"/>
  <c r="AP137" i="5" l="1"/>
  <c r="AO137" i="5"/>
  <c r="AT137" i="5" l="1"/>
  <c r="AU137" i="5" l="1"/>
  <c r="AX137" i="5"/>
  <c r="AV137" i="5" l="1"/>
  <c r="CC137" i="5" l="1"/>
  <c r="AW137" i="5"/>
  <c r="AZ137" i="5"/>
  <c r="BA137" i="5" l="1"/>
  <c r="BE137" i="5" l="1"/>
  <c r="BB137" i="5"/>
  <c r="BJ137" i="5" l="1"/>
  <c r="BL137" i="5" s="1"/>
  <c r="BC137" i="5"/>
  <c r="BD137" i="5" s="1"/>
  <c r="BP137" i="5" l="1"/>
  <c r="BI137" i="5"/>
  <c r="CD137" i="5"/>
  <c r="CB137" i="5" l="1"/>
  <c r="F146" i="8"/>
  <c r="CG137" i="5"/>
  <c r="BQ137" i="5"/>
  <c r="CJ137" i="5"/>
  <c r="BK137" i="5"/>
  <c r="BH138" i="5" s="1"/>
  <c r="BR137" i="5"/>
  <c r="BU137" i="5" l="1"/>
  <c r="BW137" i="5" s="1"/>
  <c r="BZ137" i="5" s="1"/>
  <c r="AS138" i="5"/>
  <c r="CH137" i="5" l="1"/>
  <c r="BV137" i="5"/>
  <c r="CK137" i="5"/>
  <c r="CL137" i="5" s="1"/>
  <c r="CF137" i="5" l="1"/>
  <c r="G146" i="8"/>
  <c r="BO138" i="5" l="1"/>
  <c r="AM138" i="5"/>
  <c r="BT138" i="5"/>
  <c r="AN138" i="5" l="1"/>
  <c r="AP138" i="5" l="1"/>
  <c r="AO138" i="5"/>
  <c r="AT138" i="5" l="1"/>
  <c r="AX138" i="5" s="1"/>
  <c r="AU138" i="5" l="1"/>
  <c r="AV138" i="5" l="1"/>
  <c r="AW138" i="5" s="1"/>
  <c r="CC138" i="5" l="1"/>
  <c r="AZ138" i="5"/>
  <c r="BA138" i="5" l="1"/>
  <c r="BE138" i="5" l="1"/>
  <c r="BB138" i="5"/>
  <c r="BJ138" i="5" l="1"/>
  <c r="BL138" i="5" s="1"/>
  <c r="BC138" i="5"/>
  <c r="BP138" i="5" l="1"/>
  <c r="BR138" i="5" s="1"/>
  <c r="BI138" i="5"/>
  <c r="CD138" i="5"/>
  <c r="BD138" i="5"/>
  <c r="CJ138" i="5" l="1"/>
  <c r="BK138" i="5"/>
  <c r="BH139" i="5" s="1"/>
  <c r="BU138" i="5"/>
  <c r="CB138" i="5"/>
  <c r="F147" i="8"/>
  <c r="CG138" i="5"/>
  <c r="BQ138" i="5"/>
  <c r="CH138" i="5" l="1"/>
  <c r="CF138" i="5" s="1"/>
  <c r="BV138" i="5"/>
  <c r="BW138" i="5"/>
  <c r="BZ138" i="5" s="1"/>
  <c r="CK138" i="5" s="1"/>
  <c r="CL138" i="5" s="1"/>
  <c r="G147" i="8"/>
  <c r="BT139" i="5"/>
  <c r="AS139" i="5"/>
  <c r="AM139" i="5"/>
  <c r="AN139" i="5" l="1"/>
  <c r="BO139" i="5"/>
  <c r="AP139" i="5" l="1"/>
  <c r="AO139" i="5"/>
  <c r="AT139" i="5" l="1"/>
  <c r="AX139" i="5" s="1"/>
  <c r="AU139" i="5" l="1"/>
  <c r="AV139" i="5" l="1"/>
  <c r="AW139" i="5" s="1"/>
  <c r="CC139" i="5" l="1"/>
  <c r="AZ139" i="5"/>
  <c r="BA139" i="5" l="1"/>
  <c r="BE139" i="5" l="1"/>
  <c r="BB139" i="5"/>
  <c r="BC139" i="5" l="1"/>
  <c r="BJ139" i="5"/>
  <c r="BL139" i="5" s="1"/>
  <c r="BP139" i="5" l="1"/>
  <c r="BR139" i="5" s="1"/>
  <c r="BI139" i="5"/>
  <c r="CD139" i="5"/>
  <c r="BD139" i="5"/>
  <c r="BU139" i="5" l="1"/>
  <c r="BW139" i="5" s="1"/>
  <c r="BZ139" i="5" s="1"/>
  <c r="CJ139" i="5"/>
  <c r="BK139" i="5"/>
  <c r="BH140" i="5" s="1"/>
  <c r="CB139" i="5"/>
  <c r="F148" i="8"/>
  <c r="CG139" i="5"/>
  <c r="BQ139" i="5"/>
  <c r="AS140" i="5" l="1"/>
  <c r="CK139" i="5"/>
  <c r="CL139" i="5" s="1"/>
  <c r="CH139" i="5"/>
  <c r="CF139" i="5" s="1"/>
  <c r="BT140" i="5" s="1"/>
  <c r="BV139" i="5"/>
  <c r="AM140" i="5" l="1"/>
  <c r="AN140" i="5" s="1"/>
  <c r="BO140" i="5"/>
  <c r="G148" i="8"/>
  <c r="AP140" i="5" l="1"/>
  <c r="AO140" i="5"/>
  <c r="AT140" i="5" l="1"/>
  <c r="AX140" i="5" s="1"/>
  <c r="AU140" i="5" l="1"/>
  <c r="AV140" i="5" l="1"/>
  <c r="AZ140" i="5" l="1"/>
  <c r="CC140" i="5"/>
  <c r="AW140" i="5"/>
  <c r="BA140" i="5" l="1"/>
  <c r="BE140" i="5" l="1"/>
  <c r="BB140" i="5"/>
  <c r="BJ140" i="5" l="1"/>
  <c r="BL140" i="5" s="1"/>
  <c r="BC140" i="5"/>
  <c r="BP140" i="5" l="1"/>
  <c r="BI140" i="5"/>
  <c r="CD140" i="5"/>
  <c r="BD140" i="5"/>
  <c r="CG140" i="5" l="1"/>
  <c r="BQ140" i="5"/>
  <c r="CB140" i="5"/>
  <c r="F149" i="8"/>
  <c r="CJ140" i="5"/>
  <c r="BK140" i="5"/>
  <c r="BH141" i="5" s="1"/>
  <c r="BR140" i="5"/>
  <c r="BU140" i="5" l="1"/>
  <c r="BW140" i="5" s="1"/>
  <c r="BZ140" i="5" s="1"/>
  <c r="AS141" i="5"/>
  <c r="CH140" i="5" l="1"/>
  <c r="BV140" i="5"/>
  <c r="CK140" i="5"/>
  <c r="CL140" i="5" s="1"/>
  <c r="CF140" i="5" l="1"/>
  <c r="G149" i="8"/>
  <c r="BO141" i="5" l="1"/>
  <c r="AM141" i="5"/>
  <c r="BT141" i="5"/>
  <c r="AN141" i="5" l="1"/>
  <c r="AP141" i="5" l="1"/>
  <c r="AO141" i="5"/>
  <c r="AT141" i="5" l="1"/>
  <c r="AX141" i="5" s="1"/>
  <c r="AU141" i="5" l="1"/>
  <c r="AV141" i="5" l="1"/>
  <c r="AW141" i="5" s="1"/>
  <c r="CC141" i="5" l="1"/>
  <c r="AZ141" i="5"/>
  <c r="BA141" i="5" l="1"/>
  <c r="BE141" i="5" l="1"/>
  <c r="BB141" i="5"/>
  <c r="BC141" i="5" l="1"/>
  <c r="BJ141" i="5"/>
  <c r="BL141" i="5" s="1"/>
  <c r="BP141" i="5" l="1"/>
  <c r="BR141" i="5" s="1"/>
  <c r="BI141" i="5"/>
  <c r="CD141" i="5"/>
  <c r="BD141" i="5"/>
  <c r="CB141" i="5" l="1"/>
  <c r="F150" i="8"/>
  <c r="CJ141" i="5"/>
  <c r="BK141" i="5"/>
  <c r="BH142" i="5" s="1"/>
  <c r="BU141" i="5"/>
  <c r="CG141" i="5"/>
  <c r="BQ141" i="5"/>
  <c r="CH141" i="5" l="1"/>
  <c r="CF141" i="5" s="1"/>
  <c r="BV141" i="5"/>
  <c r="G150" i="8"/>
  <c r="BW141" i="5"/>
  <c r="BZ141" i="5" s="1"/>
  <c r="CK141" i="5" s="1"/>
  <c r="CL141" i="5" s="1"/>
  <c r="BT142" i="5"/>
  <c r="AS142" i="5"/>
  <c r="AM142" i="5"/>
  <c r="AN142" i="5" l="1"/>
  <c r="BO142" i="5"/>
  <c r="AP142" i="5" l="1"/>
  <c r="AO142" i="5"/>
  <c r="AT142" i="5" l="1"/>
  <c r="AU142" i="5" l="1"/>
  <c r="AX142" i="5"/>
  <c r="AV142" i="5" l="1"/>
  <c r="CC142" i="5" l="1"/>
  <c r="AZ142" i="5"/>
  <c r="AW142" i="5"/>
  <c r="BA142" i="5" l="1"/>
  <c r="BE142" i="5" l="1"/>
  <c r="BB142" i="5"/>
  <c r="BC142" i="5" l="1"/>
  <c r="BJ142" i="5"/>
  <c r="BL142" i="5" s="1"/>
  <c r="BP142" i="5" l="1"/>
  <c r="BR142" i="5" s="1"/>
  <c r="BI142" i="5"/>
  <c r="CD142" i="5"/>
  <c r="BD142" i="5"/>
  <c r="BU142" i="5" l="1"/>
  <c r="BW142" i="5" s="1"/>
  <c r="BZ142" i="5" s="1"/>
  <c r="CJ142" i="5"/>
  <c r="BK142" i="5"/>
  <c r="BH143" i="5" s="1"/>
  <c r="CB142" i="5"/>
  <c r="F151" i="8"/>
  <c r="CG142" i="5"/>
  <c r="BQ142" i="5"/>
  <c r="AS143" i="5" l="1"/>
  <c r="CH142" i="5"/>
  <c r="CF142" i="5" s="1"/>
  <c r="AM143" i="5" s="1"/>
  <c r="BV142" i="5"/>
  <c r="CK142" i="5"/>
  <c r="CL142" i="5" s="1"/>
  <c r="BT143" i="5" l="1"/>
  <c r="G151" i="8"/>
  <c r="AN143" i="5"/>
  <c r="BO143" i="5"/>
  <c r="AP143" i="5" l="1"/>
  <c r="AO143" i="5"/>
  <c r="AT143" i="5" l="1"/>
  <c r="AX143" i="5" s="1"/>
  <c r="AU143" i="5" l="1"/>
  <c r="AV143" i="5" l="1"/>
  <c r="AW143" i="5" s="1"/>
  <c r="CC143" i="5" l="1"/>
  <c r="AZ143" i="5"/>
  <c r="BA143" i="5" l="1"/>
  <c r="BE143" i="5" l="1"/>
  <c r="BB143" i="5"/>
  <c r="BC143" i="5" l="1"/>
  <c r="BJ143" i="5"/>
  <c r="BL143" i="5" s="1"/>
  <c r="BP143" i="5" l="1"/>
  <c r="BR143" i="5" s="1"/>
  <c r="BI143" i="5"/>
  <c r="CD143" i="5"/>
  <c r="BD143" i="5"/>
  <c r="BU143" i="5" l="1"/>
  <c r="CJ143" i="5"/>
  <c r="BK143" i="5"/>
  <c r="BH144" i="5" s="1"/>
  <c r="CB143" i="5"/>
  <c r="F152" i="8"/>
  <c r="CG143" i="5"/>
  <c r="BQ143" i="5"/>
  <c r="CH143" i="5" l="1"/>
  <c r="CF143" i="5" s="1"/>
  <c r="BV143" i="5"/>
  <c r="G152" i="8"/>
  <c r="BT144" i="5"/>
  <c r="AS144" i="5"/>
  <c r="AM144" i="5"/>
  <c r="BW143" i="5"/>
  <c r="BZ143" i="5" s="1"/>
  <c r="CK143" i="5" s="1"/>
  <c r="CL143" i="5" s="1"/>
  <c r="AN144" i="5" l="1"/>
  <c r="BO144" i="5"/>
  <c r="AP144" i="5" l="1"/>
  <c r="AO144" i="5"/>
  <c r="AT144" i="5" l="1"/>
  <c r="AX144" i="5" s="1"/>
  <c r="AU144" i="5" l="1"/>
  <c r="AV144" i="5" l="1"/>
  <c r="AW144" i="5" s="1"/>
  <c r="CC144" i="5" l="1"/>
  <c r="AZ144" i="5"/>
  <c r="BA144" i="5" l="1"/>
  <c r="BE144" i="5" l="1"/>
  <c r="BB144" i="5"/>
  <c r="BC144" i="5" l="1"/>
  <c r="BJ144" i="5"/>
  <c r="BL144" i="5" s="1"/>
  <c r="BP144" i="5" l="1"/>
  <c r="BR144" i="5" s="1"/>
  <c r="BI144" i="5"/>
  <c r="CD144" i="5"/>
  <c r="BD144" i="5"/>
  <c r="BU144" i="5" l="1"/>
  <c r="BW144" i="5"/>
  <c r="BZ144" i="5" s="1"/>
  <c r="CJ144" i="5"/>
  <c r="BK144" i="5"/>
  <c r="BH145" i="5" s="1"/>
  <c r="CB144" i="5"/>
  <c r="F153" i="8"/>
  <c r="CG144" i="5"/>
  <c r="BQ144" i="5"/>
  <c r="AS145" i="5" l="1"/>
  <c r="AM145" i="5"/>
  <c r="CH144" i="5"/>
  <c r="CF144" i="5" s="1"/>
  <c r="BT145" i="5" s="1"/>
  <c r="BV144" i="5"/>
  <c r="CK144" i="5"/>
  <c r="CL144" i="5" s="1"/>
  <c r="G153" i="8" l="1"/>
  <c r="AN145" i="5"/>
  <c r="BO145" i="5"/>
  <c r="AP145" i="5" l="1"/>
  <c r="AO145" i="5"/>
  <c r="AT145" i="5" l="1"/>
  <c r="AU145" i="5" l="1"/>
  <c r="AX145" i="5"/>
  <c r="AV145" i="5" l="1"/>
  <c r="CC145" i="5" l="1"/>
  <c r="AZ145" i="5"/>
  <c r="AW145" i="5"/>
  <c r="BA145" i="5" l="1"/>
  <c r="BB145" i="5" s="1"/>
  <c r="BC145" i="5" l="1"/>
  <c r="BI145" i="5" s="1"/>
  <c r="BE145" i="5"/>
  <c r="BJ145" i="5" l="1"/>
  <c r="CD145" i="5"/>
  <c r="CJ145" i="5"/>
  <c r="BK145" i="5"/>
  <c r="BH146" i="5" s="1"/>
  <c r="BD145" i="5"/>
  <c r="CB145" i="5" l="1"/>
  <c r="F154" i="8"/>
  <c r="BL145" i="5"/>
  <c r="AS146" i="5" l="1"/>
  <c r="BP145" i="5"/>
  <c r="BR145" i="5" s="1"/>
  <c r="BU145" i="5" l="1"/>
  <c r="BW145" i="5" s="1"/>
  <c r="BZ145" i="5" s="1"/>
  <c r="CK145" i="5" s="1"/>
  <c r="CL145" i="5" s="1"/>
  <c r="CG145" i="5"/>
  <c r="BQ145" i="5"/>
  <c r="CH145" i="5" l="1"/>
  <c r="CF145" i="5" s="1"/>
  <c r="BV145" i="5"/>
  <c r="BO146" i="5" l="1"/>
  <c r="BT146" i="5"/>
  <c r="AM146" i="5"/>
  <c r="G154" i="8"/>
  <c r="AN146" i="5" l="1"/>
  <c r="AP146" i="5" l="1"/>
  <c r="AO146" i="5"/>
  <c r="AT146" i="5" l="1"/>
  <c r="AX146" i="5" s="1"/>
  <c r="AU146" i="5" l="1"/>
  <c r="AV146" i="5" l="1"/>
  <c r="AW146" i="5" s="1"/>
  <c r="AZ146" i="5" l="1"/>
  <c r="CC146" i="5"/>
  <c r="BA146" i="5" l="1"/>
  <c r="BE146" i="5" l="1"/>
  <c r="BB146" i="5"/>
  <c r="BC146" i="5" l="1"/>
  <c r="BJ146" i="5"/>
  <c r="BL146" i="5" s="1"/>
  <c r="BP146" i="5" l="1"/>
  <c r="BR146" i="5" s="1"/>
  <c r="BI146" i="5"/>
  <c r="CD146" i="5"/>
  <c r="BD146" i="5"/>
  <c r="BU146" i="5" l="1"/>
  <c r="CB146" i="5"/>
  <c r="F155" i="8"/>
  <c r="CJ146" i="5"/>
  <c r="BK146" i="5"/>
  <c r="BH147" i="5" s="1"/>
  <c r="CG146" i="5"/>
  <c r="BQ146" i="5"/>
  <c r="AS147" i="5" l="1"/>
  <c r="CH146" i="5"/>
  <c r="CF146" i="5" s="1"/>
  <c r="BT147" i="5" s="1"/>
  <c r="BV146" i="5"/>
  <c r="BW146" i="5"/>
  <c r="BZ146" i="5" s="1"/>
  <c r="CK146" i="5" s="1"/>
  <c r="CL146" i="5" s="1"/>
  <c r="BO147" i="5" l="1"/>
  <c r="AM147" i="5"/>
  <c r="G155" i="8"/>
  <c r="AN147" i="5" l="1"/>
  <c r="AP147" i="5" l="1"/>
  <c r="AO147" i="5"/>
  <c r="AT147" i="5" l="1"/>
  <c r="AX147" i="5" s="1"/>
  <c r="AU147" i="5" l="1"/>
  <c r="AV147" i="5" l="1"/>
  <c r="AZ147" i="5" l="1"/>
  <c r="CC147" i="5"/>
  <c r="AW147" i="5"/>
  <c r="BA147" i="5" l="1"/>
  <c r="BE147" i="5" l="1"/>
  <c r="BB147" i="5"/>
  <c r="BC147" i="5" l="1"/>
  <c r="BJ147" i="5"/>
  <c r="BL147" i="5" s="1"/>
  <c r="BP147" i="5" l="1"/>
  <c r="BR147" i="5" s="1"/>
  <c r="BI147" i="5"/>
  <c r="CD147" i="5"/>
  <c r="BD147" i="5"/>
  <c r="CB147" i="5" l="1"/>
  <c r="F156" i="8"/>
  <c r="BU147" i="5"/>
  <c r="BW147" i="5" s="1"/>
  <c r="BZ147" i="5" s="1"/>
  <c r="CJ147" i="5"/>
  <c r="BK147" i="5"/>
  <c r="BH148" i="5" s="1"/>
  <c r="CG147" i="5"/>
  <c r="BQ147" i="5"/>
  <c r="CH147" i="5" l="1"/>
  <c r="CF147" i="5" s="1"/>
  <c r="BV147" i="5"/>
  <c r="CK147" i="5"/>
  <c r="CL147" i="5" s="1"/>
  <c r="BT148" i="5"/>
  <c r="AS148" i="5"/>
  <c r="BO148" i="5" l="1"/>
  <c r="AM148" i="5"/>
  <c r="G156" i="8"/>
  <c r="AN148" i="5" l="1"/>
  <c r="AP148" i="5" l="1"/>
  <c r="AO148" i="5"/>
  <c r="AT148" i="5" l="1"/>
  <c r="AX148" i="5" s="1"/>
  <c r="AU148" i="5" l="1"/>
  <c r="AV148" i="5" l="1"/>
  <c r="AW148" i="5" s="1"/>
  <c r="CC148" i="5" l="1"/>
  <c r="AZ148" i="5"/>
  <c r="BA148" i="5" l="1"/>
  <c r="BE148" i="5" l="1"/>
  <c r="BB148" i="5"/>
  <c r="BC148" i="5" l="1"/>
  <c r="BJ148" i="5"/>
  <c r="BL148" i="5" s="1"/>
  <c r="BP148" i="5" l="1"/>
  <c r="BI148" i="5"/>
  <c r="CD148" i="5"/>
  <c r="BD148" i="5"/>
  <c r="CB148" i="5" l="1"/>
  <c r="F157" i="8"/>
  <c r="CJ148" i="5"/>
  <c r="BK148" i="5"/>
  <c r="BH149" i="5" s="1"/>
  <c r="CG148" i="5"/>
  <c r="BQ148" i="5"/>
  <c r="BR148" i="5"/>
  <c r="BU148" i="5" l="1"/>
  <c r="BW148" i="5" s="1"/>
  <c r="BZ148" i="5" s="1"/>
  <c r="AS149" i="5"/>
  <c r="CH148" i="5" l="1"/>
  <c r="BV148" i="5"/>
  <c r="CK148" i="5"/>
  <c r="CL148" i="5" s="1"/>
  <c r="CF148" i="5" l="1"/>
  <c r="G157" i="8"/>
  <c r="BO149" i="5" l="1"/>
  <c r="BT149" i="5"/>
  <c r="AM149" i="5"/>
  <c r="AN149" i="5" l="1"/>
  <c r="AP149" i="5" l="1"/>
  <c r="AO149" i="5"/>
  <c r="AT149" i="5" l="1"/>
  <c r="AX149" i="5" s="1"/>
  <c r="AU149" i="5" l="1"/>
  <c r="AV149" i="5" l="1"/>
  <c r="AW149" i="5" s="1"/>
  <c r="AZ149" i="5" l="1"/>
  <c r="CC149" i="5"/>
  <c r="BA149" i="5" l="1"/>
  <c r="BE149" i="5" l="1"/>
  <c r="BB149" i="5"/>
  <c r="BC149" i="5" l="1"/>
  <c r="BJ149" i="5"/>
  <c r="BL149" i="5" s="1"/>
  <c r="BP149" i="5" l="1"/>
  <c r="BR149" i="5"/>
  <c r="BI149" i="5"/>
  <c r="CD149" i="5"/>
  <c r="BD149" i="5"/>
  <c r="CJ149" i="5" l="1"/>
  <c r="BK149" i="5"/>
  <c r="BH150" i="5" s="1"/>
  <c r="CB149" i="5"/>
  <c r="F158" i="8"/>
  <c r="BU149" i="5"/>
  <c r="CG149" i="5"/>
  <c r="BQ149" i="5"/>
  <c r="CH149" i="5" l="1"/>
  <c r="CF149" i="5" s="1"/>
  <c r="BV149" i="5"/>
  <c r="G158" i="8"/>
  <c r="BW149" i="5"/>
  <c r="BZ149" i="5" s="1"/>
  <c r="CK149" i="5" s="1"/>
  <c r="CL149" i="5" s="1"/>
  <c r="BT150" i="5"/>
  <c r="AS150" i="5"/>
  <c r="AM150" i="5"/>
  <c r="AN150" i="5" l="1"/>
  <c r="BO150" i="5"/>
  <c r="AP150" i="5" l="1"/>
  <c r="AO150" i="5"/>
  <c r="AT150" i="5" l="1"/>
  <c r="AU150" i="5" l="1"/>
  <c r="AX150" i="5"/>
  <c r="AV150" i="5" l="1"/>
  <c r="CC150" i="5" l="1"/>
  <c r="AZ150" i="5"/>
  <c r="AW150" i="5"/>
  <c r="BA150" i="5" l="1"/>
  <c r="BE150" i="5" l="1"/>
  <c r="BB150" i="5"/>
  <c r="BC150" i="5" l="1"/>
  <c r="BJ150" i="5"/>
  <c r="BL150" i="5" s="1"/>
  <c r="BP150" i="5" l="1"/>
  <c r="BR150" i="5" s="1"/>
  <c r="BI150" i="5"/>
  <c r="CD150" i="5"/>
  <c r="BD150" i="5"/>
  <c r="CJ150" i="5" l="1"/>
  <c r="BK150" i="5"/>
  <c r="BH151" i="5" s="1"/>
  <c r="BU150" i="5"/>
  <c r="CB150" i="5"/>
  <c r="F159" i="8"/>
  <c r="CG150" i="5"/>
  <c r="BQ150" i="5"/>
  <c r="CH150" i="5" l="1"/>
  <c r="CF150" i="5" s="1"/>
  <c r="BV150" i="5"/>
  <c r="BT151" i="5"/>
  <c r="AS151" i="5"/>
  <c r="AM151" i="5"/>
  <c r="BW150" i="5"/>
  <c r="BZ150" i="5" s="1"/>
  <c r="CK150" i="5" s="1"/>
  <c r="CL150" i="5" s="1"/>
  <c r="BO151" i="5" l="1"/>
  <c r="AN151" i="5"/>
  <c r="AO151" i="5" s="1"/>
  <c r="G159" i="8"/>
  <c r="AP151" i="5" l="1"/>
  <c r="AT151" i="5" l="1"/>
  <c r="AX151" i="5" s="1"/>
  <c r="AU151" i="5" l="1"/>
  <c r="AV151" i="5" l="1"/>
  <c r="AW151" i="5" s="1"/>
  <c r="AZ151" i="5" l="1"/>
  <c r="CC151" i="5"/>
  <c r="BA151" i="5" l="1"/>
  <c r="BE151" i="5" l="1"/>
  <c r="BB151" i="5"/>
  <c r="BJ151" i="5" l="1"/>
  <c r="BL151" i="5" s="1"/>
  <c r="BC151" i="5"/>
  <c r="BP151" i="5" l="1"/>
  <c r="BR151" i="5"/>
  <c r="BI151" i="5"/>
  <c r="CD151" i="5"/>
  <c r="BD151" i="5"/>
  <c r="BU151" i="5" l="1"/>
  <c r="CB151" i="5"/>
  <c r="F160" i="8"/>
  <c r="CJ151" i="5"/>
  <c r="BK151" i="5"/>
  <c r="BH152" i="5" s="1"/>
  <c r="CG151" i="5"/>
  <c r="BQ151" i="5"/>
  <c r="CH151" i="5" l="1"/>
  <c r="CF151" i="5" s="1"/>
  <c r="BV151" i="5"/>
  <c r="BT152" i="5"/>
  <c r="AS152" i="5"/>
  <c r="BW151" i="5"/>
  <c r="BZ151" i="5" s="1"/>
  <c r="CK151" i="5" s="1"/>
  <c r="CL151" i="5" s="1"/>
  <c r="BO152" i="5" l="1"/>
  <c r="G160" i="8"/>
  <c r="AM152" i="5"/>
  <c r="AN152" i="5" l="1"/>
  <c r="AP152" i="5" l="1"/>
  <c r="AO152" i="5"/>
  <c r="AT152" i="5" l="1"/>
  <c r="AX152" i="5" s="1"/>
  <c r="AU152" i="5" l="1"/>
  <c r="AV152" i="5" l="1"/>
  <c r="AW152" i="5" s="1"/>
  <c r="CC152" i="5" l="1"/>
  <c r="AZ152" i="5"/>
  <c r="BA152" i="5" l="1"/>
  <c r="BE152" i="5" l="1"/>
  <c r="BB152" i="5"/>
  <c r="BC152" i="5" l="1"/>
  <c r="BJ152" i="5"/>
  <c r="BL152" i="5" s="1"/>
  <c r="BP152" i="5" l="1"/>
  <c r="BR152" i="5" s="1"/>
  <c r="BI152" i="5"/>
  <c r="CD152" i="5"/>
  <c r="BD152" i="5"/>
  <c r="CB152" i="5" l="1"/>
  <c r="F161" i="8"/>
  <c r="CJ152" i="5"/>
  <c r="BK152" i="5"/>
  <c r="BH153" i="5" s="1"/>
  <c r="BU152" i="5"/>
  <c r="BW152" i="5" s="1"/>
  <c r="BZ152" i="5" s="1"/>
  <c r="CG152" i="5"/>
  <c r="BQ152" i="5"/>
  <c r="CH152" i="5" l="1"/>
  <c r="CF152" i="5" s="1"/>
  <c r="BV152" i="5"/>
  <c r="CK152" i="5"/>
  <c r="CL152" i="5" s="1"/>
  <c r="BT153" i="5"/>
  <c r="AS153" i="5"/>
  <c r="AM153" i="5"/>
  <c r="BO153" i="5" l="1"/>
  <c r="AN153" i="5"/>
  <c r="AO153" i="5" s="1"/>
  <c r="G161" i="8"/>
  <c r="AP153" i="5" l="1"/>
  <c r="AT153" i="5" l="1"/>
  <c r="AU153" i="5" l="1"/>
  <c r="AX153" i="5"/>
  <c r="AV153" i="5" l="1"/>
  <c r="AW153" i="5" s="1"/>
  <c r="CC153" i="5" l="1"/>
  <c r="AZ153" i="5"/>
  <c r="BA153" i="5" l="1"/>
  <c r="BE153" i="5" l="1"/>
  <c r="BB153" i="5"/>
  <c r="BJ153" i="5" l="1"/>
  <c r="BL153" i="5" s="1"/>
  <c r="BC153" i="5"/>
  <c r="BP153" i="5" l="1"/>
  <c r="BI153" i="5"/>
  <c r="CD153" i="5"/>
  <c r="BD153" i="5"/>
  <c r="CB153" i="5" l="1"/>
  <c r="F162" i="8"/>
  <c r="CJ153" i="5"/>
  <c r="BK153" i="5"/>
  <c r="BH154" i="5" s="1"/>
  <c r="CG153" i="5"/>
  <c r="BQ153" i="5"/>
  <c r="BR153" i="5"/>
  <c r="BU153" i="5" l="1"/>
  <c r="BW153" i="5" s="1"/>
  <c r="BZ153" i="5" s="1"/>
  <c r="AS154" i="5"/>
  <c r="CH153" i="5" l="1"/>
  <c r="BV153" i="5"/>
  <c r="CK153" i="5"/>
  <c r="CL153" i="5" s="1"/>
  <c r="CF153" i="5" l="1"/>
  <c r="G162" i="8"/>
  <c r="BO154" i="5" l="1"/>
  <c r="AM154" i="5"/>
  <c r="BT154" i="5"/>
  <c r="AN154" i="5" l="1"/>
  <c r="AP154" i="5" l="1"/>
  <c r="AO154" i="5"/>
  <c r="AT154" i="5" l="1"/>
  <c r="AX154" i="5" s="1"/>
  <c r="AU154" i="5" l="1"/>
  <c r="AV154" i="5" l="1"/>
  <c r="AW154" i="5" s="1"/>
  <c r="AZ154" i="5" l="1"/>
  <c r="CC154" i="5"/>
  <c r="BA154" i="5" l="1"/>
  <c r="BE154" i="5" l="1"/>
  <c r="BB154" i="5"/>
  <c r="BC154" i="5" l="1"/>
  <c r="BJ154" i="5"/>
  <c r="BL154" i="5" s="1"/>
  <c r="BP154" i="5" l="1"/>
  <c r="BR154" i="5" s="1"/>
  <c r="BI154" i="5"/>
  <c r="CD154" i="5"/>
  <c r="BD154" i="5"/>
  <c r="BU154" i="5" l="1"/>
  <c r="CJ154" i="5"/>
  <c r="BK154" i="5"/>
  <c r="BH155" i="5" s="1"/>
  <c r="CB154" i="5"/>
  <c r="F163" i="8"/>
  <c r="CG154" i="5"/>
  <c r="BQ154" i="5"/>
  <c r="CH154" i="5" l="1"/>
  <c r="CF154" i="5" s="1"/>
  <c r="BV154" i="5"/>
  <c r="BT155" i="5"/>
  <c r="AS155" i="5"/>
  <c r="BW154" i="5"/>
  <c r="BZ154" i="5" s="1"/>
  <c r="CK154" i="5" s="1"/>
  <c r="CL154" i="5" s="1"/>
  <c r="BO155" i="5" l="1"/>
  <c r="AM155" i="5"/>
  <c r="G163" i="8"/>
  <c r="AN155" i="5" l="1"/>
  <c r="AP155" i="5" l="1"/>
  <c r="AO155" i="5"/>
  <c r="AT155" i="5" l="1"/>
  <c r="AX155" i="5" s="1"/>
  <c r="AU155" i="5" l="1"/>
  <c r="AV155" i="5" l="1"/>
  <c r="CC155" i="5" l="1"/>
  <c r="AZ155" i="5"/>
  <c r="AW155" i="5"/>
  <c r="BA155" i="5" l="1"/>
  <c r="BE155" i="5" l="1"/>
  <c r="BB155" i="5"/>
  <c r="BC155" i="5" l="1"/>
  <c r="BJ155" i="5"/>
  <c r="BL155" i="5" s="1"/>
  <c r="BP155" i="5" l="1"/>
  <c r="BR155" i="5" s="1"/>
  <c r="BI155" i="5"/>
  <c r="CD155" i="5"/>
  <c r="BD155" i="5"/>
  <c r="CB155" i="5" l="1"/>
  <c r="F164" i="8"/>
  <c r="CJ155" i="5"/>
  <c r="BK155" i="5"/>
  <c r="BH156" i="5" s="1"/>
  <c r="BU155" i="5"/>
  <c r="CG155" i="5"/>
  <c r="BQ155" i="5"/>
  <c r="CH155" i="5" l="1"/>
  <c r="CF155" i="5" s="1"/>
  <c r="BV155" i="5"/>
  <c r="G164" i="8"/>
  <c r="BW155" i="5"/>
  <c r="BZ155" i="5" s="1"/>
  <c r="CK155" i="5" s="1"/>
  <c r="CL155" i="5" s="1"/>
  <c r="BT156" i="5"/>
  <c r="AS156" i="5"/>
  <c r="AM156" i="5"/>
  <c r="AN156" i="5" l="1"/>
  <c r="BO156" i="5"/>
  <c r="AP156" i="5" l="1"/>
  <c r="AO156" i="5"/>
  <c r="AT156" i="5" l="1"/>
  <c r="AU156" i="5" l="1"/>
  <c r="AX156" i="5"/>
  <c r="AV156" i="5" l="1"/>
  <c r="AW156" i="5" s="1"/>
  <c r="AZ156" i="5" l="1"/>
  <c r="BA156" i="5" s="1"/>
  <c r="BE156" i="5" s="1"/>
  <c r="CC156" i="5"/>
  <c r="BB156" i="5" l="1"/>
  <c r="BC156" i="5" s="1"/>
  <c r="CD156" i="5" s="1"/>
  <c r="CB156" i="5" s="1"/>
  <c r="AS157" i="5" s="1"/>
  <c r="BJ156" i="5"/>
  <c r="BL156" i="5" s="1"/>
  <c r="BI156" i="5" l="1"/>
  <c r="BD156" i="5"/>
  <c r="F165" i="8"/>
  <c r="BP156" i="5"/>
  <c r="CJ156" i="5"/>
  <c r="BK156" i="5"/>
  <c r="BH157" i="5" s="1"/>
  <c r="CG156" i="5" l="1"/>
  <c r="BQ156" i="5"/>
  <c r="BR156" i="5"/>
  <c r="BU156" i="5" l="1"/>
  <c r="BW156" i="5" s="1"/>
  <c r="BZ156" i="5" s="1"/>
  <c r="CH156" i="5" l="1"/>
  <c r="BV156" i="5"/>
  <c r="CK156" i="5"/>
  <c r="CL156" i="5" s="1"/>
  <c r="CF156" i="5" l="1"/>
  <c r="G165" i="8"/>
  <c r="BO157" i="5" l="1"/>
  <c r="BT157" i="5"/>
  <c r="AM157" i="5"/>
  <c r="AN157" i="5" l="1"/>
  <c r="AP157" i="5" l="1"/>
  <c r="AO157" i="5"/>
  <c r="AT157" i="5" l="1"/>
  <c r="AX157" i="5"/>
  <c r="AU157" i="5" l="1"/>
  <c r="AV157" i="5" l="1"/>
  <c r="AW157" i="5" s="1"/>
  <c r="AZ157" i="5" l="1"/>
  <c r="CC157" i="5"/>
  <c r="BA157" i="5" l="1"/>
  <c r="BE157" i="5" l="1"/>
  <c r="BB157" i="5"/>
  <c r="BC157" i="5" l="1"/>
  <c r="BJ157" i="5"/>
  <c r="BL157" i="5" s="1"/>
  <c r="BP157" i="5" l="1"/>
  <c r="BR157" i="5" s="1"/>
  <c r="BI157" i="5"/>
  <c r="CD157" i="5"/>
  <c r="BD157" i="5"/>
  <c r="BU157" i="5" l="1"/>
  <c r="CJ157" i="5"/>
  <c r="BK157" i="5"/>
  <c r="BH158" i="5" s="1"/>
  <c r="CB157" i="5"/>
  <c r="F166" i="8"/>
  <c r="CG157" i="5"/>
  <c r="BQ157" i="5"/>
  <c r="CH157" i="5" l="1"/>
  <c r="CF157" i="5" s="1"/>
  <c r="BV157" i="5"/>
  <c r="G166" i="8"/>
  <c r="BT158" i="5"/>
  <c r="AS158" i="5"/>
  <c r="AM158" i="5"/>
  <c r="BW157" i="5"/>
  <c r="BZ157" i="5" s="1"/>
  <c r="CK157" i="5" s="1"/>
  <c r="CL157" i="5" s="1"/>
  <c r="AN158" i="5" l="1"/>
  <c r="BO158" i="5"/>
  <c r="AP158" i="5" l="1"/>
  <c r="AO158" i="5"/>
  <c r="AT158" i="5" l="1"/>
  <c r="AX158" i="5"/>
  <c r="AU158" i="5" l="1"/>
  <c r="AV158" i="5" l="1"/>
  <c r="AW158" i="5" s="1"/>
  <c r="CC158" i="5" l="1"/>
  <c r="AZ158" i="5"/>
  <c r="BA158" i="5" l="1"/>
  <c r="BE158" i="5" l="1"/>
  <c r="BB158" i="5"/>
  <c r="BJ158" i="5" l="1"/>
  <c r="BL158" i="5" s="1"/>
  <c r="BC158" i="5"/>
  <c r="BD158" i="5" s="1"/>
  <c r="BP158" i="5" l="1"/>
  <c r="BR158" i="5" s="1"/>
  <c r="BI158" i="5"/>
  <c r="CD158" i="5"/>
  <c r="BU158" i="5" l="1"/>
  <c r="BW158" i="5" s="1"/>
  <c r="BZ158" i="5" s="1"/>
  <c r="CJ158" i="5"/>
  <c r="BK158" i="5"/>
  <c r="BH159" i="5" s="1"/>
  <c r="CB158" i="5"/>
  <c r="F167" i="8"/>
  <c r="CG158" i="5"/>
  <c r="BQ158" i="5"/>
  <c r="AS159" i="5" l="1"/>
  <c r="CH158" i="5"/>
  <c r="CF158" i="5" s="1"/>
  <c r="BT159" i="5" s="1"/>
  <c r="BV158" i="5"/>
  <c r="CK158" i="5"/>
  <c r="CL158" i="5" s="1"/>
  <c r="G167" i="8" l="1"/>
  <c r="BO159" i="5"/>
  <c r="AM159" i="5"/>
  <c r="AN159" i="5" l="1"/>
  <c r="AP159" i="5" l="1"/>
  <c r="AO159" i="5"/>
  <c r="AT159" i="5" l="1"/>
  <c r="AX159" i="5" s="1"/>
  <c r="AU159" i="5" l="1"/>
  <c r="AV159" i="5" l="1"/>
  <c r="AW159" i="5" s="1"/>
  <c r="CC159" i="5" l="1"/>
  <c r="AZ159" i="5"/>
  <c r="BA159" i="5" l="1"/>
  <c r="BB159" i="5" s="1"/>
  <c r="BE159" i="5" l="1"/>
  <c r="BC159" i="5"/>
  <c r="BI159" i="5" s="1"/>
  <c r="CJ159" i="5" l="1"/>
  <c r="BD159" i="5"/>
  <c r="BJ159" i="5"/>
  <c r="CD159" i="5"/>
  <c r="CB159" i="5" l="1"/>
  <c r="F168" i="8"/>
  <c r="BK159" i="5"/>
  <c r="BH160" i="5" s="1"/>
  <c r="BL159" i="5"/>
  <c r="BP159" i="5" l="1"/>
  <c r="AS160" i="5"/>
  <c r="CG159" i="5" l="1"/>
  <c r="BQ159" i="5"/>
  <c r="BR159" i="5"/>
  <c r="BU159" i="5" l="1"/>
  <c r="BW159" i="5" s="1"/>
  <c r="BZ159" i="5" s="1"/>
  <c r="CH159" i="5" l="1"/>
  <c r="BV159" i="5"/>
  <c r="CK159" i="5"/>
  <c r="CL159" i="5" s="1"/>
  <c r="CF159" i="5" l="1"/>
  <c r="G168" i="8"/>
  <c r="BO160" i="5" l="1"/>
  <c r="AM160" i="5"/>
  <c r="BT160" i="5"/>
  <c r="AN160" i="5" l="1"/>
  <c r="AP160" i="5" l="1"/>
  <c r="AO160" i="5"/>
  <c r="AT160" i="5" l="1"/>
  <c r="AX160" i="5" s="1"/>
  <c r="AU160" i="5" l="1"/>
  <c r="AV160" i="5" l="1"/>
  <c r="AW160" i="5" s="1"/>
  <c r="CC160" i="5" l="1"/>
  <c r="AZ160" i="5"/>
  <c r="BA160" i="5" l="1"/>
  <c r="BE160" i="5" l="1"/>
  <c r="BB160" i="5"/>
  <c r="BC160" i="5" l="1"/>
  <c r="BJ160" i="5"/>
  <c r="BL160" i="5" s="1"/>
  <c r="BP160" i="5" l="1"/>
  <c r="BR160" i="5" s="1"/>
  <c r="BI160" i="5"/>
  <c r="CD160" i="5"/>
  <c r="BD160" i="5"/>
  <c r="BU160" i="5" l="1"/>
  <c r="CB160" i="5"/>
  <c r="F169" i="8"/>
  <c r="CJ160" i="5"/>
  <c r="BK160" i="5"/>
  <c r="BH161" i="5" s="1"/>
  <c r="CG160" i="5"/>
  <c r="BQ160" i="5"/>
  <c r="AS161" i="5" l="1"/>
  <c r="CH160" i="5"/>
  <c r="CF160" i="5" s="1"/>
  <c r="BT161" i="5" s="1"/>
  <c r="BV160" i="5"/>
  <c r="BW160" i="5"/>
  <c r="BZ160" i="5" s="1"/>
  <c r="CK160" i="5" s="1"/>
  <c r="CL160" i="5" s="1"/>
  <c r="AM161" i="5" l="1"/>
  <c r="AN161" i="5" s="1"/>
  <c r="G169" i="8"/>
  <c r="BO161" i="5"/>
  <c r="AP161" i="5" l="1"/>
  <c r="AO161" i="5"/>
  <c r="AT161" i="5" l="1"/>
  <c r="AX161" i="5" s="1"/>
  <c r="AU161" i="5" l="1"/>
  <c r="AV161" i="5" l="1"/>
  <c r="AW161" i="5" s="1"/>
  <c r="AZ161" i="5" l="1"/>
  <c r="CC161" i="5"/>
  <c r="BA161" i="5" l="1"/>
  <c r="BE161" i="5" l="1"/>
  <c r="BB161" i="5"/>
  <c r="BC161" i="5" l="1"/>
  <c r="BJ161" i="5"/>
  <c r="BL161" i="5" s="1"/>
  <c r="BP161" i="5" l="1"/>
  <c r="BR161" i="5"/>
  <c r="BI161" i="5"/>
  <c r="CD161" i="5"/>
  <c r="BD161" i="5"/>
  <c r="CB161" i="5" l="1"/>
  <c r="F170" i="8"/>
  <c r="CJ161" i="5"/>
  <c r="BK161" i="5"/>
  <c r="BH162" i="5" s="1"/>
  <c r="BU161" i="5"/>
  <c r="CG161" i="5"/>
  <c r="BQ161" i="5"/>
  <c r="CH161" i="5" l="1"/>
  <c r="CF161" i="5" s="1"/>
  <c r="BV161" i="5"/>
  <c r="BW161" i="5"/>
  <c r="BZ161" i="5" s="1"/>
  <c r="CK161" i="5" s="1"/>
  <c r="CL161" i="5" s="1"/>
  <c r="G170" i="8"/>
  <c r="BT162" i="5"/>
  <c r="AS162" i="5"/>
  <c r="AM162" i="5"/>
  <c r="AN162" i="5" l="1"/>
  <c r="AO162" i="5" s="1"/>
  <c r="BO162" i="5"/>
  <c r="AP162" i="5" l="1"/>
  <c r="AT162" i="5" l="1"/>
  <c r="AX162" i="5" s="1"/>
  <c r="AU162" i="5" l="1"/>
  <c r="AV162" i="5" l="1"/>
  <c r="AW162" i="5" s="1"/>
  <c r="CC162" i="5" l="1"/>
  <c r="AZ162" i="5"/>
  <c r="BA162" i="5" l="1"/>
  <c r="BE162" i="5" l="1"/>
  <c r="BB162" i="5"/>
  <c r="BC162" i="5" l="1"/>
  <c r="BJ162" i="5"/>
  <c r="BL162" i="5" s="1"/>
  <c r="BP162" i="5" l="1"/>
  <c r="BI162" i="5"/>
  <c r="CD162" i="5"/>
  <c r="BD162" i="5"/>
  <c r="CJ162" i="5" l="1"/>
  <c r="BK162" i="5"/>
  <c r="BH163" i="5" s="1"/>
  <c r="CB162" i="5"/>
  <c r="F171" i="8"/>
  <c r="CG162" i="5"/>
  <c r="BQ162" i="5"/>
  <c r="BR162" i="5"/>
  <c r="AS163" i="5" l="1"/>
  <c r="BU162" i="5"/>
  <c r="BW162" i="5" s="1"/>
  <c r="BZ162" i="5" s="1"/>
  <c r="CH162" i="5" l="1"/>
  <c r="BV162" i="5"/>
  <c r="CK162" i="5"/>
  <c r="CL162" i="5" s="1"/>
  <c r="CF162" i="5" l="1"/>
  <c r="G171" i="8"/>
  <c r="BO163" i="5" l="1"/>
  <c r="BT163" i="5"/>
  <c r="AM163" i="5"/>
  <c r="AN163" i="5" l="1"/>
  <c r="AP163" i="5" l="1"/>
  <c r="AO163" i="5"/>
  <c r="AT163" i="5" l="1"/>
  <c r="AX163" i="5" s="1"/>
  <c r="AU163" i="5" l="1"/>
  <c r="AV163" i="5" l="1"/>
  <c r="AW163" i="5" s="1"/>
  <c r="AZ163" i="5" l="1"/>
  <c r="CC163" i="5"/>
  <c r="BA163" i="5" l="1"/>
  <c r="BE163" i="5" l="1"/>
  <c r="BB163" i="5"/>
  <c r="BC163" i="5" l="1"/>
  <c r="BJ163" i="5"/>
  <c r="BL163" i="5" s="1"/>
  <c r="BP163" i="5" l="1"/>
  <c r="BR163" i="5" s="1"/>
  <c r="BI163" i="5"/>
  <c r="CD163" i="5"/>
  <c r="BD163" i="5"/>
  <c r="BU163" i="5" l="1"/>
  <c r="BW163" i="5" s="1"/>
  <c r="BZ163" i="5" s="1"/>
  <c r="CJ163" i="5"/>
  <c r="BK163" i="5"/>
  <c r="BH164" i="5" s="1"/>
  <c r="CB163" i="5"/>
  <c r="F172" i="8"/>
  <c r="CG163" i="5"/>
  <c r="BQ163" i="5"/>
  <c r="AS164" i="5" l="1"/>
  <c r="CH163" i="5"/>
  <c r="CF163" i="5" s="1"/>
  <c r="BT164" i="5" s="1"/>
  <c r="BV163" i="5"/>
  <c r="CK163" i="5"/>
  <c r="CL163" i="5" s="1"/>
  <c r="AM164" i="5" l="1"/>
  <c r="AN164" i="5" s="1"/>
  <c r="AO164" i="5" s="1"/>
  <c r="BO164" i="5"/>
  <c r="G172" i="8"/>
  <c r="AP164" i="5" l="1"/>
  <c r="AT164" i="5" l="1"/>
  <c r="AX164" i="5" s="1"/>
  <c r="AU164" i="5" l="1"/>
  <c r="AV164" i="5" l="1"/>
  <c r="CC164" i="5" l="1"/>
  <c r="AZ164" i="5"/>
  <c r="AW164" i="5"/>
  <c r="BA164" i="5" l="1"/>
  <c r="BB164" i="5" s="1"/>
  <c r="BC164" i="5" l="1"/>
  <c r="BI164" i="5" s="1"/>
  <c r="BE164" i="5"/>
  <c r="BJ164" i="5" l="1"/>
  <c r="CD164" i="5"/>
  <c r="CJ164" i="5"/>
  <c r="BD164" i="5"/>
  <c r="CB164" i="5" l="1"/>
  <c r="F173" i="8"/>
  <c r="BK164" i="5"/>
  <c r="BH165" i="5" s="1"/>
  <c r="BL164" i="5"/>
  <c r="BP164" i="5" l="1"/>
  <c r="BR164" i="5"/>
  <c r="AS165" i="5"/>
  <c r="BU164" i="5" l="1"/>
  <c r="BW164" i="5" s="1"/>
  <c r="BZ164" i="5" s="1"/>
  <c r="CK164" i="5" s="1"/>
  <c r="CL164" i="5" s="1"/>
  <c r="CG164" i="5"/>
  <c r="BQ164" i="5"/>
  <c r="CH164" i="5" l="1"/>
  <c r="CF164" i="5" s="1"/>
  <c r="BV164" i="5"/>
  <c r="BO165" i="5" l="1"/>
  <c r="AM165" i="5"/>
  <c r="BT165" i="5"/>
  <c r="G173" i="8"/>
  <c r="AN165" i="5" l="1"/>
  <c r="AO165" i="5" s="1"/>
  <c r="AP165" i="5" l="1"/>
  <c r="AT165" i="5" l="1"/>
  <c r="AX165" i="5"/>
  <c r="AU165" i="5" l="1"/>
  <c r="AV165" i="5" l="1"/>
  <c r="AW165" i="5" s="1"/>
  <c r="AZ165" i="5" l="1"/>
  <c r="CC165" i="5"/>
  <c r="BA165" i="5" l="1"/>
  <c r="BE165" i="5" l="1"/>
  <c r="BB165" i="5"/>
  <c r="BJ165" i="5" l="1"/>
  <c r="BL165" i="5" s="1"/>
  <c r="BC165" i="5"/>
  <c r="BP165" i="5" l="1"/>
  <c r="BR165" i="5" s="1"/>
  <c r="BI165" i="5"/>
  <c r="CD165" i="5"/>
  <c r="BD165" i="5"/>
  <c r="CB165" i="5" l="1"/>
  <c r="F174" i="8"/>
  <c r="CJ165" i="5"/>
  <c r="BK165" i="5"/>
  <c r="BH166" i="5" s="1"/>
  <c r="BU165" i="5"/>
  <c r="BW165" i="5" s="1"/>
  <c r="BZ165" i="5" s="1"/>
  <c r="CG165" i="5"/>
  <c r="BQ165" i="5"/>
  <c r="CH165" i="5" l="1"/>
  <c r="CF165" i="5" s="1"/>
  <c r="BV165" i="5"/>
  <c r="CK165" i="5"/>
  <c r="CL165" i="5" s="1"/>
  <c r="BJ166" i="5"/>
  <c r="BT166" i="5"/>
  <c r="AS166" i="5"/>
  <c r="AM166" i="5"/>
  <c r="AN166" i="5" l="1"/>
  <c r="BO166" i="5"/>
  <c r="G174" i="8"/>
  <c r="AP166" i="5" l="1"/>
  <c r="AO166" i="5"/>
  <c r="AT166" i="5" l="1"/>
  <c r="AX166" i="5" s="1"/>
  <c r="AU166" i="5" l="1"/>
  <c r="AV166" i="5" l="1"/>
  <c r="AW166" i="5" s="1"/>
  <c r="AZ166" i="5" l="1"/>
  <c r="CC166" i="5"/>
  <c r="BA166" i="5" l="1"/>
  <c r="BE166" i="5" l="1"/>
  <c r="BL166" i="5" s="1"/>
  <c r="BB166" i="5"/>
  <c r="BC166" i="5" l="1"/>
  <c r="BP166" i="5"/>
  <c r="CG166" i="5" l="1"/>
  <c r="BQ166" i="5"/>
  <c r="BR166" i="5"/>
  <c r="BI166" i="5"/>
  <c r="CD166" i="5"/>
  <c r="BD166" i="5"/>
  <c r="CB166" i="5" l="1"/>
  <c r="F175" i="8"/>
  <c r="CJ166" i="5"/>
  <c r="BK166" i="5"/>
  <c r="BH167" i="5" s="1"/>
  <c r="BU166" i="5"/>
  <c r="CH166" i="5" l="1"/>
  <c r="BV166" i="5"/>
  <c r="BW166" i="5"/>
  <c r="BZ166" i="5" s="1"/>
  <c r="CK166" i="5" s="1"/>
  <c r="CL166" i="5" s="1"/>
  <c r="BJ167" i="5"/>
  <c r="AS167" i="5"/>
  <c r="CF166" i="5" l="1"/>
  <c r="G175" i="8"/>
  <c r="BO167" i="5" l="1"/>
  <c r="BT167" i="5"/>
  <c r="AM167" i="5"/>
  <c r="AN167" i="5" l="1"/>
  <c r="AP167" i="5" l="1"/>
  <c r="AO167" i="5"/>
  <c r="AT167" i="5" l="1"/>
  <c r="AU167" i="5" l="1"/>
  <c r="AX167" i="5"/>
  <c r="AV167" i="5" l="1"/>
  <c r="AW167" i="5" s="1"/>
  <c r="AZ167" i="5" l="1"/>
  <c r="CC167" i="5"/>
  <c r="BA167" i="5" l="1"/>
  <c r="BE167" i="5" l="1"/>
  <c r="BL167" i="5" s="1"/>
  <c r="BB167" i="5"/>
  <c r="BC167" i="5" l="1"/>
  <c r="BP167" i="5"/>
  <c r="BR167" i="5" s="1"/>
  <c r="BU167" i="5" l="1"/>
  <c r="BW167" i="5" s="1"/>
  <c r="BZ167" i="5" s="1"/>
  <c r="CK167" i="5" s="1"/>
  <c r="CG167" i="5"/>
  <c r="BQ167" i="5"/>
  <c r="BI167" i="5"/>
  <c r="CD167" i="5"/>
  <c r="BD167" i="5"/>
  <c r="CB167" i="5" l="1"/>
  <c r="F176" i="8"/>
  <c r="CJ167" i="5"/>
  <c r="CL167" i="5" s="1"/>
  <c r="BK167" i="5"/>
  <c r="BH168" i="5" s="1"/>
  <c r="CH167" i="5"/>
  <c r="CF167" i="5" s="1"/>
  <c r="BV167" i="5"/>
  <c r="BO168" i="5" l="1"/>
  <c r="G176" i="8"/>
  <c r="BT168" i="5"/>
  <c r="BJ168" i="5"/>
  <c r="AS168" i="5"/>
  <c r="AM168" i="5"/>
  <c r="AN168" i="5" l="1"/>
  <c r="AP168" i="5" l="1"/>
  <c r="AO168" i="5"/>
  <c r="AT168" i="5" l="1"/>
  <c r="AX168" i="5" s="1"/>
  <c r="AU168" i="5" l="1"/>
  <c r="AV168" i="5" l="1"/>
  <c r="AW168" i="5" s="1"/>
  <c r="AZ168" i="5" l="1"/>
  <c r="CC168" i="5"/>
  <c r="BA168" i="5" l="1"/>
  <c r="BE168" i="5" l="1"/>
  <c r="BL168" i="5" s="1"/>
  <c r="BB168" i="5"/>
  <c r="BC168" i="5" l="1"/>
  <c r="BD168" i="5" s="1"/>
  <c r="BP168" i="5"/>
  <c r="BR168" i="5" s="1"/>
  <c r="BU168" i="5" l="1"/>
  <c r="CG168" i="5"/>
  <c r="BQ168" i="5"/>
  <c r="BI168" i="5"/>
  <c r="CD168" i="5"/>
  <c r="CJ168" i="5" l="1"/>
  <c r="BK168" i="5"/>
  <c r="BH169" i="5" s="1"/>
  <c r="CB168" i="5"/>
  <c r="F177" i="8"/>
  <c r="CH168" i="5"/>
  <c r="CF168" i="5" s="1"/>
  <c r="BV168" i="5"/>
  <c r="BW168" i="5"/>
  <c r="BZ168" i="5" s="1"/>
  <c r="CK168" i="5" s="1"/>
  <c r="BT169" i="5" l="1"/>
  <c r="BJ169" i="5"/>
  <c r="AS169" i="5"/>
  <c r="AM169" i="5"/>
  <c r="BO169" i="5"/>
  <c r="G177" i="8"/>
  <c r="CL168" i="5"/>
  <c r="AN169" i="5" l="1"/>
  <c r="AP169" i="5" l="1"/>
  <c r="AO169" i="5"/>
  <c r="AT169" i="5" l="1"/>
  <c r="AX169" i="5"/>
  <c r="AU169" i="5" l="1"/>
  <c r="AV169" i="5" l="1"/>
  <c r="AW169" i="5" s="1"/>
  <c r="AZ169" i="5" l="1"/>
  <c r="CC169" i="5"/>
  <c r="BA169" i="5" l="1"/>
  <c r="BE169" i="5" l="1"/>
  <c r="BL169" i="5" s="1"/>
  <c r="BB169" i="5"/>
  <c r="BC169" i="5" l="1"/>
  <c r="BP169" i="5"/>
  <c r="CG169" i="5" l="1"/>
  <c r="BQ169" i="5"/>
  <c r="BR169" i="5"/>
  <c r="BI169" i="5"/>
  <c r="CD169" i="5"/>
  <c r="BD169" i="5"/>
  <c r="BU169" i="5" l="1"/>
  <c r="BW169" i="5"/>
  <c r="BZ169" i="5" s="1"/>
  <c r="CB169" i="5"/>
  <c r="F178" i="8"/>
  <c r="CJ169" i="5"/>
  <c r="BK169" i="5"/>
  <c r="BH170" i="5" s="1"/>
  <c r="BJ170" i="5" l="1"/>
  <c r="AS170" i="5"/>
  <c r="CH169" i="5"/>
  <c r="BV169" i="5"/>
  <c r="CK169" i="5"/>
  <c r="CL169" i="5" s="1"/>
  <c r="CF169" i="5" l="1"/>
  <c r="G178" i="8"/>
  <c r="BO170" i="5" l="1"/>
  <c r="BT170" i="5"/>
  <c r="AM170" i="5"/>
  <c r="AN170" i="5" l="1"/>
  <c r="AP170" i="5" l="1"/>
  <c r="AO170" i="5"/>
  <c r="AT170" i="5" l="1"/>
  <c r="AX170" i="5" s="1"/>
  <c r="AU170" i="5" l="1"/>
  <c r="AV170" i="5" l="1"/>
  <c r="AW170" i="5" s="1"/>
  <c r="AZ170" i="5" l="1"/>
  <c r="CC170" i="5"/>
  <c r="BA170" i="5" l="1"/>
  <c r="BE170" i="5" l="1"/>
  <c r="BL170" i="5" s="1"/>
  <c r="BB170" i="5"/>
  <c r="BC170" i="5" l="1"/>
  <c r="BP170" i="5"/>
  <c r="BR170" i="5" s="1"/>
  <c r="BU170" i="5" l="1"/>
  <c r="BW170" i="5"/>
  <c r="BZ170" i="5" s="1"/>
  <c r="CG170" i="5"/>
  <c r="BQ170" i="5"/>
  <c r="BI170" i="5"/>
  <c r="CD170" i="5"/>
  <c r="CK170" i="5"/>
  <c r="BD170" i="5"/>
  <c r="CJ170" i="5" l="1"/>
  <c r="CL170" i="5" s="1"/>
  <c r="BK170" i="5"/>
  <c r="BH171" i="5" s="1"/>
  <c r="CB170" i="5"/>
  <c r="F179" i="8"/>
  <c r="CH170" i="5"/>
  <c r="CF170" i="5" s="1"/>
  <c r="BV170" i="5"/>
  <c r="BO171" i="5" l="1"/>
  <c r="BT171" i="5"/>
  <c r="BJ171" i="5"/>
  <c r="AS171" i="5"/>
  <c r="AM171" i="5"/>
  <c r="G179" i="8"/>
  <c r="AN171" i="5" l="1"/>
  <c r="AP171" i="5" l="1"/>
  <c r="AO171" i="5"/>
  <c r="AT171" i="5" l="1"/>
  <c r="AX171" i="5" s="1"/>
  <c r="AU171" i="5" l="1"/>
  <c r="AV171" i="5" l="1"/>
  <c r="AW171" i="5" s="1"/>
  <c r="CC171" i="5" l="1"/>
  <c r="AZ171" i="5"/>
  <c r="BA171" i="5" l="1"/>
  <c r="BE171" i="5" l="1"/>
  <c r="BL171" i="5" s="1"/>
  <c r="BB171" i="5"/>
  <c r="BC171" i="5" l="1"/>
  <c r="BP171" i="5"/>
  <c r="BR171" i="5" s="1"/>
  <c r="BU171" i="5" l="1"/>
  <c r="BW171" i="5" s="1"/>
  <c r="BZ171" i="5" s="1"/>
  <c r="CK171" i="5" s="1"/>
  <c r="CG171" i="5"/>
  <c r="BQ171" i="5"/>
  <c r="BI171" i="5"/>
  <c r="CD171" i="5"/>
  <c r="BD171" i="5"/>
  <c r="CB171" i="5" l="1"/>
  <c r="F180" i="8"/>
  <c r="CJ171" i="5"/>
  <c r="CL171" i="5" s="1"/>
  <c r="BK171" i="5"/>
  <c r="BH172" i="5" s="1"/>
  <c r="CH171" i="5"/>
  <c r="CF171" i="5" s="1"/>
  <c r="BV171" i="5"/>
  <c r="G180" i="8" l="1"/>
  <c r="BO172" i="5"/>
  <c r="BT172" i="5"/>
  <c r="BJ172" i="5"/>
  <c r="AS172" i="5"/>
  <c r="AM172" i="5"/>
  <c r="AN172" i="5" l="1"/>
  <c r="AP172" i="5" l="1"/>
  <c r="AO172" i="5"/>
  <c r="AT172" i="5" l="1"/>
  <c r="AX172" i="5" s="1"/>
  <c r="AU172" i="5" l="1"/>
  <c r="AV172" i="5" l="1"/>
  <c r="AZ172" i="5" l="1"/>
  <c r="CC172" i="5"/>
  <c r="AW172" i="5"/>
  <c r="BA172" i="5" l="1"/>
  <c r="BB172" i="5" s="1"/>
  <c r="BC172" i="5" l="1"/>
  <c r="BI172" i="5" s="1"/>
  <c r="BE172" i="5"/>
  <c r="BL172" i="5" s="1"/>
  <c r="CD172" i="5" l="1"/>
  <c r="BP172" i="5"/>
  <c r="BR172" i="5" s="1"/>
  <c r="CJ172" i="5"/>
  <c r="BK172" i="5"/>
  <c r="BH173" i="5" s="1"/>
  <c r="BD172" i="5"/>
  <c r="BU172" i="5" l="1"/>
  <c r="BW172" i="5"/>
  <c r="BZ172" i="5" s="1"/>
  <c r="CK172" i="5" s="1"/>
  <c r="CL172" i="5" s="1"/>
  <c r="CG172" i="5"/>
  <c r="BQ172" i="5"/>
  <c r="CB172" i="5"/>
  <c r="F181" i="8"/>
  <c r="CH172" i="5" l="1"/>
  <c r="CF172" i="5" s="1"/>
  <c r="BV172" i="5"/>
  <c r="G181" i="8"/>
  <c r="BJ173" i="5"/>
  <c r="BT173" i="5"/>
  <c r="AS173" i="5"/>
  <c r="AM173" i="5"/>
  <c r="AN173" i="5" l="1"/>
  <c r="BO173" i="5"/>
  <c r="AP173" i="5" l="1"/>
  <c r="AO173" i="5"/>
  <c r="AT173" i="5" l="1"/>
  <c r="AX173" i="5" s="1"/>
  <c r="AU173" i="5" l="1"/>
  <c r="AV173" i="5" l="1"/>
  <c r="AW173" i="5" s="1"/>
  <c r="AZ173" i="5" l="1"/>
  <c r="CC173" i="5"/>
  <c r="BA173" i="5" l="1"/>
  <c r="BE173" i="5" l="1"/>
  <c r="BL173" i="5" s="1"/>
  <c r="BB173" i="5"/>
  <c r="BC173" i="5" l="1"/>
  <c r="BP173" i="5"/>
  <c r="BR173" i="5" s="1"/>
  <c r="BI173" i="5" l="1"/>
  <c r="CD173" i="5"/>
  <c r="BU173" i="5"/>
  <c r="BW173" i="5" s="1"/>
  <c r="BZ173" i="5" s="1"/>
  <c r="CG173" i="5"/>
  <c r="BQ173" i="5"/>
  <c r="BD173" i="5"/>
  <c r="CH173" i="5" l="1"/>
  <c r="CF173" i="5" s="1"/>
  <c r="BV173" i="5"/>
  <c r="CK173" i="5"/>
  <c r="CB173" i="5"/>
  <c r="F182" i="8"/>
  <c r="CJ173" i="5"/>
  <c r="CL173" i="5" s="1"/>
  <c r="BK173" i="5"/>
  <c r="BH174" i="5" s="1"/>
  <c r="BJ174" i="5" l="1"/>
  <c r="BT174" i="5"/>
  <c r="AS174" i="5"/>
  <c r="AM174" i="5"/>
  <c r="BO174" i="5"/>
  <c r="G182" i="8"/>
  <c r="AN174" i="5" l="1"/>
  <c r="AP174" i="5" l="1"/>
  <c r="AO174" i="5"/>
  <c r="AT174" i="5" l="1"/>
  <c r="AX174" i="5" s="1"/>
  <c r="AU174" i="5" l="1"/>
  <c r="AV174" i="5" l="1"/>
  <c r="AW174" i="5" s="1"/>
  <c r="CC174" i="5" l="1"/>
  <c r="AZ174" i="5"/>
  <c r="BA174" i="5" l="1"/>
  <c r="BB174" i="5" s="1"/>
  <c r="BC174" i="5" l="1"/>
  <c r="BI174" i="5" s="1"/>
  <c r="BE174" i="5"/>
  <c r="BL174" i="5" s="1"/>
  <c r="CD174" i="5" l="1"/>
  <c r="CJ174" i="5"/>
  <c r="BK174" i="5"/>
  <c r="BH175" i="5" s="1"/>
  <c r="BP174" i="5"/>
  <c r="BR174" i="5" s="1"/>
  <c r="BD174" i="5"/>
  <c r="BU174" i="5" l="1"/>
  <c r="BW174" i="5" s="1"/>
  <c r="BZ174" i="5" s="1"/>
  <c r="CK174" i="5" s="1"/>
  <c r="CL174" i="5" s="1"/>
  <c r="CG174" i="5"/>
  <c r="BQ174" i="5"/>
  <c r="CB174" i="5"/>
  <c r="F183" i="8"/>
  <c r="BJ175" i="5" l="1"/>
  <c r="BT175" i="5"/>
  <c r="AS175" i="5"/>
  <c r="CH174" i="5"/>
  <c r="CF174" i="5" s="1"/>
  <c r="AM175" i="5" s="1"/>
  <c r="BV174" i="5"/>
  <c r="AN175" i="5" l="1"/>
  <c r="BO175" i="5"/>
  <c r="G183" i="8"/>
  <c r="AP175" i="5" l="1"/>
  <c r="AO175" i="5"/>
  <c r="AT175" i="5" l="1"/>
  <c r="AU175" i="5" l="1"/>
  <c r="AX175" i="5"/>
  <c r="AV175" i="5" l="1"/>
  <c r="AZ175" i="5" s="1"/>
  <c r="BA175" i="5" l="1"/>
  <c r="CC175" i="5"/>
  <c r="AW175" i="5"/>
  <c r="BE175" i="5" l="1"/>
  <c r="BL175" i="5" s="1"/>
  <c r="BB175" i="5"/>
  <c r="BP175" i="5" l="1"/>
  <c r="BR175" i="5" s="1"/>
  <c r="BC175" i="5"/>
  <c r="BU175" i="5" l="1"/>
  <c r="BW175" i="5"/>
  <c r="BZ175" i="5" s="1"/>
  <c r="CK175" i="5" s="1"/>
  <c r="BI175" i="5"/>
  <c r="CD175" i="5"/>
  <c r="BD175" i="5"/>
  <c r="CG175" i="5"/>
  <c r="BQ175" i="5"/>
  <c r="CB175" i="5" l="1"/>
  <c r="F184" i="8"/>
  <c r="CJ175" i="5"/>
  <c r="CL175" i="5" s="1"/>
  <c r="BK175" i="5"/>
  <c r="BH176" i="5" s="1"/>
  <c r="CH175" i="5"/>
  <c r="CF175" i="5" s="1"/>
  <c r="BV175" i="5"/>
  <c r="G184" i="8" l="1"/>
  <c r="BO176" i="5"/>
  <c r="BT176" i="5"/>
  <c r="BJ176" i="5"/>
  <c r="AS176" i="5"/>
  <c r="AM176" i="5"/>
  <c r="AN176" i="5" l="1"/>
  <c r="AP176" i="5" l="1"/>
  <c r="AO176" i="5"/>
  <c r="AT176" i="5" l="1"/>
  <c r="AX176" i="5"/>
  <c r="AU176" i="5" l="1"/>
  <c r="AV176" i="5" l="1"/>
  <c r="AW176" i="5" s="1"/>
  <c r="CC176" i="5" l="1"/>
  <c r="AZ176" i="5"/>
  <c r="BA176" i="5" l="1"/>
  <c r="BE176" i="5" l="1"/>
  <c r="BL176" i="5" s="1"/>
  <c r="BB176" i="5"/>
  <c r="BC176" i="5" l="1"/>
  <c r="BP176" i="5"/>
  <c r="BR176" i="5" s="1"/>
  <c r="BU176" i="5" l="1"/>
  <c r="CG176" i="5"/>
  <c r="BQ176" i="5"/>
  <c r="BI176" i="5"/>
  <c r="CD176" i="5"/>
  <c r="BD176" i="5"/>
  <c r="CB176" i="5" l="1"/>
  <c r="F185" i="8"/>
  <c r="CJ176" i="5"/>
  <c r="BK176" i="5"/>
  <c r="BH177" i="5" s="1"/>
  <c r="CH176" i="5"/>
  <c r="CF176" i="5" s="1"/>
  <c r="BV176" i="5"/>
  <c r="BW176" i="5"/>
  <c r="BZ176" i="5" s="1"/>
  <c r="CK176" i="5" s="1"/>
  <c r="BO177" i="5" l="1"/>
  <c r="CL176" i="5"/>
  <c r="BT177" i="5"/>
  <c r="BJ177" i="5"/>
  <c r="AS177" i="5"/>
  <c r="AM177" i="5"/>
  <c r="G185" i="8"/>
  <c r="AN177" i="5" l="1"/>
  <c r="AP177" i="5" l="1"/>
  <c r="AO177" i="5"/>
  <c r="AT177" i="5" l="1"/>
  <c r="AX177" i="5"/>
  <c r="AU177" i="5" l="1"/>
  <c r="AV177" i="5" l="1"/>
  <c r="AW177" i="5" s="1"/>
  <c r="AZ177" i="5" l="1"/>
  <c r="CC177" i="5"/>
  <c r="BA177" i="5" l="1"/>
  <c r="BB177" i="5" s="1"/>
  <c r="BC177" i="5" l="1"/>
  <c r="BI177" i="5" s="1"/>
  <c r="BE177" i="5"/>
  <c r="BL177" i="5" s="1"/>
  <c r="BP177" i="5" l="1"/>
  <c r="BR177" i="5" s="1"/>
  <c r="CD177" i="5"/>
  <c r="CJ177" i="5"/>
  <c r="BK177" i="5"/>
  <c r="BH178" i="5" s="1"/>
  <c r="BD177" i="5"/>
  <c r="BU177" i="5" l="1"/>
  <c r="BW177" i="5" s="1"/>
  <c r="BZ177" i="5" s="1"/>
  <c r="CB177" i="5"/>
  <c r="F186" i="8"/>
  <c r="CG177" i="5"/>
  <c r="BQ177" i="5"/>
  <c r="BJ178" i="5" l="1"/>
  <c r="AS178" i="5"/>
  <c r="AM178" i="5"/>
  <c r="CH177" i="5"/>
  <c r="CF177" i="5" s="1"/>
  <c r="BT178" i="5" s="1"/>
  <c r="BV177" i="5"/>
  <c r="CK177" i="5"/>
  <c r="CL177" i="5" s="1"/>
  <c r="AN178" i="5" l="1"/>
  <c r="BO178" i="5"/>
  <c r="G186" i="8"/>
  <c r="AP178" i="5" l="1"/>
  <c r="AO178" i="5"/>
  <c r="AT178" i="5" l="1"/>
  <c r="AX178" i="5" s="1"/>
  <c r="AU178" i="5" l="1"/>
  <c r="AV178" i="5" l="1"/>
  <c r="AW178" i="5" s="1"/>
  <c r="CC178" i="5" l="1"/>
  <c r="AZ178" i="5"/>
  <c r="BA178" i="5" l="1"/>
  <c r="BE178" i="5" l="1"/>
  <c r="BL178" i="5" s="1"/>
  <c r="BB178" i="5"/>
  <c r="BC178" i="5" l="1"/>
  <c r="BP178" i="5"/>
  <c r="CG178" i="5" l="1"/>
  <c r="BQ178" i="5"/>
  <c r="BR178" i="5"/>
  <c r="BI178" i="5"/>
  <c r="CD178" i="5"/>
  <c r="BD178" i="5"/>
  <c r="CB178" i="5" l="1"/>
  <c r="F187" i="8"/>
  <c r="CJ178" i="5"/>
  <c r="BK178" i="5"/>
  <c r="BH179" i="5" s="1"/>
  <c r="BU178" i="5"/>
  <c r="BW178" i="5" s="1"/>
  <c r="BZ178" i="5" s="1"/>
  <c r="CH178" i="5" l="1"/>
  <c r="BV178" i="5"/>
  <c r="CK178" i="5"/>
  <c r="CL178" i="5" s="1"/>
  <c r="BJ179" i="5"/>
  <c r="AS179" i="5"/>
  <c r="CF178" i="5" l="1"/>
  <c r="G187" i="8"/>
  <c r="BO179" i="5" l="1"/>
  <c r="AM179" i="5"/>
  <c r="BT179" i="5"/>
  <c r="AN179" i="5" l="1"/>
  <c r="AP179" i="5" l="1"/>
  <c r="AO179" i="5"/>
  <c r="AT179" i="5" l="1"/>
  <c r="AX179" i="5" s="1"/>
  <c r="AU179" i="5" l="1"/>
  <c r="AV179" i="5" l="1"/>
  <c r="AZ179" i="5" l="1"/>
  <c r="CC179" i="5"/>
  <c r="AW179" i="5"/>
  <c r="BA179" i="5" l="1"/>
  <c r="BE179" i="5" l="1"/>
  <c r="BL179" i="5" s="1"/>
  <c r="BB179" i="5"/>
  <c r="BC179" i="5" l="1"/>
  <c r="BP179" i="5"/>
  <c r="BR179" i="5" s="1"/>
  <c r="BU179" i="5" l="1"/>
  <c r="BW179" i="5" s="1"/>
  <c r="BZ179" i="5" s="1"/>
  <c r="CK179" i="5" s="1"/>
  <c r="CG179" i="5"/>
  <c r="BQ179" i="5"/>
  <c r="BI179" i="5"/>
  <c r="CD179" i="5"/>
  <c r="BD179" i="5"/>
  <c r="CB179" i="5" l="1"/>
  <c r="F188" i="8"/>
  <c r="CJ179" i="5"/>
  <c r="CL179" i="5" s="1"/>
  <c r="BK179" i="5"/>
  <c r="BH180" i="5" s="1"/>
  <c r="CH179" i="5"/>
  <c r="CF179" i="5" s="1"/>
  <c r="BV179" i="5"/>
  <c r="G188" i="8" l="1"/>
  <c r="BO180" i="5"/>
  <c r="BT180" i="5"/>
  <c r="BJ180" i="5"/>
  <c r="AS180" i="5"/>
  <c r="AM180" i="5"/>
  <c r="AN180" i="5" l="1"/>
  <c r="AO180" i="5" s="1"/>
  <c r="AP180" i="5" l="1"/>
  <c r="AT180" i="5" l="1"/>
  <c r="AX180" i="5"/>
  <c r="AU180" i="5" l="1"/>
  <c r="AV180" i="5" l="1"/>
  <c r="CC180" i="5" l="1"/>
  <c r="AZ180" i="5"/>
  <c r="AW180" i="5"/>
  <c r="BA180" i="5" l="1"/>
  <c r="BE180" i="5" l="1"/>
  <c r="BL180" i="5" s="1"/>
  <c r="BB180" i="5"/>
  <c r="BC180" i="5" l="1"/>
  <c r="BP180" i="5"/>
  <c r="BR180" i="5" s="1"/>
  <c r="BU180" i="5" l="1"/>
  <c r="BW180" i="5" s="1"/>
  <c r="BZ180" i="5" s="1"/>
  <c r="CK180" i="5" s="1"/>
  <c r="BI180" i="5"/>
  <c r="CD180" i="5"/>
  <c r="CG180" i="5"/>
  <c r="BQ180" i="5"/>
  <c r="BD180" i="5"/>
  <c r="CJ180" i="5" l="1"/>
  <c r="CL180" i="5" s="1"/>
  <c r="BK180" i="5"/>
  <c r="BH181" i="5" s="1"/>
  <c r="CB180" i="5"/>
  <c r="F189" i="8"/>
  <c r="CH180" i="5"/>
  <c r="CF180" i="5" s="1"/>
  <c r="BV180" i="5"/>
  <c r="BO181" i="5" l="1"/>
  <c r="BJ181" i="5"/>
  <c r="BT181" i="5"/>
  <c r="AS181" i="5"/>
  <c r="AM181" i="5"/>
  <c r="G189" i="8"/>
  <c r="AN181" i="5" l="1"/>
  <c r="AO181" i="5" s="1"/>
  <c r="AP181" i="5" l="1"/>
  <c r="AT181" i="5" l="1"/>
  <c r="AX181" i="5" s="1"/>
  <c r="AU181" i="5" l="1"/>
  <c r="AV181" i="5" l="1"/>
  <c r="AW181" i="5" s="1"/>
  <c r="CC181" i="5" l="1"/>
  <c r="AZ181" i="5"/>
  <c r="BA181" i="5" l="1"/>
  <c r="BE181" i="5" l="1"/>
  <c r="BL181" i="5" s="1"/>
  <c r="BB181" i="5"/>
  <c r="BC181" i="5" l="1"/>
  <c r="BP181" i="5"/>
  <c r="CG181" i="5" l="1"/>
  <c r="BQ181" i="5"/>
  <c r="BI181" i="5"/>
  <c r="CD181" i="5"/>
  <c r="BR181" i="5"/>
  <c r="BD181" i="5"/>
  <c r="BU181" i="5" l="1"/>
  <c r="BW181" i="5" s="1"/>
  <c r="BZ181" i="5" s="1"/>
  <c r="CJ181" i="5"/>
  <c r="BK181" i="5"/>
  <c r="BH182" i="5" s="1"/>
  <c r="CB181" i="5"/>
  <c r="F190" i="8"/>
  <c r="BJ182" i="5" l="1"/>
  <c r="AS182" i="5"/>
  <c r="CH181" i="5"/>
  <c r="BV181" i="5"/>
  <c r="CK181" i="5"/>
  <c r="CL181" i="5" s="1"/>
  <c r="CF181" i="5" l="1"/>
  <c r="G190" i="8"/>
  <c r="BO182" i="5" l="1"/>
  <c r="AM182" i="5"/>
  <c r="BT182" i="5"/>
  <c r="AN182" i="5" l="1"/>
  <c r="AP182" i="5" l="1"/>
  <c r="AO182" i="5"/>
  <c r="AT182" i="5" l="1"/>
  <c r="AX182" i="5" s="1"/>
  <c r="AU182" i="5" l="1"/>
  <c r="AV182" i="5" l="1"/>
  <c r="AW182" i="5" s="1"/>
  <c r="AZ182" i="5" l="1"/>
  <c r="CC182" i="5"/>
  <c r="BA182" i="5" l="1"/>
  <c r="BE182" i="5" l="1"/>
  <c r="BL182" i="5" s="1"/>
  <c r="BB182" i="5"/>
  <c r="BC182" i="5" l="1"/>
  <c r="BP182" i="5"/>
  <c r="BR182" i="5" s="1"/>
  <c r="BU182" i="5" l="1"/>
  <c r="BW182" i="5" s="1"/>
  <c r="BZ182" i="5" s="1"/>
  <c r="CK182" i="5" s="1"/>
  <c r="BI182" i="5"/>
  <c r="CD182" i="5"/>
  <c r="CG182" i="5"/>
  <c r="BQ182" i="5"/>
  <c r="BD182" i="5"/>
  <c r="CJ182" i="5" l="1"/>
  <c r="CL182" i="5" s="1"/>
  <c r="BK182" i="5"/>
  <c r="BH183" i="5" s="1"/>
  <c r="CB182" i="5"/>
  <c r="F191" i="8"/>
  <c r="CH182" i="5"/>
  <c r="CF182" i="5" s="1"/>
  <c r="BV182" i="5"/>
  <c r="BO183" i="5" l="1"/>
  <c r="BJ183" i="5"/>
  <c r="BT183" i="5"/>
  <c r="AS183" i="5"/>
  <c r="AM183" i="5"/>
  <c r="G191" i="8"/>
  <c r="AN183" i="5" l="1"/>
  <c r="AP183" i="5" l="1"/>
  <c r="AO183" i="5"/>
  <c r="AT183" i="5" l="1"/>
  <c r="AU183" i="5" l="1"/>
  <c r="AX183" i="5"/>
  <c r="AV183" i="5" l="1"/>
  <c r="AW183" i="5" s="1"/>
  <c r="CC183" i="5" l="1"/>
  <c r="AZ183" i="5"/>
  <c r="BA183" i="5" l="1"/>
  <c r="BE183" i="5" l="1"/>
  <c r="BL183" i="5" s="1"/>
  <c r="BB183" i="5"/>
  <c r="BC183" i="5" l="1"/>
  <c r="BP183" i="5"/>
  <c r="BR183" i="5" s="1"/>
  <c r="BU183" i="5" l="1"/>
  <c r="BW183" i="5" s="1"/>
  <c r="BZ183" i="5" s="1"/>
  <c r="CK183" i="5" s="1"/>
  <c r="CG183" i="5"/>
  <c r="BQ183" i="5"/>
  <c r="BI183" i="5"/>
  <c r="CD183" i="5"/>
  <c r="BD183" i="5"/>
  <c r="CJ183" i="5" l="1"/>
  <c r="CL183" i="5" s="1"/>
  <c r="BK183" i="5"/>
  <c r="BH184" i="5" s="1"/>
  <c r="CB183" i="5"/>
  <c r="F192" i="8"/>
  <c r="CH183" i="5"/>
  <c r="CF183" i="5" s="1"/>
  <c r="BV183" i="5"/>
  <c r="G192" i="8" l="1"/>
  <c r="BO184" i="5"/>
  <c r="BT184" i="5"/>
  <c r="BJ184" i="5"/>
  <c r="AS184" i="5"/>
  <c r="AM184" i="5"/>
  <c r="AN184" i="5" l="1"/>
  <c r="AO184" i="5" s="1"/>
  <c r="AP184" i="5" l="1"/>
  <c r="AT184" i="5" l="1"/>
  <c r="AX184" i="5" s="1"/>
  <c r="AU184" i="5" l="1"/>
  <c r="AV184" i="5" l="1"/>
  <c r="AW184" i="5" s="1"/>
  <c r="AZ184" i="5" l="1"/>
  <c r="CC184" i="5"/>
  <c r="BA184" i="5" l="1"/>
  <c r="BE184" i="5" l="1"/>
  <c r="BL184" i="5" s="1"/>
  <c r="BB184" i="5"/>
  <c r="BC184" i="5" l="1"/>
  <c r="BP184" i="5"/>
  <c r="BR184" i="5"/>
  <c r="BU184" i="5" l="1"/>
  <c r="CG184" i="5"/>
  <c r="BQ184" i="5"/>
  <c r="BI184" i="5"/>
  <c r="CD184" i="5"/>
  <c r="BD184" i="5"/>
  <c r="CB184" i="5" l="1"/>
  <c r="F193" i="8"/>
  <c r="CJ184" i="5"/>
  <c r="BK184" i="5"/>
  <c r="BH185" i="5" s="1"/>
  <c r="CH184" i="5"/>
  <c r="CF184" i="5" s="1"/>
  <c r="BV184" i="5"/>
  <c r="G193" i="8"/>
  <c r="BW184" i="5"/>
  <c r="BZ184" i="5" s="1"/>
  <c r="CK184" i="5" s="1"/>
  <c r="BO185" i="5" l="1"/>
  <c r="CL184" i="5"/>
  <c r="BT185" i="5"/>
  <c r="BJ185" i="5"/>
  <c r="AS185" i="5"/>
  <c r="AM185" i="5"/>
  <c r="AN185" i="5" l="1"/>
  <c r="AP185" i="5" l="1"/>
  <c r="AO185" i="5"/>
  <c r="AT185" i="5" l="1"/>
  <c r="AX185" i="5"/>
  <c r="AU185" i="5" l="1"/>
  <c r="AV185" i="5" l="1"/>
  <c r="AW185" i="5" s="1"/>
  <c r="CC185" i="5" l="1"/>
  <c r="AZ185" i="5"/>
  <c r="BA185" i="5" l="1"/>
  <c r="BE185" i="5" l="1"/>
  <c r="BL185" i="5" s="1"/>
  <c r="BB185" i="5"/>
  <c r="BC185" i="5" l="1"/>
  <c r="BP185" i="5"/>
  <c r="BR185" i="5" s="1"/>
  <c r="BU185" i="5" l="1"/>
  <c r="BW185" i="5" s="1"/>
  <c r="BZ185" i="5" s="1"/>
  <c r="CK185" i="5" s="1"/>
  <c r="CG185" i="5"/>
  <c r="BQ185" i="5"/>
  <c r="BI185" i="5"/>
  <c r="CD185" i="5"/>
  <c r="BD185" i="5"/>
  <c r="CB185" i="5" l="1"/>
  <c r="F194" i="8"/>
  <c r="CJ185" i="5"/>
  <c r="CL185" i="5" s="1"/>
  <c r="BK185" i="5"/>
  <c r="BH186" i="5" s="1"/>
  <c r="CH185" i="5"/>
  <c r="CF185" i="5" s="1"/>
  <c r="BV185" i="5"/>
  <c r="BO186" i="5" l="1"/>
  <c r="BT186" i="5"/>
  <c r="BJ186" i="5"/>
  <c r="AS186" i="5"/>
  <c r="AM186" i="5"/>
  <c r="G194" i="8"/>
  <c r="AN186" i="5" l="1"/>
  <c r="AP186" i="5" l="1"/>
  <c r="AO186" i="5"/>
  <c r="AT186" i="5" l="1"/>
  <c r="AX186" i="5" s="1"/>
  <c r="AU186" i="5" l="1"/>
  <c r="AV186" i="5" l="1"/>
  <c r="AW186" i="5" s="1"/>
  <c r="CC186" i="5" l="1"/>
  <c r="AZ186" i="5"/>
  <c r="BA186" i="5" l="1"/>
  <c r="BE186" i="5" l="1"/>
  <c r="BL186" i="5" s="1"/>
  <c r="BB186" i="5"/>
  <c r="BP186" i="5" l="1"/>
  <c r="BC186" i="5"/>
  <c r="BI186" i="5" l="1"/>
  <c r="CD186" i="5"/>
  <c r="BD186" i="5"/>
  <c r="CG186" i="5"/>
  <c r="BQ186" i="5"/>
  <c r="BR186" i="5"/>
  <c r="BU186" i="5" l="1"/>
  <c r="BW186" i="5"/>
  <c r="BZ186" i="5" s="1"/>
  <c r="CB186" i="5"/>
  <c r="F195" i="8"/>
  <c r="CJ186" i="5"/>
  <c r="BK186" i="5"/>
  <c r="BH187" i="5" s="1"/>
  <c r="BJ187" i="5" l="1"/>
  <c r="AS187" i="5"/>
  <c r="CH186" i="5"/>
  <c r="BV186" i="5"/>
  <c r="CK186" i="5"/>
  <c r="CL186" i="5" s="1"/>
  <c r="CF186" i="5" l="1"/>
  <c r="G195" i="8"/>
  <c r="BO187" i="5" l="1"/>
  <c r="BT187" i="5"/>
  <c r="AM187" i="5"/>
  <c r="AN187" i="5" l="1"/>
  <c r="AP187" i="5" l="1"/>
  <c r="AO187" i="5"/>
  <c r="AT187" i="5" l="1"/>
  <c r="AX187" i="5" s="1"/>
  <c r="AU187" i="5" l="1"/>
  <c r="AV187" i="5" l="1"/>
  <c r="AW187" i="5" s="1"/>
  <c r="CC187" i="5" l="1"/>
  <c r="AZ187" i="5"/>
  <c r="BA187" i="5" l="1"/>
  <c r="BE187" i="5" l="1"/>
  <c r="BL187" i="5" s="1"/>
  <c r="BB187" i="5"/>
  <c r="BC187" i="5" l="1"/>
  <c r="BP187" i="5"/>
  <c r="BR187" i="5" s="1"/>
  <c r="BU187" i="5" l="1"/>
  <c r="BW187" i="5" s="1"/>
  <c r="BZ187" i="5" s="1"/>
  <c r="CK187" i="5" s="1"/>
  <c r="CG187" i="5"/>
  <c r="BQ187" i="5"/>
  <c r="BI187" i="5"/>
  <c r="CD187" i="5"/>
  <c r="BD187" i="5"/>
  <c r="CB187" i="5" l="1"/>
  <c r="F196" i="8"/>
  <c r="CJ187" i="5"/>
  <c r="CL187" i="5" s="1"/>
  <c r="BK187" i="5"/>
  <c r="BH188" i="5" s="1"/>
  <c r="CH187" i="5"/>
  <c r="CF187" i="5" s="1"/>
  <c r="BV187" i="5"/>
  <c r="G196" i="8" l="1"/>
  <c r="BO188" i="5"/>
  <c r="BT188" i="5"/>
  <c r="BJ188" i="5"/>
  <c r="AS188" i="5"/>
  <c r="AM188" i="5"/>
  <c r="AN188" i="5" l="1"/>
  <c r="AP188" i="5" l="1"/>
  <c r="AO188" i="5"/>
  <c r="AT188" i="5" l="1"/>
  <c r="AX188" i="5" s="1"/>
  <c r="AU188" i="5" l="1"/>
  <c r="AV188" i="5" l="1"/>
  <c r="AZ188" i="5" l="1"/>
  <c r="CC188" i="5"/>
  <c r="AW188" i="5"/>
  <c r="BA188" i="5" l="1"/>
  <c r="BE188" i="5" l="1"/>
  <c r="BL188" i="5" s="1"/>
  <c r="BB188" i="5"/>
  <c r="BP188" i="5" l="1"/>
  <c r="BR188" i="5" s="1"/>
  <c r="BC188" i="5"/>
  <c r="BD188" i="5" s="1"/>
  <c r="BU188" i="5" l="1"/>
  <c r="BW188" i="5" s="1"/>
  <c r="BZ188" i="5" s="1"/>
  <c r="CK188" i="5" s="1"/>
  <c r="BI188" i="5"/>
  <c r="CD188" i="5"/>
  <c r="CG188" i="5"/>
  <c r="BQ188" i="5"/>
  <c r="CB188" i="5" l="1"/>
  <c r="F197" i="8"/>
  <c r="CJ188" i="5"/>
  <c r="CL188" i="5" s="1"/>
  <c r="BK188" i="5"/>
  <c r="BH189" i="5" s="1"/>
  <c r="CH188" i="5"/>
  <c r="CF188" i="5" s="1"/>
  <c r="BV188" i="5"/>
  <c r="BO189" i="5" l="1"/>
  <c r="BJ189" i="5"/>
  <c r="BT189" i="5"/>
  <c r="AS189" i="5"/>
  <c r="AM189" i="5"/>
  <c r="G197" i="8"/>
  <c r="AN189" i="5" l="1"/>
  <c r="AO189" i="5" s="1"/>
  <c r="AP189" i="5" l="1"/>
  <c r="AT189" i="5" l="1"/>
  <c r="AX189" i="5" s="1"/>
  <c r="AU189" i="5" l="1"/>
  <c r="AV189" i="5" l="1"/>
  <c r="AW189" i="5" s="1"/>
  <c r="AZ189" i="5" l="1"/>
  <c r="CC189" i="5"/>
  <c r="BA189" i="5" l="1"/>
  <c r="BE189" i="5" l="1"/>
  <c r="BL189" i="5" s="1"/>
  <c r="BB189" i="5"/>
  <c r="BP189" i="5" l="1"/>
  <c r="BR189" i="5" s="1"/>
  <c r="BC189" i="5"/>
  <c r="BU189" i="5" l="1"/>
  <c r="BW189" i="5" s="1"/>
  <c r="BZ189" i="5" s="1"/>
  <c r="CK189" i="5" s="1"/>
  <c r="BI189" i="5"/>
  <c r="CD189" i="5"/>
  <c r="BD189" i="5"/>
  <c r="CG189" i="5"/>
  <c r="BQ189" i="5"/>
  <c r="CB189" i="5" l="1"/>
  <c r="F198" i="8"/>
  <c r="CJ189" i="5"/>
  <c r="CL189" i="5" s="1"/>
  <c r="BK189" i="5"/>
  <c r="BH190" i="5" s="1"/>
  <c r="CH189" i="5"/>
  <c r="CF189" i="5" s="1"/>
  <c r="BV189" i="5"/>
  <c r="BO190" i="5" l="1"/>
  <c r="BJ190" i="5"/>
  <c r="BT190" i="5"/>
  <c r="AS190" i="5"/>
  <c r="AM190" i="5"/>
  <c r="G198" i="8"/>
  <c r="AN190" i="5" l="1"/>
  <c r="AP190" i="5" l="1"/>
  <c r="AO190" i="5"/>
  <c r="AT190" i="5" l="1"/>
  <c r="AX190" i="5" s="1"/>
  <c r="AU190" i="5" l="1"/>
  <c r="AV190" i="5" l="1"/>
  <c r="AW190" i="5" s="1"/>
  <c r="AZ190" i="5" l="1"/>
  <c r="CC190" i="5"/>
  <c r="BA190" i="5" l="1"/>
  <c r="BE190" i="5" l="1"/>
  <c r="BL190" i="5" s="1"/>
  <c r="BB190" i="5"/>
  <c r="BC190" i="5" l="1"/>
  <c r="BP190" i="5"/>
  <c r="BR190" i="5" s="1"/>
  <c r="BU190" i="5" l="1"/>
  <c r="BW190" i="5" s="1"/>
  <c r="BZ190" i="5" s="1"/>
  <c r="CK190" i="5" s="1"/>
  <c r="CG190" i="5"/>
  <c r="BQ190" i="5"/>
  <c r="BI190" i="5"/>
  <c r="CD190" i="5"/>
  <c r="BD190" i="5"/>
  <c r="CB190" i="5" l="1"/>
  <c r="F199" i="8"/>
  <c r="CJ190" i="5"/>
  <c r="CL190" i="5" s="1"/>
  <c r="BK190" i="5"/>
  <c r="BH191" i="5" s="1"/>
  <c r="CH190" i="5"/>
  <c r="CF190" i="5" s="1"/>
  <c r="BV190" i="5"/>
  <c r="BO191" i="5" l="1"/>
  <c r="G199" i="8"/>
  <c r="BJ191" i="5"/>
  <c r="BT191" i="5"/>
  <c r="AS191" i="5"/>
  <c r="AM191" i="5"/>
  <c r="AN191" i="5" l="1"/>
  <c r="AP191" i="5" l="1"/>
  <c r="AO191" i="5"/>
  <c r="AT191" i="5" l="1"/>
  <c r="AU191" i="5" l="1"/>
  <c r="AX191" i="5"/>
  <c r="AV191" i="5" l="1"/>
  <c r="CC191" i="5" l="1"/>
  <c r="AW191" i="5"/>
  <c r="AZ191" i="5"/>
  <c r="BA191" i="5" l="1"/>
  <c r="BE191" i="5" l="1"/>
  <c r="BL191" i="5" s="1"/>
  <c r="BB191" i="5"/>
  <c r="BC191" i="5" l="1"/>
  <c r="BP191" i="5"/>
  <c r="BR191" i="5" s="1"/>
  <c r="BU191" i="5" l="1"/>
  <c r="BW191" i="5"/>
  <c r="BZ191" i="5" s="1"/>
  <c r="CG191" i="5"/>
  <c r="BQ191" i="5"/>
  <c r="BI191" i="5"/>
  <c r="CD191" i="5"/>
  <c r="CK191" i="5"/>
  <c r="BD191" i="5"/>
  <c r="CB191" i="5" l="1"/>
  <c r="F200" i="8"/>
  <c r="CJ191" i="5"/>
  <c r="CL191" i="5" s="1"/>
  <c r="BK191" i="5"/>
  <c r="BH192" i="5" s="1"/>
  <c r="CH191" i="5"/>
  <c r="CF191" i="5" s="1"/>
  <c r="BV191" i="5"/>
  <c r="BO192" i="5" l="1"/>
  <c r="G200" i="8"/>
  <c r="BT192" i="5"/>
  <c r="BJ192" i="5"/>
  <c r="AS192" i="5"/>
  <c r="AM192" i="5"/>
  <c r="AN192" i="5" l="1"/>
  <c r="AO192" i="5" s="1"/>
  <c r="AP192" i="5" l="1"/>
  <c r="AT192" i="5" l="1"/>
  <c r="AX192" i="5" s="1"/>
  <c r="AU192" i="5" l="1"/>
  <c r="AV192" i="5" l="1"/>
  <c r="AW192" i="5" s="1"/>
  <c r="AZ192" i="5" l="1"/>
  <c r="CC192" i="5"/>
  <c r="BA192" i="5" l="1"/>
  <c r="BE192" i="5" l="1"/>
  <c r="BL192" i="5" s="1"/>
  <c r="BB192" i="5"/>
  <c r="BC192" i="5" l="1"/>
  <c r="BP192" i="5"/>
  <c r="BR192" i="5" s="1"/>
  <c r="BU192" i="5" l="1"/>
  <c r="CG192" i="5"/>
  <c r="BQ192" i="5"/>
  <c r="BI192" i="5"/>
  <c r="CD192" i="5"/>
  <c r="BD192" i="5"/>
  <c r="CB192" i="5" l="1"/>
  <c r="F201" i="8"/>
  <c r="CJ192" i="5"/>
  <c r="BK192" i="5"/>
  <c r="BH193" i="5" s="1"/>
  <c r="CH192" i="5"/>
  <c r="CF192" i="5" s="1"/>
  <c r="BV192" i="5"/>
  <c r="BW192" i="5"/>
  <c r="BZ192" i="5" s="1"/>
  <c r="CK192" i="5" s="1"/>
  <c r="BO193" i="5" l="1"/>
  <c r="CL192" i="5"/>
  <c r="G201" i="8"/>
  <c r="BT193" i="5"/>
  <c r="BJ193" i="5"/>
  <c r="AS193" i="5"/>
  <c r="AM193" i="5"/>
  <c r="AN193" i="5" l="1"/>
  <c r="AO193" i="5" s="1"/>
  <c r="AP193" i="5" l="1"/>
  <c r="AT193" i="5" l="1"/>
  <c r="AX193" i="5"/>
  <c r="AU193" i="5" l="1"/>
  <c r="AV193" i="5" l="1"/>
  <c r="AW193" i="5" s="1"/>
  <c r="AZ193" i="5" l="1"/>
  <c r="CC193" i="5"/>
  <c r="BA193" i="5" l="1"/>
  <c r="BE193" i="5" l="1"/>
  <c r="BL193" i="5" s="1"/>
  <c r="BB193" i="5"/>
  <c r="BC193" i="5" l="1"/>
  <c r="BP193" i="5"/>
  <c r="BR193" i="5" s="1"/>
  <c r="BU193" i="5" l="1"/>
  <c r="BW193" i="5" s="1"/>
  <c r="BZ193" i="5" s="1"/>
  <c r="CK193" i="5" s="1"/>
  <c r="CG193" i="5"/>
  <c r="BQ193" i="5"/>
  <c r="BI193" i="5"/>
  <c r="CD193" i="5"/>
  <c r="BD193" i="5"/>
  <c r="CJ193" i="5" l="1"/>
  <c r="CL193" i="5" s="1"/>
  <c r="BK193" i="5"/>
  <c r="BH194" i="5" s="1"/>
  <c r="CB193" i="5"/>
  <c r="F202" i="8"/>
  <c r="CH193" i="5"/>
  <c r="CF193" i="5" s="1"/>
  <c r="BV193" i="5"/>
  <c r="BO194" i="5" l="1"/>
  <c r="G202" i="8"/>
  <c r="BT194" i="5"/>
  <c r="BJ194" i="5"/>
  <c r="AS194" i="5"/>
  <c r="AM194" i="5"/>
  <c r="AN194" i="5" l="1"/>
  <c r="AP194" i="5" l="1"/>
  <c r="AO194" i="5"/>
  <c r="AT194" i="5" l="1"/>
  <c r="AX194" i="5"/>
  <c r="AU194" i="5" l="1"/>
  <c r="AV194" i="5" l="1"/>
  <c r="AW194" i="5" s="1"/>
  <c r="AZ194" i="5" l="1"/>
  <c r="CC194" i="5"/>
  <c r="BA194" i="5" l="1"/>
  <c r="BB194" i="5" s="1"/>
  <c r="BC194" i="5" l="1"/>
  <c r="BI194" i="5" s="1"/>
  <c r="BE194" i="5"/>
  <c r="BL194" i="5" s="1"/>
  <c r="CJ194" i="5" l="1"/>
  <c r="BK194" i="5"/>
  <c r="BH195" i="5" s="1"/>
  <c r="BP194" i="5"/>
  <c r="CD194" i="5"/>
  <c r="BD194" i="5"/>
  <c r="CG194" i="5" l="1"/>
  <c r="BQ194" i="5"/>
  <c r="CB194" i="5"/>
  <c r="F203" i="8"/>
  <c r="BR194" i="5"/>
  <c r="BU194" i="5" l="1"/>
  <c r="BW194" i="5" s="1"/>
  <c r="BZ194" i="5" s="1"/>
  <c r="BJ195" i="5"/>
  <c r="AS195" i="5"/>
  <c r="CH194" i="5" l="1"/>
  <c r="BV194" i="5"/>
  <c r="CK194" i="5"/>
  <c r="CL194" i="5" s="1"/>
  <c r="CF194" i="5" l="1"/>
  <c r="G203" i="8"/>
  <c r="BO195" i="5" l="1"/>
  <c r="BT195" i="5"/>
  <c r="AM195" i="5"/>
  <c r="AN195" i="5" l="1"/>
  <c r="AP195" i="5" l="1"/>
  <c r="AO195" i="5"/>
  <c r="AT195" i="5" l="1"/>
  <c r="AX195" i="5"/>
  <c r="AU195" i="5" l="1"/>
  <c r="AV195" i="5" l="1"/>
  <c r="AW195" i="5" s="1"/>
  <c r="CC195" i="5" l="1"/>
  <c r="AZ195" i="5"/>
  <c r="BA195" i="5" l="1"/>
  <c r="BE195" i="5" l="1"/>
  <c r="BL195" i="5" s="1"/>
  <c r="BB195" i="5"/>
  <c r="BC195" i="5" l="1"/>
  <c r="BP195" i="5"/>
  <c r="BI195" i="5" l="1"/>
  <c r="CD195" i="5"/>
  <c r="CG195" i="5"/>
  <c r="BQ195" i="5"/>
  <c r="BR195" i="5"/>
  <c r="BD195" i="5"/>
  <c r="BU195" i="5" l="1"/>
  <c r="CB195" i="5"/>
  <c r="F204" i="8"/>
  <c r="CJ195" i="5"/>
  <c r="BK195" i="5"/>
  <c r="BH196" i="5" s="1"/>
  <c r="CH195" i="5" l="1"/>
  <c r="BV195" i="5"/>
  <c r="BJ196" i="5"/>
  <c r="AS196" i="5"/>
  <c r="BW195" i="5"/>
  <c r="BZ195" i="5" s="1"/>
  <c r="CK195" i="5" s="1"/>
  <c r="CL195" i="5" s="1"/>
  <c r="CF195" i="5" l="1"/>
  <c r="G204" i="8"/>
  <c r="BO196" i="5" l="1"/>
  <c r="AM196" i="5"/>
  <c r="BT196" i="5"/>
  <c r="AN196" i="5" l="1"/>
  <c r="AP196" i="5" l="1"/>
  <c r="AO196" i="5"/>
  <c r="AT196" i="5" l="1"/>
  <c r="AX196" i="5" s="1"/>
  <c r="AU196" i="5" l="1"/>
  <c r="AV196" i="5" l="1"/>
  <c r="AW196" i="5" s="1"/>
  <c r="CC196" i="5" l="1"/>
  <c r="AZ196" i="5"/>
  <c r="BA196" i="5" l="1"/>
  <c r="BE196" i="5" l="1"/>
  <c r="BL196" i="5" s="1"/>
  <c r="BB196" i="5"/>
  <c r="BC196" i="5" l="1"/>
  <c r="BP196" i="5"/>
  <c r="BR196" i="5" s="1"/>
  <c r="BU196" i="5" l="1"/>
  <c r="BW196" i="5" s="1"/>
  <c r="BZ196" i="5" s="1"/>
  <c r="CK196" i="5" s="1"/>
  <c r="CG196" i="5"/>
  <c r="BQ196" i="5"/>
  <c r="BI196" i="5"/>
  <c r="CD196" i="5"/>
  <c r="BD196" i="5"/>
  <c r="CB196" i="5" l="1"/>
  <c r="F205" i="8"/>
  <c r="CJ196" i="5"/>
  <c r="CL196" i="5" s="1"/>
  <c r="BK196" i="5"/>
  <c r="BH197" i="5" s="1"/>
  <c r="CH196" i="5"/>
  <c r="CF196" i="5" s="1"/>
  <c r="BV196" i="5"/>
  <c r="BO197" i="5" l="1"/>
  <c r="BT197" i="5"/>
  <c r="BJ197" i="5"/>
  <c r="AS197" i="5"/>
  <c r="AM197" i="5"/>
  <c r="G205" i="8"/>
  <c r="AN197" i="5" l="1"/>
  <c r="AP197" i="5" l="1"/>
  <c r="AO197" i="5"/>
  <c r="AT197" i="5" l="1"/>
  <c r="AX197" i="5" s="1"/>
  <c r="AU197" i="5" l="1"/>
  <c r="AV197" i="5" l="1"/>
  <c r="AZ197" i="5" l="1"/>
  <c r="CC197" i="5"/>
  <c r="AW197" i="5"/>
  <c r="BA197" i="5" l="1"/>
  <c r="BE197" i="5" l="1"/>
  <c r="BL197" i="5" s="1"/>
  <c r="BB197" i="5"/>
  <c r="BC197" i="5" l="1"/>
  <c r="BP197" i="5"/>
  <c r="BR197" i="5" s="1"/>
  <c r="BU197" i="5" l="1"/>
  <c r="BW197" i="5" s="1"/>
  <c r="BZ197" i="5" s="1"/>
  <c r="CK197" i="5" s="1"/>
  <c r="CG197" i="5"/>
  <c r="BQ197" i="5"/>
  <c r="BI197" i="5"/>
  <c r="CD197" i="5"/>
  <c r="BD197" i="5"/>
  <c r="CB197" i="5" l="1"/>
  <c r="F206" i="8"/>
  <c r="CJ197" i="5"/>
  <c r="CL197" i="5" s="1"/>
  <c r="BK197" i="5"/>
  <c r="BH198" i="5" s="1"/>
  <c r="CH197" i="5"/>
  <c r="CF197" i="5" s="1"/>
  <c r="BV197" i="5"/>
  <c r="BO198" i="5" l="1"/>
  <c r="G206" i="8"/>
  <c r="BJ198" i="5"/>
  <c r="BT198" i="5"/>
  <c r="AS198" i="5"/>
  <c r="AM198" i="5"/>
  <c r="AN198" i="5" l="1"/>
  <c r="AP198" i="5" l="1"/>
  <c r="AO198" i="5"/>
  <c r="AT198" i="5" l="1"/>
  <c r="AX198" i="5"/>
  <c r="AU198" i="5" l="1"/>
  <c r="AV198" i="5" l="1"/>
  <c r="AW198" i="5" s="1"/>
  <c r="AZ198" i="5" l="1"/>
  <c r="CC198" i="5"/>
  <c r="BA198" i="5" l="1"/>
  <c r="BB198" i="5" s="1"/>
  <c r="BC198" i="5" l="1"/>
  <c r="BI198" i="5" s="1"/>
  <c r="BE198" i="5"/>
  <c r="BL198" i="5" s="1"/>
  <c r="BP198" i="5" l="1"/>
  <c r="BR198" i="5"/>
  <c r="CD198" i="5"/>
  <c r="CJ198" i="5"/>
  <c r="BK198" i="5"/>
  <c r="BH199" i="5" s="1"/>
  <c r="BD198" i="5"/>
  <c r="CB198" i="5" l="1"/>
  <c r="F207" i="8"/>
  <c r="BU198" i="5"/>
  <c r="CG198" i="5"/>
  <c r="BQ198" i="5"/>
  <c r="BJ199" i="5" l="1"/>
  <c r="AS199" i="5"/>
  <c r="BW198" i="5"/>
  <c r="BZ198" i="5" s="1"/>
  <c r="CK198" i="5" s="1"/>
  <c r="CL198" i="5" s="1"/>
  <c r="CH198" i="5"/>
  <c r="CF198" i="5" s="1"/>
  <c r="AM199" i="5" s="1"/>
  <c r="BV198" i="5"/>
  <c r="G207" i="8" l="1"/>
  <c r="BT199" i="5"/>
  <c r="AN199" i="5"/>
  <c r="BO199" i="5"/>
  <c r="AP199" i="5" l="1"/>
  <c r="AO199" i="5"/>
  <c r="AT199" i="5" l="1"/>
  <c r="AX199" i="5"/>
  <c r="AU199" i="5" l="1"/>
  <c r="AV199" i="5" l="1"/>
  <c r="AW199" i="5" s="1"/>
  <c r="CC199" i="5" l="1"/>
  <c r="AZ199" i="5"/>
  <c r="BA199" i="5" l="1"/>
  <c r="BB199" i="5" s="1"/>
  <c r="BC199" i="5" l="1"/>
  <c r="BI199" i="5" s="1"/>
  <c r="BE199" i="5"/>
  <c r="BL199" i="5" s="1"/>
  <c r="CJ199" i="5" l="1"/>
  <c r="BK199" i="5"/>
  <c r="BH200" i="5" s="1"/>
  <c r="BP199" i="5"/>
  <c r="CD199" i="5"/>
  <c r="BD199" i="5"/>
  <c r="CG199" i="5" l="1"/>
  <c r="BQ199" i="5"/>
  <c r="CB199" i="5"/>
  <c r="F208" i="8"/>
  <c r="BR199" i="5"/>
  <c r="BU199" i="5" l="1"/>
  <c r="BW199" i="5" s="1"/>
  <c r="BZ199" i="5" s="1"/>
  <c r="BJ200" i="5"/>
  <c r="AS200" i="5"/>
  <c r="CH199" i="5" l="1"/>
  <c r="BV199" i="5"/>
  <c r="CK199" i="5"/>
  <c r="CL199" i="5" s="1"/>
  <c r="CF199" i="5" l="1"/>
  <c r="G208" i="8"/>
  <c r="BO200" i="5" l="1"/>
  <c r="BT200" i="5"/>
  <c r="AM200" i="5"/>
  <c r="AN200" i="5" l="1"/>
  <c r="AP200" i="5" l="1"/>
  <c r="AO200" i="5"/>
  <c r="AT200" i="5" l="1"/>
  <c r="AU200" i="5" l="1"/>
  <c r="AX200" i="5"/>
  <c r="AV200" i="5" l="1"/>
  <c r="AZ200" i="5" s="1"/>
  <c r="BA200" i="5" l="1"/>
  <c r="CC200" i="5"/>
  <c r="AW200" i="5"/>
  <c r="BE200" i="5" l="1"/>
  <c r="BL200" i="5" s="1"/>
  <c r="BB200" i="5"/>
  <c r="BC200" i="5" l="1"/>
  <c r="BP200" i="5"/>
  <c r="BR200" i="5" s="1"/>
  <c r="BU200" i="5" l="1"/>
  <c r="BW200" i="5"/>
  <c r="BZ200" i="5" s="1"/>
  <c r="CK200" i="5" s="1"/>
  <c r="BI200" i="5"/>
  <c r="CD200" i="5"/>
  <c r="CG200" i="5"/>
  <c r="BQ200" i="5"/>
  <c r="BD200" i="5"/>
  <c r="CB200" i="5" l="1"/>
  <c r="F209" i="8"/>
  <c r="CJ200" i="5"/>
  <c r="CL200" i="5" s="1"/>
  <c r="BK200" i="5"/>
  <c r="BH201" i="5" s="1"/>
  <c r="CH200" i="5"/>
  <c r="CF200" i="5" s="1"/>
  <c r="BV200" i="5"/>
  <c r="G209" i="8" l="1"/>
  <c r="BO201" i="5"/>
  <c r="BT201" i="5"/>
  <c r="BJ201" i="5"/>
  <c r="AS201" i="5"/>
  <c r="AM201" i="5"/>
  <c r="AN201" i="5" l="1"/>
  <c r="AO201" i="5" s="1"/>
  <c r="AP201" i="5" l="1"/>
  <c r="AT201" i="5" l="1"/>
  <c r="AX201" i="5"/>
  <c r="AU201" i="5" l="1"/>
  <c r="AV201" i="5" l="1"/>
  <c r="AW201" i="5" s="1"/>
  <c r="CC201" i="5" l="1"/>
  <c r="AZ201" i="5"/>
  <c r="BA201" i="5" l="1"/>
  <c r="BE201" i="5" l="1"/>
  <c r="BL201" i="5" s="1"/>
  <c r="BB201" i="5"/>
  <c r="BP201" i="5" l="1"/>
  <c r="BR201" i="5"/>
  <c r="BC201" i="5"/>
  <c r="BI201" i="5" l="1"/>
  <c r="CD201" i="5"/>
  <c r="BD201" i="5"/>
  <c r="BU201" i="5"/>
  <c r="CG201" i="5"/>
  <c r="BQ201" i="5"/>
  <c r="CB201" i="5" l="1"/>
  <c r="F210" i="8"/>
  <c r="CH201" i="5"/>
  <c r="CF201" i="5" s="1"/>
  <c r="BV201" i="5"/>
  <c r="BW201" i="5"/>
  <c r="BZ201" i="5" s="1"/>
  <c r="CK201" i="5" s="1"/>
  <c r="CJ201" i="5"/>
  <c r="BK201" i="5"/>
  <c r="BH202" i="5" s="1"/>
  <c r="BJ202" i="5" l="1"/>
  <c r="BT202" i="5"/>
  <c r="AS202" i="5"/>
  <c r="AM202" i="5"/>
  <c r="CL201" i="5"/>
  <c r="G210" i="8"/>
  <c r="BO202" i="5"/>
  <c r="AN202" i="5" l="1"/>
  <c r="AP202" i="5" l="1"/>
  <c r="AO202" i="5"/>
  <c r="AT202" i="5" l="1"/>
  <c r="AX202" i="5" s="1"/>
  <c r="AU202" i="5" l="1"/>
  <c r="AV202" i="5" l="1"/>
  <c r="AZ202" i="5" l="1"/>
  <c r="CC202" i="5"/>
  <c r="AW202" i="5"/>
  <c r="BA202" i="5" l="1"/>
  <c r="BE202" i="5" l="1"/>
  <c r="BL202" i="5" s="1"/>
  <c r="BB202" i="5"/>
  <c r="BC202" i="5" l="1"/>
  <c r="BP202" i="5"/>
  <c r="BR202" i="5" s="1"/>
  <c r="BU202" i="5" l="1"/>
  <c r="CG202" i="5"/>
  <c r="BQ202" i="5"/>
  <c r="BI202" i="5"/>
  <c r="CD202" i="5"/>
  <c r="BD202" i="5"/>
  <c r="CB202" i="5" l="1"/>
  <c r="F211" i="8"/>
  <c r="CJ202" i="5"/>
  <c r="BK202" i="5"/>
  <c r="BH203" i="5" s="1"/>
  <c r="CH202" i="5"/>
  <c r="CF202" i="5" s="1"/>
  <c r="BV202" i="5"/>
  <c r="BW202" i="5"/>
  <c r="BZ202" i="5" s="1"/>
  <c r="CK202" i="5" s="1"/>
  <c r="BO203" i="5" l="1"/>
  <c r="CL202" i="5"/>
  <c r="G211" i="8"/>
  <c r="BJ203" i="5"/>
  <c r="BT203" i="5"/>
  <c r="AS203" i="5"/>
  <c r="AM203" i="5"/>
  <c r="AN203" i="5" l="1"/>
  <c r="AO203" i="5" s="1"/>
  <c r="AP203" i="5" l="1"/>
  <c r="AT203" i="5" l="1"/>
  <c r="AU203" i="5" l="1"/>
  <c r="AX203" i="5"/>
  <c r="AV203" i="5" l="1"/>
  <c r="CC203" i="5" l="1"/>
  <c r="AW203" i="5"/>
  <c r="AZ203" i="5"/>
  <c r="BA203" i="5" l="1"/>
  <c r="BE203" i="5" l="1"/>
  <c r="BL203" i="5" s="1"/>
  <c r="BB203" i="5"/>
  <c r="BC203" i="5" l="1"/>
  <c r="BP203" i="5"/>
  <c r="BR203" i="5" s="1"/>
  <c r="BU203" i="5" l="1"/>
  <c r="BW203" i="5" s="1"/>
  <c r="BZ203" i="5" s="1"/>
  <c r="CK203" i="5" s="1"/>
  <c r="BI203" i="5"/>
  <c r="CD203" i="5"/>
  <c r="CG203" i="5"/>
  <c r="BQ203" i="5"/>
  <c r="BD203" i="5"/>
  <c r="CB203" i="5" l="1"/>
  <c r="F212" i="8"/>
  <c r="CJ203" i="5"/>
  <c r="CL203" i="5" s="1"/>
  <c r="BK203" i="5"/>
  <c r="BH204" i="5" s="1"/>
  <c r="CH203" i="5"/>
  <c r="CF203" i="5" s="1"/>
  <c r="BV203" i="5"/>
  <c r="G212" i="8" l="1"/>
  <c r="BO204" i="5"/>
  <c r="BT204" i="5"/>
  <c r="BJ204" i="5"/>
  <c r="AS204" i="5"/>
  <c r="AM204" i="5"/>
  <c r="AN204" i="5" l="1"/>
  <c r="AP204" i="5" l="1"/>
  <c r="AO204" i="5"/>
  <c r="AT204" i="5" l="1"/>
  <c r="AX204" i="5"/>
  <c r="AU204" i="5" l="1"/>
  <c r="AV204" i="5" l="1"/>
  <c r="AZ204" i="5" l="1"/>
  <c r="CC204" i="5"/>
  <c r="AW204" i="5"/>
  <c r="BA204" i="5" l="1"/>
  <c r="BE204" i="5" l="1"/>
  <c r="BL204" i="5" s="1"/>
  <c r="BB204" i="5"/>
  <c r="BP204" i="5" l="1"/>
  <c r="BC204" i="5"/>
  <c r="BI204" i="5" l="1"/>
  <c r="CD204" i="5"/>
  <c r="BD204" i="5"/>
  <c r="CG204" i="5"/>
  <c r="BQ204" i="5"/>
  <c r="BR204" i="5"/>
  <c r="CB204" i="5" l="1"/>
  <c r="F213" i="8"/>
  <c r="BU204" i="5"/>
  <c r="BW204" i="5" s="1"/>
  <c r="BZ204" i="5" s="1"/>
  <c r="CJ204" i="5"/>
  <c r="BK204" i="5"/>
  <c r="BH205" i="5" s="1"/>
  <c r="CH204" i="5" l="1"/>
  <c r="BV204" i="5"/>
  <c r="CK204" i="5"/>
  <c r="CL204" i="5" s="1"/>
  <c r="BJ205" i="5"/>
  <c r="AS205" i="5"/>
  <c r="CF204" i="5" l="1"/>
  <c r="G213" i="8"/>
  <c r="BO205" i="5" l="1"/>
  <c r="AM205" i="5"/>
  <c r="BT205" i="5"/>
  <c r="AN205" i="5" l="1"/>
  <c r="AP205" i="5" l="1"/>
  <c r="AO205" i="5"/>
  <c r="AT205" i="5" l="1"/>
  <c r="AX205" i="5" s="1"/>
  <c r="AU205" i="5" l="1"/>
  <c r="AV205" i="5" l="1"/>
  <c r="AZ205" i="5" l="1"/>
  <c r="CC205" i="5"/>
  <c r="AW205" i="5"/>
  <c r="BA205" i="5" l="1"/>
  <c r="BE205" i="5" l="1"/>
  <c r="BL205" i="5" s="1"/>
  <c r="BB205" i="5"/>
  <c r="BC205" i="5" l="1"/>
  <c r="BP205" i="5"/>
  <c r="BR205" i="5" s="1"/>
  <c r="BU205" i="5" l="1"/>
  <c r="BI205" i="5"/>
  <c r="CD205" i="5"/>
  <c r="CG205" i="5"/>
  <c r="BQ205" i="5"/>
  <c r="BD205" i="5"/>
  <c r="CB205" i="5" l="1"/>
  <c r="F214" i="8"/>
  <c r="CJ205" i="5"/>
  <c r="BK205" i="5"/>
  <c r="BH206" i="5" s="1"/>
  <c r="CH205" i="5"/>
  <c r="CF205" i="5" s="1"/>
  <c r="BV205" i="5"/>
  <c r="BW205" i="5"/>
  <c r="BZ205" i="5" s="1"/>
  <c r="CK205" i="5" s="1"/>
  <c r="G214" i="8" l="1"/>
  <c r="BO206" i="5"/>
  <c r="CL205" i="5"/>
  <c r="BJ206" i="5"/>
  <c r="BT206" i="5"/>
  <c r="AS206" i="5"/>
  <c r="AM206" i="5"/>
  <c r="AN206" i="5" l="1"/>
  <c r="AP206" i="5" l="1"/>
  <c r="AO206" i="5"/>
  <c r="AT206" i="5" l="1"/>
  <c r="AU206" i="5" l="1"/>
  <c r="AX206" i="5"/>
  <c r="AV206" i="5" l="1"/>
  <c r="AW206" i="5" s="1"/>
  <c r="CC206" i="5" l="1"/>
  <c r="AZ206" i="5"/>
  <c r="BA206" i="5" l="1"/>
  <c r="BE206" i="5" l="1"/>
  <c r="BL206" i="5" s="1"/>
  <c r="BB206" i="5"/>
  <c r="BC206" i="5" l="1"/>
  <c r="BP206" i="5"/>
  <c r="CG206" i="5" l="1"/>
  <c r="BQ206" i="5"/>
  <c r="BR206" i="5"/>
  <c r="BI206" i="5"/>
  <c r="CD206" i="5"/>
  <c r="BD206" i="5"/>
  <c r="CB206" i="5" l="1"/>
  <c r="F215" i="8"/>
  <c r="CJ206" i="5"/>
  <c r="BK206" i="5"/>
  <c r="BH207" i="5" s="1"/>
  <c r="BU206" i="5"/>
  <c r="BW206" i="5" s="1"/>
  <c r="BZ206" i="5" s="1"/>
  <c r="CH206" i="5" l="1"/>
  <c r="BV206" i="5"/>
  <c r="CK206" i="5"/>
  <c r="CL206" i="5" s="1"/>
  <c r="BJ207" i="5"/>
  <c r="AS207" i="5"/>
  <c r="CF206" i="5" l="1"/>
  <c r="G215" i="8"/>
  <c r="BO207" i="5" l="1"/>
  <c r="BT207" i="5"/>
  <c r="AM207" i="5"/>
  <c r="AN207" i="5" l="1"/>
  <c r="AP207" i="5" l="1"/>
  <c r="AO207" i="5"/>
  <c r="AT207" i="5" l="1"/>
  <c r="AX207" i="5" s="1"/>
  <c r="AU207" i="5" l="1"/>
  <c r="AV207" i="5" l="1"/>
  <c r="AW207" i="5" s="1"/>
  <c r="CC207" i="5" l="1"/>
  <c r="AZ207" i="5"/>
  <c r="BA207" i="5" l="1"/>
  <c r="BE207" i="5" l="1"/>
  <c r="BL207" i="5" s="1"/>
  <c r="BB207" i="5"/>
  <c r="BC207" i="5" l="1"/>
  <c r="BP207" i="5"/>
  <c r="CG207" i="5" l="1"/>
  <c r="BQ207" i="5"/>
  <c r="BR207" i="5"/>
  <c r="BI207" i="5"/>
  <c r="CD207" i="5"/>
  <c r="BD207" i="5"/>
  <c r="CJ207" i="5" l="1"/>
  <c r="BK207" i="5"/>
  <c r="BH208" i="5" s="1"/>
  <c r="BU207" i="5"/>
  <c r="BW207" i="5" s="1"/>
  <c r="BZ207" i="5" s="1"/>
  <c r="CB207" i="5"/>
  <c r="F216" i="8"/>
  <c r="CH207" i="5" l="1"/>
  <c r="BV207" i="5"/>
  <c r="CK207" i="5"/>
  <c r="CL207" i="5" s="1"/>
  <c r="BJ208" i="5"/>
  <c r="AS208" i="5"/>
  <c r="CF207" i="5" l="1"/>
  <c r="G216" i="8"/>
  <c r="BO208" i="5" l="1"/>
  <c r="AM208" i="5"/>
  <c r="BT208" i="5"/>
  <c r="AN208" i="5" l="1"/>
  <c r="AP208" i="5" l="1"/>
  <c r="AO208" i="5"/>
  <c r="AT208" i="5" l="1"/>
  <c r="AX208" i="5" s="1"/>
  <c r="AU208" i="5" l="1"/>
  <c r="AV208" i="5" l="1"/>
  <c r="AW208" i="5" s="1"/>
  <c r="AZ208" i="5" l="1"/>
  <c r="CC208" i="5"/>
  <c r="BA208" i="5" l="1"/>
  <c r="BB208" i="5" s="1"/>
  <c r="BC208" i="5" l="1"/>
  <c r="BI208" i="5" s="1"/>
  <c r="BE208" i="5"/>
  <c r="BL208" i="5" s="1"/>
  <c r="BP208" i="5" l="1"/>
  <c r="BR208" i="5"/>
  <c r="CD208" i="5"/>
  <c r="CJ208" i="5"/>
  <c r="BK208" i="5"/>
  <c r="BH209" i="5" s="1"/>
  <c r="BD208" i="5"/>
  <c r="BU208" i="5" l="1"/>
  <c r="BW208" i="5" s="1"/>
  <c r="BZ208" i="5" s="1"/>
  <c r="CK208" i="5" s="1"/>
  <c r="CL208" i="5" s="1"/>
  <c r="CB208" i="5"/>
  <c r="F217" i="8"/>
  <c r="CG208" i="5"/>
  <c r="BQ208" i="5"/>
  <c r="CH208" i="5" l="1"/>
  <c r="CF208" i="5" s="1"/>
  <c r="BV208" i="5"/>
  <c r="BJ209" i="5"/>
  <c r="BT209" i="5"/>
  <c r="AS209" i="5"/>
  <c r="AM209" i="5"/>
  <c r="AN209" i="5" l="1"/>
  <c r="BO209" i="5"/>
  <c r="G217" i="8"/>
  <c r="AP209" i="5" l="1"/>
  <c r="AO209" i="5"/>
  <c r="AT209" i="5" l="1"/>
  <c r="AX209" i="5"/>
  <c r="AU209" i="5" l="1"/>
  <c r="AV209" i="5" l="1"/>
  <c r="AW209" i="5" s="1"/>
  <c r="CC209" i="5" l="1"/>
  <c r="AZ209" i="5"/>
  <c r="BA209" i="5" l="1"/>
  <c r="BE209" i="5" l="1"/>
  <c r="BL209" i="5" s="1"/>
  <c r="BB209" i="5"/>
  <c r="BC209" i="5" l="1"/>
  <c r="BP209" i="5"/>
  <c r="BR209" i="5" s="1"/>
  <c r="BU209" i="5" l="1"/>
  <c r="BW209" i="5" s="1"/>
  <c r="BZ209" i="5" s="1"/>
  <c r="CK209" i="5" s="1"/>
  <c r="CG209" i="5"/>
  <c r="BQ209" i="5"/>
  <c r="BI209" i="5"/>
  <c r="CD209" i="5"/>
  <c r="BD209" i="5"/>
  <c r="CJ209" i="5" l="1"/>
  <c r="CL209" i="5" s="1"/>
  <c r="BK209" i="5"/>
  <c r="BH210" i="5" s="1"/>
  <c r="CB209" i="5"/>
  <c r="F218" i="8"/>
  <c r="CH209" i="5"/>
  <c r="CF209" i="5" s="1"/>
  <c r="BV209" i="5"/>
  <c r="BO210" i="5" l="1"/>
  <c r="BJ210" i="5"/>
  <c r="BT210" i="5"/>
  <c r="AS210" i="5"/>
  <c r="AM210" i="5"/>
  <c r="G218" i="8"/>
  <c r="AN210" i="5" l="1"/>
  <c r="AP210" i="5" l="1"/>
  <c r="AO210" i="5"/>
  <c r="AT210" i="5" l="1"/>
  <c r="AU210" i="5" l="1"/>
  <c r="AX210" i="5"/>
  <c r="AV210" i="5" l="1"/>
  <c r="AZ210" i="5" s="1"/>
  <c r="BA210" i="5" l="1"/>
  <c r="CC210" i="5"/>
  <c r="AW210" i="5"/>
  <c r="BE210" i="5" l="1"/>
  <c r="BL210" i="5" s="1"/>
  <c r="BB210" i="5"/>
  <c r="BC210" i="5" l="1"/>
  <c r="BP210" i="5"/>
  <c r="BR210" i="5" s="1"/>
  <c r="BI210" i="5" l="1"/>
  <c r="CD210" i="5"/>
  <c r="BU210" i="5"/>
  <c r="CG210" i="5"/>
  <c r="BQ210" i="5"/>
  <c r="BD210" i="5"/>
  <c r="CH210" i="5" l="1"/>
  <c r="CF210" i="5" s="1"/>
  <c r="BV210" i="5"/>
  <c r="CB210" i="5"/>
  <c r="F219" i="8"/>
  <c r="G219" i="8"/>
  <c r="BW210" i="5"/>
  <c r="BZ210" i="5" s="1"/>
  <c r="CK210" i="5" s="1"/>
  <c r="CJ210" i="5"/>
  <c r="BK210" i="5"/>
  <c r="BH211" i="5" s="1"/>
  <c r="BJ211" i="5" l="1"/>
  <c r="BT211" i="5"/>
  <c r="AS211" i="5"/>
  <c r="AM211" i="5"/>
  <c r="CL210" i="5"/>
  <c r="BO211" i="5"/>
  <c r="AN211" i="5" l="1"/>
  <c r="AP211" i="5" l="1"/>
  <c r="AO211" i="5"/>
  <c r="AT211" i="5" l="1"/>
  <c r="AU211" i="5" l="1"/>
  <c r="AX211" i="5"/>
  <c r="AV211" i="5" l="1"/>
  <c r="AW211" i="5" s="1"/>
  <c r="AZ211" i="5" l="1"/>
  <c r="CC211" i="5"/>
  <c r="BA211" i="5" l="1"/>
  <c r="BE211" i="5" l="1"/>
  <c r="BL211" i="5" s="1"/>
  <c r="BB211" i="5"/>
  <c r="BC211" i="5" l="1"/>
  <c r="BP211" i="5"/>
  <c r="BR211" i="5" s="1"/>
  <c r="BI211" i="5" l="1"/>
  <c r="CD211" i="5"/>
  <c r="BU211" i="5"/>
  <c r="BW211" i="5" s="1"/>
  <c r="BZ211" i="5" s="1"/>
  <c r="CK211" i="5" s="1"/>
  <c r="CG211" i="5"/>
  <c r="BQ211" i="5"/>
  <c r="BD211" i="5"/>
  <c r="CH211" i="5" l="1"/>
  <c r="CF211" i="5" s="1"/>
  <c r="BV211" i="5"/>
  <c r="CB211" i="5"/>
  <c r="F220" i="8"/>
  <c r="CJ211" i="5"/>
  <c r="CL211" i="5" s="1"/>
  <c r="BK211" i="5"/>
  <c r="BH212" i="5" s="1"/>
  <c r="BO212" i="5" l="1"/>
  <c r="BT212" i="5"/>
  <c r="BJ212" i="5"/>
  <c r="AS212" i="5"/>
  <c r="AM212" i="5"/>
  <c r="G220" i="8"/>
  <c r="AN212" i="5" l="1"/>
  <c r="AP212" i="5" l="1"/>
  <c r="AO212" i="5"/>
  <c r="AT212" i="5" l="1"/>
  <c r="AX212" i="5" s="1"/>
  <c r="AU212" i="5" l="1"/>
  <c r="AV212" i="5" l="1"/>
  <c r="AW212" i="5" s="1"/>
  <c r="AZ212" i="5" l="1"/>
  <c r="CC212" i="5"/>
  <c r="BA212" i="5" l="1"/>
  <c r="BE212" i="5" l="1"/>
  <c r="BL212" i="5" s="1"/>
  <c r="BB212" i="5"/>
  <c r="BP212" i="5" l="1"/>
  <c r="BC212" i="5"/>
  <c r="CG212" i="5" l="1"/>
  <c r="BQ212" i="5"/>
  <c r="BI212" i="5"/>
  <c r="CD212" i="5"/>
  <c r="BD212" i="5"/>
  <c r="BR212" i="5"/>
  <c r="BU212" i="5" l="1"/>
  <c r="BW212" i="5" s="1"/>
  <c r="BZ212" i="5" s="1"/>
  <c r="CB212" i="5"/>
  <c r="F221" i="8"/>
  <c r="CJ212" i="5"/>
  <c r="BK212" i="5"/>
  <c r="BH213" i="5" s="1"/>
  <c r="BJ213" i="5" l="1"/>
  <c r="AS213" i="5"/>
  <c r="CH212" i="5"/>
  <c r="BV212" i="5"/>
  <c r="CK212" i="5"/>
  <c r="CL212" i="5" s="1"/>
  <c r="CF212" i="5" l="1"/>
  <c r="G221" i="8"/>
  <c r="BO213" i="5" l="1"/>
  <c r="BT213" i="5"/>
  <c r="AM213" i="5"/>
  <c r="AN213" i="5" l="1"/>
  <c r="AP213" i="5" l="1"/>
  <c r="AO213" i="5"/>
  <c r="AT213" i="5" l="1"/>
  <c r="AX213" i="5" s="1"/>
  <c r="AU213" i="5" l="1"/>
  <c r="AV213" i="5" l="1"/>
  <c r="CC213" i="5" l="1"/>
  <c r="AZ213" i="5"/>
  <c r="AW213" i="5"/>
  <c r="BA213" i="5" l="1"/>
  <c r="BE213" i="5" l="1"/>
  <c r="BL213" i="5" s="1"/>
  <c r="BB213" i="5"/>
  <c r="BC213" i="5" l="1"/>
  <c r="BP213" i="5"/>
  <c r="BR213" i="5" s="1"/>
  <c r="BU213" i="5" l="1"/>
  <c r="BW213" i="5" s="1"/>
  <c r="BZ213" i="5" s="1"/>
  <c r="CK213" i="5" s="1"/>
  <c r="CG213" i="5"/>
  <c r="BQ213" i="5"/>
  <c r="BI213" i="5"/>
  <c r="CD213" i="5"/>
  <c r="BD213" i="5"/>
  <c r="CB213" i="5" l="1"/>
  <c r="F222" i="8"/>
  <c r="CJ213" i="5"/>
  <c r="CL213" i="5" s="1"/>
  <c r="BK213" i="5"/>
  <c r="BH214" i="5" s="1"/>
  <c r="CH213" i="5"/>
  <c r="CF213" i="5" s="1"/>
  <c r="BV213" i="5"/>
  <c r="BJ214" i="5" l="1"/>
  <c r="BT214" i="5"/>
  <c r="AS214" i="5"/>
  <c r="AM214" i="5"/>
  <c r="BO214" i="5"/>
  <c r="G222" i="8"/>
  <c r="AN214" i="5" l="1"/>
  <c r="AP214" i="5" l="1"/>
  <c r="AO214" i="5"/>
  <c r="AT214" i="5" l="1"/>
  <c r="AX214" i="5" s="1"/>
  <c r="AU214" i="5" l="1"/>
  <c r="AV214" i="5" l="1"/>
  <c r="CC214" i="5" l="1"/>
  <c r="AZ214" i="5"/>
  <c r="AW214" i="5"/>
  <c r="BA214" i="5" l="1"/>
  <c r="BE214" i="5" l="1"/>
  <c r="BL214" i="5" s="1"/>
  <c r="BB214" i="5"/>
  <c r="BC214" i="5" l="1"/>
  <c r="BP214" i="5"/>
  <c r="BR214" i="5" s="1"/>
  <c r="BU214" i="5" l="1"/>
  <c r="BW214" i="5" s="1"/>
  <c r="BZ214" i="5" s="1"/>
  <c r="CK214" i="5" s="1"/>
  <c r="BI214" i="5"/>
  <c r="CD214" i="5"/>
  <c r="CG214" i="5"/>
  <c r="BQ214" i="5"/>
  <c r="BD214" i="5"/>
  <c r="CB214" i="5" l="1"/>
  <c r="F223" i="8"/>
  <c r="CJ214" i="5"/>
  <c r="CL214" i="5" s="1"/>
  <c r="BK214" i="5"/>
  <c r="BH215" i="5" s="1"/>
  <c r="CH214" i="5"/>
  <c r="CF214" i="5" s="1"/>
  <c r="BV214" i="5"/>
  <c r="BO215" i="5" l="1"/>
  <c r="BJ215" i="5"/>
  <c r="BT215" i="5"/>
  <c r="AS215" i="5"/>
  <c r="AM215" i="5"/>
  <c r="G223" i="8"/>
  <c r="AN215" i="5" l="1"/>
  <c r="AP215" i="5" l="1"/>
  <c r="AO215" i="5"/>
  <c r="AT215" i="5" l="1"/>
  <c r="AX215" i="5" s="1"/>
  <c r="AU215" i="5" l="1"/>
  <c r="AV215" i="5" l="1"/>
  <c r="CC215" i="5" l="1"/>
  <c r="AZ215" i="5"/>
  <c r="AW215" i="5"/>
  <c r="BA215" i="5" l="1"/>
  <c r="BE215" i="5" l="1"/>
  <c r="BL215" i="5" s="1"/>
  <c r="BB215" i="5"/>
  <c r="BC215" i="5" l="1"/>
  <c r="BP215" i="5"/>
  <c r="BR215" i="5" s="1"/>
  <c r="BU215" i="5" l="1"/>
  <c r="BW215" i="5" s="1"/>
  <c r="BZ215" i="5" s="1"/>
  <c r="CK215" i="5" s="1"/>
  <c r="CG215" i="5"/>
  <c r="BQ215" i="5"/>
  <c r="BI215" i="5"/>
  <c r="CD215" i="5"/>
  <c r="BD215" i="5"/>
  <c r="CB215" i="5" l="1"/>
  <c r="F224" i="8"/>
  <c r="CJ215" i="5"/>
  <c r="CL215" i="5" s="1"/>
  <c r="BK215" i="5"/>
  <c r="BH216" i="5" s="1"/>
  <c r="CH215" i="5"/>
  <c r="CF215" i="5" s="1"/>
  <c r="BV215" i="5"/>
  <c r="BO216" i="5" l="1"/>
  <c r="BJ216" i="5"/>
  <c r="BT216" i="5"/>
  <c r="AS216" i="5"/>
  <c r="AM216" i="5"/>
  <c r="G224" i="8"/>
  <c r="AN216" i="5" l="1"/>
  <c r="AP216" i="5" l="1"/>
  <c r="AO216" i="5"/>
  <c r="AT216" i="5" l="1"/>
  <c r="AX216" i="5" s="1"/>
  <c r="AU216" i="5" l="1"/>
  <c r="AV216" i="5" l="1"/>
  <c r="AW216" i="5" s="1"/>
  <c r="CC216" i="5" l="1"/>
  <c r="AZ216" i="5"/>
  <c r="BA216" i="5" l="1"/>
  <c r="BE216" i="5" l="1"/>
  <c r="BL216" i="5" s="1"/>
  <c r="BB216" i="5"/>
  <c r="BP216" i="5" l="1"/>
  <c r="BR216" i="5" s="1"/>
  <c r="BC216" i="5"/>
  <c r="BD216" i="5" s="1"/>
  <c r="BU216" i="5" l="1"/>
  <c r="BW216" i="5" s="1"/>
  <c r="BZ216" i="5" s="1"/>
  <c r="BI216" i="5"/>
  <c r="CD216" i="5"/>
  <c r="CG216" i="5"/>
  <c r="BQ216" i="5"/>
  <c r="CK216" i="5" l="1"/>
  <c r="CB216" i="5"/>
  <c r="F225" i="8"/>
  <c r="CJ216" i="5"/>
  <c r="BK216" i="5"/>
  <c r="BH217" i="5" s="1"/>
  <c r="CH216" i="5"/>
  <c r="CF216" i="5" s="1"/>
  <c r="BV216" i="5"/>
  <c r="CL216" i="5" l="1"/>
  <c r="BO217" i="5"/>
  <c r="BJ217" i="5"/>
  <c r="BT217" i="5"/>
  <c r="AS217" i="5"/>
  <c r="AM217" i="5"/>
  <c r="G225" i="8"/>
  <c r="AN217" i="5" l="1"/>
  <c r="AP217" i="5" l="1"/>
  <c r="AO217" i="5"/>
  <c r="AT217" i="5" l="1"/>
  <c r="AX217" i="5" s="1"/>
  <c r="AU217" i="5" l="1"/>
  <c r="AV217" i="5" l="1"/>
  <c r="CC217" i="5" l="1"/>
  <c r="AZ217" i="5"/>
  <c r="AW217" i="5"/>
  <c r="BA217" i="5" l="1"/>
  <c r="BE217" i="5" l="1"/>
  <c r="BL217" i="5" s="1"/>
  <c r="BB217" i="5"/>
  <c r="BP217" i="5" l="1"/>
  <c r="BR217" i="5" s="1"/>
  <c r="BC217" i="5"/>
  <c r="BD217" i="5" s="1"/>
  <c r="BU217" i="5" l="1"/>
  <c r="BI217" i="5"/>
  <c r="CD217" i="5"/>
  <c r="CG217" i="5"/>
  <c r="BQ217" i="5"/>
  <c r="CB217" i="5" l="1"/>
  <c r="F226" i="8"/>
  <c r="CJ217" i="5"/>
  <c r="BK217" i="5"/>
  <c r="BH218" i="5" s="1"/>
  <c r="CH217" i="5"/>
  <c r="CF217" i="5" s="1"/>
  <c r="BV217" i="5"/>
  <c r="BW217" i="5"/>
  <c r="BZ217" i="5" s="1"/>
  <c r="CK217" i="5" s="1"/>
  <c r="BO218" i="5" l="1"/>
  <c r="BJ218" i="5"/>
  <c r="BT218" i="5"/>
  <c r="AS218" i="5"/>
  <c r="AM218" i="5"/>
  <c r="CL217" i="5"/>
  <c r="G226" i="8"/>
  <c r="AN218" i="5" l="1"/>
  <c r="AP218" i="5" l="1"/>
  <c r="AO218" i="5"/>
  <c r="AT218" i="5" l="1"/>
  <c r="AU218" i="5" l="1"/>
  <c r="AX218" i="5"/>
  <c r="AV218" i="5" l="1"/>
  <c r="CC218" i="5" l="1"/>
  <c r="AW218" i="5"/>
  <c r="AZ218" i="5"/>
  <c r="BA218" i="5" l="1"/>
  <c r="BB218" i="5" s="1"/>
  <c r="BC218" i="5" l="1"/>
  <c r="BI218" i="5" s="1"/>
  <c r="BE218" i="5"/>
  <c r="BL218" i="5" s="1"/>
  <c r="BP218" i="5" l="1"/>
  <c r="BR218" i="5"/>
  <c r="CD218" i="5"/>
  <c r="CJ218" i="5"/>
  <c r="BK218" i="5"/>
  <c r="BH219" i="5" s="1"/>
  <c r="BD218" i="5"/>
  <c r="CB218" i="5" l="1"/>
  <c r="F227" i="8"/>
  <c r="BU218" i="5"/>
  <c r="CG218" i="5"/>
  <c r="BQ218" i="5"/>
  <c r="CH218" i="5" l="1"/>
  <c r="CF218" i="5" s="1"/>
  <c r="BV218" i="5"/>
  <c r="G227" i="8"/>
  <c r="BW218" i="5"/>
  <c r="BZ218" i="5" s="1"/>
  <c r="CK218" i="5" s="1"/>
  <c r="CL218" i="5" s="1"/>
  <c r="BT219" i="5"/>
  <c r="BJ219" i="5"/>
  <c r="AS219" i="5"/>
  <c r="AM219" i="5"/>
  <c r="AN219" i="5" l="1"/>
  <c r="BO219" i="5"/>
  <c r="AP219" i="5" l="1"/>
  <c r="AO219" i="5"/>
  <c r="AT219" i="5" l="1"/>
  <c r="AX219" i="5" s="1"/>
  <c r="AU219" i="5" l="1"/>
  <c r="AV219" i="5" l="1"/>
  <c r="CC219" i="5" l="1"/>
  <c r="AZ219" i="5"/>
  <c r="AW219" i="5"/>
  <c r="BA219" i="5" l="1"/>
  <c r="BE219" i="5" l="1"/>
  <c r="BL219" i="5" s="1"/>
  <c r="BB219" i="5"/>
  <c r="BC219" i="5" l="1"/>
  <c r="BP219" i="5"/>
  <c r="CG219" i="5" l="1"/>
  <c r="BQ219" i="5"/>
  <c r="BR219" i="5"/>
  <c r="BI219" i="5"/>
  <c r="CD219" i="5"/>
  <c r="BD219" i="5"/>
  <c r="CB219" i="5" l="1"/>
  <c r="F228" i="8"/>
  <c r="CJ219" i="5"/>
  <c r="BK219" i="5"/>
  <c r="BH220" i="5" s="1"/>
  <c r="BU219" i="5"/>
  <c r="CH219" i="5" l="1"/>
  <c r="BV219" i="5"/>
  <c r="BW219" i="5"/>
  <c r="BZ219" i="5" s="1"/>
  <c r="CK219" i="5" s="1"/>
  <c r="CL219" i="5" s="1"/>
  <c r="BJ220" i="5"/>
  <c r="AS220" i="5"/>
  <c r="CF219" i="5" l="1"/>
  <c r="G228" i="8"/>
  <c r="BO220" i="5" l="1"/>
  <c r="BT220" i="5"/>
  <c r="AM220" i="5"/>
  <c r="AN220" i="5" l="1"/>
  <c r="AP220" i="5" l="1"/>
  <c r="AO220" i="5"/>
  <c r="AT220" i="5" l="1"/>
  <c r="AX220" i="5" s="1"/>
  <c r="AU220" i="5" l="1"/>
  <c r="AV220" i="5" l="1"/>
  <c r="CC220" i="5" l="1"/>
  <c r="AZ220" i="5"/>
  <c r="AW220" i="5"/>
  <c r="BA220" i="5" l="1"/>
  <c r="BE220" i="5" l="1"/>
  <c r="BL220" i="5" s="1"/>
  <c r="BB220" i="5"/>
  <c r="BC220" i="5" l="1"/>
  <c r="BP220" i="5"/>
  <c r="BR220" i="5" s="1"/>
  <c r="BU220" i="5" l="1"/>
  <c r="BW220" i="5" s="1"/>
  <c r="BZ220" i="5" s="1"/>
  <c r="CK220" i="5" s="1"/>
  <c r="CG220" i="5"/>
  <c r="BQ220" i="5"/>
  <c r="BI220" i="5"/>
  <c r="CD220" i="5"/>
  <c r="BD220" i="5"/>
  <c r="CB220" i="5" l="1"/>
  <c r="F229" i="8"/>
  <c r="CJ220" i="5"/>
  <c r="CL220" i="5" s="1"/>
  <c r="BK220" i="5"/>
  <c r="BH221" i="5" s="1"/>
  <c r="CH220" i="5"/>
  <c r="CF220" i="5" s="1"/>
  <c r="BV220" i="5"/>
  <c r="BO221" i="5" l="1"/>
  <c r="G229" i="8"/>
  <c r="BJ221" i="5"/>
  <c r="BT221" i="5"/>
  <c r="AS221" i="5"/>
  <c r="AM221" i="5"/>
  <c r="AN221" i="5" l="1"/>
  <c r="AP221" i="5" l="1"/>
  <c r="AO221" i="5"/>
  <c r="AT221" i="5" l="1"/>
  <c r="AX221" i="5"/>
  <c r="AU221" i="5" l="1"/>
  <c r="AV221" i="5" l="1"/>
  <c r="AZ221" i="5" l="1"/>
  <c r="CC221" i="5"/>
  <c r="AW221" i="5"/>
  <c r="BA221" i="5" l="1"/>
  <c r="BE221" i="5" l="1"/>
  <c r="BL221" i="5" s="1"/>
  <c r="BB221" i="5"/>
  <c r="BP221" i="5" l="1"/>
  <c r="BR221" i="5" s="1"/>
  <c r="BC221" i="5"/>
  <c r="BU221" i="5" l="1"/>
  <c r="BW221" i="5" s="1"/>
  <c r="BZ221" i="5" s="1"/>
  <c r="CK221" i="5" s="1"/>
  <c r="BI221" i="5"/>
  <c r="CD221" i="5"/>
  <c r="BD221" i="5"/>
  <c r="CG221" i="5"/>
  <c r="BQ221" i="5"/>
  <c r="CJ221" i="5" l="1"/>
  <c r="CL221" i="5" s="1"/>
  <c r="BK221" i="5"/>
  <c r="BH222" i="5" s="1"/>
  <c r="CB221" i="5"/>
  <c r="F230" i="8"/>
  <c r="CH221" i="5"/>
  <c r="CF221" i="5" s="1"/>
  <c r="BV221" i="5"/>
  <c r="BO222" i="5" l="1"/>
  <c r="G230" i="8"/>
  <c r="BJ222" i="5"/>
  <c r="BT222" i="5"/>
  <c r="AS222" i="5"/>
  <c r="AM222" i="5"/>
  <c r="AN222" i="5" l="1"/>
  <c r="AP222" i="5" l="1"/>
  <c r="AO222" i="5"/>
  <c r="AT222" i="5" l="1"/>
  <c r="AX222" i="5"/>
  <c r="AU222" i="5" l="1"/>
  <c r="AV222" i="5" l="1"/>
  <c r="AZ222" i="5" l="1"/>
  <c r="CC222" i="5"/>
  <c r="AW222" i="5"/>
  <c r="BA222" i="5" l="1"/>
  <c r="BB222" i="5" s="1"/>
  <c r="BC222" i="5" l="1"/>
  <c r="BI222" i="5" s="1"/>
  <c r="BE222" i="5"/>
  <c r="BL222" i="5" s="1"/>
  <c r="BP222" i="5" l="1"/>
  <c r="CD222" i="5"/>
  <c r="CJ222" i="5"/>
  <c r="BK222" i="5"/>
  <c r="BH223" i="5" s="1"/>
  <c r="BD222" i="5"/>
  <c r="CG222" i="5" l="1"/>
  <c r="BQ222" i="5"/>
  <c r="CB222" i="5"/>
  <c r="F231" i="8"/>
  <c r="BR222" i="5"/>
  <c r="BU222" i="5" l="1"/>
  <c r="BW222" i="5" s="1"/>
  <c r="BZ222" i="5" s="1"/>
  <c r="BJ223" i="5"/>
  <c r="AS223" i="5"/>
  <c r="CH222" i="5" l="1"/>
  <c r="BV222" i="5"/>
  <c r="CK222" i="5"/>
  <c r="CL222" i="5" s="1"/>
  <c r="CF222" i="5" l="1"/>
  <c r="G231" i="8"/>
  <c r="BO223" i="5" l="1"/>
  <c r="AM223" i="5"/>
  <c r="BT223" i="5"/>
  <c r="AN223" i="5" l="1"/>
  <c r="AP223" i="5" l="1"/>
  <c r="AO223" i="5"/>
  <c r="AT223" i="5" l="1"/>
  <c r="AX223" i="5" s="1"/>
  <c r="AU223" i="5" l="1"/>
  <c r="AV223" i="5" l="1"/>
  <c r="CC223" i="5" l="1"/>
  <c r="AZ223" i="5"/>
  <c r="AW223" i="5"/>
  <c r="BA223" i="5" l="1"/>
  <c r="BB223" i="5" s="1"/>
  <c r="BE223" i="5" l="1"/>
  <c r="BL223" i="5" s="1"/>
  <c r="BC223" i="5"/>
  <c r="BI223" i="5" s="1"/>
  <c r="BD223" i="5" l="1"/>
  <c r="CJ223" i="5"/>
  <c r="BK223" i="5"/>
  <c r="BH224" i="5" s="1"/>
  <c r="BP223" i="5"/>
  <c r="CD223" i="5"/>
  <c r="CG223" i="5" l="1"/>
  <c r="BQ223" i="5"/>
  <c r="CB223" i="5"/>
  <c r="F232" i="8"/>
  <c r="BR223" i="5"/>
  <c r="BJ224" i="5" l="1"/>
  <c r="AS224" i="5"/>
  <c r="BU223" i="5"/>
  <c r="BW223" i="5" s="1"/>
  <c r="BZ223" i="5" s="1"/>
  <c r="CH223" i="5" l="1"/>
  <c r="BV223" i="5"/>
  <c r="CK223" i="5"/>
  <c r="CL223" i="5" s="1"/>
  <c r="CF223" i="5" l="1"/>
  <c r="G232" i="8"/>
  <c r="BO224" i="5" l="1"/>
  <c r="BT224" i="5"/>
  <c r="AM224" i="5"/>
  <c r="AN224" i="5" l="1"/>
  <c r="AO224" i="5" s="1"/>
  <c r="AP224" i="5" l="1"/>
  <c r="AT224" i="5" l="1"/>
  <c r="AX224" i="5" s="1"/>
  <c r="AU224" i="5" l="1"/>
  <c r="AV224" i="5" l="1"/>
  <c r="AW224" i="5" s="1"/>
  <c r="AZ224" i="5" l="1"/>
  <c r="CC224" i="5"/>
  <c r="BA224" i="5" l="1"/>
  <c r="BE224" i="5" l="1"/>
  <c r="BL224" i="5" s="1"/>
  <c r="BB224" i="5"/>
  <c r="BC224" i="5" l="1"/>
  <c r="BP224" i="5"/>
  <c r="BR224" i="5" s="1"/>
  <c r="BU224" i="5" l="1"/>
  <c r="BW224" i="5" s="1"/>
  <c r="BZ224" i="5" s="1"/>
  <c r="CK224" i="5" s="1"/>
  <c r="BI224" i="5"/>
  <c r="CD224" i="5"/>
  <c r="CG224" i="5"/>
  <c r="BQ224" i="5"/>
  <c r="BD224" i="5"/>
  <c r="CB224" i="5" l="1"/>
  <c r="F233" i="8"/>
  <c r="CJ224" i="5"/>
  <c r="CL224" i="5" s="1"/>
  <c r="BK224" i="5"/>
  <c r="BH225" i="5" s="1"/>
  <c r="CH224" i="5"/>
  <c r="CF224" i="5" s="1"/>
  <c r="BV224" i="5"/>
  <c r="BO225" i="5" l="1"/>
  <c r="BJ225" i="5"/>
  <c r="BT225" i="5"/>
  <c r="AS225" i="5"/>
  <c r="AM225" i="5"/>
  <c r="G233" i="8"/>
  <c r="AN225" i="5" l="1"/>
  <c r="AO225" i="5" s="1"/>
  <c r="AP225" i="5" l="1"/>
  <c r="AT225" i="5" l="1"/>
  <c r="AX225" i="5"/>
  <c r="AU225" i="5" l="1"/>
  <c r="AV225" i="5" l="1"/>
  <c r="CC225" i="5" l="1"/>
  <c r="AZ225" i="5"/>
  <c r="AW225" i="5"/>
  <c r="BA225" i="5" l="1"/>
  <c r="BE225" i="5" l="1"/>
  <c r="BL225" i="5" s="1"/>
  <c r="BB225" i="5"/>
  <c r="BC225" i="5" l="1"/>
  <c r="BP225" i="5"/>
  <c r="BR225" i="5" s="1"/>
  <c r="BU225" i="5" l="1"/>
  <c r="CG225" i="5"/>
  <c r="BQ225" i="5"/>
  <c r="BI225" i="5"/>
  <c r="CD225" i="5"/>
  <c r="BD225" i="5"/>
  <c r="CJ225" i="5" l="1"/>
  <c r="BK225" i="5"/>
  <c r="BH226" i="5" s="1"/>
  <c r="CB225" i="5"/>
  <c r="F234" i="8"/>
  <c r="CH225" i="5"/>
  <c r="CF225" i="5" s="1"/>
  <c r="BV225" i="5"/>
  <c r="BW225" i="5"/>
  <c r="BZ225" i="5" s="1"/>
  <c r="CK225" i="5" s="1"/>
  <c r="G234" i="8" l="1"/>
  <c r="BO226" i="5"/>
  <c r="BJ226" i="5"/>
  <c r="BT226" i="5"/>
  <c r="AS226" i="5"/>
  <c r="AM226" i="5"/>
  <c r="CL225" i="5"/>
  <c r="AN226" i="5" l="1"/>
  <c r="AO226" i="5" s="1"/>
  <c r="AP226" i="5" l="1"/>
  <c r="AT226" i="5" l="1"/>
  <c r="AU226" i="5" l="1"/>
  <c r="AX226" i="5"/>
  <c r="AV226" i="5" l="1"/>
  <c r="AZ226" i="5" s="1"/>
  <c r="BA226" i="5" l="1"/>
  <c r="CC226" i="5"/>
  <c r="AW226" i="5"/>
  <c r="BE226" i="5" l="1"/>
  <c r="BL226" i="5" s="1"/>
  <c r="BB226" i="5"/>
  <c r="BP226" i="5" l="1"/>
  <c r="BR226" i="5" s="1"/>
  <c r="BC226" i="5"/>
  <c r="BD226" i="5" s="1"/>
  <c r="BU226" i="5" l="1"/>
  <c r="BW226" i="5" s="1"/>
  <c r="BZ226" i="5" s="1"/>
  <c r="BI226" i="5"/>
  <c r="CD226" i="5"/>
  <c r="CG226" i="5"/>
  <c r="BQ226" i="5"/>
  <c r="CK226" i="5" l="1"/>
  <c r="CB226" i="5"/>
  <c r="F235" i="8"/>
  <c r="CJ226" i="5"/>
  <c r="CL226" i="5" s="1"/>
  <c r="BK226" i="5"/>
  <c r="BH227" i="5" s="1"/>
  <c r="CH226" i="5"/>
  <c r="CF226" i="5" s="1"/>
  <c r="BV226" i="5"/>
  <c r="BO227" i="5" l="1"/>
  <c r="BT227" i="5"/>
  <c r="BJ227" i="5"/>
  <c r="AS227" i="5"/>
  <c r="AM227" i="5"/>
  <c r="G235" i="8"/>
  <c r="AN227" i="5" l="1"/>
  <c r="AP227" i="5" l="1"/>
  <c r="AO227" i="5"/>
  <c r="AT227" i="5" l="1"/>
  <c r="AX227" i="5" s="1"/>
  <c r="AU227" i="5" l="1"/>
  <c r="AV227" i="5" l="1"/>
  <c r="CC227" i="5" l="1"/>
  <c r="AZ227" i="5"/>
  <c r="AW227" i="5"/>
  <c r="BA227" i="5" l="1"/>
  <c r="BE227" i="5" l="1"/>
  <c r="BL227" i="5" s="1"/>
  <c r="BB227" i="5"/>
  <c r="BP227" i="5" l="1"/>
  <c r="BC227" i="5"/>
  <c r="CG227" i="5" l="1"/>
  <c r="BQ227" i="5"/>
  <c r="BI227" i="5"/>
  <c r="CD227" i="5"/>
  <c r="BD227" i="5"/>
  <c r="BR227" i="5"/>
  <c r="CB227" i="5" l="1"/>
  <c r="F236" i="8"/>
  <c r="CJ227" i="5"/>
  <c r="BK227" i="5"/>
  <c r="BH228" i="5" s="1"/>
  <c r="BU227" i="5"/>
  <c r="BW227" i="5" s="1"/>
  <c r="BZ227" i="5" s="1"/>
  <c r="CH227" i="5" l="1"/>
  <c r="BV227" i="5"/>
  <c r="CK227" i="5"/>
  <c r="CL227" i="5" s="1"/>
  <c r="BJ228" i="5"/>
  <c r="AS228" i="5"/>
  <c r="CF227" i="5" l="1"/>
  <c r="G236" i="8"/>
  <c r="BO228" i="5" l="1"/>
  <c r="AM228" i="5"/>
  <c r="BT228" i="5"/>
  <c r="AN228" i="5" l="1"/>
  <c r="AP228" i="5" l="1"/>
  <c r="AO228" i="5"/>
  <c r="AT228" i="5" l="1"/>
  <c r="AX228" i="5" s="1"/>
  <c r="AU228" i="5" l="1"/>
  <c r="AV228" i="5" l="1"/>
  <c r="CC228" i="5" l="1"/>
  <c r="AZ228" i="5"/>
  <c r="AW228" i="5"/>
  <c r="BA228" i="5" l="1"/>
  <c r="BE228" i="5" l="1"/>
  <c r="BL228" i="5" s="1"/>
  <c r="BB228" i="5"/>
  <c r="BC228" i="5" l="1"/>
  <c r="BP228" i="5"/>
  <c r="CG228" i="5" l="1"/>
  <c r="BQ228" i="5"/>
  <c r="BR228" i="5"/>
  <c r="BI228" i="5"/>
  <c r="CD228" i="5"/>
  <c r="BD228" i="5"/>
  <c r="BU228" i="5" l="1"/>
  <c r="BW228" i="5" s="1"/>
  <c r="BZ228" i="5" s="1"/>
  <c r="CB228" i="5"/>
  <c r="F237" i="8"/>
  <c r="CJ228" i="5"/>
  <c r="BK228" i="5"/>
  <c r="BH229" i="5" s="1"/>
  <c r="BJ229" i="5" l="1"/>
  <c r="AS229" i="5"/>
  <c r="CH228" i="5"/>
  <c r="BV228" i="5"/>
  <c r="CK228" i="5"/>
  <c r="CL228" i="5" s="1"/>
  <c r="CF228" i="5" l="1"/>
  <c r="G237" i="8"/>
  <c r="BO229" i="5" l="1"/>
  <c r="BT229" i="5"/>
  <c r="AM229" i="5"/>
  <c r="AN229" i="5" l="1"/>
  <c r="AO229" i="5" s="1"/>
  <c r="AP229" i="5" l="1"/>
  <c r="AT229" i="5" l="1"/>
  <c r="AX229" i="5" s="1"/>
  <c r="AU229" i="5" l="1"/>
  <c r="AV229" i="5" l="1"/>
  <c r="AZ229" i="5" l="1"/>
  <c r="CC229" i="5"/>
  <c r="AW229" i="5"/>
  <c r="BA229" i="5" l="1"/>
  <c r="BE229" i="5" l="1"/>
  <c r="BL229" i="5" s="1"/>
  <c r="BB229" i="5"/>
  <c r="BC229" i="5" l="1"/>
  <c r="BP229" i="5"/>
  <c r="BR229" i="5" s="1"/>
  <c r="BU229" i="5" l="1"/>
  <c r="BW229" i="5" s="1"/>
  <c r="BZ229" i="5" s="1"/>
  <c r="CK229" i="5" s="1"/>
  <c r="BI229" i="5"/>
  <c r="CD229" i="5"/>
  <c r="CG229" i="5"/>
  <c r="BQ229" i="5"/>
  <c r="BD229" i="5"/>
  <c r="CJ229" i="5" l="1"/>
  <c r="CL229" i="5" s="1"/>
  <c r="BK229" i="5"/>
  <c r="BH230" i="5" s="1"/>
  <c r="CB229" i="5"/>
  <c r="F238" i="8"/>
  <c r="CH229" i="5"/>
  <c r="CF229" i="5" s="1"/>
  <c r="BV229" i="5"/>
  <c r="BO230" i="5" l="1"/>
  <c r="BJ230" i="5"/>
  <c r="BT230" i="5"/>
  <c r="AS230" i="5"/>
  <c r="AM230" i="5"/>
  <c r="G238" i="8"/>
  <c r="AN230" i="5" l="1"/>
  <c r="AP230" i="5" l="1"/>
  <c r="AO230" i="5"/>
  <c r="AT230" i="5" l="1"/>
  <c r="AX230" i="5" s="1"/>
  <c r="AU230" i="5" l="1"/>
  <c r="AV230" i="5" l="1"/>
  <c r="CC230" i="5" l="1"/>
  <c r="AZ230" i="5"/>
  <c r="AW230" i="5"/>
  <c r="BA230" i="5" l="1"/>
  <c r="BE230" i="5" l="1"/>
  <c r="BL230" i="5" s="1"/>
  <c r="BB230" i="5"/>
  <c r="BC230" i="5" l="1"/>
  <c r="BP230" i="5"/>
  <c r="CG230" i="5" l="1"/>
  <c r="BQ230" i="5"/>
  <c r="BI230" i="5"/>
  <c r="CD230" i="5"/>
  <c r="BR230" i="5"/>
  <c r="BD230" i="5"/>
  <c r="CJ230" i="5" l="1"/>
  <c r="BK230" i="5"/>
  <c r="BH231" i="5" s="1"/>
  <c r="BU230" i="5"/>
  <c r="CB230" i="5"/>
  <c r="F239" i="8"/>
  <c r="CH230" i="5" l="1"/>
  <c r="BV230" i="5"/>
  <c r="BJ231" i="5"/>
  <c r="AS231" i="5"/>
  <c r="BW230" i="5"/>
  <c r="BZ230" i="5" s="1"/>
  <c r="CK230" i="5" s="1"/>
  <c r="CL230" i="5" s="1"/>
  <c r="CF230" i="5" l="1"/>
  <c r="G239" i="8"/>
  <c r="BO231" i="5" l="1"/>
  <c r="AM231" i="5"/>
  <c r="BT231" i="5"/>
  <c r="AN231" i="5" l="1"/>
  <c r="AP231" i="5" l="1"/>
  <c r="AO231" i="5"/>
  <c r="AT231" i="5" l="1"/>
  <c r="AX231" i="5" s="1"/>
  <c r="AU231" i="5" l="1"/>
  <c r="AV231" i="5" l="1"/>
  <c r="AZ231" i="5" l="1"/>
  <c r="CC231" i="5"/>
  <c r="AW231" i="5"/>
  <c r="BA231" i="5" l="1"/>
  <c r="BE231" i="5" l="1"/>
  <c r="BL231" i="5" s="1"/>
  <c r="BB231" i="5"/>
  <c r="BC231" i="5" l="1"/>
  <c r="BP231" i="5"/>
  <c r="CG231" i="5" l="1"/>
  <c r="BQ231" i="5"/>
  <c r="BR231" i="5"/>
  <c r="BI231" i="5"/>
  <c r="CD231" i="5"/>
  <c r="BD231" i="5"/>
  <c r="CB231" i="5" l="1"/>
  <c r="F240" i="8"/>
  <c r="CJ231" i="5"/>
  <c r="BK231" i="5"/>
  <c r="BH232" i="5" s="1"/>
  <c r="BU231" i="5"/>
  <c r="CH231" i="5" l="1"/>
  <c r="BV231" i="5"/>
  <c r="BW231" i="5"/>
  <c r="BZ231" i="5" s="1"/>
  <c r="CK231" i="5" s="1"/>
  <c r="CL231" i="5" s="1"/>
  <c r="BJ232" i="5"/>
  <c r="AS232" i="5"/>
  <c r="CF231" i="5" l="1"/>
  <c r="G240" i="8"/>
  <c r="BO232" i="5" l="1"/>
  <c r="BT232" i="5"/>
  <c r="AM232" i="5"/>
  <c r="AN232" i="5" l="1"/>
  <c r="AP232" i="5" l="1"/>
  <c r="AO232" i="5"/>
  <c r="AT232" i="5" l="1"/>
  <c r="AX232" i="5" s="1"/>
  <c r="AU232" i="5" l="1"/>
  <c r="AV232" i="5" l="1"/>
  <c r="AW232" i="5" s="1"/>
  <c r="AZ232" i="5" l="1"/>
  <c r="CC232" i="5"/>
  <c r="BA232" i="5" l="1"/>
  <c r="BE232" i="5" l="1"/>
  <c r="BL232" i="5" s="1"/>
  <c r="BB232" i="5"/>
  <c r="BC232" i="5" l="1"/>
  <c r="BP232" i="5"/>
  <c r="BR232" i="5" s="1"/>
  <c r="BU232" i="5" l="1"/>
  <c r="BW232" i="5" s="1"/>
  <c r="BZ232" i="5" s="1"/>
  <c r="BI232" i="5"/>
  <c r="CD232" i="5"/>
  <c r="CG232" i="5"/>
  <c r="BQ232" i="5"/>
  <c r="BD232" i="5"/>
  <c r="CK232" i="5" l="1"/>
  <c r="CJ232" i="5"/>
  <c r="CL232" i="5" s="1"/>
  <c r="BK232" i="5"/>
  <c r="BH233" i="5" s="1"/>
  <c r="CB232" i="5"/>
  <c r="F241" i="8"/>
  <c r="CH232" i="5"/>
  <c r="CF232" i="5" s="1"/>
  <c r="BV232" i="5"/>
  <c r="BJ233" i="5" l="1"/>
  <c r="BT233" i="5"/>
  <c r="AS233" i="5"/>
  <c r="AM233" i="5"/>
  <c r="BO233" i="5"/>
  <c r="G241" i="8"/>
  <c r="AN233" i="5" l="1"/>
  <c r="AO233" i="5" s="1"/>
  <c r="AP233" i="5" l="1"/>
  <c r="AT233" i="5" l="1"/>
  <c r="AX233" i="5" s="1"/>
  <c r="AU233" i="5" l="1"/>
  <c r="AV233" i="5" l="1"/>
  <c r="CC233" i="5" l="1"/>
  <c r="AZ233" i="5"/>
  <c r="AW233" i="5"/>
  <c r="BA233" i="5" l="1"/>
  <c r="BE233" i="5" l="1"/>
  <c r="BL233" i="5" s="1"/>
  <c r="BB233" i="5"/>
  <c r="BP233" i="5" l="1"/>
  <c r="BR233" i="5" s="1"/>
  <c r="BC233" i="5"/>
  <c r="BI233" i="5" l="1"/>
  <c r="CD233" i="5"/>
  <c r="BD233" i="5"/>
  <c r="BU233" i="5"/>
  <c r="BW233" i="5" s="1"/>
  <c r="BZ233" i="5" s="1"/>
  <c r="CG233" i="5"/>
  <c r="BQ233" i="5"/>
  <c r="CH233" i="5" l="1"/>
  <c r="CF233" i="5" s="1"/>
  <c r="BV233" i="5"/>
  <c r="CK233" i="5"/>
  <c r="G242" i="8"/>
  <c r="CB233" i="5"/>
  <c r="F242" i="8"/>
  <c r="CJ233" i="5"/>
  <c r="CL233" i="5" s="1"/>
  <c r="BK233" i="5"/>
  <c r="BH234" i="5" s="1"/>
  <c r="BJ234" i="5" l="1"/>
  <c r="BT234" i="5"/>
  <c r="AS234" i="5"/>
  <c r="AM234" i="5"/>
  <c r="BO234" i="5"/>
  <c r="AN234" i="5" l="1"/>
  <c r="AP234" i="5" l="1"/>
  <c r="AO234" i="5"/>
  <c r="AT234" i="5" l="1"/>
  <c r="AU234" i="5" l="1"/>
  <c r="AX234" i="5"/>
  <c r="AV234" i="5" l="1"/>
  <c r="AZ234" i="5" s="1"/>
  <c r="BA234" i="5" l="1"/>
  <c r="CC234" i="5"/>
  <c r="AW234" i="5"/>
  <c r="BE234" i="5" l="1"/>
  <c r="BL234" i="5" s="1"/>
  <c r="BB234" i="5"/>
  <c r="BP234" i="5" l="1"/>
  <c r="BR234" i="5" s="1"/>
  <c r="BC234" i="5"/>
  <c r="BD234" i="5" s="1"/>
  <c r="BU234" i="5" l="1"/>
  <c r="BW234" i="5" s="1"/>
  <c r="BZ234" i="5" s="1"/>
  <c r="CK234" i="5" s="1"/>
  <c r="BI234" i="5"/>
  <c r="CD234" i="5"/>
  <c r="CG234" i="5"/>
  <c r="BQ234" i="5"/>
  <c r="CB234" i="5" l="1"/>
  <c r="F243" i="8"/>
  <c r="CJ234" i="5"/>
  <c r="CL234" i="5" s="1"/>
  <c r="BK234" i="5"/>
  <c r="BH235" i="5" s="1"/>
  <c r="CH234" i="5"/>
  <c r="CF234" i="5" s="1"/>
  <c r="BV234" i="5"/>
  <c r="BO235" i="5" l="1"/>
  <c r="G243" i="8"/>
  <c r="BT235" i="5"/>
  <c r="BJ235" i="5"/>
  <c r="AS235" i="5"/>
  <c r="AM235" i="5"/>
  <c r="AN235" i="5" l="1"/>
  <c r="AP235" i="5" l="1"/>
  <c r="AO235" i="5"/>
  <c r="AT235" i="5" l="1"/>
  <c r="AX235" i="5" s="1"/>
  <c r="AU235" i="5" l="1"/>
  <c r="AV235" i="5" l="1"/>
  <c r="CC235" i="5" l="1"/>
  <c r="AZ235" i="5"/>
  <c r="AW235" i="5"/>
  <c r="BA235" i="5" l="1"/>
  <c r="BE235" i="5" l="1"/>
  <c r="BL235" i="5" s="1"/>
  <c r="BB235" i="5"/>
  <c r="BC235" i="5" l="1"/>
  <c r="BP235" i="5"/>
  <c r="BI235" i="5" l="1"/>
  <c r="CD235" i="5"/>
  <c r="CG235" i="5"/>
  <c r="BQ235" i="5"/>
  <c r="BR235" i="5"/>
  <c r="BD235" i="5"/>
  <c r="BU235" i="5" l="1"/>
  <c r="BW235" i="5" s="1"/>
  <c r="BZ235" i="5" s="1"/>
  <c r="CB235" i="5"/>
  <c r="F244" i="8"/>
  <c r="CJ235" i="5"/>
  <c r="BK235" i="5"/>
  <c r="BH236" i="5" s="1"/>
  <c r="BJ236" i="5" l="1"/>
  <c r="AS236" i="5"/>
  <c r="CH235" i="5"/>
  <c r="BV235" i="5"/>
  <c r="CK235" i="5"/>
  <c r="CL235" i="5" s="1"/>
  <c r="CF235" i="5" l="1"/>
  <c r="G244" i="8"/>
  <c r="BO236" i="5" l="1"/>
  <c r="AM236" i="5"/>
  <c r="BT236" i="5"/>
  <c r="AN236" i="5" l="1"/>
  <c r="AO236" i="5" s="1"/>
  <c r="AP236" i="5" l="1"/>
  <c r="AT236" i="5" l="1"/>
  <c r="AX236" i="5" s="1"/>
  <c r="AU236" i="5" l="1"/>
  <c r="AV236" i="5" l="1"/>
  <c r="CC236" i="5" l="1"/>
  <c r="AZ236" i="5"/>
  <c r="AW236" i="5"/>
  <c r="BA236" i="5" l="1"/>
  <c r="BE236" i="5" l="1"/>
  <c r="BL236" i="5" s="1"/>
  <c r="BB236" i="5"/>
  <c r="BC236" i="5" l="1"/>
  <c r="BP236" i="5"/>
  <c r="CG236" i="5" l="1"/>
  <c r="BQ236" i="5"/>
  <c r="BR236" i="5"/>
  <c r="BI236" i="5"/>
  <c r="CD236" i="5"/>
  <c r="BD236" i="5"/>
  <c r="CJ236" i="5" l="1"/>
  <c r="BK236" i="5"/>
  <c r="BH237" i="5" s="1"/>
  <c r="CB236" i="5"/>
  <c r="F245" i="8"/>
  <c r="BU236" i="5"/>
  <c r="BW236" i="5" s="1"/>
  <c r="BZ236" i="5" s="1"/>
  <c r="CH236" i="5" l="1"/>
  <c r="BV236" i="5"/>
  <c r="CK236" i="5"/>
  <c r="CL236" i="5" s="1"/>
  <c r="BJ237" i="5"/>
  <c r="AS237" i="5"/>
  <c r="CF236" i="5" l="1"/>
  <c r="G245" i="8"/>
  <c r="BO237" i="5" l="1"/>
  <c r="AM237" i="5"/>
  <c r="BT237" i="5"/>
  <c r="AN237" i="5" l="1"/>
  <c r="AP237" i="5" l="1"/>
  <c r="AO237" i="5"/>
  <c r="AT237" i="5" l="1"/>
  <c r="AX237" i="5" s="1"/>
  <c r="AU237" i="5" l="1"/>
  <c r="AV237" i="5" l="1"/>
  <c r="AW237" i="5" s="1"/>
  <c r="AZ237" i="5" l="1"/>
  <c r="CC237" i="5"/>
  <c r="BA237" i="5" l="1"/>
  <c r="BE237" i="5" l="1"/>
  <c r="BL237" i="5" s="1"/>
  <c r="BB237" i="5"/>
  <c r="BC237" i="5" l="1"/>
  <c r="BP237" i="5"/>
  <c r="BR237" i="5" s="1"/>
  <c r="BU237" i="5" l="1"/>
  <c r="BW237" i="5" s="1"/>
  <c r="BZ237" i="5" s="1"/>
  <c r="CK237" i="5" s="1"/>
  <c r="CG237" i="5"/>
  <c r="BQ237" i="5"/>
  <c r="BI237" i="5"/>
  <c r="CD237" i="5"/>
  <c r="BD237" i="5"/>
  <c r="CB237" i="5" l="1"/>
  <c r="F246" i="8"/>
  <c r="CJ237" i="5"/>
  <c r="CL237" i="5" s="1"/>
  <c r="BK237" i="5"/>
  <c r="BH238" i="5" s="1"/>
  <c r="CH237" i="5"/>
  <c r="CF237" i="5" s="1"/>
  <c r="BV237" i="5"/>
  <c r="BO238" i="5" l="1"/>
  <c r="G246" i="8"/>
  <c r="BJ238" i="5"/>
  <c r="BT238" i="5"/>
  <c r="AS238" i="5"/>
  <c r="AM238" i="5"/>
  <c r="AN238" i="5" l="1"/>
  <c r="AP238" i="5" l="1"/>
  <c r="AO238" i="5"/>
  <c r="AT238" i="5" l="1"/>
  <c r="AX238" i="5" s="1"/>
  <c r="AU238" i="5" l="1"/>
  <c r="AV238" i="5" l="1"/>
  <c r="AZ238" i="5" l="1"/>
  <c r="CC238" i="5"/>
  <c r="AW238" i="5"/>
  <c r="BA238" i="5" l="1"/>
  <c r="BE238" i="5" l="1"/>
  <c r="BL238" i="5" s="1"/>
  <c r="BB238" i="5"/>
  <c r="BC238" i="5" l="1"/>
  <c r="BP238" i="5"/>
  <c r="BR238" i="5" s="1"/>
  <c r="BU238" i="5" l="1"/>
  <c r="CG238" i="5"/>
  <c r="BQ238" i="5"/>
  <c r="BI238" i="5"/>
  <c r="CD238" i="5"/>
  <c r="BD238" i="5"/>
  <c r="CJ238" i="5" l="1"/>
  <c r="BK238" i="5"/>
  <c r="BH239" i="5" s="1"/>
  <c r="CB238" i="5"/>
  <c r="F247" i="8"/>
  <c r="CH238" i="5"/>
  <c r="CF238" i="5" s="1"/>
  <c r="BV238" i="5"/>
  <c r="BW238" i="5"/>
  <c r="BZ238" i="5" s="1"/>
  <c r="CK238" i="5" s="1"/>
  <c r="BJ239" i="5" l="1"/>
  <c r="BT239" i="5"/>
  <c r="AS239" i="5"/>
  <c r="AM239" i="5"/>
  <c r="BO239" i="5"/>
  <c r="G247" i="8"/>
  <c r="CL238" i="5"/>
  <c r="AN239" i="5" l="1"/>
  <c r="AP239" i="5" l="1"/>
  <c r="AO239" i="5"/>
  <c r="AT239" i="5" l="1"/>
  <c r="AU239" i="5" l="1"/>
  <c r="AX239" i="5"/>
  <c r="AV239" i="5" l="1"/>
  <c r="AZ239" i="5" s="1"/>
  <c r="BA239" i="5" l="1"/>
  <c r="CC239" i="5"/>
  <c r="AW239" i="5"/>
  <c r="BE239" i="5" l="1"/>
  <c r="BL239" i="5" s="1"/>
  <c r="BB239" i="5"/>
  <c r="BC239" i="5" l="1"/>
  <c r="BP239" i="5"/>
  <c r="BR239" i="5" s="1"/>
  <c r="BU239" i="5" l="1"/>
  <c r="BW239" i="5" s="1"/>
  <c r="BZ239" i="5" s="1"/>
  <c r="CK239" i="5" s="1"/>
  <c r="CG239" i="5"/>
  <c r="BQ239" i="5"/>
  <c r="BI239" i="5"/>
  <c r="CD239" i="5"/>
  <c r="BD239" i="5"/>
  <c r="CB239" i="5" l="1"/>
  <c r="F248" i="8"/>
  <c r="CJ239" i="5"/>
  <c r="CL239" i="5" s="1"/>
  <c r="BK239" i="5"/>
  <c r="BH240" i="5" s="1"/>
  <c r="CH239" i="5"/>
  <c r="CF239" i="5" s="1"/>
  <c r="BV239" i="5"/>
  <c r="G248" i="8" l="1"/>
  <c r="BO240" i="5"/>
  <c r="BT240" i="5"/>
  <c r="BJ240" i="5"/>
  <c r="AS240" i="5"/>
  <c r="AM240" i="5"/>
  <c r="AN240" i="5" l="1"/>
  <c r="AP240" i="5" l="1"/>
  <c r="AO240" i="5"/>
  <c r="AT240" i="5" l="1"/>
  <c r="AX240" i="5" s="1"/>
  <c r="AU240" i="5" l="1"/>
  <c r="AV240" i="5" l="1"/>
  <c r="AW240" i="5" s="1"/>
  <c r="CC240" i="5" l="1"/>
  <c r="AZ240" i="5"/>
  <c r="BA240" i="5" l="1"/>
  <c r="BB240" i="5" s="1"/>
  <c r="BC240" i="5" l="1"/>
  <c r="BI240" i="5" s="1"/>
  <c r="BE240" i="5"/>
  <c r="BL240" i="5" s="1"/>
  <c r="CJ240" i="5" l="1"/>
  <c r="BK240" i="5"/>
  <c r="BH241" i="5" s="1"/>
  <c r="BP240" i="5"/>
  <c r="BR240" i="5" s="1"/>
  <c r="CD240" i="5"/>
  <c r="BD240" i="5"/>
  <c r="BU240" i="5" l="1"/>
  <c r="BW240" i="5" s="1"/>
  <c r="BZ240" i="5" s="1"/>
  <c r="CK240" i="5" s="1"/>
  <c r="CL240" i="5" s="1"/>
  <c r="CB240" i="5"/>
  <c r="F249" i="8"/>
  <c r="CG240" i="5"/>
  <c r="BQ240" i="5"/>
  <c r="BJ241" i="5" l="1"/>
  <c r="BT241" i="5"/>
  <c r="AS241" i="5"/>
  <c r="CH240" i="5"/>
  <c r="CF240" i="5" s="1"/>
  <c r="BV240" i="5"/>
  <c r="BO241" i="5" l="1"/>
  <c r="AM241" i="5"/>
  <c r="G249" i="8"/>
  <c r="AN241" i="5" l="1"/>
  <c r="AP241" i="5" l="1"/>
  <c r="AO241" i="5"/>
  <c r="AT241" i="5" l="1"/>
  <c r="AX241" i="5" s="1"/>
  <c r="AU241" i="5" l="1"/>
  <c r="AV241" i="5" l="1"/>
  <c r="CC241" i="5" l="1"/>
  <c r="AZ241" i="5"/>
  <c r="AW241" i="5"/>
  <c r="BA241" i="5" l="1"/>
  <c r="BE241" i="5" l="1"/>
  <c r="BL241" i="5" s="1"/>
  <c r="BB241" i="5"/>
  <c r="BP241" i="5" l="1"/>
  <c r="BR241" i="5" s="1"/>
  <c r="BC241" i="5"/>
  <c r="BI241" i="5" l="1"/>
  <c r="CD241" i="5"/>
  <c r="BU241" i="5"/>
  <c r="BD241" i="5"/>
  <c r="CG241" i="5"/>
  <c r="BQ241" i="5"/>
  <c r="CH241" i="5" l="1"/>
  <c r="CF241" i="5" s="1"/>
  <c r="BV241" i="5"/>
  <c r="BW241" i="5"/>
  <c r="BZ241" i="5" s="1"/>
  <c r="CK241" i="5" s="1"/>
  <c r="G250" i="8"/>
  <c r="CB241" i="5"/>
  <c r="F250" i="8"/>
  <c r="CJ241" i="5"/>
  <c r="BK241" i="5"/>
  <c r="BH242" i="5" s="1"/>
  <c r="CL241" i="5" l="1"/>
  <c r="BJ242" i="5"/>
  <c r="BT242" i="5"/>
  <c r="AS242" i="5"/>
  <c r="AM242" i="5"/>
  <c r="BO242" i="5"/>
  <c r="AN242" i="5" l="1"/>
  <c r="AP242" i="5" l="1"/>
  <c r="AO242" i="5"/>
  <c r="AT242" i="5" l="1"/>
  <c r="AU242" i="5" l="1"/>
  <c r="AX242" i="5"/>
  <c r="AV242" i="5" l="1"/>
  <c r="AW242" i="5" s="1"/>
  <c r="AZ242" i="5" l="1"/>
  <c r="CC242" i="5"/>
  <c r="BA242" i="5" l="1"/>
  <c r="BE242" i="5" l="1"/>
  <c r="BL242" i="5" s="1"/>
  <c r="BB242" i="5"/>
  <c r="BC242" i="5" l="1"/>
  <c r="BP242" i="5"/>
  <c r="BR242" i="5" s="1"/>
  <c r="BU242" i="5" l="1"/>
  <c r="BW242" i="5"/>
  <c r="BZ242" i="5" s="1"/>
  <c r="CG242" i="5"/>
  <c r="BQ242" i="5"/>
  <c r="BI242" i="5"/>
  <c r="CD242" i="5"/>
  <c r="CK242" i="5"/>
  <c r="BD242" i="5"/>
  <c r="CB242" i="5" l="1"/>
  <c r="F251" i="8"/>
  <c r="CJ242" i="5"/>
  <c r="CL242" i="5" s="1"/>
  <c r="BK242" i="5"/>
  <c r="BH243" i="5" s="1"/>
  <c r="CH242" i="5"/>
  <c r="CF242" i="5" s="1"/>
  <c r="BV242" i="5"/>
  <c r="BO243" i="5" l="1"/>
  <c r="G251" i="8"/>
  <c r="BT243" i="5"/>
  <c r="BJ243" i="5"/>
  <c r="AS243" i="5"/>
  <c r="AM243" i="5"/>
  <c r="AN243" i="5" l="1"/>
  <c r="AP243" i="5" l="1"/>
  <c r="AO243" i="5"/>
  <c r="AT243" i="5" l="1"/>
  <c r="AX243" i="5" s="1"/>
  <c r="AU243" i="5" l="1"/>
  <c r="AV243" i="5" l="1"/>
  <c r="AZ243" i="5" l="1"/>
  <c r="CC243" i="5"/>
  <c r="AW243" i="5"/>
  <c r="BA243" i="5" l="1"/>
  <c r="BE243" i="5" l="1"/>
  <c r="BL243" i="5" s="1"/>
  <c r="BB243" i="5"/>
  <c r="BC243" i="5" l="1"/>
  <c r="BP243" i="5"/>
  <c r="CG243" i="5" l="1"/>
  <c r="BQ243" i="5"/>
  <c r="BR243" i="5"/>
  <c r="BI243" i="5"/>
  <c r="CD243" i="5"/>
  <c r="BD243" i="5"/>
  <c r="CJ243" i="5" l="1"/>
  <c r="BK243" i="5"/>
  <c r="BH244" i="5" s="1"/>
  <c r="CB243" i="5"/>
  <c r="F252" i="8"/>
  <c r="BU243" i="5"/>
  <c r="BW243" i="5" s="1"/>
  <c r="BZ243" i="5" s="1"/>
  <c r="CH243" i="5" l="1"/>
  <c r="BV243" i="5"/>
  <c r="CK243" i="5"/>
  <c r="CL243" i="5" s="1"/>
  <c r="BJ244" i="5"/>
  <c r="AS244" i="5"/>
  <c r="CF243" i="5" l="1"/>
  <c r="G252" i="8"/>
  <c r="BO244" i="5" l="1"/>
  <c r="AM244" i="5"/>
  <c r="BT244" i="5"/>
  <c r="AN244" i="5" l="1"/>
  <c r="AP244" i="5" l="1"/>
  <c r="AO244" i="5"/>
  <c r="AT244" i="5" l="1"/>
  <c r="AX244" i="5" s="1"/>
  <c r="AU244" i="5" l="1"/>
  <c r="AV244" i="5" l="1"/>
  <c r="AZ244" i="5" l="1"/>
  <c r="CC244" i="5"/>
  <c r="AW244" i="5"/>
  <c r="BA244" i="5" l="1"/>
  <c r="BB244" i="5" s="1"/>
  <c r="BC244" i="5" l="1"/>
  <c r="BI244" i="5" s="1"/>
  <c r="BE244" i="5"/>
  <c r="BL244" i="5" s="1"/>
  <c r="BP244" i="5" l="1"/>
  <c r="BR244" i="5" s="1"/>
  <c r="CD244" i="5"/>
  <c r="CJ244" i="5"/>
  <c r="BK244" i="5"/>
  <c r="BH245" i="5" s="1"/>
  <c r="BD244" i="5"/>
  <c r="BU244" i="5" l="1"/>
  <c r="BW244" i="5" s="1"/>
  <c r="BZ244" i="5" s="1"/>
  <c r="CK244" i="5" s="1"/>
  <c r="CL244" i="5" s="1"/>
  <c r="CB244" i="5"/>
  <c r="F253" i="8"/>
  <c r="CG244" i="5"/>
  <c r="BQ244" i="5"/>
  <c r="BJ245" i="5" l="1"/>
  <c r="AS245" i="5"/>
  <c r="CH244" i="5"/>
  <c r="CF244" i="5" s="1"/>
  <c r="BT245" i="5" s="1"/>
  <c r="BV244" i="5"/>
  <c r="BO245" i="5" l="1"/>
  <c r="AM245" i="5"/>
  <c r="G253" i="8"/>
  <c r="AN245" i="5" l="1"/>
  <c r="AP245" i="5" l="1"/>
  <c r="AO245" i="5"/>
  <c r="AT245" i="5" l="1"/>
  <c r="AX245" i="5" s="1"/>
  <c r="AU245" i="5" l="1"/>
  <c r="AV245" i="5" l="1"/>
  <c r="AW245" i="5" s="1"/>
  <c r="CC245" i="5" l="1"/>
  <c r="AZ245" i="5"/>
  <c r="BA245" i="5" l="1"/>
  <c r="BB245" i="5" s="1"/>
  <c r="BC245" i="5" l="1"/>
  <c r="BI245" i="5" s="1"/>
  <c r="BE245" i="5"/>
  <c r="BL245" i="5" s="1"/>
  <c r="CD245" i="5" l="1"/>
  <c r="BP245" i="5"/>
  <c r="CJ245" i="5"/>
  <c r="BK245" i="5"/>
  <c r="BH246" i="5" s="1"/>
  <c r="BD245" i="5"/>
  <c r="CG245" i="5" l="1"/>
  <c r="BQ245" i="5"/>
  <c r="CB245" i="5"/>
  <c r="F254" i="8"/>
  <c r="BR245" i="5"/>
  <c r="BU245" i="5" l="1"/>
  <c r="BW245" i="5" s="1"/>
  <c r="BZ245" i="5" s="1"/>
  <c r="BJ246" i="5"/>
  <c r="AS246" i="5"/>
  <c r="CH245" i="5" l="1"/>
  <c r="BV245" i="5"/>
  <c r="CK245" i="5"/>
  <c r="CL245" i="5" s="1"/>
  <c r="CF245" i="5" l="1"/>
  <c r="G254" i="8"/>
  <c r="BO246" i="5" l="1"/>
  <c r="AM246" i="5"/>
  <c r="BT246" i="5"/>
  <c r="AN246" i="5" l="1"/>
  <c r="AO246" i="5" s="1"/>
  <c r="AP246" i="5" l="1"/>
  <c r="AT246" i="5" l="1"/>
  <c r="AX246" i="5" s="1"/>
  <c r="AU246" i="5" l="1"/>
  <c r="AV246" i="5" l="1"/>
  <c r="CC246" i="5" l="1"/>
  <c r="AZ246" i="5"/>
  <c r="AW246" i="5"/>
  <c r="BA246" i="5" l="1"/>
  <c r="BE246" i="5" l="1"/>
  <c r="BL246" i="5" s="1"/>
  <c r="BB246" i="5"/>
  <c r="BP246" i="5" l="1"/>
  <c r="BR246" i="5" s="1"/>
  <c r="BC246" i="5"/>
  <c r="BU246" i="5" l="1"/>
  <c r="BI246" i="5"/>
  <c r="CD246" i="5"/>
  <c r="BD246" i="5"/>
  <c r="CG246" i="5"/>
  <c r="BQ246" i="5"/>
  <c r="CB246" i="5" l="1"/>
  <c r="F255" i="8"/>
  <c r="CJ246" i="5"/>
  <c r="BK246" i="5"/>
  <c r="BH247" i="5" s="1"/>
  <c r="CH246" i="5"/>
  <c r="CF246" i="5" s="1"/>
  <c r="BV246" i="5"/>
  <c r="BW246" i="5"/>
  <c r="BZ246" i="5" s="1"/>
  <c r="CK246" i="5" s="1"/>
  <c r="BO247" i="5" l="1"/>
  <c r="G255" i="8"/>
  <c r="CL246" i="5"/>
  <c r="BJ247" i="5"/>
  <c r="BT247" i="5"/>
  <c r="AS247" i="5"/>
  <c r="AM247" i="5"/>
  <c r="AN247" i="5" l="1"/>
  <c r="AP247" i="5" l="1"/>
  <c r="AO247" i="5"/>
  <c r="AT247" i="5" l="1"/>
  <c r="AU247" i="5" l="1"/>
  <c r="AX247" i="5"/>
  <c r="AV247" i="5" l="1"/>
  <c r="AZ247" i="5" s="1"/>
  <c r="BA247" i="5" l="1"/>
  <c r="CC247" i="5"/>
  <c r="AW247" i="5"/>
  <c r="BE247" i="5" l="1"/>
  <c r="BL247" i="5" s="1"/>
  <c r="BB247" i="5"/>
  <c r="BP247" i="5" l="1"/>
  <c r="BR247" i="5"/>
  <c r="BC247" i="5"/>
  <c r="BD247" i="5" s="1"/>
  <c r="BU247" i="5" l="1"/>
  <c r="BW247" i="5" s="1"/>
  <c r="BZ247" i="5" s="1"/>
  <c r="CK247" i="5" s="1"/>
  <c r="BI247" i="5"/>
  <c r="CD247" i="5"/>
  <c r="CG247" i="5"/>
  <c r="BQ247" i="5"/>
  <c r="CB247" i="5" l="1"/>
  <c r="F256" i="8"/>
  <c r="CJ247" i="5"/>
  <c r="CL247" i="5" s="1"/>
  <c r="BK247" i="5"/>
  <c r="BH248" i="5" s="1"/>
  <c r="CH247" i="5"/>
  <c r="CF247" i="5" s="1"/>
  <c r="BV247" i="5"/>
  <c r="BO248" i="5" l="1"/>
  <c r="G256" i="8"/>
  <c r="BT248" i="5"/>
  <c r="BJ248" i="5"/>
  <c r="AS248" i="5"/>
  <c r="AM248" i="5"/>
  <c r="AN248" i="5" l="1"/>
  <c r="AP248" i="5" l="1"/>
  <c r="AO248" i="5"/>
  <c r="AT248" i="5" l="1"/>
  <c r="AX248" i="5" s="1"/>
  <c r="AU248" i="5" l="1"/>
  <c r="AV248" i="5" l="1"/>
  <c r="AW248" i="5" s="1"/>
  <c r="CC248" i="5" l="1"/>
  <c r="AZ248" i="5"/>
  <c r="BA248" i="5" l="1"/>
  <c r="BE248" i="5" l="1"/>
  <c r="BL248" i="5" s="1"/>
  <c r="BB248" i="5"/>
  <c r="BC248" i="5" l="1"/>
  <c r="BP248" i="5"/>
  <c r="CG248" i="5" l="1"/>
  <c r="BQ248" i="5"/>
  <c r="BR248" i="5"/>
  <c r="BI248" i="5"/>
  <c r="CD248" i="5"/>
  <c r="BD248" i="5"/>
  <c r="BU248" i="5" l="1"/>
  <c r="BW248" i="5"/>
  <c r="BZ248" i="5" s="1"/>
  <c r="CB248" i="5"/>
  <c r="F257" i="8"/>
  <c r="CJ248" i="5"/>
  <c r="BK248" i="5"/>
  <c r="BH249" i="5" s="1"/>
  <c r="BJ249" i="5" l="1"/>
  <c r="AS249" i="5"/>
  <c r="CH248" i="5"/>
  <c r="BV248" i="5"/>
  <c r="CK248" i="5"/>
  <c r="CL248" i="5" s="1"/>
  <c r="CF248" i="5" l="1"/>
  <c r="G257" i="8"/>
  <c r="BO249" i="5" l="1"/>
  <c r="BT249" i="5"/>
  <c r="AM249" i="5"/>
  <c r="AN249" i="5" l="1"/>
  <c r="AP249" i="5" l="1"/>
  <c r="AO249" i="5"/>
  <c r="AT249" i="5" l="1"/>
  <c r="AX249" i="5" s="1"/>
  <c r="AU249" i="5" l="1"/>
  <c r="AV249" i="5" l="1"/>
  <c r="AZ249" i="5" l="1"/>
  <c r="CC249" i="5"/>
  <c r="AW249" i="5"/>
  <c r="BA249" i="5" l="1"/>
  <c r="BE249" i="5" l="1"/>
  <c r="BL249" i="5" s="1"/>
  <c r="BB249" i="5"/>
  <c r="BC249" i="5" l="1"/>
  <c r="BP249" i="5"/>
  <c r="CG249" i="5" l="1"/>
  <c r="BQ249" i="5"/>
  <c r="BI249" i="5"/>
  <c r="CD249" i="5"/>
  <c r="BR249" i="5"/>
  <c r="BD249" i="5"/>
  <c r="CJ249" i="5" l="1"/>
  <c r="BK249" i="5"/>
  <c r="BH250" i="5" s="1"/>
  <c r="BU249" i="5"/>
  <c r="BW249" i="5" s="1"/>
  <c r="BZ249" i="5" s="1"/>
  <c r="CB249" i="5"/>
  <c r="F258" i="8"/>
  <c r="BJ250" i="5" l="1"/>
  <c r="AS250" i="5"/>
  <c r="CH249" i="5"/>
  <c r="BV249" i="5"/>
  <c r="CK249" i="5"/>
  <c r="CL249" i="5" s="1"/>
  <c r="CF249" i="5" l="1"/>
  <c r="G258" i="8"/>
  <c r="BO250" i="5" l="1"/>
  <c r="BT250" i="5"/>
  <c r="AM250" i="5"/>
  <c r="AN250" i="5" l="1"/>
  <c r="AP250" i="5" l="1"/>
  <c r="AO250" i="5"/>
  <c r="AT250" i="5" l="1"/>
  <c r="AU250" i="5" l="1"/>
  <c r="AX250" i="5"/>
  <c r="AV250" i="5" l="1"/>
  <c r="CC250" i="5" l="1"/>
  <c r="AW250" i="5"/>
  <c r="AZ250" i="5"/>
  <c r="BA250" i="5" l="1"/>
  <c r="BE250" i="5" l="1"/>
  <c r="BL250" i="5" s="1"/>
  <c r="BB250" i="5"/>
  <c r="BC250" i="5" l="1"/>
  <c r="BP250" i="5"/>
  <c r="BR250" i="5" s="1"/>
  <c r="BU250" i="5" l="1"/>
  <c r="BW250" i="5" s="1"/>
  <c r="BZ250" i="5" s="1"/>
  <c r="CK250" i="5" s="1"/>
  <c r="CG250" i="5"/>
  <c r="BQ250" i="5"/>
  <c r="BI250" i="5"/>
  <c r="CD250" i="5"/>
  <c r="BD250" i="5"/>
  <c r="CJ250" i="5" l="1"/>
  <c r="CL250" i="5" s="1"/>
  <c r="BK250" i="5"/>
  <c r="BH251" i="5" s="1"/>
  <c r="CB250" i="5"/>
  <c r="F259" i="8"/>
  <c r="CH250" i="5"/>
  <c r="CF250" i="5" s="1"/>
  <c r="BV250" i="5"/>
  <c r="BO251" i="5" l="1"/>
  <c r="BT251" i="5"/>
  <c r="BJ251" i="5"/>
  <c r="AS251" i="5"/>
  <c r="AM251" i="5"/>
  <c r="G259" i="8"/>
  <c r="AN251" i="5" l="1"/>
  <c r="AP251" i="5" l="1"/>
  <c r="AO251" i="5"/>
  <c r="AT251" i="5" l="1"/>
  <c r="AX251" i="5" s="1"/>
  <c r="AU251" i="5" l="1"/>
  <c r="AV251" i="5" l="1"/>
  <c r="CC251" i="5" l="1"/>
  <c r="AZ251" i="5"/>
  <c r="AW251" i="5"/>
  <c r="BA251" i="5" l="1"/>
  <c r="BE251" i="5" l="1"/>
  <c r="BL251" i="5" s="1"/>
  <c r="BB251" i="5"/>
  <c r="BC251" i="5" l="1"/>
  <c r="BP251" i="5"/>
  <c r="BI251" i="5" l="1"/>
  <c r="CD251" i="5"/>
  <c r="CG251" i="5"/>
  <c r="BQ251" i="5"/>
  <c r="BR251" i="5"/>
  <c r="BD251" i="5"/>
  <c r="CB251" i="5" l="1"/>
  <c r="F260" i="8"/>
  <c r="BU251" i="5"/>
  <c r="BW251" i="5" s="1"/>
  <c r="BZ251" i="5" s="1"/>
  <c r="CJ251" i="5"/>
  <c r="BK251" i="5"/>
  <c r="BH252" i="5" s="1"/>
  <c r="CH251" i="5" l="1"/>
  <c r="BV251" i="5"/>
  <c r="CK251" i="5"/>
  <c r="CL251" i="5" s="1"/>
  <c r="BJ252" i="5"/>
  <c r="AS252" i="5"/>
  <c r="CF251" i="5" l="1"/>
  <c r="G260" i="8"/>
  <c r="BO252" i="5" l="1"/>
  <c r="BT252" i="5"/>
  <c r="AM252" i="5"/>
  <c r="AN252" i="5" l="1"/>
  <c r="AP252" i="5" l="1"/>
  <c r="AO252" i="5"/>
  <c r="AT252" i="5" l="1"/>
  <c r="AX252" i="5" s="1"/>
  <c r="AU252" i="5" l="1"/>
  <c r="AV252" i="5" l="1"/>
  <c r="CC252" i="5" l="1"/>
  <c r="AZ252" i="5"/>
  <c r="AW252" i="5"/>
  <c r="BA252" i="5" l="1"/>
  <c r="BE252" i="5" l="1"/>
  <c r="BL252" i="5" s="1"/>
  <c r="BB252" i="5"/>
  <c r="BC252" i="5" l="1"/>
  <c r="BP252" i="5"/>
  <c r="BR252" i="5" s="1"/>
  <c r="BU252" i="5" l="1"/>
  <c r="BW252" i="5" s="1"/>
  <c r="BZ252" i="5" s="1"/>
  <c r="CK252" i="5" s="1"/>
  <c r="CG252" i="5"/>
  <c r="BQ252" i="5"/>
  <c r="BI252" i="5"/>
  <c r="CD252" i="5"/>
  <c r="BD252" i="5"/>
  <c r="CB252" i="5" l="1"/>
  <c r="F261" i="8"/>
  <c r="CJ252" i="5"/>
  <c r="CL252" i="5" s="1"/>
  <c r="BK252" i="5"/>
  <c r="BH253" i="5" s="1"/>
  <c r="CH252" i="5"/>
  <c r="CF252" i="5" s="1"/>
  <c r="BV252" i="5"/>
  <c r="BO253" i="5" l="1"/>
  <c r="G261" i="8"/>
  <c r="BJ253" i="5"/>
  <c r="BT253" i="5"/>
  <c r="AS253" i="5"/>
  <c r="AM253" i="5"/>
  <c r="AN253" i="5" l="1"/>
  <c r="AP253" i="5" l="1"/>
  <c r="AO253" i="5"/>
  <c r="AT253" i="5" l="1"/>
  <c r="AX253" i="5"/>
  <c r="AU253" i="5" l="1"/>
  <c r="AV253" i="5" l="1"/>
  <c r="AW253" i="5" s="1"/>
  <c r="AZ253" i="5" l="1"/>
  <c r="CC253" i="5"/>
  <c r="BA253" i="5" l="1"/>
  <c r="BE253" i="5" l="1"/>
  <c r="BL253" i="5" s="1"/>
  <c r="BB253" i="5"/>
  <c r="BC253" i="5" l="1"/>
  <c r="BP253" i="5"/>
  <c r="BR253" i="5" s="1"/>
  <c r="BU253" i="5" l="1"/>
  <c r="BW253" i="5" s="1"/>
  <c r="BZ253" i="5" s="1"/>
  <c r="CK253" i="5" s="1"/>
  <c r="CG253" i="5"/>
  <c r="BQ253" i="5"/>
  <c r="BI253" i="5"/>
  <c r="CD253" i="5"/>
  <c r="BD253" i="5"/>
  <c r="CJ253" i="5" l="1"/>
  <c r="CL253" i="5" s="1"/>
  <c r="BK253" i="5"/>
  <c r="BH254" i="5" s="1"/>
  <c r="CB253" i="5"/>
  <c r="F262" i="8"/>
  <c r="CH253" i="5"/>
  <c r="CF253" i="5" s="1"/>
  <c r="BV253" i="5"/>
  <c r="BO254" i="5" l="1"/>
  <c r="G262" i="8"/>
  <c r="BT254" i="5"/>
  <c r="BJ254" i="5"/>
  <c r="AS254" i="5"/>
  <c r="AM254" i="5"/>
  <c r="AN254" i="5" l="1"/>
  <c r="AP254" i="5" l="1"/>
  <c r="AO254" i="5"/>
  <c r="AT254" i="5" l="1"/>
  <c r="AX254" i="5" s="1"/>
  <c r="AU254" i="5" l="1"/>
  <c r="AV254" i="5" l="1"/>
  <c r="CC254" i="5" l="1"/>
  <c r="AZ254" i="5"/>
  <c r="AW254" i="5"/>
  <c r="BA254" i="5" l="1"/>
  <c r="BE254" i="5" l="1"/>
  <c r="BL254" i="5" s="1"/>
  <c r="BB254" i="5"/>
  <c r="BC254" i="5" l="1"/>
  <c r="BP254" i="5"/>
  <c r="BR254" i="5" s="1"/>
  <c r="BU254" i="5" l="1"/>
  <c r="CG254" i="5"/>
  <c r="BQ254" i="5"/>
  <c r="BI254" i="5"/>
  <c r="CD254" i="5"/>
  <c r="BD254" i="5"/>
  <c r="CJ254" i="5" l="1"/>
  <c r="BK254" i="5"/>
  <c r="BH255" i="5" s="1"/>
  <c r="CB254" i="5"/>
  <c r="F263" i="8"/>
  <c r="CH254" i="5"/>
  <c r="CF254" i="5" s="1"/>
  <c r="BV254" i="5"/>
  <c r="G263" i="8"/>
  <c r="BW254" i="5"/>
  <c r="BZ254" i="5" s="1"/>
  <c r="CK254" i="5" s="1"/>
  <c r="BO255" i="5" l="1"/>
  <c r="BJ255" i="5"/>
  <c r="BT255" i="5"/>
  <c r="AS255" i="5"/>
  <c r="AM255" i="5"/>
  <c r="CL254" i="5"/>
  <c r="AN255" i="5" l="1"/>
  <c r="AO255" i="5" s="1"/>
  <c r="AP255" i="5" l="1"/>
  <c r="AT255" i="5" l="1"/>
  <c r="AU255" i="5" l="1"/>
  <c r="AX255" i="5"/>
  <c r="AV255" i="5" l="1"/>
  <c r="CC255" i="5" l="1"/>
  <c r="AZ255" i="5"/>
  <c r="AW255" i="5"/>
  <c r="BA255" i="5" l="1"/>
  <c r="BE255" i="5" l="1"/>
  <c r="BL255" i="5" s="1"/>
  <c r="BB255" i="5"/>
  <c r="BP255" i="5" l="1"/>
  <c r="BR255" i="5" s="1"/>
  <c r="BC255" i="5"/>
  <c r="BU255" i="5" l="1"/>
  <c r="BW255" i="5" s="1"/>
  <c r="BZ255" i="5" s="1"/>
  <c r="CK255" i="5" s="1"/>
  <c r="BI255" i="5"/>
  <c r="CD255" i="5"/>
  <c r="BD255" i="5"/>
  <c r="CG255" i="5"/>
  <c r="BQ255" i="5"/>
  <c r="CB255" i="5" l="1"/>
  <c r="F264" i="8"/>
  <c r="CJ255" i="5"/>
  <c r="CL255" i="5" s="1"/>
  <c r="BK255" i="5"/>
  <c r="BH256" i="5" s="1"/>
  <c r="CH255" i="5"/>
  <c r="CF255" i="5" s="1"/>
  <c r="BV255" i="5"/>
  <c r="BO256" i="5" l="1"/>
  <c r="BT256" i="5"/>
  <c r="BJ256" i="5"/>
  <c r="AS256" i="5"/>
  <c r="AM256" i="5"/>
  <c r="G264" i="8"/>
  <c r="AN256" i="5" l="1"/>
  <c r="AP256" i="5" l="1"/>
  <c r="AO256" i="5"/>
  <c r="AT256" i="5" l="1"/>
  <c r="AX256" i="5" s="1"/>
  <c r="AU256" i="5" l="1"/>
  <c r="AV256" i="5" l="1"/>
  <c r="AW256" i="5" s="1"/>
  <c r="CC256" i="5" l="1"/>
  <c r="AZ256" i="5"/>
  <c r="BA256" i="5" l="1"/>
  <c r="BE256" i="5" l="1"/>
  <c r="BL256" i="5" s="1"/>
  <c r="BB256" i="5"/>
  <c r="BC256" i="5" l="1"/>
  <c r="BP256" i="5"/>
  <c r="CG256" i="5" l="1"/>
  <c r="BQ256" i="5"/>
  <c r="BR256" i="5"/>
  <c r="BI256" i="5"/>
  <c r="CD256" i="5"/>
  <c r="BD256" i="5"/>
  <c r="BU256" i="5" l="1"/>
  <c r="BW256" i="5" s="1"/>
  <c r="BZ256" i="5" s="1"/>
  <c r="CB256" i="5"/>
  <c r="F265" i="8"/>
  <c r="CJ256" i="5"/>
  <c r="BK256" i="5"/>
  <c r="BH257" i="5" s="1"/>
  <c r="BJ257" i="5" l="1"/>
  <c r="AS257" i="5"/>
  <c r="CH256" i="5"/>
  <c r="BV256" i="5"/>
  <c r="CK256" i="5"/>
  <c r="CL256" i="5" s="1"/>
  <c r="CF256" i="5" l="1"/>
  <c r="G265" i="8"/>
  <c r="BO257" i="5" l="1"/>
  <c r="BT257" i="5"/>
  <c r="AM257" i="5"/>
  <c r="AN257" i="5" l="1"/>
  <c r="AP257" i="5" l="1"/>
  <c r="AO257" i="5"/>
  <c r="AT257" i="5" l="1"/>
  <c r="AX257" i="5" s="1"/>
  <c r="AU257" i="5" l="1"/>
  <c r="AV257" i="5" l="1"/>
  <c r="AZ257" i="5" l="1"/>
  <c r="CC257" i="5"/>
  <c r="AW257" i="5"/>
  <c r="BA257" i="5" l="1"/>
  <c r="BE257" i="5" l="1"/>
  <c r="BL257" i="5" s="1"/>
  <c r="BB257" i="5"/>
  <c r="BC257" i="5" l="1"/>
  <c r="BP257" i="5"/>
  <c r="BR257" i="5" s="1"/>
  <c r="BU257" i="5" l="1"/>
  <c r="CG257" i="5"/>
  <c r="BQ257" i="5"/>
  <c r="BI257" i="5"/>
  <c r="CD257" i="5"/>
  <c r="BD257" i="5"/>
  <c r="CB257" i="5" l="1"/>
  <c r="F266" i="8"/>
  <c r="CJ257" i="5"/>
  <c r="BK257" i="5"/>
  <c r="BH258" i="5" s="1"/>
  <c r="CH257" i="5"/>
  <c r="CF257" i="5" s="1"/>
  <c r="BV257" i="5"/>
  <c r="BW257" i="5"/>
  <c r="BZ257" i="5" s="1"/>
  <c r="CK257" i="5" s="1"/>
  <c r="BO258" i="5" l="1"/>
  <c r="CL257" i="5"/>
  <c r="BJ258" i="5"/>
  <c r="BT258" i="5"/>
  <c r="AS258" i="5"/>
  <c r="AM258" i="5"/>
  <c r="G266" i="8"/>
  <c r="AN258" i="5" l="1"/>
  <c r="AP258" i="5" l="1"/>
  <c r="AO258" i="5"/>
  <c r="AT258" i="5" l="1"/>
  <c r="AU258" i="5" l="1"/>
  <c r="AX258" i="5"/>
  <c r="AV258" i="5" l="1"/>
  <c r="AZ258" i="5" s="1"/>
  <c r="BA258" i="5" l="1"/>
  <c r="CC258" i="5"/>
  <c r="AW258" i="5"/>
  <c r="BE258" i="5" l="1"/>
  <c r="BL258" i="5" s="1"/>
  <c r="BB258" i="5"/>
  <c r="BC258" i="5" l="1"/>
  <c r="BP258" i="5"/>
  <c r="CG258" i="5" l="1"/>
  <c r="BQ258" i="5"/>
  <c r="BR258" i="5"/>
  <c r="BI258" i="5"/>
  <c r="CD258" i="5"/>
  <c r="BD258" i="5"/>
  <c r="CB258" i="5" l="1"/>
  <c r="F267" i="8"/>
  <c r="CJ258" i="5"/>
  <c r="BK258" i="5"/>
  <c r="BH259" i="5" s="1"/>
  <c r="BU258" i="5"/>
  <c r="BW258" i="5" s="1"/>
  <c r="BZ258" i="5" s="1"/>
  <c r="CH258" i="5" l="1"/>
  <c r="BV258" i="5"/>
  <c r="CK258" i="5"/>
  <c r="CL258" i="5" s="1"/>
  <c r="BJ259" i="5"/>
  <c r="AS259" i="5"/>
  <c r="CF258" i="5" l="1"/>
  <c r="G267" i="8"/>
  <c r="BO259" i="5" l="1"/>
  <c r="BT259" i="5"/>
  <c r="AM259" i="5"/>
  <c r="AN259" i="5" l="1"/>
  <c r="AO259" i="5" s="1"/>
  <c r="AP259" i="5" l="1"/>
  <c r="AT259" i="5" l="1"/>
  <c r="AX259" i="5" s="1"/>
  <c r="AU259" i="5" l="1"/>
  <c r="AV259" i="5" l="1"/>
  <c r="AW259" i="5" s="1"/>
  <c r="AZ259" i="5" l="1"/>
  <c r="CC259" i="5"/>
  <c r="BA259" i="5" l="1"/>
  <c r="BB259" i="5" s="1"/>
  <c r="BC259" i="5" l="1"/>
  <c r="BI259" i="5" s="1"/>
  <c r="BE259" i="5"/>
  <c r="BL259" i="5" s="1"/>
  <c r="CJ259" i="5" l="1"/>
  <c r="BK259" i="5"/>
  <c r="BH260" i="5" s="1"/>
  <c r="BP259" i="5"/>
  <c r="CD259" i="5"/>
  <c r="BD259" i="5"/>
  <c r="CG259" i="5" l="1"/>
  <c r="BQ259" i="5"/>
  <c r="CB259" i="5"/>
  <c r="F268" i="8"/>
  <c r="BR259" i="5"/>
  <c r="BU259" i="5" l="1"/>
  <c r="BW259" i="5" s="1"/>
  <c r="BZ259" i="5" s="1"/>
  <c r="BJ260" i="5"/>
  <c r="AS260" i="5"/>
  <c r="CH259" i="5" l="1"/>
  <c r="BV259" i="5"/>
  <c r="CK259" i="5"/>
  <c r="CL259" i="5" s="1"/>
  <c r="CF259" i="5" l="1"/>
  <c r="G268" i="8"/>
  <c r="BO260" i="5" l="1"/>
  <c r="BT260" i="5"/>
  <c r="AM260" i="5"/>
  <c r="AN260" i="5" l="1"/>
  <c r="AP260" i="5" l="1"/>
  <c r="AO260" i="5"/>
  <c r="AT260" i="5" l="1"/>
  <c r="AX260" i="5" s="1"/>
  <c r="AU260" i="5" l="1"/>
  <c r="AV260" i="5" l="1"/>
  <c r="AZ260" i="5" l="1"/>
  <c r="CC260" i="5"/>
  <c r="AW260" i="5"/>
  <c r="BA260" i="5" l="1"/>
  <c r="BE260" i="5" l="1"/>
  <c r="BL260" i="5" s="1"/>
  <c r="BB260" i="5"/>
  <c r="BC260" i="5" l="1"/>
  <c r="BP260" i="5"/>
  <c r="BR260" i="5" s="1"/>
  <c r="BI260" i="5" l="1"/>
  <c r="CD260" i="5"/>
  <c r="BU260" i="5"/>
  <c r="CG260" i="5"/>
  <c r="BQ260" i="5"/>
  <c r="BD260" i="5"/>
  <c r="BW260" i="5" l="1"/>
  <c r="BZ260" i="5" s="1"/>
  <c r="CK260" i="5" s="1"/>
  <c r="CH260" i="5"/>
  <c r="CF260" i="5" s="1"/>
  <c r="BV260" i="5"/>
  <c r="CB260" i="5"/>
  <c r="F269" i="8"/>
  <c r="CJ260" i="5"/>
  <c r="BK260" i="5"/>
  <c r="BH261" i="5" s="1"/>
  <c r="CL260" i="5" l="1"/>
  <c r="BO261" i="5"/>
  <c r="G269" i="8"/>
  <c r="BJ261" i="5"/>
  <c r="BT261" i="5"/>
  <c r="AS261" i="5"/>
  <c r="AM261" i="5"/>
  <c r="AN261" i="5" l="1"/>
  <c r="AP261" i="5" l="1"/>
  <c r="AO261" i="5"/>
  <c r="AT261" i="5" l="1"/>
  <c r="AU261" i="5" l="1"/>
  <c r="AX261" i="5"/>
  <c r="AV261" i="5" l="1"/>
  <c r="AZ261" i="5" s="1"/>
  <c r="BA261" i="5" l="1"/>
  <c r="AW261" i="5"/>
  <c r="CC261" i="5"/>
  <c r="BE261" i="5" l="1"/>
  <c r="BL261" i="5" s="1"/>
  <c r="BB261" i="5"/>
  <c r="BP261" i="5" l="1"/>
  <c r="BR261" i="5" s="1"/>
  <c r="BC261" i="5"/>
  <c r="BU261" i="5" l="1"/>
  <c r="BW261" i="5" s="1"/>
  <c r="BZ261" i="5" s="1"/>
  <c r="CK261" i="5" s="1"/>
  <c r="BI261" i="5"/>
  <c r="CD261" i="5"/>
  <c r="BD261" i="5"/>
  <c r="CG261" i="5"/>
  <c r="BQ261" i="5"/>
  <c r="CB261" i="5" l="1"/>
  <c r="F270" i="8"/>
  <c r="CJ261" i="5"/>
  <c r="CL261" i="5" s="1"/>
  <c r="BK261" i="5"/>
  <c r="BH262" i="5" s="1"/>
  <c r="CH261" i="5"/>
  <c r="CF261" i="5" s="1"/>
  <c r="BV261" i="5"/>
  <c r="BO262" i="5" l="1"/>
  <c r="BT262" i="5"/>
  <c r="BJ262" i="5"/>
  <c r="AS262" i="5"/>
  <c r="AM262" i="5"/>
  <c r="G270" i="8"/>
  <c r="AN262" i="5" l="1"/>
  <c r="AP262" i="5" l="1"/>
  <c r="AO262" i="5"/>
  <c r="AT262" i="5" l="1"/>
  <c r="AX262" i="5" s="1"/>
  <c r="AU262" i="5" l="1"/>
  <c r="AV262" i="5" l="1"/>
  <c r="CC262" i="5" l="1"/>
  <c r="AZ262" i="5"/>
  <c r="AW262" i="5"/>
  <c r="BA262" i="5" l="1"/>
  <c r="BE262" i="5" l="1"/>
  <c r="BL262" i="5" s="1"/>
  <c r="BB262" i="5"/>
  <c r="BC262" i="5" l="1"/>
  <c r="BP262" i="5"/>
  <c r="BI262" i="5" l="1"/>
  <c r="CD262" i="5"/>
  <c r="CG262" i="5"/>
  <c r="BQ262" i="5"/>
  <c r="BR262" i="5"/>
  <c r="BD262" i="5"/>
  <c r="BU262" i="5" l="1"/>
  <c r="CB262" i="5"/>
  <c r="F271" i="8"/>
  <c r="CJ262" i="5"/>
  <c r="BK262" i="5"/>
  <c r="BH263" i="5" s="1"/>
  <c r="BJ263" i="5" l="1"/>
  <c r="AS263" i="5"/>
  <c r="CH262" i="5"/>
  <c r="BV262" i="5"/>
  <c r="BW262" i="5"/>
  <c r="BZ262" i="5" s="1"/>
  <c r="CK262" i="5" s="1"/>
  <c r="CL262" i="5" s="1"/>
  <c r="CF262" i="5" l="1"/>
  <c r="G271" i="8"/>
  <c r="BO263" i="5" l="1"/>
  <c r="AM263" i="5"/>
  <c r="BT263" i="5"/>
  <c r="AN263" i="5" l="1"/>
  <c r="AP263" i="5" l="1"/>
  <c r="AO263" i="5"/>
  <c r="AT263" i="5" l="1"/>
  <c r="AU263" i="5" l="1"/>
  <c r="AX263" i="5"/>
  <c r="AV263" i="5" l="1"/>
  <c r="AW263" i="5" s="1"/>
  <c r="AZ263" i="5" l="1"/>
  <c r="CC263" i="5"/>
  <c r="BA263" i="5" l="1"/>
  <c r="BB263" i="5" s="1"/>
  <c r="BC263" i="5" l="1"/>
  <c r="BI263" i="5" s="1"/>
  <c r="BE263" i="5"/>
  <c r="BL263" i="5" s="1"/>
  <c r="BP263" i="5" l="1"/>
  <c r="CD263" i="5"/>
  <c r="CJ263" i="5"/>
  <c r="BK263" i="5"/>
  <c r="BH264" i="5" s="1"/>
  <c r="BD263" i="5"/>
  <c r="CG263" i="5" l="1"/>
  <c r="BQ263" i="5"/>
  <c r="CB263" i="5"/>
  <c r="F272" i="8"/>
  <c r="BR263" i="5"/>
  <c r="BU263" i="5" l="1"/>
  <c r="BW263" i="5" s="1"/>
  <c r="BZ263" i="5" s="1"/>
  <c r="BJ264" i="5"/>
  <c r="AS264" i="5"/>
  <c r="CH263" i="5" l="1"/>
  <c r="BV263" i="5"/>
  <c r="CK263" i="5"/>
  <c r="CL263" i="5" s="1"/>
  <c r="CF263" i="5" l="1"/>
  <c r="G272" i="8"/>
  <c r="BO264" i="5" l="1"/>
  <c r="BT264" i="5"/>
  <c r="AM264" i="5"/>
  <c r="AN264" i="5" l="1"/>
  <c r="AP264" i="5" l="1"/>
  <c r="AO264" i="5"/>
  <c r="AT264" i="5" l="1"/>
  <c r="AX264" i="5" s="1"/>
  <c r="AU264" i="5" l="1"/>
  <c r="AV264" i="5" l="1"/>
  <c r="CC264" i="5" l="1"/>
  <c r="AZ264" i="5"/>
  <c r="AW264" i="5"/>
  <c r="BA264" i="5" l="1"/>
  <c r="BE264" i="5" l="1"/>
  <c r="BL264" i="5" s="1"/>
  <c r="BB264" i="5"/>
  <c r="BC264" i="5" l="1"/>
  <c r="BP264" i="5"/>
  <c r="CG264" i="5" l="1"/>
  <c r="BQ264" i="5"/>
  <c r="BR264" i="5"/>
  <c r="BI264" i="5"/>
  <c r="CD264" i="5"/>
  <c r="BD264" i="5"/>
  <c r="CJ264" i="5" l="1"/>
  <c r="BK264" i="5"/>
  <c r="BH265" i="5" s="1"/>
  <c r="CB264" i="5"/>
  <c r="F273" i="8"/>
  <c r="BU264" i="5"/>
  <c r="BW264" i="5" s="1"/>
  <c r="BZ264" i="5" s="1"/>
  <c r="CH264" i="5" l="1"/>
  <c r="BV264" i="5"/>
  <c r="CK264" i="5"/>
  <c r="CL264" i="5" s="1"/>
  <c r="BJ265" i="5"/>
  <c r="AS265" i="5"/>
  <c r="CF264" i="5" l="1"/>
  <c r="G273" i="8"/>
  <c r="BO265" i="5" l="1"/>
  <c r="AM265" i="5"/>
  <c r="BT265" i="5"/>
  <c r="AN265" i="5" l="1"/>
  <c r="AP265" i="5" l="1"/>
  <c r="AO265" i="5"/>
  <c r="AT265" i="5" l="1"/>
  <c r="AX265" i="5" s="1"/>
  <c r="AU265" i="5" l="1"/>
  <c r="AV265" i="5" l="1"/>
  <c r="CC265" i="5" l="1"/>
  <c r="AZ265" i="5"/>
  <c r="AW265" i="5"/>
  <c r="BA265" i="5" l="1"/>
  <c r="BE265" i="5" l="1"/>
  <c r="BL265" i="5" s="1"/>
  <c r="BB265" i="5"/>
  <c r="BC265" i="5" l="1"/>
  <c r="BP265" i="5"/>
  <c r="CG265" i="5" l="1"/>
  <c r="BQ265" i="5"/>
  <c r="BR265" i="5"/>
  <c r="BI265" i="5"/>
  <c r="CD265" i="5"/>
  <c r="BD265" i="5"/>
  <c r="BU265" i="5" l="1"/>
  <c r="BW265" i="5" s="1"/>
  <c r="BZ265" i="5" s="1"/>
  <c r="CB265" i="5"/>
  <c r="F274" i="8"/>
  <c r="CJ265" i="5"/>
  <c r="BK265" i="5"/>
  <c r="BH266" i="5" s="1"/>
  <c r="BJ266" i="5" l="1"/>
  <c r="AS266" i="5"/>
  <c r="CH265" i="5"/>
  <c r="BV265" i="5"/>
  <c r="CK265" i="5"/>
  <c r="CL265" i="5" s="1"/>
  <c r="CF265" i="5" l="1"/>
  <c r="G274" i="8"/>
  <c r="BO266" i="5" l="1"/>
  <c r="AM266" i="5"/>
  <c r="BT266" i="5"/>
  <c r="AN266" i="5" l="1"/>
  <c r="AP266" i="5" l="1"/>
  <c r="AO266" i="5"/>
  <c r="AT266" i="5" l="1"/>
  <c r="AX266" i="5" s="1"/>
  <c r="AU266" i="5" l="1"/>
  <c r="AV266" i="5" l="1"/>
  <c r="CC266" i="5" l="1"/>
  <c r="AZ266" i="5"/>
  <c r="AW266" i="5"/>
  <c r="BA266" i="5" l="1"/>
  <c r="BE266" i="5" l="1"/>
  <c r="BL266" i="5" s="1"/>
  <c r="BB266" i="5"/>
  <c r="BC266" i="5" l="1"/>
  <c r="BP266" i="5"/>
  <c r="BR266" i="5" s="1"/>
  <c r="BU266" i="5" l="1"/>
  <c r="BW266" i="5" s="1"/>
  <c r="BZ266" i="5" s="1"/>
  <c r="CK266" i="5" s="1"/>
  <c r="BI266" i="5"/>
  <c r="CD266" i="5"/>
  <c r="CG266" i="5"/>
  <c r="BQ266" i="5"/>
  <c r="BD266" i="5"/>
  <c r="CB266" i="5" l="1"/>
  <c r="F275" i="8"/>
  <c r="CJ266" i="5"/>
  <c r="CL266" i="5" s="1"/>
  <c r="BK266" i="5"/>
  <c r="BH267" i="5" s="1"/>
  <c r="CH266" i="5"/>
  <c r="CF266" i="5" s="1"/>
  <c r="BV266" i="5"/>
  <c r="BO267" i="5" l="1"/>
  <c r="G275" i="8"/>
  <c r="BJ267" i="5"/>
  <c r="BT267" i="5"/>
  <c r="AS267" i="5"/>
  <c r="AM267" i="5"/>
  <c r="AN267" i="5" l="1"/>
  <c r="AP267" i="5" l="1"/>
  <c r="AO267" i="5"/>
  <c r="AT267" i="5" l="1"/>
  <c r="AX267" i="5" s="1"/>
  <c r="AU267" i="5" l="1"/>
  <c r="AV267" i="5" l="1"/>
  <c r="AW267" i="5" s="1"/>
  <c r="CC267" i="5" l="1"/>
  <c r="AZ267" i="5"/>
  <c r="BA267" i="5" l="1"/>
  <c r="BE267" i="5" l="1"/>
  <c r="BL267" i="5" s="1"/>
  <c r="BB267" i="5"/>
  <c r="BC267" i="5" l="1"/>
  <c r="BD267" i="5" s="1"/>
  <c r="BP267" i="5"/>
  <c r="BR267" i="5" s="1"/>
  <c r="BU267" i="5" l="1"/>
  <c r="BW267" i="5" s="1"/>
  <c r="BZ267" i="5" s="1"/>
  <c r="CK267" i="5" s="1"/>
  <c r="CG267" i="5"/>
  <c r="BQ267" i="5"/>
  <c r="BI267" i="5"/>
  <c r="CD267" i="5"/>
  <c r="CB267" i="5" l="1"/>
  <c r="F276" i="8"/>
  <c r="CJ267" i="5"/>
  <c r="CL267" i="5" s="1"/>
  <c r="BK267" i="5"/>
  <c r="BH268" i="5" s="1"/>
  <c r="CH267" i="5"/>
  <c r="CF267" i="5" s="1"/>
  <c r="BV267" i="5"/>
  <c r="BO268" i="5" l="1"/>
  <c r="BJ268" i="5"/>
  <c r="BT268" i="5"/>
  <c r="AS268" i="5"/>
  <c r="AM268" i="5"/>
  <c r="G276" i="8"/>
  <c r="AN268" i="5" l="1"/>
  <c r="AP268" i="5" l="1"/>
  <c r="AO268" i="5"/>
  <c r="AT268" i="5" l="1"/>
  <c r="AX268" i="5"/>
  <c r="AU268" i="5" l="1"/>
  <c r="AV268" i="5" l="1"/>
  <c r="CC268" i="5" l="1"/>
  <c r="AZ268" i="5"/>
  <c r="AW268" i="5"/>
  <c r="BA268" i="5" l="1"/>
  <c r="BE268" i="5" l="1"/>
  <c r="BL268" i="5" s="1"/>
  <c r="BB268" i="5"/>
  <c r="BP268" i="5" l="1"/>
  <c r="BR268" i="5" s="1"/>
  <c r="BC268" i="5"/>
  <c r="BI268" i="5" l="1"/>
  <c r="CD268" i="5"/>
  <c r="BD268" i="5"/>
  <c r="BU268" i="5"/>
  <c r="CG268" i="5"/>
  <c r="BQ268" i="5"/>
  <c r="CJ268" i="5" l="1"/>
  <c r="BK268" i="5"/>
  <c r="BH269" i="5" s="1"/>
  <c r="CH268" i="5"/>
  <c r="CF268" i="5" s="1"/>
  <c r="BV268" i="5"/>
  <c r="BW268" i="5"/>
  <c r="BZ268" i="5" s="1"/>
  <c r="CK268" i="5" s="1"/>
  <c r="CB268" i="5"/>
  <c r="F277" i="8"/>
  <c r="BO269" i="5" l="1"/>
  <c r="G277" i="8"/>
  <c r="BJ269" i="5"/>
  <c r="BT269" i="5"/>
  <c r="AS269" i="5"/>
  <c r="AM269" i="5"/>
  <c r="CL268" i="5"/>
  <c r="AN269" i="5" l="1"/>
  <c r="AP269" i="5" l="1"/>
  <c r="AO269" i="5"/>
  <c r="AT269" i="5" l="1"/>
  <c r="AU269" i="5" l="1"/>
  <c r="AX269" i="5"/>
  <c r="AV269" i="5" l="1"/>
  <c r="CC269" i="5" l="1"/>
  <c r="AW269" i="5"/>
  <c r="AZ269" i="5"/>
  <c r="BA269" i="5" l="1"/>
  <c r="BB269" i="5" s="1"/>
  <c r="BC269" i="5" l="1"/>
  <c r="BI269" i="5" s="1"/>
  <c r="BE269" i="5"/>
  <c r="BL269" i="5" s="1"/>
  <c r="CJ269" i="5" l="1"/>
  <c r="BK269" i="5"/>
  <c r="BH270" i="5" s="1"/>
  <c r="BP269" i="5"/>
  <c r="BR269" i="5" s="1"/>
  <c r="CD269" i="5"/>
  <c r="BD269" i="5"/>
  <c r="BU269" i="5" l="1"/>
  <c r="BW269" i="5" s="1"/>
  <c r="BZ269" i="5" s="1"/>
  <c r="CK269" i="5" s="1"/>
  <c r="CL269" i="5" s="1"/>
  <c r="CG269" i="5"/>
  <c r="BQ269" i="5"/>
  <c r="CB269" i="5"/>
  <c r="F278" i="8"/>
  <c r="BT270" i="5" l="1"/>
  <c r="BJ270" i="5"/>
  <c r="AS270" i="5"/>
  <c r="AM270" i="5"/>
  <c r="CH269" i="5"/>
  <c r="CF269" i="5" s="1"/>
  <c r="BV269" i="5"/>
  <c r="AN270" i="5" l="1"/>
  <c r="BO270" i="5"/>
  <c r="G278" i="8"/>
  <c r="AP270" i="5" l="1"/>
  <c r="AO270" i="5"/>
  <c r="AT270" i="5" l="1"/>
  <c r="AX270" i="5" s="1"/>
  <c r="AU270" i="5" l="1"/>
  <c r="AV270" i="5" l="1"/>
  <c r="AW270" i="5" s="1"/>
  <c r="AZ270" i="5" l="1"/>
  <c r="CC270" i="5"/>
  <c r="BA270" i="5" l="1"/>
  <c r="BE270" i="5" l="1"/>
  <c r="BL270" i="5" s="1"/>
  <c r="BB270" i="5"/>
  <c r="BP270" i="5" l="1"/>
  <c r="BC270" i="5"/>
  <c r="BI270" i="5" l="1"/>
  <c r="CD270" i="5"/>
  <c r="BD270" i="5"/>
  <c r="CG270" i="5"/>
  <c r="BQ270" i="5"/>
  <c r="BR270" i="5"/>
  <c r="BU270" i="5" l="1"/>
  <c r="BW270" i="5" s="1"/>
  <c r="BZ270" i="5" s="1"/>
  <c r="CB270" i="5"/>
  <c r="F279" i="8"/>
  <c r="CJ270" i="5"/>
  <c r="BK270" i="5"/>
  <c r="BH271" i="5" s="1"/>
  <c r="BJ271" i="5" l="1"/>
  <c r="AS271" i="5"/>
  <c r="CH270" i="5"/>
  <c r="BV270" i="5"/>
  <c r="CK270" i="5"/>
  <c r="CL270" i="5" s="1"/>
  <c r="CF270" i="5" l="1"/>
  <c r="G279" i="8"/>
  <c r="BO271" i="5" l="1"/>
  <c r="BT271" i="5"/>
  <c r="AM271" i="5"/>
  <c r="AN271" i="5" l="1"/>
  <c r="AP271" i="5" l="1"/>
  <c r="AO271" i="5"/>
  <c r="AT271" i="5" l="1"/>
  <c r="AX271" i="5"/>
  <c r="AU271" i="5" l="1"/>
  <c r="AV271" i="5" l="1"/>
  <c r="AZ271" i="5" l="1"/>
  <c r="CC271" i="5"/>
  <c r="AW271" i="5"/>
  <c r="BA271" i="5" l="1"/>
  <c r="BE271" i="5" l="1"/>
  <c r="BL271" i="5" s="1"/>
  <c r="BB271" i="5"/>
  <c r="BP271" i="5" l="1"/>
  <c r="BR271" i="5" s="1"/>
  <c r="BC271" i="5"/>
  <c r="BI271" i="5" l="1"/>
  <c r="CD271" i="5"/>
  <c r="BD271" i="5"/>
  <c r="BU271" i="5"/>
  <c r="CG271" i="5"/>
  <c r="BQ271" i="5"/>
  <c r="CH271" i="5" l="1"/>
  <c r="CF271" i="5" s="1"/>
  <c r="BV271" i="5"/>
  <c r="BW271" i="5"/>
  <c r="BZ271" i="5" s="1"/>
  <c r="CK271" i="5"/>
  <c r="CB271" i="5"/>
  <c r="F280" i="8"/>
  <c r="CJ271" i="5"/>
  <c r="BK271" i="5"/>
  <c r="BH272" i="5" s="1"/>
  <c r="CL271" i="5" l="1"/>
  <c r="BJ272" i="5"/>
  <c r="BT272" i="5"/>
  <c r="AS272" i="5"/>
  <c r="AM272" i="5"/>
  <c r="BO272" i="5"/>
  <c r="G280" i="8"/>
  <c r="AN272" i="5" l="1"/>
  <c r="AP272" i="5" l="1"/>
  <c r="AO272" i="5"/>
  <c r="AT272" i="5" l="1"/>
  <c r="AU272" i="5" l="1"/>
  <c r="AX272" i="5"/>
  <c r="AV272" i="5" l="1"/>
  <c r="AZ272" i="5" s="1"/>
  <c r="BA272" i="5" l="1"/>
  <c r="AW272" i="5"/>
  <c r="CC272" i="5"/>
  <c r="BE272" i="5" l="1"/>
  <c r="BL272" i="5" s="1"/>
  <c r="BB272" i="5"/>
  <c r="BC272" i="5" l="1"/>
  <c r="BP272" i="5"/>
  <c r="BR272" i="5" s="1"/>
  <c r="BU272" i="5" l="1"/>
  <c r="BW272" i="5" s="1"/>
  <c r="BZ272" i="5" s="1"/>
  <c r="CK272" i="5" s="1"/>
  <c r="CG272" i="5"/>
  <c r="BQ272" i="5"/>
  <c r="BI272" i="5"/>
  <c r="CD272" i="5"/>
  <c r="BD272" i="5"/>
  <c r="CB272" i="5" l="1"/>
  <c r="F281" i="8"/>
  <c r="CJ272" i="5"/>
  <c r="CL272" i="5" s="1"/>
  <c r="BK272" i="5"/>
  <c r="BH273" i="5" s="1"/>
  <c r="CH272" i="5"/>
  <c r="CF272" i="5" s="1"/>
  <c r="BV272" i="5"/>
  <c r="BO273" i="5" l="1"/>
  <c r="G281" i="8"/>
  <c r="BT273" i="5"/>
  <c r="BJ273" i="5"/>
  <c r="AS273" i="5"/>
  <c r="AM273" i="5"/>
  <c r="AN273" i="5" l="1"/>
  <c r="AP273" i="5" l="1"/>
  <c r="AO273" i="5"/>
  <c r="AT273" i="5" l="1"/>
  <c r="AX273" i="5" s="1"/>
  <c r="AU273" i="5" l="1"/>
  <c r="AV273" i="5" l="1"/>
  <c r="AZ273" i="5" l="1"/>
  <c r="CC273" i="5"/>
  <c r="AW273" i="5"/>
  <c r="BA273" i="5" l="1"/>
  <c r="BE273" i="5" l="1"/>
  <c r="BL273" i="5" s="1"/>
  <c r="BB273" i="5"/>
  <c r="BC273" i="5" l="1"/>
  <c r="BP273" i="5"/>
  <c r="CG273" i="5" l="1"/>
  <c r="BQ273" i="5"/>
  <c r="BR273" i="5"/>
  <c r="BI273" i="5"/>
  <c r="CD273" i="5"/>
  <c r="BD273" i="5"/>
  <c r="CJ273" i="5" l="1"/>
  <c r="BK273" i="5"/>
  <c r="BH274" i="5" s="1"/>
  <c r="BU273" i="5"/>
  <c r="BW273" i="5" s="1"/>
  <c r="BZ273" i="5" s="1"/>
  <c r="CB273" i="5"/>
  <c r="F282" i="8"/>
  <c r="BJ274" i="5" l="1"/>
  <c r="AS274" i="5"/>
  <c r="CH273" i="5"/>
  <c r="BV273" i="5"/>
  <c r="CK273" i="5"/>
  <c r="CL273" i="5" s="1"/>
  <c r="CF273" i="5" l="1"/>
  <c r="G282" i="8"/>
  <c r="BO274" i="5" l="1"/>
  <c r="BT274" i="5"/>
  <c r="AM274" i="5"/>
  <c r="AN274" i="5" l="1"/>
  <c r="AP274" i="5" l="1"/>
  <c r="AO274" i="5"/>
  <c r="AT274" i="5" l="1"/>
  <c r="AX274" i="5" s="1"/>
  <c r="AU274" i="5" l="1"/>
  <c r="AV274" i="5" l="1"/>
  <c r="CC274" i="5" l="1"/>
  <c r="AZ274" i="5"/>
  <c r="AW274" i="5"/>
  <c r="BA274" i="5" l="1"/>
  <c r="BE274" i="5" l="1"/>
  <c r="BL274" i="5" s="1"/>
  <c r="BB274" i="5"/>
  <c r="BC274" i="5" l="1"/>
  <c r="BP274" i="5"/>
  <c r="BR274" i="5" s="1"/>
  <c r="BI274" i="5" l="1"/>
  <c r="CD274" i="5"/>
  <c r="BU274" i="5"/>
  <c r="BW274" i="5" s="1"/>
  <c r="BZ274" i="5" s="1"/>
  <c r="CG274" i="5"/>
  <c r="BQ274" i="5"/>
  <c r="BD274" i="5"/>
  <c r="CB274" i="5" l="1"/>
  <c r="F283" i="8"/>
  <c r="CH274" i="5"/>
  <c r="CF274" i="5" s="1"/>
  <c r="BV274" i="5"/>
  <c r="CK274" i="5"/>
  <c r="CJ274" i="5"/>
  <c r="CL274" i="5" s="1"/>
  <c r="BK274" i="5"/>
  <c r="BH275" i="5" s="1"/>
  <c r="BO275" i="5" l="1"/>
  <c r="BJ275" i="5"/>
  <c r="BT275" i="5"/>
  <c r="AS275" i="5"/>
  <c r="AM275" i="5"/>
  <c r="G283" i="8"/>
  <c r="AN275" i="5" l="1"/>
  <c r="AP275" i="5" l="1"/>
  <c r="AO275" i="5"/>
  <c r="AT275" i="5" l="1"/>
  <c r="AX275" i="5" s="1"/>
  <c r="AU275" i="5" l="1"/>
  <c r="AV275" i="5" l="1"/>
  <c r="AW275" i="5" s="1"/>
  <c r="AZ275" i="5" l="1"/>
  <c r="CC275" i="5"/>
  <c r="BA275" i="5" l="1"/>
  <c r="BE275" i="5" l="1"/>
  <c r="BL275" i="5" s="1"/>
  <c r="BB275" i="5"/>
  <c r="BC275" i="5" l="1"/>
  <c r="BP275" i="5"/>
  <c r="BR275" i="5" s="1"/>
  <c r="BU275" i="5" l="1"/>
  <c r="BW275" i="5" s="1"/>
  <c r="BZ275" i="5" s="1"/>
  <c r="CK275" i="5" s="1"/>
  <c r="BI275" i="5"/>
  <c r="CD275" i="5"/>
  <c r="CG275" i="5"/>
  <c r="BQ275" i="5"/>
  <c r="BD275" i="5"/>
  <c r="CB275" i="5" l="1"/>
  <c r="F284" i="8"/>
  <c r="CJ275" i="5"/>
  <c r="CL275" i="5" s="1"/>
  <c r="BK275" i="5"/>
  <c r="BH276" i="5" s="1"/>
  <c r="CH275" i="5"/>
  <c r="CF275" i="5" s="1"/>
  <c r="BV275" i="5"/>
  <c r="BO276" i="5" l="1"/>
  <c r="G284" i="8"/>
  <c r="BJ276" i="5"/>
  <c r="BT276" i="5"/>
  <c r="AS276" i="5"/>
  <c r="AM276" i="5"/>
  <c r="AN276" i="5" l="1"/>
  <c r="AP276" i="5" l="1"/>
  <c r="AO276" i="5"/>
  <c r="AT276" i="5" l="1"/>
  <c r="AX276" i="5" s="1"/>
  <c r="AU276" i="5" l="1"/>
  <c r="AV276" i="5" l="1"/>
  <c r="AZ276" i="5" l="1"/>
  <c r="CC276" i="5"/>
  <c r="AW276" i="5"/>
  <c r="BA276" i="5" l="1"/>
  <c r="BB276" i="5" s="1"/>
  <c r="BC276" i="5" l="1"/>
  <c r="BI276" i="5" s="1"/>
  <c r="BE276" i="5"/>
  <c r="BL276" i="5" s="1"/>
  <c r="BP276" i="5" l="1"/>
  <c r="BR276" i="5" s="1"/>
  <c r="CD276" i="5"/>
  <c r="CJ276" i="5"/>
  <c r="BK276" i="5"/>
  <c r="BH277" i="5" s="1"/>
  <c r="BD276" i="5"/>
  <c r="CB276" i="5" l="1"/>
  <c r="F285" i="8"/>
  <c r="BU276" i="5"/>
  <c r="CG276" i="5"/>
  <c r="BQ276" i="5"/>
  <c r="CH276" i="5" l="1"/>
  <c r="CF276" i="5" s="1"/>
  <c r="BV276" i="5"/>
  <c r="BW276" i="5"/>
  <c r="BZ276" i="5" s="1"/>
  <c r="CK276" i="5" s="1"/>
  <c r="CL276" i="5" s="1"/>
  <c r="BJ277" i="5"/>
  <c r="BT277" i="5"/>
  <c r="AS277" i="5"/>
  <c r="BO277" i="5" l="1"/>
  <c r="AM277" i="5"/>
  <c r="G285" i="8"/>
  <c r="AN277" i="5" l="1"/>
  <c r="AP277" i="5" l="1"/>
  <c r="AO277" i="5"/>
  <c r="AT277" i="5" l="1"/>
  <c r="AU277" i="5" l="1"/>
  <c r="AX277" i="5"/>
  <c r="AV277" i="5" l="1"/>
  <c r="AZ277" i="5" s="1"/>
  <c r="BA277" i="5" l="1"/>
  <c r="CC277" i="5"/>
  <c r="AW277" i="5"/>
  <c r="BE277" i="5" l="1"/>
  <c r="BL277" i="5" s="1"/>
  <c r="BB277" i="5"/>
  <c r="BC277" i="5" l="1"/>
  <c r="BP277" i="5"/>
  <c r="BR277" i="5" s="1"/>
  <c r="BU277" i="5" l="1"/>
  <c r="BW277" i="5" s="1"/>
  <c r="BZ277" i="5" s="1"/>
  <c r="CK277" i="5" s="1"/>
  <c r="CG277" i="5"/>
  <c r="BQ277" i="5"/>
  <c r="BI277" i="5"/>
  <c r="CD277" i="5"/>
  <c r="BD277" i="5"/>
  <c r="CB277" i="5" l="1"/>
  <c r="F286" i="8"/>
  <c r="CJ277" i="5"/>
  <c r="CL277" i="5" s="1"/>
  <c r="BK277" i="5"/>
  <c r="BH278" i="5" s="1"/>
  <c r="CH277" i="5"/>
  <c r="CF277" i="5" s="1"/>
  <c r="BV277" i="5"/>
  <c r="G286" i="8" l="1"/>
  <c r="BO278" i="5"/>
  <c r="BT278" i="5"/>
  <c r="BJ278" i="5"/>
  <c r="AS278" i="5"/>
  <c r="AM278" i="5"/>
  <c r="AN278" i="5" l="1"/>
  <c r="AO278" i="5" s="1"/>
  <c r="AP278" i="5" l="1"/>
  <c r="AT278" i="5" l="1"/>
  <c r="AX278" i="5" s="1"/>
  <c r="AU278" i="5" l="1"/>
  <c r="AV278" i="5" l="1"/>
  <c r="AW278" i="5" s="1"/>
  <c r="AZ278" i="5" l="1"/>
  <c r="CC278" i="5"/>
  <c r="BA278" i="5" l="1"/>
  <c r="BE278" i="5" l="1"/>
  <c r="BL278" i="5" s="1"/>
  <c r="BB278" i="5"/>
  <c r="BP278" i="5" l="1"/>
  <c r="BR278" i="5" s="1"/>
  <c r="BC278" i="5"/>
  <c r="BD278" i="5" s="1"/>
  <c r="BU278" i="5" l="1"/>
  <c r="BW278" i="5" s="1"/>
  <c r="BZ278" i="5" s="1"/>
  <c r="CK278" i="5" s="1"/>
  <c r="BI278" i="5"/>
  <c r="CD278" i="5"/>
  <c r="CG278" i="5"/>
  <c r="BQ278" i="5"/>
  <c r="CB278" i="5" l="1"/>
  <c r="F287" i="8"/>
  <c r="CJ278" i="5"/>
  <c r="CL278" i="5" s="1"/>
  <c r="BK278" i="5"/>
  <c r="BH279" i="5" s="1"/>
  <c r="CH278" i="5"/>
  <c r="CF278" i="5" s="1"/>
  <c r="BV278" i="5"/>
  <c r="BO279" i="5" l="1"/>
  <c r="BJ279" i="5"/>
  <c r="BT279" i="5"/>
  <c r="AS279" i="5"/>
  <c r="AM279" i="5"/>
  <c r="G287" i="8"/>
  <c r="AN279" i="5" l="1"/>
  <c r="AP279" i="5" l="1"/>
  <c r="AO279" i="5"/>
  <c r="AT279" i="5" l="1"/>
  <c r="AX279" i="5" s="1"/>
  <c r="AU279" i="5" l="1"/>
  <c r="AV279" i="5" l="1"/>
  <c r="CC279" i="5" l="1"/>
  <c r="AZ279" i="5"/>
  <c r="AW279" i="5"/>
  <c r="BA279" i="5" l="1"/>
  <c r="BE279" i="5" l="1"/>
  <c r="BL279" i="5" s="1"/>
  <c r="BB279" i="5"/>
  <c r="BC279" i="5" l="1"/>
  <c r="BP279" i="5"/>
  <c r="CG279" i="5" l="1"/>
  <c r="BQ279" i="5"/>
  <c r="BR279" i="5"/>
  <c r="BI279" i="5"/>
  <c r="CD279" i="5"/>
  <c r="BD279" i="5"/>
  <c r="CB279" i="5" l="1"/>
  <c r="F288" i="8"/>
  <c r="CJ279" i="5"/>
  <c r="BK279" i="5"/>
  <c r="BH280" i="5" s="1"/>
  <c r="BU279" i="5"/>
  <c r="CH279" i="5" l="1"/>
  <c r="BV279" i="5"/>
  <c r="BW279" i="5"/>
  <c r="BZ279" i="5" s="1"/>
  <c r="CK279" i="5" s="1"/>
  <c r="CL279" i="5" s="1"/>
  <c r="BJ280" i="5"/>
  <c r="AS280" i="5"/>
  <c r="CF279" i="5" l="1"/>
  <c r="G288" i="8"/>
  <c r="BO280" i="5" l="1"/>
  <c r="BT280" i="5"/>
  <c r="AM280" i="5"/>
  <c r="AN280" i="5" l="1"/>
  <c r="AP280" i="5" l="1"/>
  <c r="AO280" i="5"/>
  <c r="AT280" i="5" l="1"/>
  <c r="AU280" i="5" l="1"/>
  <c r="AX280" i="5"/>
  <c r="AV280" i="5" l="1"/>
  <c r="AW280" i="5" s="1"/>
  <c r="AZ280" i="5" l="1"/>
  <c r="CC280" i="5"/>
  <c r="BA280" i="5" l="1"/>
  <c r="BE280" i="5" l="1"/>
  <c r="BL280" i="5" s="1"/>
  <c r="BB280" i="5"/>
  <c r="BP280" i="5" l="1"/>
  <c r="BR280" i="5" s="1"/>
  <c r="BC280" i="5"/>
  <c r="BD280" i="5" s="1"/>
  <c r="BU280" i="5" l="1"/>
  <c r="BW280" i="5" s="1"/>
  <c r="BZ280" i="5" s="1"/>
  <c r="CK280" i="5" s="1"/>
  <c r="BI280" i="5"/>
  <c r="CD280" i="5"/>
  <c r="CG280" i="5"/>
  <c r="BQ280" i="5"/>
  <c r="CB280" i="5" l="1"/>
  <c r="F289" i="8"/>
  <c r="CJ280" i="5"/>
  <c r="CL280" i="5" s="1"/>
  <c r="BK280" i="5"/>
  <c r="BH281" i="5" s="1"/>
  <c r="CH280" i="5"/>
  <c r="CF280" i="5" s="1"/>
  <c r="BV280" i="5"/>
  <c r="BT281" i="5" l="1"/>
  <c r="BJ281" i="5"/>
  <c r="AS281" i="5"/>
  <c r="AM281" i="5"/>
  <c r="BO281" i="5"/>
  <c r="G289" i="8"/>
  <c r="AN281" i="5" l="1"/>
  <c r="AP281" i="5" l="1"/>
  <c r="AO281" i="5"/>
  <c r="AT281" i="5" l="1"/>
  <c r="AX281" i="5" s="1"/>
  <c r="AU281" i="5" l="1"/>
  <c r="AV281" i="5" l="1"/>
  <c r="AZ281" i="5" l="1"/>
  <c r="CC281" i="5"/>
  <c r="AW281" i="5"/>
  <c r="BA281" i="5" l="1"/>
  <c r="BE281" i="5" l="1"/>
  <c r="BL281" i="5" s="1"/>
  <c r="BB281" i="5"/>
  <c r="BC281" i="5" l="1"/>
  <c r="BP281" i="5"/>
  <c r="CG281" i="5" l="1"/>
  <c r="BQ281" i="5"/>
  <c r="BR281" i="5"/>
  <c r="BI281" i="5"/>
  <c r="CD281" i="5"/>
  <c r="BD281" i="5"/>
  <c r="CB281" i="5" l="1"/>
  <c r="F290" i="8"/>
  <c r="CJ281" i="5"/>
  <c r="BK281" i="5"/>
  <c r="BH282" i="5" s="1"/>
  <c r="BU281" i="5"/>
  <c r="CH281" i="5" l="1"/>
  <c r="BV281" i="5"/>
  <c r="BW281" i="5"/>
  <c r="BZ281" i="5" s="1"/>
  <c r="CK281" i="5" s="1"/>
  <c r="CL281" i="5" s="1"/>
  <c r="BJ282" i="5"/>
  <c r="AS282" i="5"/>
  <c r="CF281" i="5" l="1"/>
  <c r="G290" i="8"/>
  <c r="BO282" i="5" l="1"/>
  <c r="BT282" i="5"/>
  <c r="AM282" i="5"/>
  <c r="AN282" i="5" l="1"/>
  <c r="AO282" i="5" s="1"/>
  <c r="AP282" i="5" l="1"/>
  <c r="AT282" i="5" l="1"/>
  <c r="AX282" i="5" s="1"/>
  <c r="AU282" i="5" l="1"/>
  <c r="AV282" i="5" l="1"/>
  <c r="AZ282" i="5" l="1"/>
  <c r="CC282" i="5"/>
  <c r="AW282" i="5"/>
  <c r="BA282" i="5" l="1"/>
  <c r="BE282" i="5" l="1"/>
  <c r="BL282" i="5" s="1"/>
  <c r="BB282" i="5"/>
  <c r="BC282" i="5" l="1"/>
  <c r="BP282" i="5"/>
  <c r="CG282" i="5" l="1"/>
  <c r="BQ282" i="5"/>
  <c r="BI282" i="5"/>
  <c r="CD282" i="5"/>
  <c r="BR282" i="5"/>
  <c r="BD282" i="5"/>
  <c r="CB282" i="5" l="1"/>
  <c r="F291" i="8"/>
  <c r="BU282" i="5"/>
  <c r="BW282" i="5" s="1"/>
  <c r="BZ282" i="5" s="1"/>
  <c r="CJ282" i="5"/>
  <c r="BK282" i="5"/>
  <c r="BH283" i="5" s="1"/>
  <c r="CH282" i="5" l="1"/>
  <c r="BV282" i="5"/>
  <c r="CK282" i="5"/>
  <c r="CL282" i="5" s="1"/>
  <c r="BJ283" i="5"/>
  <c r="AS283" i="5"/>
  <c r="CF282" i="5" l="1"/>
  <c r="G291" i="8"/>
  <c r="BO283" i="5" l="1"/>
  <c r="BT283" i="5"/>
  <c r="AM283" i="5"/>
  <c r="AN283" i="5" l="1"/>
  <c r="AP283" i="5" l="1"/>
  <c r="AO283" i="5"/>
  <c r="AT283" i="5" l="1"/>
  <c r="AX283" i="5" s="1"/>
  <c r="AU283" i="5" l="1"/>
  <c r="AV283" i="5" l="1"/>
  <c r="AW283" i="5" s="1"/>
  <c r="CC283" i="5" l="1"/>
  <c r="AZ283" i="5"/>
  <c r="BA283" i="5" l="1"/>
  <c r="BE283" i="5" l="1"/>
  <c r="BL283" i="5" s="1"/>
  <c r="BB283" i="5"/>
  <c r="BC283" i="5" l="1"/>
  <c r="BP283" i="5"/>
  <c r="CG283" i="5" l="1"/>
  <c r="BQ283" i="5"/>
  <c r="BR283" i="5"/>
  <c r="BI283" i="5"/>
  <c r="CD283" i="5"/>
  <c r="BD283" i="5"/>
  <c r="CJ283" i="5" l="1"/>
  <c r="BK283" i="5"/>
  <c r="BH284" i="5" s="1"/>
  <c r="BU283" i="5"/>
  <c r="CB283" i="5"/>
  <c r="F292" i="8"/>
  <c r="CH283" i="5" l="1"/>
  <c r="BV283" i="5"/>
  <c r="BJ284" i="5"/>
  <c r="AS284" i="5"/>
  <c r="BW283" i="5"/>
  <c r="BZ283" i="5" s="1"/>
  <c r="CK283" i="5" s="1"/>
  <c r="CL283" i="5" s="1"/>
  <c r="CF283" i="5" l="1"/>
  <c r="G292" i="8"/>
  <c r="BO284" i="5" l="1"/>
  <c r="AM284" i="5"/>
  <c r="BT284" i="5"/>
  <c r="AN284" i="5" l="1"/>
  <c r="AP284" i="5" l="1"/>
  <c r="AO284" i="5"/>
  <c r="AT284" i="5" l="1"/>
  <c r="AX284" i="5" s="1"/>
  <c r="AU284" i="5" l="1"/>
  <c r="AV284" i="5" l="1"/>
  <c r="CC284" i="5" l="1"/>
  <c r="AZ284" i="5"/>
  <c r="AW284" i="5"/>
  <c r="BA284" i="5" l="1"/>
  <c r="BE284" i="5" l="1"/>
  <c r="BL284" i="5" s="1"/>
  <c r="BB284" i="5"/>
  <c r="BP284" i="5" l="1"/>
  <c r="BR284" i="5" s="1"/>
  <c r="BC284" i="5"/>
  <c r="BU284" i="5" l="1"/>
  <c r="BI284" i="5"/>
  <c r="CD284" i="5"/>
  <c r="BD284" i="5"/>
  <c r="CG284" i="5"/>
  <c r="BQ284" i="5"/>
  <c r="CB284" i="5" l="1"/>
  <c r="F293" i="8"/>
  <c r="CJ284" i="5"/>
  <c r="BK284" i="5"/>
  <c r="BH285" i="5" s="1"/>
  <c r="CH284" i="5"/>
  <c r="CF284" i="5" s="1"/>
  <c r="BV284" i="5"/>
  <c r="BW284" i="5"/>
  <c r="BZ284" i="5" s="1"/>
  <c r="CK284" i="5" s="1"/>
  <c r="G293" i="8" l="1"/>
  <c r="CL284" i="5"/>
  <c r="BO285" i="5"/>
  <c r="BJ285" i="5"/>
  <c r="BT285" i="5"/>
  <c r="AS285" i="5"/>
  <c r="AM285" i="5"/>
  <c r="AN285" i="5" l="1"/>
  <c r="AP285" i="5" l="1"/>
  <c r="AO285" i="5"/>
  <c r="AT285" i="5" l="1"/>
  <c r="AU285" i="5" l="1"/>
  <c r="AX285" i="5"/>
  <c r="AV285" i="5" l="1"/>
  <c r="CC285" i="5" l="1"/>
  <c r="AZ285" i="5"/>
  <c r="AW285" i="5"/>
  <c r="BA285" i="5" l="1"/>
  <c r="BE285" i="5" l="1"/>
  <c r="BL285" i="5" s="1"/>
  <c r="BB285" i="5"/>
  <c r="BC285" i="5" l="1"/>
  <c r="BP285" i="5"/>
  <c r="BR285" i="5" s="1"/>
  <c r="BU285" i="5" l="1"/>
  <c r="BW285" i="5" s="1"/>
  <c r="BZ285" i="5" s="1"/>
  <c r="CK285" i="5" s="1"/>
  <c r="CG285" i="5"/>
  <c r="BQ285" i="5"/>
  <c r="BI285" i="5"/>
  <c r="CD285" i="5"/>
  <c r="BD285" i="5"/>
  <c r="CB285" i="5" l="1"/>
  <c r="F294" i="8"/>
  <c r="CJ285" i="5"/>
  <c r="CL285" i="5" s="1"/>
  <c r="BK285" i="5"/>
  <c r="BH286" i="5" s="1"/>
  <c r="CH285" i="5"/>
  <c r="CF285" i="5" s="1"/>
  <c r="BV285" i="5"/>
  <c r="G294" i="8" l="1"/>
  <c r="BO286" i="5"/>
  <c r="BT286" i="5"/>
  <c r="BJ286" i="5"/>
  <c r="AS286" i="5"/>
  <c r="AM286" i="5"/>
  <c r="AN286" i="5" l="1"/>
  <c r="AO286" i="5" s="1"/>
  <c r="AP286" i="5" l="1"/>
  <c r="AT286" i="5" l="1"/>
  <c r="AX286" i="5"/>
  <c r="AU286" i="5" l="1"/>
  <c r="AV286" i="5" l="1"/>
  <c r="AW286" i="5" s="1"/>
  <c r="CC286" i="5" l="1"/>
  <c r="AZ286" i="5"/>
  <c r="BA286" i="5" l="1"/>
  <c r="BE286" i="5" l="1"/>
  <c r="BL286" i="5" s="1"/>
  <c r="BB286" i="5"/>
  <c r="BC286" i="5" l="1"/>
  <c r="BP286" i="5"/>
  <c r="BI286" i="5" l="1"/>
  <c r="CD286" i="5"/>
  <c r="CG286" i="5"/>
  <c r="BQ286" i="5"/>
  <c r="BR286" i="5"/>
  <c r="BD286" i="5"/>
  <c r="BU286" i="5" l="1"/>
  <c r="BW286" i="5" s="1"/>
  <c r="BZ286" i="5" s="1"/>
  <c r="CB286" i="5"/>
  <c r="F295" i="8"/>
  <c r="CJ286" i="5"/>
  <c r="BK286" i="5"/>
  <c r="BH287" i="5" s="1"/>
  <c r="BJ287" i="5" l="1"/>
  <c r="AS287" i="5"/>
  <c r="CH286" i="5"/>
  <c r="BV286" i="5"/>
  <c r="CK286" i="5"/>
  <c r="CL286" i="5" s="1"/>
  <c r="CF286" i="5" l="1"/>
  <c r="G295" i="8"/>
  <c r="BO287" i="5" l="1"/>
  <c r="BT287" i="5"/>
  <c r="AM287" i="5"/>
  <c r="AN287" i="5" l="1"/>
  <c r="AP287" i="5" l="1"/>
  <c r="AO287" i="5"/>
  <c r="AT287" i="5" l="1"/>
  <c r="AX287" i="5" s="1"/>
  <c r="AU287" i="5" l="1"/>
  <c r="AV287" i="5" l="1"/>
  <c r="CC287" i="5" l="1"/>
  <c r="AZ287" i="5"/>
  <c r="AW287" i="5"/>
  <c r="BA287" i="5" l="1"/>
  <c r="BE287" i="5" l="1"/>
  <c r="BL287" i="5" s="1"/>
  <c r="BB287" i="5"/>
  <c r="BC287" i="5" l="1"/>
  <c r="BP287" i="5"/>
  <c r="BR287" i="5" s="1"/>
  <c r="BI287" i="5" l="1"/>
  <c r="CD287" i="5"/>
  <c r="BU287" i="5"/>
  <c r="CG287" i="5"/>
  <c r="BQ287" i="5"/>
  <c r="BD287" i="5"/>
  <c r="CH287" i="5" l="1"/>
  <c r="CF287" i="5" s="1"/>
  <c r="BV287" i="5"/>
  <c r="G296" i="8"/>
  <c r="BW287" i="5"/>
  <c r="BZ287" i="5" s="1"/>
  <c r="CK287" i="5" s="1"/>
  <c r="CB287" i="5"/>
  <c r="F296" i="8"/>
  <c r="CJ287" i="5"/>
  <c r="BK287" i="5"/>
  <c r="BH288" i="5" s="1"/>
  <c r="BJ288" i="5" l="1"/>
  <c r="BT288" i="5"/>
  <c r="AS288" i="5"/>
  <c r="AM288" i="5"/>
  <c r="CL287" i="5"/>
  <c r="BO288" i="5"/>
  <c r="AN288" i="5" l="1"/>
  <c r="AP288" i="5" l="1"/>
  <c r="AO288" i="5"/>
  <c r="AT288" i="5" l="1"/>
  <c r="AU288" i="5" l="1"/>
  <c r="AX288" i="5"/>
  <c r="AV288" i="5" l="1"/>
  <c r="CC288" i="5" l="1"/>
  <c r="AZ288" i="5"/>
  <c r="AW288" i="5"/>
  <c r="BA288" i="5" l="1"/>
  <c r="BE288" i="5" l="1"/>
  <c r="BL288" i="5" s="1"/>
  <c r="BB288" i="5"/>
  <c r="BC288" i="5" l="1"/>
  <c r="BP288" i="5"/>
  <c r="CG288" i="5" l="1"/>
  <c r="BQ288" i="5"/>
  <c r="BR288" i="5"/>
  <c r="BI288" i="5"/>
  <c r="CD288" i="5"/>
  <c r="BD288" i="5"/>
  <c r="BU288" i="5" l="1"/>
  <c r="BW288" i="5" s="1"/>
  <c r="BZ288" i="5" s="1"/>
  <c r="CB288" i="5"/>
  <c r="F297" i="8"/>
  <c r="CJ288" i="5"/>
  <c r="BK288" i="5"/>
  <c r="BH289" i="5" s="1"/>
  <c r="BJ289" i="5" l="1"/>
  <c r="AS289" i="5"/>
  <c r="CH288" i="5"/>
  <c r="BV288" i="5"/>
  <c r="CK288" i="5"/>
  <c r="CL288" i="5" s="1"/>
  <c r="CF288" i="5" l="1"/>
  <c r="G297" i="8"/>
  <c r="BO289" i="5" l="1"/>
  <c r="BT289" i="5"/>
  <c r="AM289" i="5"/>
  <c r="AN289" i="5" l="1"/>
  <c r="AP289" i="5" l="1"/>
  <c r="AO289" i="5"/>
  <c r="AT289" i="5" l="1"/>
  <c r="AX289" i="5" s="1"/>
  <c r="AU289" i="5" l="1"/>
  <c r="AV289" i="5" l="1"/>
  <c r="AZ289" i="5" l="1"/>
  <c r="CC289" i="5"/>
  <c r="AW289" i="5"/>
  <c r="BA289" i="5" l="1"/>
  <c r="BE289" i="5" l="1"/>
  <c r="BL289" i="5" s="1"/>
  <c r="BB289" i="5"/>
  <c r="BC289" i="5" l="1"/>
  <c r="BP289" i="5"/>
  <c r="CG289" i="5" l="1"/>
  <c r="BQ289" i="5"/>
  <c r="BR289" i="5"/>
  <c r="BI289" i="5"/>
  <c r="CD289" i="5"/>
  <c r="BD289" i="5"/>
  <c r="BU289" i="5" l="1"/>
  <c r="BW289" i="5" s="1"/>
  <c r="BZ289" i="5" s="1"/>
  <c r="CJ289" i="5"/>
  <c r="BK289" i="5"/>
  <c r="BH290" i="5" s="1"/>
  <c r="CB289" i="5"/>
  <c r="F298" i="8"/>
  <c r="BJ290" i="5" l="1"/>
  <c r="AS290" i="5"/>
  <c r="CH289" i="5"/>
  <c r="BV289" i="5"/>
  <c r="CK289" i="5"/>
  <c r="CL289" i="5" s="1"/>
  <c r="CF289" i="5" l="1"/>
  <c r="G298" i="8"/>
  <c r="BO290" i="5" l="1"/>
  <c r="AM290" i="5"/>
  <c r="BT290" i="5"/>
  <c r="AN290" i="5" l="1"/>
  <c r="AP290" i="5" l="1"/>
  <c r="AO290" i="5"/>
  <c r="AT290" i="5" l="1"/>
  <c r="AX290" i="5" s="1"/>
  <c r="AU290" i="5" l="1"/>
  <c r="AV290" i="5" l="1"/>
  <c r="AZ290" i="5" l="1"/>
  <c r="CC290" i="5"/>
  <c r="AW290" i="5"/>
  <c r="BA290" i="5" l="1"/>
  <c r="BE290" i="5" l="1"/>
  <c r="BL290" i="5" s="1"/>
  <c r="BB290" i="5"/>
  <c r="BC290" i="5" l="1"/>
  <c r="BP290" i="5"/>
  <c r="CG290" i="5" l="1"/>
  <c r="BQ290" i="5"/>
  <c r="BR290" i="5"/>
  <c r="BI290" i="5"/>
  <c r="CD290" i="5"/>
  <c r="BD290" i="5"/>
  <c r="CB290" i="5" l="1"/>
  <c r="F299" i="8"/>
  <c r="CJ290" i="5"/>
  <c r="BK290" i="5"/>
  <c r="BH291" i="5" s="1"/>
  <c r="BU290" i="5"/>
  <c r="CH290" i="5" l="1"/>
  <c r="BV290" i="5"/>
  <c r="BW290" i="5"/>
  <c r="BZ290" i="5" s="1"/>
  <c r="CK290" i="5" s="1"/>
  <c r="CL290" i="5" s="1"/>
  <c r="BJ291" i="5"/>
  <c r="AS291" i="5"/>
  <c r="CF290" i="5" l="1"/>
  <c r="G299" i="8"/>
  <c r="BO291" i="5" l="1"/>
  <c r="BT291" i="5"/>
  <c r="AM291" i="5"/>
  <c r="AN291" i="5" l="1"/>
  <c r="AP291" i="5" l="1"/>
  <c r="AO291" i="5"/>
  <c r="AT291" i="5" l="1"/>
  <c r="AX291" i="5" s="1"/>
  <c r="AU291" i="5" l="1"/>
  <c r="AV291" i="5" l="1"/>
  <c r="AW291" i="5" s="1"/>
  <c r="AZ291" i="5" l="1"/>
  <c r="CC291" i="5"/>
  <c r="BA291" i="5" l="1"/>
  <c r="BE291" i="5" l="1"/>
  <c r="BL291" i="5" s="1"/>
  <c r="BB291" i="5"/>
  <c r="BC291" i="5" l="1"/>
  <c r="BP291" i="5"/>
  <c r="BR291" i="5" s="1"/>
  <c r="BU291" i="5" l="1"/>
  <c r="BW291" i="5" s="1"/>
  <c r="BZ291" i="5" s="1"/>
  <c r="CK291" i="5" s="1"/>
  <c r="CG291" i="5"/>
  <c r="BQ291" i="5"/>
  <c r="BI291" i="5"/>
  <c r="CD291" i="5"/>
  <c r="BD291" i="5"/>
  <c r="CJ291" i="5" l="1"/>
  <c r="CL291" i="5" s="1"/>
  <c r="BK291" i="5"/>
  <c r="BH292" i="5" s="1"/>
  <c r="CB291" i="5"/>
  <c r="F300" i="8"/>
  <c r="CH291" i="5"/>
  <c r="CF291" i="5" s="1"/>
  <c r="BV291" i="5"/>
  <c r="G300" i="8" l="1"/>
  <c r="BO292" i="5"/>
  <c r="BJ292" i="5"/>
  <c r="BT292" i="5"/>
  <c r="AS292" i="5"/>
  <c r="AM292" i="5"/>
  <c r="AN292" i="5" l="1"/>
  <c r="AP292" i="5" l="1"/>
  <c r="AO292" i="5"/>
  <c r="AT292" i="5" l="1"/>
  <c r="AX292" i="5" s="1"/>
  <c r="AU292" i="5" l="1"/>
  <c r="AV292" i="5" l="1"/>
  <c r="CC292" i="5" l="1"/>
  <c r="AZ292" i="5"/>
  <c r="AW292" i="5"/>
  <c r="BA292" i="5" l="1"/>
  <c r="BE292" i="5" l="1"/>
  <c r="BL292" i="5" s="1"/>
  <c r="BB292" i="5"/>
  <c r="BC292" i="5" l="1"/>
  <c r="BP292" i="5"/>
  <c r="BR292" i="5" s="1"/>
  <c r="BU292" i="5" l="1"/>
  <c r="CG292" i="5"/>
  <c r="BQ292" i="5"/>
  <c r="BI292" i="5"/>
  <c r="CD292" i="5"/>
  <c r="BD292" i="5"/>
  <c r="CJ292" i="5" l="1"/>
  <c r="BK292" i="5"/>
  <c r="BH293" i="5" s="1"/>
  <c r="CB292" i="5"/>
  <c r="F301" i="8"/>
  <c r="CH292" i="5"/>
  <c r="CF292" i="5" s="1"/>
  <c r="BV292" i="5"/>
  <c r="BW292" i="5"/>
  <c r="BZ292" i="5" s="1"/>
  <c r="CK292" i="5" s="1"/>
  <c r="BO293" i="5" l="1"/>
  <c r="G301" i="8"/>
  <c r="BJ293" i="5"/>
  <c r="BT293" i="5"/>
  <c r="AS293" i="5"/>
  <c r="AM293" i="5"/>
  <c r="CL292" i="5"/>
  <c r="AN293" i="5" l="1"/>
  <c r="AP293" i="5" l="1"/>
  <c r="AO293" i="5"/>
  <c r="AT293" i="5" l="1"/>
  <c r="AU293" i="5" l="1"/>
  <c r="AX293" i="5"/>
  <c r="AV293" i="5" l="1"/>
  <c r="CC293" i="5" l="1"/>
  <c r="AW293" i="5"/>
  <c r="AZ293" i="5"/>
  <c r="BA293" i="5" l="1"/>
  <c r="BE293" i="5" l="1"/>
  <c r="BL293" i="5" s="1"/>
  <c r="BB293" i="5"/>
  <c r="BP293" i="5" l="1"/>
  <c r="BR293" i="5" s="1"/>
  <c r="BC293" i="5"/>
  <c r="BU293" i="5" l="1"/>
  <c r="BW293" i="5" s="1"/>
  <c r="BZ293" i="5" s="1"/>
  <c r="CK293" i="5" s="1"/>
  <c r="BI293" i="5"/>
  <c r="CD293" i="5"/>
  <c r="BD293" i="5"/>
  <c r="CG293" i="5"/>
  <c r="BQ293" i="5"/>
  <c r="CB293" i="5" l="1"/>
  <c r="F302" i="8"/>
  <c r="CJ293" i="5"/>
  <c r="CL293" i="5" s="1"/>
  <c r="BK293" i="5"/>
  <c r="BH294" i="5" s="1"/>
  <c r="CH293" i="5"/>
  <c r="CF293" i="5" s="1"/>
  <c r="BV293" i="5"/>
  <c r="G302" i="8" l="1"/>
  <c r="BO294" i="5"/>
  <c r="BT294" i="5"/>
  <c r="BJ294" i="5"/>
  <c r="AS294" i="5"/>
  <c r="AM294" i="5"/>
  <c r="AN294" i="5" l="1"/>
  <c r="AP294" i="5" l="1"/>
  <c r="AO294" i="5"/>
  <c r="AT294" i="5" l="1"/>
  <c r="AX294" i="5" s="1"/>
  <c r="AU294" i="5" l="1"/>
  <c r="AV294" i="5" l="1"/>
  <c r="AW294" i="5" s="1"/>
  <c r="AZ294" i="5" l="1"/>
  <c r="CC294" i="5"/>
  <c r="BA294" i="5" l="1"/>
  <c r="BE294" i="5" l="1"/>
  <c r="BL294" i="5" s="1"/>
  <c r="BB294" i="5"/>
  <c r="BC294" i="5" l="1"/>
  <c r="BP294" i="5"/>
  <c r="BR294" i="5" s="1"/>
  <c r="BU294" i="5" l="1"/>
  <c r="BW294" i="5" s="1"/>
  <c r="BZ294" i="5" s="1"/>
  <c r="CK294" i="5" s="1"/>
  <c r="BI294" i="5"/>
  <c r="CD294" i="5"/>
  <c r="CG294" i="5"/>
  <c r="BQ294" i="5"/>
  <c r="BD294" i="5"/>
  <c r="CJ294" i="5" l="1"/>
  <c r="CL294" i="5" s="1"/>
  <c r="BK294" i="5"/>
  <c r="BH295" i="5" s="1"/>
  <c r="CB294" i="5"/>
  <c r="F303" i="8"/>
  <c r="CH294" i="5"/>
  <c r="CF294" i="5" s="1"/>
  <c r="BV294" i="5"/>
  <c r="BO295" i="5" l="1"/>
  <c r="BJ295" i="5"/>
  <c r="BT295" i="5"/>
  <c r="AS295" i="5"/>
  <c r="AM295" i="5"/>
  <c r="G303" i="8"/>
  <c r="AN295" i="5" l="1"/>
  <c r="AP295" i="5" l="1"/>
  <c r="AO295" i="5"/>
  <c r="AT295" i="5" l="1"/>
  <c r="AX295" i="5" s="1"/>
  <c r="AU295" i="5" l="1"/>
  <c r="AV295" i="5" l="1"/>
  <c r="AZ295" i="5" l="1"/>
  <c r="CC295" i="5"/>
  <c r="AW295" i="5"/>
  <c r="BA295" i="5" l="1"/>
  <c r="BE295" i="5" l="1"/>
  <c r="BL295" i="5" s="1"/>
  <c r="BB295" i="5"/>
  <c r="BP295" i="5" l="1"/>
  <c r="BR295" i="5"/>
  <c r="BC295" i="5"/>
  <c r="BI295" i="5" l="1"/>
  <c r="CD295" i="5"/>
  <c r="BU295" i="5"/>
  <c r="BD295" i="5"/>
  <c r="CG295" i="5"/>
  <c r="BQ295" i="5"/>
  <c r="CH295" i="5" l="1"/>
  <c r="CF295" i="5" s="1"/>
  <c r="BV295" i="5"/>
  <c r="G304" i="8"/>
  <c r="BW295" i="5"/>
  <c r="BZ295" i="5" s="1"/>
  <c r="CK295" i="5" s="1"/>
  <c r="CB295" i="5"/>
  <c r="F304" i="8"/>
  <c r="CJ295" i="5"/>
  <c r="BK295" i="5"/>
  <c r="BH296" i="5" s="1"/>
  <c r="CL295" i="5" l="1"/>
  <c r="BJ296" i="5"/>
  <c r="BT296" i="5"/>
  <c r="AS296" i="5"/>
  <c r="AM296" i="5"/>
  <c r="BO296" i="5"/>
  <c r="AN296" i="5" l="1"/>
  <c r="AP296" i="5" l="1"/>
  <c r="AO296" i="5"/>
  <c r="AT296" i="5" l="1"/>
  <c r="AU296" i="5" l="1"/>
  <c r="AX296" i="5"/>
  <c r="AV296" i="5" l="1"/>
  <c r="AW296" i="5" s="1"/>
  <c r="AZ296" i="5" l="1"/>
  <c r="CC296" i="5"/>
  <c r="BA296" i="5" l="1"/>
  <c r="BB296" i="5" s="1"/>
  <c r="BC296" i="5" l="1"/>
  <c r="BI296" i="5" s="1"/>
  <c r="BE296" i="5"/>
  <c r="BL296" i="5" s="1"/>
  <c r="BP296" i="5" l="1"/>
  <c r="BR296" i="5" s="1"/>
  <c r="CD296" i="5"/>
  <c r="CJ296" i="5"/>
  <c r="BK296" i="5"/>
  <c r="BH297" i="5" s="1"/>
  <c r="BD296" i="5"/>
  <c r="BU296" i="5" l="1"/>
  <c r="BW296" i="5" s="1"/>
  <c r="BZ296" i="5" s="1"/>
  <c r="CK296" i="5" s="1"/>
  <c r="CL296" i="5" s="1"/>
  <c r="CB296" i="5"/>
  <c r="F305" i="8"/>
  <c r="CG296" i="5"/>
  <c r="BQ296" i="5"/>
  <c r="BJ297" i="5" l="1"/>
  <c r="AS297" i="5"/>
  <c r="CH296" i="5"/>
  <c r="CF296" i="5" s="1"/>
  <c r="BT297" i="5" s="1"/>
  <c r="BV296" i="5"/>
  <c r="BO297" i="5" l="1"/>
  <c r="AM297" i="5"/>
  <c r="G305" i="8"/>
  <c r="AN297" i="5" l="1"/>
  <c r="AP297" i="5" l="1"/>
  <c r="AO297" i="5"/>
  <c r="AT297" i="5" l="1"/>
  <c r="AX297" i="5" s="1"/>
  <c r="AU297" i="5" l="1"/>
  <c r="AV297" i="5" l="1"/>
  <c r="AZ297" i="5" l="1"/>
  <c r="CC297" i="5"/>
  <c r="AW297" i="5"/>
  <c r="BA297" i="5" l="1"/>
  <c r="BE297" i="5" l="1"/>
  <c r="BL297" i="5" s="1"/>
  <c r="BB297" i="5"/>
  <c r="BC297" i="5" l="1"/>
  <c r="BP297" i="5"/>
  <c r="CG297" i="5" l="1"/>
  <c r="BQ297" i="5"/>
  <c r="BR297" i="5"/>
  <c r="BI297" i="5"/>
  <c r="CD297" i="5"/>
  <c r="BD297" i="5"/>
  <c r="CJ297" i="5" l="1"/>
  <c r="BK297" i="5"/>
  <c r="BH298" i="5" s="1"/>
  <c r="BU297" i="5"/>
  <c r="CB297" i="5"/>
  <c r="F306" i="8"/>
  <c r="CH297" i="5" l="1"/>
  <c r="BV297" i="5"/>
  <c r="BJ298" i="5"/>
  <c r="AS298" i="5"/>
  <c r="BW297" i="5"/>
  <c r="BZ297" i="5" s="1"/>
  <c r="CK297" i="5" s="1"/>
  <c r="CL297" i="5" s="1"/>
  <c r="CF297" i="5" l="1"/>
  <c r="G306" i="8"/>
  <c r="BO298" i="5" l="1"/>
  <c r="AM298" i="5"/>
  <c r="BT298" i="5"/>
  <c r="AN298" i="5" l="1"/>
  <c r="AP298" i="5" l="1"/>
  <c r="AO298" i="5"/>
  <c r="AT298" i="5" l="1"/>
  <c r="AX298" i="5" s="1"/>
  <c r="AU298" i="5" l="1"/>
  <c r="AV298" i="5" l="1"/>
  <c r="AZ298" i="5" l="1"/>
  <c r="CC298" i="5"/>
  <c r="AW298" i="5"/>
  <c r="BA298" i="5" l="1"/>
  <c r="BE298" i="5" l="1"/>
  <c r="BL298" i="5" s="1"/>
  <c r="BB298" i="5"/>
  <c r="BP298" i="5" l="1"/>
  <c r="BR298" i="5" s="1"/>
  <c r="BC298" i="5"/>
  <c r="BI298" i="5" l="1"/>
  <c r="CD298" i="5"/>
  <c r="BU298" i="5"/>
  <c r="BD298" i="5"/>
  <c r="CG298" i="5"/>
  <c r="BQ298" i="5"/>
  <c r="CH298" i="5" l="1"/>
  <c r="CF298" i="5" s="1"/>
  <c r="BV298" i="5"/>
  <c r="BW298" i="5"/>
  <c r="BZ298" i="5" s="1"/>
  <c r="CK298" i="5"/>
  <c r="CB298" i="5"/>
  <c r="F307" i="8"/>
  <c r="CJ298" i="5"/>
  <c r="CL298" i="5" s="1"/>
  <c r="BK298" i="5"/>
  <c r="BH299" i="5" s="1"/>
  <c r="BO299" i="5" l="1"/>
  <c r="BJ299" i="5"/>
  <c r="BT299" i="5"/>
  <c r="AS299" i="5"/>
  <c r="AM299" i="5"/>
  <c r="G307" i="8"/>
  <c r="AN299" i="5" l="1"/>
  <c r="AP299" i="5" l="1"/>
  <c r="AO299" i="5"/>
  <c r="AT299" i="5" l="1"/>
  <c r="AX299" i="5" s="1"/>
  <c r="AU299" i="5" l="1"/>
  <c r="AV299" i="5" l="1"/>
  <c r="AW299" i="5" s="1"/>
  <c r="AZ299" i="5" l="1"/>
  <c r="CC299" i="5"/>
  <c r="BA299" i="5" l="1"/>
  <c r="BE299" i="5" l="1"/>
  <c r="BL299" i="5" s="1"/>
  <c r="BB299" i="5"/>
  <c r="BC299" i="5" l="1"/>
  <c r="BP299" i="5"/>
  <c r="BR299" i="5"/>
  <c r="BU299" i="5" l="1"/>
  <c r="BW299" i="5" s="1"/>
  <c r="BZ299" i="5" s="1"/>
  <c r="CK299" i="5" s="1"/>
  <c r="CG299" i="5"/>
  <c r="BQ299" i="5"/>
  <c r="BI299" i="5"/>
  <c r="CD299" i="5"/>
  <c r="BD299" i="5"/>
  <c r="CB299" i="5" l="1"/>
  <c r="F308" i="8"/>
  <c r="CJ299" i="5"/>
  <c r="CL299" i="5" s="1"/>
  <c r="BK299" i="5"/>
  <c r="BH300" i="5" s="1"/>
  <c r="CH299" i="5"/>
  <c r="CF299" i="5" s="1"/>
  <c r="BV299" i="5"/>
  <c r="G308" i="8" l="1"/>
  <c r="BO300" i="5"/>
  <c r="BJ300" i="5"/>
  <c r="BT300" i="5"/>
  <c r="AS300" i="5"/>
  <c r="AM300" i="5"/>
  <c r="AN300" i="5" l="1"/>
  <c r="AP300" i="5" l="1"/>
  <c r="AO300" i="5"/>
  <c r="AT300" i="5" l="1"/>
  <c r="AX300" i="5" s="1"/>
  <c r="AU300" i="5" l="1"/>
  <c r="AV300" i="5" l="1"/>
  <c r="AZ300" i="5" l="1"/>
  <c r="CC300" i="5"/>
  <c r="AW300" i="5"/>
  <c r="BA300" i="5" l="1"/>
  <c r="BE300" i="5" l="1"/>
  <c r="BL300" i="5" s="1"/>
  <c r="BB300" i="5"/>
  <c r="BC300" i="5" l="1"/>
  <c r="BP300" i="5"/>
  <c r="BR300" i="5" s="1"/>
  <c r="BU300" i="5" l="1"/>
  <c r="BI300" i="5"/>
  <c r="CD300" i="5"/>
  <c r="CG300" i="5"/>
  <c r="BQ300" i="5"/>
  <c r="BD300" i="5"/>
  <c r="CJ300" i="5" l="1"/>
  <c r="BK300" i="5"/>
  <c r="BH301" i="5" s="1"/>
  <c r="CH300" i="5"/>
  <c r="CF300" i="5" s="1"/>
  <c r="BV300" i="5"/>
  <c r="G309" i="8"/>
  <c r="CB300" i="5"/>
  <c r="F309" i="8"/>
  <c r="BW300" i="5"/>
  <c r="BZ300" i="5" s="1"/>
  <c r="CK300" i="5" s="1"/>
  <c r="BJ301" i="5" l="1"/>
  <c r="BT301" i="5"/>
  <c r="AS301" i="5"/>
  <c r="AM301" i="5"/>
  <c r="CL300" i="5"/>
  <c r="BO301" i="5"/>
  <c r="AN301" i="5" l="1"/>
  <c r="AO301" i="5" s="1"/>
  <c r="AP301" i="5" l="1"/>
  <c r="AT301" i="5" l="1"/>
  <c r="AU301" i="5" l="1"/>
  <c r="AX301" i="5"/>
  <c r="AV301" i="5" l="1"/>
  <c r="AW301" i="5" s="1"/>
  <c r="CC301" i="5" l="1"/>
  <c r="AZ301" i="5"/>
  <c r="BA301" i="5" l="1"/>
  <c r="BE301" i="5" l="1"/>
  <c r="BL301" i="5" s="1"/>
  <c r="BB301" i="5"/>
  <c r="BC301" i="5" l="1"/>
  <c r="BP301" i="5"/>
  <c r="BR301" i="5" s="1"/>
  <c r="BI301" i="5" l="1"/>
  <c r="CD301" i="5"/>
  <c r="BU301" i="5"/>
  <c r="CG301" i="5"/>
  <c r="BQ301" i="5"/>
  <c r="BD301" i="5"/>
  <c r="CH301" i="5" l="1"/>
  <c r="CF301" i="5" s="1"/>
  <c r="BV301" i="5"/>
  <c r="CB301" i="5"/>
  <c r="F310" i="8"/>
  <c r="BW301" i="5"/>
  <c r="BZ301" i="5" s="1"/>
  <c r="CK301" i="5" s="1"/>
  <c r="CJ301" i="5"/>
  <c r="BK301" i="5"/>
  <c r="BH302" i="5" s="1"/>
  <c r="CL301" i="5" l="1"/>
  <c r="BO302" i="5"/>
  <c r="BT302" i="5"/>
  <c r="BJ302" i="5"/>
  <c r="AS302" i="5"/>
  <c r="AM302" i="5"/>
  <c r="G310" i="8"/>
  <c r="AN302" i="5" l="1"/>
  <c r="AO302" i="5" s="1"/>
  <c r="AP302" i="5" l="1"/>
  <c r="AT302" i="5" l="1"/>
  <c r="AX302" i="5" s="1"/>
  <c r="AU302" i="5" l="1"/>
  <c r="AV302" i="5" l="1"/>
  <c r="AW302" i="5" s="1"/>
  <c r="CC302" i="5" l="1"/>
  <c r="AZ302" i="5"/>
  <c r="BA302" i="5" l="1"/>
  <c r="BE302" i="5" l="1"/>
  <c r="BL302" i="5" s="1"/>
  <c r="BB302" i="5"/>
  <c r="BP302" i="5" l="1"/>
  <c r="BC302" i="5"/>
  <c r="BI302" i="5" l="1"/>
  <c r="CD302" i="5"/>
  <c r="BD302" i="5"/>
  <c r="CG302" i="5"/>
  <c r="BQ302" i="5"/>
  <c r="BR302" i="5"/>
  <c r="BU302" i="5" l="1"/>
  <c r="BW302" i="5" s="1"/>
  <c r="BZ302" i="5" s="1"/>
  <c r="CB302" i="5"/>
  <c r="F311" i="8"/>
  <c r="CJ302" i="5"/>
  <c r="BK302" i="5"/>
  <c r="BH303" i="5" s="1"/>
  <c r="CH302" i="5" l="1"/>
  <c r="BV302" i="5"/>
  <c r="CK302" i="5"/>
  <c r="CL302" i="5" s="1"/>
  <c r="BJ303" i="5"/>
  <c r="AS303" i="5"/>
  <c r="CF302" i="5" l="1"/>
  <c r="G311" i="8"/>
  <c r="BO303" i="5" l="1"/>
  <c r="AM303" i="5"/>
  <c r="BT303" i="5"/>
  <c r="AN303" i="5" l="1"/>
  <c r="AP303" i="5" l="1"/>
  <c r="AO303" i="5"/>
  <c r="AT303" i="5" l="1"/>
  <c r="AX303" i="5"/>
  <c r="AU303" i="5" l="1"/>
  <c r="AV303" i="5" l="1"/>
  <c r="AZ303" i="5" l="1"/>
  <c r="CC303" i="5"/>
  <c r="AW303" i="5"/>
  <c r="BA303" i="5" l="1"/>
  <c r="BB303" i="5" s="1"/>
  <c r="BC303" i="5" l="1"/>
  <c r="BI303" i="5" s="1"/>
  <c r="BE303" i="5"/>
  <c r="BL303" i="5" s="1"/>
  <c r="BP303" i="5" l="1"/>
  <c r="BR303" i="5" s="1"/>
  <c r="CD303" i="5"/>
  <c r="CJ303" i="5"/>
  <c r="BK303" i="5"/>
  <c r="BH304" i="5" s="1"/>
  <c r="BD303" i="5"/>
  <c r="CB303" i="5" l="1"/>
  <c r="F312" i="8"/>
  <c r="BU303" i="5"/>
  <c r="CG303" i="5"/>
  <c r="BQ303" i="5"/>
  <c r="CH303" i="5" l="1"/>
  <c r="CF303" i="5" s="1"/>
  <c r="BV303" i="5"/>
  <c r="BW303" i="5"/>
  <c r="BZ303" i="5" s="1"/>
  <c r="CK303" i="5" s="1"/>
  <c r="CL303" i="5" s="1"/>
  <c r="BJ304" i="5"/>
  <c r="BT304" i="5"/>
  <c r="AS304" i="5"/>
  <c r="AM304" i="5"/>
  <c r="G312" i="8"/>
  <c r="AN304" i="5" l="1"/>
  <c r="BO304" i="5"/>
  <c r="AP304" i="5" l="1"/>
  <c r="AO304" i="5"/>
  <c r="AT304" i="5" l="1"/>
  <c r="AU304" i="5" l="1"/>
  <c r="AX304" i="5"/>
  <c r="AV304" i="5" l="1"/>
  <c r="AZ304" i="5" s="1"/>
  <c r="BA304" i="5" l="1"/>
  <c r="AW304" i="5"/>
  <c r="CC304" i="5"/>
  <c r="BE304" i="5" l="1"/>
  <c r="BL304" i="5" s="1"/>
  <c r="BB304" i="5"/>
  <c r="BC304" i="5" l="1"/>
  <c r="BP304" i="5"/>
  <c r="BR304" i="5" s="1"/>
  <c r="BU304" i="5" l="1"/>
  <c r="BW304" i="5" s="1"/>
  <c r="BZ304" i="5" s="1"/>
  <c r="CK304" i="5" s="1"/>
  <c r="CG304" i="5"/>
  <c r="BQ304" i="5"/>
  <c r="BI304" i="5"/>
  <c r="CD304" i="5"/>
  <c r="BD304" i="5"/>
  <c r="CB304" i="5" l="1"/>
  <c r="F313" i="8"/>
  <c r="CJ304" i="5"/>
  <c r="CL304" i="5" s="1"/>
  <c r="BK304" i="5"/>
  <c r="BH305" i="5" s="1"/>
  <c r="G313" i="8"/>
  <c r="CH304" i="5"/>
  <c r="CF304" i="5" s="1"/>
  <c r="BV304" i="5"/>
  <c r="BO305" i="5" l="1"/>
  <c r="BT305" i="5"/>
  <c r="BJ305" i="5"/>
  <c r="AS305" i="5"/>
  <c r="AM305" i="5"/>
  <c r="AN305" i="5" l="1"/>
  <c r="AO305" i="5" s="1"/>
  <c r="AP305" i="5" l="1"/>
  <c r="AT305" i="5" l="1"/>
  <c r="AX305" i="5" s="1"/>
  <c r="AU305" i="5" l="1"/>
  <c r="AV305" i="5" l="1"/>
  <c r="AZ305" i="5" l="1"/>
  <c r="CC305" i="5"/>
  <c r="AW305" i="5"/>
  <c r="BA305" i="5" l="1"/>
  <c r="BE305" i="5" l="1"/>
  <c r="BL305" i="5" s="1"/>
  <c r="BB305" i="5"/>
  <c r="BC305" i="5" l="1"/>
  <c r="BP305" i="5"/>
  <c r="BI305" i="5" l="1"/>
  <c r="CD305" i="5"/>
  <c r="CG305" i="5"/>
  <c r="BQ305" i="5"/>
  <c r="BR305" i="5"/>
  <c r="BD305" i="5"/>
  <c r="BU305" i="5" l="1"/>
  <c r="BW305" i="5" s="1"/>
  <c r="BZ305" i="5" s="1"/>
  <c r="CB305" i="5"/>
  <c r="F314" i="8"/>
  <c r="CJ305" i="5"/>
  <c r="BK305" i="5"/>
  <c r="BH306" i="5" s="1"/>
  <c r="BJ306" i="5" l="1"/>
  <c r="AS306" i="5"/>
  <c r="CH305" i="5"/>
  <c r="BV305" i="5"/>
  <c r="CK305" i="5"/>
  <c r="CL305" i="5" s="1"/>
  <c r="CF305" i="5" l="1"/>
  <c r="G314" i="8"/>
  <c r="BO306" i="5" l="1"/>
  <c r="BT306" i="5"/>
  <c r="AM306" i="5"/>
  <c r="AN306" i="5" l="1"/>
  <c r="AO306" i="5" s="1"/>
  <c r="AP306" i="5" l="1"/>
  <c r="AT306" i="5" l="1"/>
  <c r="AX306" i="5"/>
  <c r="AU306" i="5" l="1"/>
  <c r="AV306" i="5" l="1"/>
  <c r="CC306" i="5" l="1"/>
  <c r="AZ306" i="5"/>
  <c r="AW306" i="5"/>
  <c r="BA306" i="5" l="1"/>
  <c r="BE306" i="5" l="1"/>
  <c r="BL306" i="5" s="1"/>
  <c r="BB306" i="5"/>
  <c r="BP306" i="5" l="1"/>
  <c r="BR306" i="5" s="1"/>
  <c r="BC306" i="5"/>
  <c r="BI306" i="5" l="1"/>
  <c r="CD306" i="5"/>
  <c r="BU306" i="5"/>
  <c r="BW306" i="5" s="1"/>
  <c r="BZ306" i="5" s="1"/>
  <c r="BD306" i="5"/>
  <c r="CG306" i="5"/>
  <c r="BQ306" i="5"/>
  <c r="CB306" i="5" l="1"/>
  <c r="F315" i="8"/>
  <c r="CH306" i="5"/>
  <c r="CF306" i="5" s="1"/>
  <c r="BV306" i="5"/>
  <c r="CK306" i="5"/>
  <c r="CJ306" i="5"/>
  <c r="BK306" i="5"/>
  <c r="BH307" i="5" s="1"/>
  <c r="BO307" i="5" l="1"/>
  <c r="BJ307" i="5"/>
  <c r="BT307" i="5"/>
  <c r="AS307" i="5"/>
  <c r="AM307" i="5"/>
  <c r="CL306" i="5"/>
  <c r="G315" i="8"/>
  <c r="AN307" i="5" l="1"/>
  <c r="AP307" i="5" l="1"/>
  <c r="AO307" i="5"/>
  <c r="AT307" i="5" l="1"/>
  <c r="AX307" i="5" s="1"/>
  <c r="AU307" i="5" l="1"/>
  <c r="AV307" i="5" l="1"/>
  <c r="AW307" i="5" s="1"/>
  <c r="CC307" i="5" l="1"/>
  <c r="AZ307" i="5"/>
  <c r="BA307" i="5" l="1"/>
  <c r="BE307" i="5" l="1"/>
  <c r="BL307" i="5" s="1"/>
  <c r="BB307" i="5"/>
  <c r="BC307" i="5" l="1"/>
  <c r="BP307" i="5"/>
  <c r="BR307" i="5" s="1"/>
  <c r="BU307" i="5" l="1"/>
  <c r="BW307" i="5" s="1"/>
  <c r="BZ307" i="5" s="1"/>
  <c r="CG307" i="5"/>
  <c r="BQ307" i="5"/>
  <c r="BI307" i="5"/>
  <c r="CD307" i="5"/>
  <c r="BD307" i="5"/>
  <c r="CK307" i="5" l="1"/>
  <c r="CJ307" i="5"/>
  <c r="CL307" i="5" s="1"/>
  <c r="BK307" i="5"/>
  <c r="BH308" i="5" s="1"/>
  <c r="CB307" i="5"/>
  <c r="F316" i="8"/>
  <c r="CH307" i="5"/>
  <c r="CF307" i="5" s="1"/>
  <c r="BV307" i="5"/>
  <c r="BO308" i="5" l="1"/>
  <c r="G316" i="8"/>
  <c r="BJ308" i="5"/>
  <c r="BT308" i="5"/>
  <c r="AS308" i="5"/>
  <c r="AM308" i="5"/>
  <c r="AN308" i="5" l="1"/>
  <c r="AP308" i="5" l="1"/>
  <c r="AO308" i="5"/>
  <c r="AT308" i="5" l="1"/>
  <c r="AX308" i="5" s="1"/>
  <c r="AU308" i="5" l="1"/>
  <c r="AV308" i="5" l="1"/>
  <c r="CC308" i="5" l="1"/>
  <c r="AZ308" i="5"/>
  <c r="AW308" i="5"/>
  <c r="BA308" i="5" l="1"/>
  <c r="BE308" i="5" l="1"/>
  <c r="BL308" i="5" s="1"/>
  <c r="BB308" i="5"/>
  <c r="BC308" i="5" l="1"/>
  <c r="BP308" i="5"/>
  <c r="BR308" i="5" s="1"/>
  <c r="BU308" i="5" l="1"/>
  <c r="BI308" i="5"/>
  <c r="CD308" i="5"/>
  <c r="CG308" i="5"/>
  <c r="BQ308" i="5"/>
  <c r="BD308" i="5"/>
  <c r="CB308" i="5" l="1"/>
  <c r="F317" i="8"/>
  <c r="CJ308" i="5"/>
  <c r="BK308" i="5"/>
  <c r="BH309" i="5" s="1"/>
  <c r="CH308" i="5"/>
  <c r="CF308" i="5" s="1"/>
  <c r="BV308" i="5"/>
  <c r="BW308" i="5"/>
  <c r="BZ308" i="5" s="1"/>
  <c r="CK308" i="5" s="1"/>
  <c r="BO309" i="5" l="1"/>
  <c r="G317" i="8"/>
  <c r="CL308" i="5"/>
  <c r="BJ309" i="5"/>
  <c r="BT309" i="5"/>
  <c r="AS309" i="5"/>
  <c r="AM309" i="5"/>
  <c r="AN309" i="5" l="1"/>
  <c r="AP309" i="5" l="1"/>
  <c r="AO309" i="5"/>
  <c r="AT309" i="5" l="1"/>
  <c r="AU309" i="5" l="1"/>
  <c r="AX309" i="5"/>
  <c r="AV309" i="5" l="1"/>
  <c r="AZ309" i="5" s="1"/>
  <c r="BA309" i="5" l="1"/>
  <c r="CC309" i="5"/>
  <c r="AW309" i="5"/>
  <c r="BE309" i="5" l="1"/>
  <c r="BL309" i="5" s="1"/>
  <c r="BB309" i="5"/>
  <c r="BP309" i="5" l="1"/>
  <c r="BR309" i="5" s="1"/>
  <c r="BC309" i="5"/>
  <c r="BU309" i="5" l="1"/>
  <c r="BW309" i="5" s="1"/>
  <c r="BZ309" i="5" s="1"/>
  <c r="BI309" i="5"/>
  <c r="CD309" i="5"/>
  <c r="BD309" i="5"/>
  <c r="CG309" i="5"/>
  <c r="BQ309" i="5"/>
  <c r="CK309" i="5" l="1"/>
  <c r="CB309" i="5"/>
  <c r="F318" i="8"/>
  <c r="CJ309" i="5"/>
  <c r="CL309" i="5" s="1"/>
  <c r="BK309" i="5"/>
  <c r="BH310" i="5" s="1"/>
  <c r="CH309" i="5"/>
  <c r="CF309" i="5" s="1"/>
  <c r="BV309" i="5"/>
  <c r="BT310" i="5" l="1"/>
  <c r="BJ310" i="5"/>
  <c r="AS310" i="5"/>
  <c r="AM310" i="5"/>
  <c r="BO310" i="5"/>
  <c r="G318" i="8"/>
  <c r="AN310" i="5" l="1"/>
  <c r="AP310" i="5" l="1"/>
  <c r="AO310" i="5"/>
  <c r="AT310" i="5" l="1"/>
  <c r="AX310" i="5" s="1"/>
  <c r="AU310" i="5" l="1"/>
  <c r="AV310" i="5" l="1"/>
  <c r="AW310" i="5" s="1"/>
  <c r="CC310" i="5" l="1"/>
  <c r="AZ310" i="5"/>
  <c r="BA310" i="5" l="1"/>
  <c r="BE310" i="5" l="1"/>
  <c r="BL310" i="5" s="1"/>
  <c r="BB310" i="5"/>
  <c r="BC310" i="5" l="1"/>
  <c r="BP310" i="5"/>
  <c r="CG310" i="5" l="1"/>
  <c r="BQ310" i="5"/>
  <c r="BR310" i="5"/>
  <c r="BI310" i="5"/>
  <c r="CD310" i="5"/>
  <c r="BD310" i="5"/>
  <c r="CB310" i="5" l="1"/>
  <c r="F319" i="8"/>
  <c r="CJ310" i="5"/>
  <c r="BK310" i="5"/>
  <c r="BH311" i="5" s="1"/>
  <c r="BU310" i="5"/>
  <c r="BW310" i="5" s="1"/>
  <c r="BZ310" i="5" s="1"/>
  <c r="CH310" i="5" l="1"/>
  <c r="BV310" i="5"/>
  <c r="CK310" i="5"/>
  <c r="CL310" i="5" s="1"/>
  <c r="BJ311" i="5"/>
  <c r="AS311" i="5"/>
  <c r="CF310" i="5" l="1"/>
  <c r="G319" i="8"/>
  <c r="BO311" i="5" l="1"/>
  <c r="BT311" i="5"/>
  <c r="AM311" i="5"/>
  <c r="AN311" i="5" l="1"/>
  <c r="AP311" i="5" l="1"/>
  <c r="AO311" i="5"/>
  <c r="AT311" i="5" l="1"/>
  <c r="AX311" i="5" s="1"/>
  <c r="AU311" i="5" l="1"/>
  <c r="AV311" i="5" l="1"/>
  <c r="CC311" i="5" l="1"/>
  <c r="AZ311" i="5"/>
  <c r="AW311" i="5"/>
  <c r="BA311" i="5" l="1"/>
  <c r="BE311" i="5" l="1"/>
  <c r="BL311" i="5" s="1"/>
  <c r="BB311" i="5"/>
  <c r="BC311" i="5" l="1"/>
  <c r="BP311" i="5"/>
  <c r="BR311" i="5" s="1"/>
  <c r="BU311" i="5" l="1"/>
  <c r="CG311" i="5"/>
  <c r="BQ311" i="5"/>
  <c r="BI311" i="5"/>
  <c r="CD311" i="5"/>
  <c r="BD311" i="5"/>
  <c r="CJ311" i="5" l="1"/>
  <c r="BK311" i="5"/>
  <c r="BH312" i="5" s="1"/>
  <c r="CB311" i="5"/>
  <c r="F320" i="8"/>
  <c r="CH311" i="5"/>
  <c r="CF311" i="5" s="1"/>
  <c r="BV311" i="5"/>
  <c r="BW311" i="5"/>
  <c r="BZ311" i="5" s="1"/>
  <c r="CK311" i="5" s="1"/>
  <c r="G320" i="8" l="1"/>
  <c r="BO312" i="5"/>
  <c r="BJ312" i="5"/>
  <c r="BT312" i="5"/>
  <c r="AS312" i="5"/>
  <c r="AM312" i="5"/>
  <c r="CL311" i="5"/>
  <c r="AN312" i="5" l="1"/>
  <c r="AP312" i="5" l="1"/>
  <c r="AO312" i="5"/>
  <c r="AT312" i="5" l="1"/>
  <c r="AU312" i="5" l="1"/>
  <c r="AX312" i="5"/>
  <c r="AV312" i="5" l="1"/>
  <c r="CC312" i="5" l="1"/>
  <c r="AW312" i="5"/>
  <c r="AZ312" i="5"/>
  <c r="BA312" i="5" l="1"/>
  <c r="BB312" i="5" s="1"/>
  <c r="BC312" i="5" l="1"/>
  <c r="BI312" i="5" s="1"/>
  <c r="BE312" i="5"/>
  <c r="BL312" i="5" s="1"/>
  <c r="BP312" i="5" l="1"/>
  <c r="BR312" i="5" s="1"/>
  <c r="CD312" i="5"/>
  <c r="CJ312" i="5"/>
  <c r="BK312" i="5"/>
  <c r="BH313" i="5" s="1"/>
  <c r="BD312" i="5"/>
  <c r="BU312" i="5" l="1"/>
  <c r="BW312" i="5" s="1"/>
  <c r="BZ312" i="5" s="1"/>
  <c r="CK312" i="5" s="1"/>
  <c r="CL312" i="5" s="1"/>
  <c r="CG312" i="5"/>
  <c r="BQ312" i="5"/>
  <c r="CB312" i="5"/>
  <c r="F321" i="8"/>
  <c r="BT313" i="5" l="1"/>
  <c r="BJ313" i="5"/>
  <c r="AS313" i="5"/>
  <c r="CH312" i="5"/>
  <c r="CF312" i="5" s="1"/>
  <c r="BV312" i="5"/>
  <c r="BO313" i="5" l="1"/>
  <c r="G321" i="8"/>
  <c r="AM313" i="5"/>
  <c r="AN313" i="5" l="1"/>
  <c r="AP313" i="5" l="1"/>
  <c r="AO313" i="5"/>
  <c r="AT313" i="5" l="1"/>
  <c r="AX313" i="5" s="1"/>
  <c r="AU313" i="5" l="1"/>
  <c r="AV313" i="5" l="1"/>
  <c r="CC313" i="5" l="1"/>
  <c r="AZ313" i="5"/>
  <c r="AW313" i="5"/>
  <c r="BA313" i="5" l="1"/>
  <c r="BE313" i="5" l="1"/>
  <c r="BL313" i="5" s="1"/>
  <c r="BB313" i="5"/>
  <c r="BC313" i="5" l="1"/>
  <c r="BP313" i="5"/>
  <c r="CG313" i="5" l="1"/>
  <c r="BQ313" i="5"/>
  <c r="BR313" i="5"/>
  <c r="BI313" i="5"/>
  <c r="CD313" i="5"/>
  <c r="BD313" i="5"/>
  <c r="CB313" i="5" l="1"/>
  <c r="F322" i="8"/>
  <c r="CJ313" i="5"/>
  <c r="BK313" i="5"/>
  <c r="BH314" i="5" s="1"/>
  <c r="BU313" i="5"/>
  <c r="BW313" i="5" s="1"/>
  <c r="BZ313" i="5" s="1"/>
  <c r="CH313" i="5" l="1"/>
  <c r="BV313" i="5"/>
  <c r="CK313" i="5"/>
  <c r="CL313" i="5" s="1"/>
  <c r="BJ314" i="5"/>
  <c r="AS314" i="5"/>
  <c r="CF313" i="5" l="1"/>
  <c r="G322" i="8"/>
  <c r="BO314" i="5" l="1"/>
  <c r="BT314" i="5"/>
  <c r="AM314" i="5"/>
  <c r="AN314" i="5" l="1"/>
  <c r="AP314" i="5" l="1"/>
  <c r="AO314" i="5"/>
  <c r="AT314" i="5" l="1"/>
  <c r="AX314" i="5" s="1"/>
  <c r="AU314" i="5" l="1"/>
  <c r="AV314" i="5" l="1"/>
  <c r="AZ314" i="5" l="1"/>
  <c r="CC314" i="5"/>
  <c r="AW314" i="5"/>
  <c r="BA314" i="5" l="1"/>
  <c r="BE314" i="5" l="1"/>
  <c r="BL314" i="5" s="1"/>
  <c r="BB314" i="5"/>
  <c r="BC314" i="5" l="1"/>
  <c r="BP314" i="5"/>
  <c r="BR314" i="5" s="1"/>
  <c r="BU314" i="5" l="1"/>
  <c r="BW314" i="5" s="1"/>
  <c r="BZ314" i="5" s="1"/>
  <c r="CK314" i="5" s="1"/>
  <c r="CG314" i="5"/>
  <c r="BQ314" i="5"/>
  <c r="BI314" i="5"/>
  <c r="CD314" i="5"/>
  <c r="BD314" i="5"/>
  <c r="CB314" i="5" l="1"/>
  <c r="F323" i="8"/>
  <c r="CJ314" i="5"/>
  <c r="CL314" i="5" s="1"/>
  <c r="BK314" i="5"/>
  <c r="BH315" i="5" s="1"/>
  <c r="CH314" i="5"/>
  <c r="CF314" i="5" s="1"/>
  <c r="BV314" i="5"/>
  <c r="BO315" i="5" l="1"/>
  <c r="BJ315" i="5"/>
  <c r="BT315" i="5"/>
  <c r="AS315" i="5"/>
  <c r="AM315" i="5"/>
  <c r="G323" i="8"/>
  <c r="AN315" i="5" l="1"/>
  <c r="AP315" i="5" l="1"/>
  <c r="AO315" i="5"/>
  <c r="AT315" i="5" l="1"/>
  <c r="AX315" i="5" s="1"/>
  <c r="AU315" i="5" l="1"/>
  <c r="AV315" i="5" l="1"/>
  <c r="AW315" i="5" s="1"/>
  <c r="AZ315" i="5" l="1"/>
  <c r="CC315" i="5"/>
  <c r="BA315" i="5" l="1"/>
  <c r="BB315" i="5" s="1"/>
  <c r="BC315" i="5" l="1"/>
  <c r="BI315" i="5" s="1"/>
  <c r="BE315" i="5"/>
  <c r="BL315" i="5" s="1"/>
  <c r="CD315" i="5" l="1"/>
  <c r="CJ315" i="5"/>
  <c r="BK315" i="5"/>
  <c r="BH316" i="5" s="1"/>
  <c r="BP315" i="5"/>
  <c r="BR315" i="5" s="1"/>
  <c r="BD315" i="5"/>
  <c r="BU315" i="5" l="1"/>
  <c r="BW315" i="5" s="1"/>
  <c r="BZ315" i="5" s="1"/>
  <c r="CK315" i="5" s="1"/>
  <c r="CL315" i="5" s="1"/>
  <c r="CG315" i="5"/>
  <c r="BQ315" i="5"/>
  <c r="CB315" i="5"/>
  <c r="F324" i="8"/>
  <c r="BJ316" i="5" l="1"/>
  <c r="AS316" i="5"/>
  <c r="CH315" i="5"/>
  <c r="CF315" i="5" s="1"/>
  <c r="BT316" i="5" s="1"/>
  <c r="BV315" i="5"/>
  <c r="G324" i="8" l="1"/>
  <c r="BO316" i="5"/>
  <c r="AM316" i="5"/>
  <c r="AN316" i="5" l="1"/>
  <c r="AO316" i="5" s="1"/>
  <c r="AP316" i="5" l="1"/>
  <c r="AT316" i="5" l="1"/>
  <c r="AX316" i="5" s="1"/>
  <c r="AU316" i="5" l="1"/>
  <c r="AV316" i="5" l="1"/>
  <c r="AZ316" i="5" l="1"/>
  <c r="CC316" i="5"/>
  <c r="AW316" i="5"/>
  <c r="BA316" i="5" l="1"/>
  <c r="BE316" i="5" l="1"/>
  <c r="BL316" i="5" s="1"/>
  <c r="BB316" i="5"/>
  <c r="BC316" i="5" l="1"/>
  <c r="BP316" i="5"/>
  <c r="BR316" i="5" s="1"/>
  <c r="BU316" i="5" l="1"/>
  <c r="CG316" i="5"/>
  <c r="BQ316" i="5"/>
  <c r="BI316" i="5"/>
  <c r="CD316" i="5"/>
  <c r="BD316" i="5"/>
  <c r="CJ316" i="5" l="1"/>
  <c r="BK316" i="5"/>
  <c r="BH317" i="5" s="1"/>
  <c r="CB316" i="5"/>
  <c r="F325" i="8"/>
  <c r="CH316" i="5"/>
  <c r="CF316" i="5" s="1"/>
  <c r="BV316" i="5"/>
  <c r="BW316" i="5"/>
  <c r="BZ316" i="5" s="1"/>
  <c r="CK316" i="5" s="1"/>
  <c r="BJ317" i="5" l="1"/>
  <c r="BT317" i="5"/>
  <c r="AS317" i="5"/>
  <c r="AM317" i="5"/>
  <c r="BO317" i="5"/>
  <c r="G325" i="8"/>
  <c r="CL316" i="5"/>
  <c r="AN317" i="5" l="1"/>
  <c r="AO317" i="5" s="1"/>
  <c r="AP317" i="5" l="1"/>
  <c r="AT317" i="5" l="1"/>
  <c r="AU317" i="5" l="1"/>
  <c r="AX317" i="5"/>
  <c r="AV317" i="5" l="1"/>
  <c r="AW317" i="5" s="1"/>
  <c r="CC317" i="5" l="1"/>
  <c r="AZ317" i="5"/>
  <c r="BA317" i="5" l="1"/>
  <c r="BE317" i="5" l="1"/>
  <c r="BL317" i="5" s="1"/>
  <c r="BB317" i="5"/>
  <c r="BP317" i="5" l="1"/>
  <c r="BR317" i="5"/>
  <c r="BC317" i="5"/>
  <c r="BI317" i="5" l="1"/>
  <c r="CD317" i="5"/>
  <c r="BD317" i="5"/>
  <c r="BU317" i="5"/>
  <c r="BW317" i="5" s="1"/>
  <c r="BZ317" i="5" s="1"/>
  <c r="CG317" i="5"/>
  <c r="BQ317" i="5"/>
  <c r="CH317" i="5" l="1"/>
  <c r="CF317" i="5" s="1"/>
  <c r="BV317" i="5"/>
  <c r="CK317" i="5"/>
  <c r="CB317" i="5"/>
  <c r="F326" i="8"/>
  <c r="CJ317" i="5"/>
  <c r="CL317" i="5" s="1"/>
  <c r="BK317" i="5"/>
  <c r="BH318" i="5" s="1"/>
  <c r="BT318" i="5" l="1"/>
  <c r="BJ318" i="5"/>
  <c r="AS318" i="5"/>
  <c r="AM318" i="5"/>
  <c r="BO318" i="5"/>
  <c r="G326" i="8"/>
  <c r="AN318" i="5" l="1"/>
  <c r="AO318" i="5" s="1"/>
  <c r="AP318" i="5" l="1"/>
  <c r="AT318" i="5" l="1"/>
  <c r="AX318" i="5" s="1"/>
  <c r="AU318" i="5" l="1"/>
  <c r="AV318" i="5" l="1"/>
  <c r="AW318" i="5" s="1"/>
  <c r="CC318" i="5" l="1"/>
  <c r="AZ318" i="5"/>
  <c r="BA318" i="5" l="1"/>
  <c r="BE318" i="5" l="1"/>
  <c r="BL318" i="5" s="1"/>
  <c r="BB318" i="5"/>
  <c r="BC318" i="5" l="1"/>
  <c r="BP318" i="5"/>
  <c r="BI318" i="5" l="1"/>
  <c r="CD318" i="5"/>
  <c r="CG318" i="5"/>
  <c r="BQ318" i="5"/>
  <c r="BR318" i="5"/>
  <c r="BD318" i="5"/>
  <c r="BU318" i="5" l="1"/>
  <c r="BW318" i="5" s="1"/>
  <c r="BZ318" i="5" s="1"/>
  <c r="CB318" i="5"/>
  <c r="F327" i="8"/>
  <c r="CJ318" i="5"/>
  <c r="BK318" i="5"/>
  <c r="BH319" i="5" s="1"/>
  <c r="BJ319" i="5" l="1"/>
  <c r="AS319" i="5"/>
  <c r="CH318" i="5"/>
  <c r="BV318" i="5"/>
  <c r="CK318" i="5"/>
  <c r="CL318" i="5" s="1"/>
  <c r="CF318" i="5" l="1"/>
  <c r="G327" i="8"/>
  <c r="BO319" i="5" l="1"/>
  <c r="BT319" i="5"/>
  <c r="AM319" i="5"/>
  <c r="AN319" i="5" l="1"/>
  <c r="AO319" i="5" s="1"/>
  <c r="AP319" i="5" l="1"/>
  <c r="AT319" i="5" l="1"/>
  <c r="AX319" i="5" s="1"/>
  <c r="AU319" i="5" l="1"/>
  <c r="AV319" i="5" l="1"/>
  <c r="CC319" i="5" l="1"/>
  <c r="AZ319" i="5"/>
  <c r="AW319" i="5"/>
  <c r="BA319" i="5" l="1"/>
  <c r="BE319" i="5" l="1"/>
  <c r="BL319" i="5" s="1"/>
  <c r="BB319" i="5"/>
  <c r="BC319" i="5" l="1"/>
  <c r="BP319" i="5"/>
  <c r="CG319" i="5" l="1"/>
  <c r="BQ319" i="5"/>
  <c r="BR319" i="5"/>
  <c r="BI319" i="5"/>
  <c r="CD319" i="5"/>
  <c r="BD319" i="5"/>
  <c r="CB319" i="5" l="1"/>
  <c r="F328" i="8"/>
  <c r="BU319" i="5"/>
  <c r="BW319" i="5" s="1"/>
  <c r="BZ319" i="5" s="1"/>
  <c r="CJ319" i="5"/>
  <c r="BK319" i="5"/>
  <c r="BH320" i="5" s="1"/>
  <c r="CH319" i="5" l="1"/>
  <c r="BV319" i="5"/>
  <c r="CK319" i="5"/>
  <c r="CL319" i="5" s="1"/>
  <c r="BJ320" i="5"/>
  <c r="AS320" i="5"/>
  <c r="CF319" i="5" l="1"/>
  <c r="G328" i="8"/>
  <c r="BO320" i="5" l="1"/>
  <c r="BT320" i="5"/>
  <c r="AM320" i="5"/>
  <c r="AN320" i="5" l="1"/>
  <c r="AO320" i="5" s="1"/>
  <c r="AP320" i="5" l="1"/>
  <c r="AT320" i="5" l="1"/>
  <c r="AU320" i="5" l="1"/>
  <c r="AX320" i="5"/>
  <c r="AV320" i="5" l="1"/>
  <c r="AZ320" i="5" s="1"/>
  <c r="BA320" i="5" l="1"/>
  <c r="CC320" i="5"/>
  <c r="AW320" i="5"/>
  <c r="BE320" i="5" l="1"/>
  <c r="BL320" i="5" s="1"/>
  <c r="BB320" i="5"/>
  <c r="BP320" i="5" l="1"/>
  <c r="BR320" i="5"/>
  <c r="BC320" i="5"/>
  <c r="BI320" i="5" l="1"/>
  <c r="CD320" i="5"/>
  <c r="BU320" i="5"/>
  <c r="BD320" i="5"/>
  <c r="CG320" i="5"/>
  <c r="BQ320" i="5"/>
  <c r="CB320" i="5" l="1"/>
  <c r="F329" i="8"/>
  <c r="CH320" i="5"/>
  <c r="CF320" i="5" s="1"/>
  <c r="BV320" i="5"/>
  <c r="G329" i="8"/>
  <c r="BW320" i="5"/>
  <c r="BZ320" i="5" s="1"/>
  <c r="CK320" i="5" s="1"/>
  <c r="CJ320" i="5"/>
  <c r="BK320" i="5"/>
  <c r="BH321" i="5" s="1"/>
  <c r="CL320" i="5" l="1"/>
  <c r="BO321" i="5"/>
  <c r="BT321" i="5"/>
  <c r="BJ321" i="5"/>
  <c r="AS321" i="5"/>
  <c r="AM321" i="5"/>
  <c r="AN321" i="5" l="1"/>
  <c r="AP321" i="5" l="1"/>
  <c r="AO321" i="5"/>
  <c r="AT321" i="5" l="1"/>
  <c r="AX321" i="5"/>
  <c r="AU321" i="5" l="1"/>
  <c r="AV321" i="5" l="1"/>
  <c r="AW321" i="5" s="1"/>
  <c r="AZ321" i="5" l="1"/>
  <c r="CC321" i="5"/>
  <c r="BA321" i="5" l="1"/>
  <c r="BE321" i="5" l="1"/>
  <c r="BL321" i="5" s="1"/>
  <c r="BB321" i="5"/>
  <c r="BC321" i="5" l="1"/>
  <c r="BP321" i="5"/>
  <c r="CG321" i="5" l="1"/>
  <c r="BQ321" i="5"/>
  <c r="BR321" i="5"/>
  <c r="BI321" i="5"/>
  <c r="CD321" i="5"/>
  <c r="BD321" i="5"/>
  <c r="CB321" i="5" l="1"/>
  <c r="F330" i="8"/>
  <c r="CJ321" i="5"/>
  <c r="BK321" i="5"/>
  <c r="BH322" i="5" s="1"/>
  <c r="BU321" i="5"/>
  <c r="BW321" i="5" s="1"/>
  <c r="BZ321" i="5" s="1"/>
  <c r="CH321" i="5" l="1"/>
  <c r="BV321" i="5"/>
  <c r="CK321" i="5"/>
  <c r="CL321" i="5" s="1"/>
  <c r="BJ322" i="5"/>
  <c r="AS322" i="5"/>
  <c r="CF321" i="5" l="1"/>
  <c r="G330" i="8"/>
  <c r="BO322" i="5" l="1"/>
  <c r="BT322" i="5"/>
  <c r="AM322" i="5"/>
  <c r="AN322" i="5" l="1"/>
  <c r="AP322" i="5" l="1"/>
  <c r="AO322" i="5"/>
  <c r="AT322" i="5" l="1"/>
  <c r="AX322" i="5" s="1"/>
  <c r="AU322" i="5" l="1"/>
  <c r="AV322" i="5" l="1"/>
  <c r="CC322" i="5" l="1"/>
  <c r="AZ322" i="5"/>
  <c r="AW322" i="5"/>
  <c r="BA322" i="5" l="1"/>
  <c r="BB322" i="5" s="1"/>
  <c r="BC322" i="5" l="1"/>
  <c r="BI322" i="5" s="1"/>
  <c r="BE322" i="5"/>
  <c r="BL322" i="5" s="1"/>
  <c r="CD322" i="5" l="1"/>
  <c r="CJ322" i="5"/>
  <c r="BK322" i="5"/>
  <c r="BH323" i="5" s="1"/>
  <c r="BP322" i="5"/>
  <c r="BR322" i="5" s="1"/>
  <c r="BD322" i="5"/>
  <c r="BU322" i="5" l="1"/>
  <c r="CG322" i="5"/>
  <c r="BQ322" i="5"/>
  <c r="CB322" i="5"/>
  <c r="F331" i="8"/>
  <c r="BJ323" i="5" l="1"/>
  <c r="AS323" i="5"/>
  <c r="CH322" i="5"/>
  <c r="CF322" i="5" s="1"/>
  <c r="BT323" i="5" s="1"/>
  <c r="BV322" i="5"/>
  <c r="BW322" i="5"/>
  <c r="BZ322" i="5" s="1"/>
  <c r="CK322" i="5" s="1"/>
  <c r="CL322" i="5" s="1"/>
  <c r="AM323" i="5" l="1"/>
  <c r="AN323" i="5" s="1"/>
  <c r="BO323" i="5"/>
  <c r="G331" i="8"/>
  <c r="AP323" i="5" l="1"/>
  <c r="AO323" i="5"/>
  <c r="AT323" i="5" l="1"/>
  <c r="AU323" i="5" l="1"/>
  <c r="AX323" i="5"/>
  <c r="AV323" i="5" l="1"/>
  <c r="AW323" i="5" s="1"/>
  <c r="CC323" i="5" l="1"/>
  <c r="AZ323" i="5"/>
  <c r="BA323" i="5" l="1"/>
  <c r="BE323" i="5" l="1"/>
  <c r="BL323" i="5" s="1"/>
  <c r="BB323" i="5"/>
  <c r="BP323" i="5" l="1"/>
  <c r="BR323" i="5" s="1"/>
  <c r="BC323" i="5"/>
  <c r="BI323" i="5" l="1"/>
  <c r="CD323" i="5"/>
  <c r="BU323" i="5"/>
  <c r="BW323" i="5" s="1"/>
  <c r="BZ323" i="5" s="1"/>
  <c r="BD323" i="5"/>
  <c r="CG323" i="5"/>
  <c r="BQ323" i="5"/>
  <c r="CB323" i="5" l="1"/>
  <c r="F332" i="8"/>
  <c r="CH323" i="5"/>
  <c r="CF323" i="5" s="1"/>
  <c r="BV323" i="5"/>
  <c r="CK323" i="5"/>
  <c r="CJ323" i="5"/>
  <c r="BK323" i="5"/>
  <c r="BH324" i="5" s="1"/>
  <c r="BO324" i="5" l="1"/>
  <c r="CL323" i="5"/>
  <c r="BT324" i="5"/>
  <c r="BJ324" i="5"/>
  <c r="AS324" i="5"/>
  <c r="AM324" i="5"/>
  <c r="G332" i="8"/>
  <c r="AN324" i="5" l="1"/>
  <c r="AP324" i="5" l="1"/>
  <c r="AO324" i="5"/>
  <c r="AT324" i="5" l="1"/>
  <c r="AX324" i="5"/>
  <c r="AU324" i="5" l="1"/>
  <c r="AV324" i="5" l="1"/>
  <c r="AZ324" i="5" l="1"/>
  <c r="CC324" i="5"/>
  <c r="AW324" i="5"/>
  <c r="BA324" i="5" l="1"/>
  <c r="BE324" i="5" l="1"/>
  <c r="BL324" i="5" s="1"/>
  <c r="BB324" i="5"/>
  <c r="BC324" i="5" l="1"/>
  <c r="BP324" i="5"/>
  <c r="BI324" i="5" l="1"/>
  <c r="CD324" i="5"/>
  <c r="CG324" i="5"/>
  <c r="BQ324" i="5"/>
  <c r="BR324" i="5"/>
  <c r="BD324" i="5"/>
  <c r="CB324" i="5" l="1"/>
  <c r="F333" i="8"/>
  <c r="BU324" i="5"/>
  <c r="CJ324" i="5"/>
  <c r="BK324" i="5"/>
  <c r="BH325" i="5" s="1"/>
  <c r="CH324" i="5" l="1"/>
  <c r="BV324" i="5"/>
  <c r="BW324" i="5"/>
  <c r="BZ324" i="5" s="1"/>
  <c r="CK324" i="5" s="1"/>
  <c r="CL324" i="5" s="1"/>
  <c r="BJ325" i="5"/>
  <c r="AS325" i="5"/>
  <c r="CF324" i="5" l="1"/>
  <c r="G333" i="8"/>
  <c r="BO325" i="5" l="1"/>
  <c r="BT325" i="5"/>
  <c r="AM325" i="5"/>
  <c r="AN325" i="5" l="1"/>
  <c r="AP325" i="5" l="1"/>
  <c r="AO325" i="5"/>
  <c r="AT325" i="5" l="1"/>
  <c r="AU325" i="5" l="1"/>
  <c r="AX325" i="5"/>
  <c r="AV325" i="5" l="1"/>
  <c r="AZ325" i="5" s="1"/>
  <c r="BA325" i="5" l="1"/>
  <c r="CC325" i="5"/>
  <c r="AW325" i="5"/>
  <c r="BE325" i="5" l="1"/>
  <c r="BL325" i="5" s="1"/>
  <c r="BB325" i="5"/>
  <c r="BC325" i="5" l="1"/>
  <c r="BP325" i="5"/>
  <c r="BR325" i="5" s="1"/>
  <c r="BU325" i="5" l="1"/>
  <c r="BW325" i="5" s="1"/>
  <c r="BZ325" i="5" s="1"/>
  <c r="CK325" i="5" s="1"/>
  <c r="BI325" i="5"/>
  <c r="CD325" i="5"/>
  <c r="CG325" i="5"/>
  <c r="BQ325" i="5"/>
  <c r="BD325" i="5"/>
  <c r="CB325" i="5" l="1"/>
  <c r="F334" i="8"/>
  <c r="CJ325" i="5"/>
  <c r="CL325" i="5" s="1"/>
  <c r="BK325" i="5"/>
  <c r="BH326" i="5" s="1"/>
  <c r="CH325" i="5"/>
  <c r="CF325" i="5" s="1"/>
  <c r="BV325" i="5"/>
  <c r="BO326" i="5" l="1"/>
  <c r="G334" i="8"/>
  <c r="BT326" i="5"/>
  <c r="BJ326" i="5"/>
  <c r="AS326" i="5"/>
  <c r="AM326" i="5"/>
  <c r="AN326" i="5" l="1"/>
  <c r="AP326" i="5" l="1"/>
  <c r="AO326" i="5"/>
  <c r="AT326" i="5" l="1"/>
  <c r="AX326" i="5" s="1"/>
  <c r="AU326" i="5" l="1"/>
  <c r="AV326" i="5" l="1"/>
  <c r="AW326" i="5" s="1"/>
  <c r="CC326" i="5" l="1"/>
  <c r="AZ326" i="5"/>
  <c r="BA326" i="5" l="1"/>
  <c r="BE326" i="5" l="1"/>
  <c r="BL326" i="5" s="1"/>
  <c r="BB326" i="5"/>
  <c r="BC326" i="5" l="1"/>
  <c r="BP326" i="5"/>
  <c r="BI326" i="5" l="1"/>
  <c r="CD326" i="5"/>
  <c r="CG326" i="5"/>
  <c r="BQ326" i="5"/>
  <c r="BR326" i="5"/>
  <c r="BD326" i="5"/>
  <c r="BU326" i="5" l="1"/>
  <c r="BW326" i="5" s="1"/>
  <c r="BZ326" i="5" s="1"/>
  <c r="CB326" i="5"/>
  <c r="F335" i="8"/>
  <c r="CJ326" i="5"/>
  <c r="BK326" i="5"/>
  <c r="BH327" i="5" s="1"/>
  <c r="BJ327" i="5" l="1"/>
  <c r="AS327" i="5"/>
  <c r="CH326" i="5"/>
  <c r="BV326" i="5"/>
  <c r="CK326" i="5"/>
  <c r="CL326" i="5" s="1"/>
  <c r="CF326" i="5" l="1"/>
  <c r="G335" i="8"/>
  <c r="BO327" i="5" l="1"/>
  <c r="BT327" i="5"/>
  <c r="AM327" i="5"/>
  <c r="AN327" i="5" l="1"/>
  <c r="AP327" i="5" l="1"/>
  <c r="AO327" i="5"/>
  <c r="AT327" i="5" l="1"/>
  <c r="AX327" i="5"/>
  <c r="AU327" i="5" l="1"/>
  <c r="AV327" i="5" l="1"/>
  <c r="CC327" i="5" l="1"/>
  <c r="AZ327" i="5"/>
  <c r="AW327" i="5"/>
  <c r="BA327" i="5" l="1"/>
  <c r="BE327" i="5" l="1"/>
  <c r="BL327" i="5" s="1"/>
  <c r="BB327" i="5"/>
  <c r="BC327" i="5" l="1"/>
  <c r="BP327" i="5"/>
  <c r="CG327" i="5" l="1"/>
  <c r="BQ327" i="5"/>
  <c r="BR327" i="5"/>
  <c r="BI327" i="5"/>
  <c r="CD327" i="5"/>
  <c r="BD327" i="5"/>
  <c r="BU327" i="5" l="1"/>
  <c r="CB327" i="5"/>
  <c r="F336" i="8"/>
  <c r="CJ327" i="5"/>
  <c r="BK327" i="5"/>
  <c r="BH328" i="5" s="1"/>
  <c r="BJ328" i="5" l="1"/>
  <c r="AS328" i="5"/>
  <c r="CH327" i="5"/>
  <c r="BV327" i="5"/>
  <c r="BW327" i="5"/>
  <c r="BZ327" i="5" s="1"/>
  <c r="CK327" i="5" s="1"/>
  <c r="CL327" i="5" s="1"/>
  <c r="CF327" i="5" l="1"/>
  <c r="G336" i="8"/>
  <c r="BO328" i="5" l="1"/>
  <c r="AM328" i="5"/>
  <c r="BT328" i="5"/>
  <c r="AN328" i="5" l="1"/>
  <c r="AP328" i="5" l="1"/>
  <c r="AO328" i="5"/>
  <c r="AT328" i="5" l="1"/>
  <c r="AU328" i="5" l="1"/>
  <c r="AX328" i="5"/>
  <c r="AV328" i="5" l="1"/>
  <c r="AW328" i="5" s="1"/>
  <c r="AZ328" i="5" l="1"/>
  <c r="BA328" i="5" s="1"/>
  <c r="CC328" i="5"/>
  <c r="BE328" i="5" l="1"/>
  <c r="BL328" i="5" s="1"/>
  <c r="BB328" i="5"/>
  <c r="BC328" i="5" l="1"/>
  <c r="BP328" i="5"/>
  <c r="BR328" i="5" s="1"/>
  <c r="BU328" i="5" l="1"/>
  <c r="BW328" i="5" s="1"/>
  <c r="BZ328" i="5" s="1"/>
  <c r="CK328" i="5" s="1"/>
  <c r="CG328" i="5"/>
  <c r="BQ328" i="5"/>
  <c r="BI328" i="5"/>
  <c r="CD328" i="5"/>
  <c r="BD328" i="5"/>
  <c r="CJ328" i="5" l="1"/>
  <c r="CL328" i="5" s="1"/>
  <c r="BK328" i="5"/>
  <c r="BH329" i="5" s="1"/>
  <c r="CB328" i="5"/>
  <c r="F337" i="8"/>
  <c r="CH328" i="5"/>
  <c r="CF328" i="5" s="1"/>
  <c r="BV328" i="5"/>
  <c r="G337" i="8" l="1"/>
  <c r="BO329" i="5"/>
  <c r="BT329" i="5"/>
  <c r="BJ329" i="5"/>
  <c r="AS329" i="5"/>
  <c r="AM329" i="5"/>
  <c r="AN329" i="5" l="1"/>
  <c r="AP329" i="5" l="1"/>
  <c r="AO329" i="5"/>
  <c r="AT329" i="5" l="1"/>
  <c r="AX329" i="5" s="1"/>
  <c r="AU329" i="5" l="1"/>
  <c r="AV329" i="5" l="1"/>
  <c r="AW329" i="5" s="1"/>
  <c r="AZ329" i="5" l="1"/>
  <c r="CC329" i="5"/>
  <c r="BA329" i="5" l="1"/>
  <c r="BB329" i="5" s="1"/>
  <c r="BC329" i="5" l="1"/>
  <c r="BI329" i="5" s="1"/>
  <c r="BE329" i="5"/>
  <c r="BL329" i="5" s="1"/>
  <c r="BP329" i="5" l="1"/>
  <c r="BR329" i="5" s="1"/>
  <c r="CD329" i="5"/>
  <c r="CJ329" i="5"/>
  <c r="BK329" i="5"/>
  <c r="BH330" i="5" s="1"/>
  <c r="BD329" i="5"/>
  <c r="BU329" i="5" l="1"/>
  <c r="BW329" i="5" s="1"/>
  <c r="BZ329" i="5" s="1"/>
  <c r="CK329" i="5" s="1"/>
  <c r="CL329" i="5" s="1"/>
  <c r="CB329" i="5"/>
  <c r="F338" i="8"/>
  <c r="CG329" i="5"/>
  <c r="BQ329" i="5"/>
  <c r="BJ330" i="5" l="1"/>
  <c r="BT330" i="5"/>
  <c r="AS330" i="5"/>
  <c r="CH329" i="5"/>
  <c r="CF329" i="5" s="1"/>
  <c r="AM330" i="5" s="1"/>
  <c r="BV329" i="5"/>
  <c r="G338" i="8" l="1"/>
  <c r="AN330" i="5"/>
  <c r="BO330" i="5"/>
  <c r="AP330" i="5" l="1"/>
  <c r="AO330" i="5"/>
  <c r="AT330" i="5" l="1"/>
  <c r="AX330" i="5" s="1"/>
  <c r="AU330" i="5" l="1"/>
  <c r="AV330" i="5" l="1"/>
  <c r="CC330" i="5" l="1"/>
  <c r="AZ330" i="5"/>
  <c r="AW330" i="5"/>
  <c r="BA330" i="5" l="1"/>
  <c r="BE330" i="5" l="1"/>
  <c r="BL330" i="5" s="1"/>
  <c r="BB330" i="5"/>
  <c r="BC330" i="5" l="1"/>
  <c r="BP330" i="5"/>
  <c r="BR330" i="5" s="1"/>
  <c r="BU330" i="5" l="1"/>
  <c r="BI330" i="5"/>
  <c r="CD330" i="5"/>
  <c r="CG330" i="5"/>
  <c r="BQ330" i="5"/>
  <c r="BD330" i="5"/>
  <c r="CB330" i="5" l="1"/>
  <c r="F339" i="8"/>
  <c r="CJ330" i="5"/>
  <c r="BK330" i="5"/>
  <c r="BH331" i="5" s="1"/>
  <c r="CH330" i="5"/>
  <c r="CF330" i="5" s="1"/>
  <c r="BV330" i="5"/>
  <c r="BW330" i="5"/>
  <c r="BZ330" i="5" s="1"/>
  <c r="CK330" i="5" s="1"/>
  <c r="BO331" i="5" l="1"/>
  <c r="BJ331" i="5"/>
  <c r="BT331" i="5"/>
  <c r="AS331" i="5"/>
  <c r="AM331" i="5"/>
  <c r="CL330" i="5"/>
  <c r="G339" i="8"/>
  <c r="AN331" i="5" l="1"/>
  <c r="AP331" i="5" l="1"/>
  <c r="AO331" i="5"/>
  <c r="AT331" i="5" l="1"/>
  <c r="AU331" i="5" l="1"/>
  <c r="AX331" i="5"/>
  <c r="AV331" i="5" l="1"/>
  <c r="AW331" i="5" s="1"/>
  <c r="CC331" i="5" l="1"/>
  <c r="AZ331" i="5"/>
  <c r="BA331" i="5" l="1"/>
  <c r="BE331" i="5" l="1"/>
  <c r="BL331" i="5" s="1"/>
  <c r="BB331" i="5"/>
  <c r="BP331" i="5" l="1"/>
  <c r="BR331" i="5" s="1"/>
  <c r="BC331" i="5"/>
  <c r="BU331" i="5" l="1"/>
  <c r="BW331" i="5" s="1"/>
  <c r="BZ331" i="5" s="1"/>
  <c r="CK331" i="5" s="1"/>
  <c r="BI331" i="5"/>
  <c r="CD331" i="5"/>
  <c r="BD331" i="5"/>
  <c r="CG331" i="5"/>
  <c r="BQ331" i="5"/>
  <c r="CJ331" i="5" l="1"/>
  <c r="CL331" i="5" s="1"/>
  <c r="BK331" i="5"/>
  <c r="BH332" i="5" s="1"/>
  <c r="CB331" i="5"/>
  <c r="F340" i="8"/>
  <c r="CH331" i="5"/>
  <c r="CF331" i="5" s="1"/>
  <c r="BV331" i="5"/>
  <c r="BO332" i="5" l="1"/>
  <c r="G340" i="8"/>
  <c r="BT332" i="5"/>
  <c r="BJ332" i="5"/>
  <c r="AS332" i="5"/>
  <c r="AM332" i="5"/>
  <c r="AN332" i="5" l="1"/>
  <c r="AO332" i="5" s="1"/>
  <c r="AP332" i="5" l="1"/>
  <c r="AT332" i="5" l="1"/>
  <c r="AX332" i="5" s="1"/>
  <c r="AU332" i="5" l="1"/>
  <c r="AV332" i="5" l="1"/>
  <c r="AZ332" i="5" l="1"/>
  <c r="CC332" i="5"/>
  <c r="AW332" i="5"/>
  <c r="BA332" i="5" l="1"/>
  <c r="BE332" i="5" l="1"/>
  <c r="BL332" i="5" s="1"/>
  <c r="BB332" i="5"/>
  <c r="BC332" i="5" l="1"/>
  <c r="BP332" i="5"/>
  <c r="BI332" i="5" l="1"/>
  <c r="CD332" i="5"/>
  <c r="CG332" i="5"/>
  <c r="BQ332" i="5"/>
  <c r="BR332" i="5"/>
  <c r="BD332" i="5"/>
  <c r="BU332" i="5" l="1"/>
  <c r="CB332" i="5"/>
  <c r="F341" i="8"/>
  <c r="CJ332" i="5"/>
  <c r="BK332" i="5"/>
  <c r="BH333" i="5" s="1"/>
  <c r="CH332" i="5" l="1"/>
  <c r="BV332" i="5"/>
  <c r="BW332" i="5"/>
  <c r="BZ332" i="5" s="1"/>
  <c r="CK332" i="5" s="1"/>
  <c r="CL332" i="5" s="1"/>
  <c r="BJ333" i="5"/>
  <c r="AS333" i="5"/>
  <c r="CF332" i="5" l="1"/>
  <c r="G341" i="8"/>
  <c r="BO333" i="5" l="1"/>
  <c r="BT333" i="5"/>
  <c r="AM333" i="5"/>
  <c r="AN333" i="5" l="1"/>
  <c r="AP333" i="5" l="1"/>
  <c r="AO333" i="5"/>
  <c r="AT333" i="5" l="1"/>
  <c r="AU333" i="5" l="1"/>
  <c r="AX333" i="5"/>
  <c r="AV333" i="5" l="1"/>
  <c r="AZ333" i="5" s="1"/>
  <c r="BA333" i="5" l="1"/>
  <c r="AW333" i="5"/>
  <c r="CC333" i="5"/>
  <c r="BE333" i="5" l="1"/>
  <c r="BL333" i="5" s="1"/>
  <c r="BB333" i="5"/>
  <c r="BC333" i="5" l="1"/>
  <c r="BP333" i="5"/>
  <c r="CG333" i="5" l="1"/>
  <c r="BQ333" i="5"/>
  <c r="BR333" i="5"/>
  <c r="BI333" i="5"/>
  <c r="CD333" i="5"/>
  <c r="BD333" i="5"/>
  <c r="CB333" i="5" l="1"/>
  <c r="F342" i="8"/>
  <c r="CJ333" i="5"/>
  <c r="BK333" i="5"/>
  <c r="BH334" i="5" s="1"/>
  <c r="BU333" i="5"/>
  <c r="BW333" i="5" s="1"/>
  <c r="BZ333" i="5" s="1"/>
  <c r="CH333" i="5" l="1"/>
  <c r="BV333" i="5"/>
  <c r="CK333" i="5"/>
  <c r="CL333" i="5" s="1"/>
  <c r="BJ334" i="5"/>
  <c r="AS334" i="5"/>
  <c r="CF333" i="5" l="1"/>
  <c r="G342" i="8"/>
  <c r="BO334" i="5" l="1"/>
  <c r="AM334" i="5"/>
  <c r="BT334" i="5"/>
  <c r="AN334" i="5" l="1"/>
  <c r="AP334" i="5" l="1"/>
  <c r="AO334" i="5"/>
  <c r="AT334" i="5" l="1"/>
  <c r="AX334" i="5" s="1"/>
  <c r="AU334" i="5" l="1"/>
  <c r="AV334" i="5" l="1"/>
  <c r="AW334" i="5" s="1"/>
  <c r="AZ334" i="5" l="1"/>
  <c r="CC334" i="5"/>
  <c r="BA334" i="5" l="1"/>
  <c r="BE334" i="5" l="1"/>
  <c r="BL334" i="5" s="1"/>
  <c r="BB334" i="5"/>
  <c r="BC334" i="5" l="1"/>
  <c r="BP334" i="5"/>
  <c r="BR334" i="5" s="1"/>
  <c r="BU334" i="5" l="1"/>
  <c r="BW334" i="5" s="1"/>
  <c r="BZ334" i="5" s="1"/>
  <c r="CK334" i="5" s="1"/>
  <c r="CG334" i="5"/>
  <c r="BQ334" i="5"/>
  <c r="BI334" i="5"/>
  <c r="CD334" i="5"/>
  <c r="BD334" i="5"/>
  <c r="CB334" i="5" l="1"/>
  <c r="F343" i="8"/>
  <c r="CJ334" i="5"/>
  <c r="CL334" i="5" s="1"/>
  <c r="BK334" i="5"/>
  <c r="BH335" i="5" s="1"/>
  <c r="G343" i="8"/>
  <c r="CH334" i="5"/>
  <c r="CF334" i="5" s="1"/>
  <c r="BV334" i="5"/>
  <c r="BO335" i="5" l="1"/>
  <c r="BJ335" i="5"/>
  <c r="BT335" i="5"/>
  <c r="AS335" i="5"/>
  <c r="AM335" i="5"/>
  <c r="AN335" i="5" l="1"/>
  <c r="AP335" i="5" l="1"/>
  <c r="AO335" i="5"/>
  <c r="AT335" i="5" l="1"/>
  <c r="AX335" i="5" s="1"/>
  <c r="AU335" i="5" l="1"/>
  <c r="AV335" i="5" l="1"/>
  <c r="AZ335" i="5" l="1"/>
  <c r="CC335" i="5"/>
  <c r="AW335" i="5"/>
  <c r="BA335" i="5" l="1"/>
  <c r="BE335" i="5" l="1"/>
  <c r="BL335" i="5" s="1"/>
  <c r="BB335" i="5"/>
  <c r="BC335" i="5" l="1"/>
  <c r="BP335" i="5"/>
  <c r="CG335" i="5" l="1"/>
  <c r="BQ335" i="5"/>
  <c r="BR335" i="5"/>
  <c r="BI335" i="5"/>
  <c r="CD335" i="5"/>
  <c r="BD335" i="5"/>
  <c r="CJ335" i="5" l="1"/>
  <c r="BK335" i="5"/>
  <c r="BH336" i="5" s="1"/>
  <c r="BU335" i="5"/>
  <c r="CB335" i="5"/>
  <c r="F344" i="8"/>
  <c r="BJ336" i="5" l="1"/>
  <c r="AS336" i="5"/>
  <c r="CH335" i="5"/>
  <c r="BV335" i="5"/>
  <c r="BW335" i="5"/>
  <c r="BZ335" i="5" s="1"/>
  <c r="CK335" i="5" s="1"/>
  <c r="CL335" i="5" s="1"/>
  <c r="CF335" i="5" l="1"/>
  <c r="G344" i="8"/>
  <c r="BO336" i="5" l="1"/>
  <c r="BT336" i="5"/>
  <c r="AM336" i="5"/>
  <c r="AN336" i="5" l="1"/>
  <c r="AP336" i="5" l="1"/>
  <c r="AO336" i="5"/>
  <c r="AT336" i="5" l="1"/>
  <c r="AU336" i="5" l="1"/>
  <c r="AX336" i="5"/>
  <c r="AV336" i="5" l="1"/>
  <c r="CC336" i="5" l="1"/>
  <c r="AW336" i="5"/>
  <c r="AZ336" i="5"/>
  <c r="BA336" i="5" l="1"/>
  <c r="BE336" i="5" l="1"/>
  <c r="BL336" i="5" s="1"/>
  <c r="BB336" i="5"/>
  <c r="BP336" i="5" l="1"/>
  <c r="BR336" i="5" s="1"/>
  <c r="BC336" i="5"/>
  <c r="BD336" i="5" s="1"/>
  <c r="BU336" i="5" l="1"/>
  <c r="BW336" i="5"/>
  <c r="BZ336" i="5" s="1"/>
  <c r="CK336" i="5" s="1"/>
  <c r="BI336" i="5"/>
  <c r="CD336" i="5"/>
  <c r="CG336" i="5"/>
  <c r="BQ336" i="5"/>
  <c r="CJ336" i="5" l="1"/>
  <c r="CL336" i="5" s="1"/>
  <c r="BK336" i="5"/>
  <c r="BH337" i="5" s="1"/>
  <c r="CB336" i="5"/>
  <c r="F345" i="8"/>
  <c r="CH336" i="5"/>
  <c r="CF336" i="5" s="1"/>
  <c r="BV336" i="5"/>
  <c r="BO337" i="5" l="1"/>
  <c r="BT337" i="5"/>
  <c r="BJ337" i="5"/>
  <c r="AS337" i="5"/>
  <c r="AM337" i="5"/>
  <c r="G345" i="8"/>
  <c r="AN337" i="5" l="1"/>
  <c r="AP337" i="5" l="1"/>
  <c r="AO337" i="5"/>
  <c r="AT337" i="5" l="1"/>
  <c r="AU337" i="5" l="1"/>
  <c r="AX337" i="5"/>
  <c r="AV337" i="5" l="1"/>
  <c r="CC337" i="5" l="1"/>
  <c r="AZ337" i="5"/>
  <c r="AW337" i="5"/>
  <c r="BA337" i="5" l="1"/>
  <c r="BE337" i="5" l="1"/>
  <c r="BL337" i="5" s="1"/>
  <c r="BB337" i="5"/>
  <c r="BC337" i="5" l="1"/>
  <c r="BP337" i="5"/>
  <c r="BR337" i="5" s="1"/>
  <c r="BU337" i="5" l="1"/>
  <c r="BW337" i="5" s="1"/>
  <c r="BZ337" i="5" s="1"/>
  <c r="CK337" i="5" s="1"/>
  <c r="CG337" i="5"/>
  <c r="BQ337" i="5"/>
  <c r="BI337" i="5"/>
  <c r="CD337" i="5"/>
  <c r="BD337" i="5"/>
  <c r="CB337" i="5" l="1"/>
  <c r="F346" i="8"/>
  <c r="CJ337" i="5"/>
  <c r="CL337" i="5" s="1"/>
  <c r="BK337" i="5"/>
  <c r="BH338" i="5" s="1"/>
  <c r="CH337" i="5"/>
  <c r="CF337" i="5" s="1"/>
  <c r="BV337" i="5"/>
  <c r="BO338" i="5" l="1"/>
  <c r="G346" i="8"/>
  <c r="BJ338" i="5"/>
  <c r="BT338" i="5"/>
  <c r="AS338" i="5"/>
  <c r="AM338" i="5"/>
  <c r="AN338" i="5" l="1"/>
  <c r="AP338" i="5" l="1"/>
  <c r="AO338" i="5"/>
  <c r="AT338" i="5" l="1"/>
  <c r="AX338" i="5" s="1"/>
  <c r="AU338" i="5" l="1"/>
  <c r="AV338" i="5" l="1"/>
  <c r="CC338" i="5" l="1"/>
  <c r="AZ338" i="5"/>
  <c r="AW338" i="5"/>
  <c r="BA338" i="5" l="1"/>
  <c r="BE338" i="5" l="1"/>
  <c r="BL338" i="5" s="1"/>
  <c r="BB338" i="5"/>
  <c r="BP338" i="5" l="1"/>
  <c r="BR338" i="5" s="1"/>
  <c r="BC338" i="5"/>
  <c r="BU338" i="5" l="1"/>
  <c r="BI338" i="5"/>
  <c r="CD338" i="5"/>
  <c r="BD338" i="5"/>
  <c r="CG338" i="5"/>
  <c r="BQ338" i="5"/>
  <c r="CB338" i="5" l="1"/>
  <c r="F347" i="8"/>
  <c r="CH338" i="5"/>
  <c r="CF338" i="5" s="1"/>
  <c r="BV338" i="5"/>
  <c r="CJ338" i="5"/>
  <c r="BK338" i="5"/>
  <c r="BH339" i="5" s="1"/>
  <c r="BW338" i="5"/>
  <c r="BZ338" i="5" s="1"/>
  <c r="CK338" i="5" s="1"/>
  <c r="CL338" i="5" l="1"/>
  <c r="BO339" i="5"/>
  <c r="G347" i="8"/>
  <c r="BJ339" i="5"/>
  <c r="BT339" i="5"/>
  <c r="AS339" i="5"/>
  <c r="AM339" i="5"/>
  <c r="AN339" i="5" l="1"/>
  <c r="AP339" i="5" l="1"/>
  <c r="AO339" i="5"/>
  <c r="AT339" i="5" l="1"/>
  <c r="AU339" i="5" l="1"/>
  <c r="AX339" i="5"/>
  <c r="AV339" i="5" l="1"/>
  <c r="AW339" i="5" s="1"/>
  <c r="AZ339" i="5" l="1"/>
  <c r="CC339" i="5"/>
  <c r="BA339" i="5" l="1"/>
  <c r="BB339" i="5" s="1"/>
  <c r="BC339" i="5" l="1"/>
  <c r="BI339" i="5" s="1"/>
  <c r="BE339" i="5"/>
  <c r="BL339" i="5" s="1"/>
  <c r="BP339" i="5" l="1"/>
  <c r="BR339" i="5" s="1"/>
  <c r="CD339" i="5"/>
  <c r="CJ339" i="5"/>
  <c r="BK339" i="5"/>
  <c r="BH340" i="5" s="1"/>
  <c r="BD339" i="5"/>
  <c r="BU339" i="5" l="1"/>
  <c r="BW339" i="5" s="1"/>
  <c r="BZ339" i="5" s="1"/>
  <c r="CB339" i="5"/>
  <c r="F348" i="8"/>
  <c r="CG339" i="5"/>
  <c r="BQ339" i="5"/>
  <c r="BJ340" i="5" l="1"/>
  <c r="AS340" i="5"/>
  <c r="CK339" i="5"/>
  <c r="CL339" i="5" s="1"/>
  <c r="CH339" i="5"/>
  <c r="CF339" i="5" s="1"/>
  <c r="AM340" i="5" s="1"/>
  <c r="BV339" i="5"/>
  <c r="BT340" i="5" l="1"/>
  <c r="AN340" i="5"/>
  <c r="BO340" i="5"/>
  <c r="G348" i="8"/>
  <c r="AP340" i="5" l="1"/>
  <c r="AO340" i="5"/>
  <c r="AT340" i="5" l="1"/>
  <c r="AX340" i="5" s="1"/>
  <c r="AU340" i="5" l="1"/>
  <c r="AV340" i="5" l="1"/>
  <c r="AZ340" i="5" l="1"/>
  <c r="CC340" i="5"/>
  <c r="AW340" i="5"/>
  <c r="BA340" i="5" l="1"/>
  <c r="BE340" i="5" l="1"/>
  <c r="BL340" i="5" s="1"/>
  <c r="BB340" i="5"/>
  <c r="BC340" i="5" l="1"/>
  <c r="BP340" i="5"/>
  <c r="CG340" i="5" l="1"/>
  <c r="BQ340" i="5"/>
  <c r="BR340" i="5"/>
  <c r="BI340" i="5"/>
  <c r="CD340" i="5"/>
  <c r="BD340" i="5"/>
  <c r="CJ340" i="5" l="1"/>
  <c r="BK340" i="5"/>
  <c r="BH341" i="5" s="1"/>
  <c r="CB340" i="5"/>
  <c r="F349" i="8"/>
  <c r="BU340" i="5"/>
  <c r="BW340" i="5" s="1"/>
  <c r="BZ340" i="5" s="1"/>
  <c r="CH340" i="5" l="1"/>
  <c r="BV340" i="5"/>
  <c r="CK340" i="5"/>
  <c r="CL340" i="5" s="1"/>
  <c r="BJ341" i="5"/>
  <c r="AS341" i="5"/>
  <c r="CF340" i="5" l="1"/>
  <c r="G349" i="8"/>
  <c r="BO341" i="5" l="1"/>
  <c r="AM341" i="5"/>
  <c r="BT341" i="5"/>
  <c r="AN341" i="5" l="1"/>
  <c r="AP341" i="5" l="1"/>
  <c r="AO341" i="5"/>
  <c r="AT341" i="5" l="1"/>
  <c r="AU341" i="5" l="1"/>
  <c r="AX341" i="5"/>
  <c r="AV341" i="5" l="1"/>
  <c r="AZ341" i="5" s="1"/>
  <c r="BA341" i="5" l="1"/>
  <c r="CC341" i="5"/>
  <c r="AW341" i="5"/>
  <c r="BE341" i="5" l="1"/>
  <c r="BL341" i="5" s="1"/>
  <c r="BB341" i="5"/>
  <c r="BP341" i="5" l="1"/>
  <c r="BR341" i="5" s="1"/>
  <c r="BC341" i="5"/>
  <c r="BU341" i="5" l="1"/>
  <c r="BW341" i="5" s="1"/>
  <c r="BZ341" i="5" s="1"/>
  <c r="CK341" i="5" s="1"/>
  <c r="BI341" i="5"/>
  <c r="CD341" i="5"/>
  <c r="BD341" i="5"/>
  <c r="CG341" i="5"/>
  <c r="BQ341" i="5"/>
  <c r="CB341" i="5" l="1"/>
  <c r="F350" i="8"/>
  <c r="CJ341" i="5"/>
  <c r="CL341" i="5" s="1"/>
  <c r="BK341" i="5"/>
  <c r="BH342" i="5" s="1"/>
  <c r="CH341" i="5"/>
  <c r="CF341" i="5" s="1"/>
  <c r="BV341" i="5"/>
  <c r="G350" i="8" l="1"/>
  <c r="BO342" i="5"/>
  <c r="BT342" i="5"/>
  <c r="BJ342" i="5"/>
  <c r="AS342" i="5"/>
  <c r="AM342" i="5"/>
  <c r="AN342" i="5" l="1"/>
  <c r="AP342" i="5" l="1"/>
  <c r="AO342" i="5"/>
  <c r="AT342" i="5" l="1"/>
  <c r="AX342" i="5" s="1"/>
  <c r="AU342" i="5" l="1"/>
  <c r="AV342" i="5" l="1"/>
  <c r="AW342" i="5" s="1"/>
  <c r="AZ342" i="5" l="1"/>
  <c r="CC342" i="5"/>
  <c r="BA342" i="5" l="1"/>
  <c r="BE342" i="5" l="1"/>
  <c r="BL342" i="5" s="1"/>
  <c r="BB342" i="5"/>
  <c r="BC342" i="5" l="1"/>
  <c r="BP342" i="5"/>
  <c r="CG342" i="5" l="1"/>
  <c r="BQ342" i="5"/>
  <c r="BR342" i="5"/>
  <c r="BI342" i="5"/>
  <c r="CD342" i="5"/>
  <c r="BD342" i="5"/>
  <c r="CJ342" i="5" l="1"/>
  <c r="BK342" i="5"/>
  <c r="BH343" i="5" s="1"/>
  <c r="CB342" i="5"/>
  <c r="F351" i="8"/>
  <c r="BU342" i="5"/>
  <c r="BW342" i="5" s="1"/>
  <c r="BZ342" i="5" s="1"/>
  <c r="CH342" i="5" l="1"/>
  <c r="BV342" i="5"/>
  <c r="CK342" i="5"/>
  <c r="CL342" i="5" s="1"/>
  <c r="BJ343" i="5"/>
  <c r="AS343" i="5"/>
  <c r="CF342" i="5" l="1"/>
  <c r="G351" i="8"/>
  <c r="BO343" i="5" l="1"/>
  <c r="AM343" i="5"/>
  <c r="BT343" i="5"/>
  <c r="AN343" i="5" l="1"/>
  <c r="AP343" i="5" l="1"/>
  <c r="AO343" i="5"/>
  <c r="AT343" i="5" l="1"/>
  <c r="AX343" i="5" s="1"/>
  <c r="AU343" i="5" l="1"/>
  <c r="AV343" i="5" l="1"/>
  <c r="CC343" i="5" l="1"/>
  <c r="AZ343" i="5"/>
  <c r="AW343" i="5"/>
  <c r="BA343" i="5" l="1"/>
  <c r="BE343" i="5" l="1"/>
  <c r="BL343" i="5" s="1"/>
  <c r="BB343" i="5"/>
  <c r="BC343" i="5" l="1"/>
  <c r="BP343" i="5"/>
  <c r="BR343" i="5" s="1"/>
  <c r="BU343" i="5" l="1"/>
  <c r="CG343" i="5"/>
  <c r="BQ343" i="5"/>
  <c r="BI343" i="5"/>
  <c r="CD343" i="5"/>
  <c r="BD343" i="5"/>
  <c r="CB343" i="5" l="1"/>
  <c r="F352" i="8"/>
  <c r="CJ343" i="5"/>
  <c r="BK343" i="5"/>
  <c r="BH344" i="5" s="1"/>
  <c r="CH343" i="5"/>
  <c r="CF343" i="5" s="1"/>
  <c r="BV343" i="5"/>
  <c r="BW343" i="5"/>
  <c r="BZ343" i="5" s="1"/>
  <c r="CK343" i="5" s="1"/>
  <c r="CL343" i="5" l="1"/>
  <c r="G352" i="8"/>
  <c r="BO344" i="5"/>
  <c r="BJ344" i="5"/>
  <c r="BT344" i="5"/>
  <c r="AS344" i="5"/>
  <c r="AM344" i="5"/>
  <c r="AN344" i="5" l="1"/>
  <c r="AP344" i="5" l="1"/>
  <c r="AO344" i="5"/>
  <c r="AT344" i="5" l="1"/>
  <c r="AU344" i="5" l="1"/>
  <c r="AX344" i="5"/>
  <c r="AV344" i="5" l="1"/>
  <c r="AW344" i="5" s="1"/>
  <c r="AZ344" i="5" l="1"/>
  <c r="BA344" i="5" s="1"/>
  <c r="CC344" i="5"/>
  <c r="BE344" i="5" l="1"/>
  <c r="BL344" i="5" s="1"/>
  <c r="BB344" i="5"/>
  <c r="BC344" i="5" l="1"/>
  <c r="BP344" i="5"/>
  <c r="BR344" i="5" s="1"/>
  <c r="BU344" i="5" l="1"/>
  <c r="BW344" i="5" s="1"/>
  <c r="BZ344" i="5" s="1"/>
  <c r="CK344" i="5" s="1"/>
  <c r="CG344" i="5"/>
  <c r="BQ344" i="5"/>
  <c r="BI344" i="5"/>
  <c r="CD344" i="5"/>
  <c r="BD344" i="5"/>
  <c r="CB344" i="5" l="1"/>
  <c r="F353" i="8"/>
  <c r="CJ344" i="5"/>
  <c r="CL344" i="5" s="1"/>
  <c r="BK344" i="5"/>
  <c r="BH345" i="5" s="1"/>
  <c r="G353" i="8"/>
  <c r="CH344" i="5"/>
  <c r="CF344" i="5" s="1"/>
  <c r="BV344" i="5"/>
  <c r="BO345" i="5" l="1"/>
  <c r="BT345" i="5"/>
  <c r="BJ345" i="5"/>
  <c r="AS345" i="5"/>
  <c r="AM345" i="5"/>
  <c r="AN345" i="5" l="1"/>
  <c r="AO345" i="5" s="1"/>
  <c r="AP345" i="5" l="1"/>
  <c r="AT345" i="5" l="1"/>
  <c r="AX345" i="5" s="1"/>
  <c r="AU345" i="5" l="1"/>
  <c r="AV345" i="5" l="1"/>
  <c r="AW345" i="5" s="1"/>
  <c r="CC345" i="5" l="1"/>
  <c r="AZ345" i="5"/>
  <c r="BA345" i="5" l="1"/>
  <c r="BE345" i="5" l="1"/>
  <c r="BL345" i="5" s="1"/>
  <c r="BB345" i="5"/>
  <c r="BP345" i="5" l="1"/>
  <c r="BC345" i="5"/>
  <c r="CG345" i="5" l="1"/>
  <c r="BQ345" i="5"/>
  <c r="BI345" i="5"/>
  <c r="CD345" i="5"/>
  <c r="BD345" i="5"/>
  <c r="BR345" i="5"/>
  <c r="BU345" i="5" l="1"/>
  <c r="BW345" i="5" s="1"/>
  <c r="BZ345" i="5" s="1"/>
  <c r="CB345" i="5"/>
  <c r="F354" i="8"/>
  <c r="CJ345" i="5"/>
  <c r="BK345" i="5"/>
  <c r="BH346" i="5" s="1"/>
  <c r="BJ346" i="5" l="1"/>
  <c r="AS346" i="5"/>
  <c r="CH345" i="5"/>
  <c r="BV345" i="5"/>
  <c r="CK345" i="5"/>
  <c r="CL345" i="5" s="1"/>
  <c r="CF345" i="5" l="1"/>
  <c r="G354" i="8"/>
  <c r="BO346" i="5" l="1"/>
  <c r="AM346" i="5"/>
  <c r="BT346" i="5"/>
  <c r="AN346" i="5" l="1"/>
  <c r="AP346" i="5" l="1"/>
  <c r="AO346" i="5"/>
  <c r="AT346" i="5" l="1"/>
  <c r="AX346" i="5" s="1"/>
  <c r="AU346" i="5" l="1"/>
  <c r="AV346" i="5" l="1"/>
  <c r="CC346" i="5" l="1"/>
  <c r="AZ346" i="5"/>
  <c r="AW346" i="5"/>
  <c r="BA346" i="5" l="1"/>
  <c r="BE346" i="5" l="1"/>
  <c r="BL346" i="5" s="1"/>
  <c r="BB346" i="5"/>
  <c r="BC346" i="5" l="1"/>
  <c r="BP346" i="5"/>
  <c r="CG346" i="5" l="1"/>
  <c r="BQ346" i="5"/>
  <c r="BR346" i="5"/>
  <c r="BI346" i="5"/>
  <c r="CD346" i="5"/>
  <c r="BD346" i="5"/>
  <c r="CB346" i="5" l="1"/>
  <c r="F355" i="8"/>
  <c r="CJ346" i="5"/>
  <c r="BK346" i="5"/>
  <c r="BH347" i="5" s="1"/>
  <c r="BU346" i="5"/>
  <c r="BW346" i="5" s="1"/>
  <c r="BZ346" i="5" s="1"/>
  <c r="CH346" i="5" l="1"/>
  <c r="BV346" i="5"/>
  <c r="CK346" i="5"/>
  <c r="CL346" i="5" s="1"/>
  <c r="BJ347" i="5"/>
  <c r="AS347" i="5"/>
  <c r="CF346" i="5" l="1"/>
  <c r="G355" i="8"/>
  <c r="BO347" i="5" l="1"/>
  <c r="AM347" i="5"/>
  <c r="BT347" i="5"/>
  <c r="AN347" i="5" l="1"/>
  <c r="AP347" i="5" l="1"/>
  <c r="AO347" i="5"/>
  <c r="AT347" i="5" l="1"/>
  <c r="AU347" i="5" l="1"/>
  <c r="AX347" i="5"/>
  <c r="AV347" i="5" l="1"/>
  <c r="AZ347" i="5" s="1"/>
  <c r="BA347" i="5" l="1"/>
  <c r="CC347" i="5"/>
  <c r="AW347" i="5"/>
  <c r="BE347" i="5" l="1"/>
  <c r="BL347" i="5" s="1"/>
  <c r="BB347" i="5"/>
  <c r="BC347" i="5" l="1"/>
  <c r="BP347" i="5"/>
  <c r="BI347" i="5" l="1"/>
  <c r="CD347" i="5"/>
  <c r="CG347" i="5"/>
  <c r="BQ347" i="5"/>
  <c r="BR347" i="5"/>
  <c r="BD347" i="5"/>
  <c r="BU347" i="5" l="1"/>
  <c r="BW347" i="5" s="1"/>
  <c r="BZ347" i="5" s="1"/>
  <c r="CB347" i="5"/>
  <c r="F356" i="8"/>
  <c r="CJ347" i="5"/>
  <c r="BK347" i="5"/>
  <c r="BH348" i="5" s="1"/>
  <c r="BJ348" i="5" l="1"/>
  <c r="AS348" i="5"/>
  <c r="CH347" i="5"/>
  <c r="BV347" i="5"/>
  <c r="CK347" i="5"/>
  <c r="CL347" i="5" s="1"/>
  <c r="CF347" i="5" l="1"/>
  <c r="G356" i="8"/>
  <c r="BO348" i="5" l="1"/>
  <c r="AM348" i="5"/>
  <c r="BT348" i="5"/>
  <c r="AN348" i="5" l="1"/>
  <c r="AO348" i="5" s="1"/>
  <c r="AP348" i="5" l="1"/>
  <c r="AT348" i="5" l="1"/>
  <c r="AX348" i="5" s="1"/>
  <c r="AU348" i="5" l="1"/>
  <c r="AV348" i="5" l="1"/>
  <c r="CC348" i="5" l="1"/>
  <c r="AZ348" i="5"/>
  <c r="AW348" i="5"/>
  <c r="BA348" i="5" l="1"/>
  <c r="BE348" i="5" l="1"/>
  <c r="BL348" i="5" s="1"/>
  <c r="BB348" i="5"/>
  <c r="BP348" i="5" l="1"/>
  <c r="BC348" i="5"/>
  <c r="BD348" i="5" s="1"/>
  <c r="CG348" i="5" l="1"/>
  <c r="BQ348" i="5"/>
  <c r="BI348" i="5"/>
  <c r="CD348" i="5"/>
  <c r="BR348" i="5"/>
  <c r="CB348" i="5" l="1"/>
  <c r="F357" i="8"/>
  <c r="BU348" i="5"/>
  <c r="CJ348" i="5"/>
  <c r="BK348" i="5"/>
  <c r="BH349" i="5" s="1"/>
  <c r="CH348" i="5" l="1"/>
  <c r="BV348" i="5"/>
  <c r="BW348" i="5"/>
  <c r="BZ348" i="5" s="1"/>
  <c r="CK348" i="5" s="1"/>
  <c r="CL348" i="5" s="1"/>
  <c r="BJ349" i="5"/>
  <c r="AS349" i="5"/>
  <c r="CF348" i="5" l="1"/>
  <c r="G357" i="8"/>
  <c r="BO349" i="5" l="1"/>
  <c r="BT349" i="5"/>
  <c r="AM349" i="5"/>
  <c r="AN349" i="5" l="1"/>
  <c r="AP349" i="5" l="1"/>
  <c r="AO349" i="5"/>
  <c r="AT349" i="5" l="1"/>
  <c r="AU349" i="5" l="1"/>
  <c r="AX349" i="5"/>
  <c r="AV349" i="5" l="1"/>
  <c r="AZ349" i="5" s="1"/>
  <c r="BA349" i="5" l="1"/>
  <c r="CC349" i="5"/>
  <c r="AW349" i="5"/>
  <c r="BE349" i="5" l="1"/>
  <c r="BL349" i="5" s="1"/>
  <c r="BB349" i="5"/>
  <c r="BP349" i="5" l="1"/>
  <c r="BR349" i="5" s="1"/>
  <c r="BC349" i="5"/>
  <c r="BU349" i="5" l="1"/>
  <c r="BW349" i="5" s="1"/>
  <c r="BZ349" i="5" s="1"/>
  <c r="CK349" i="5" s="1"/>
  <c r="BI349" i="5"/>
  <c r="CD349" i="5"/>
  <c r="BD349" i="5"/>
  <c r="CG349" i="5"/>
  <c r="BQ349" i="5"/>
  <c r="CB349" i="5" l="1"/>
  <c r="F358" i="8"/>
  <c r="CJ349" i="5"/>
  <c r="CL349" i="5" s="1"/>
  <c r="BK349" i="5"/>
  <c r="BH350" i="5" s="1"/>
  <c r="CH349" i="5"/>
  <c r="CF349" i="5" s="1"/>
  <c r="BV349" i="5"/>
  <c r="BO350" i="5" l="1"/>
  <c r="G358" i="8"/>
  <c r="BT350" i="5"/>
  <c r="BJ350" i="5"/>
  <c r="AS350" i="5"/>
  <c r="AM350" i="5"/>
  <c r="AN350" i="5" l="1"/>
  <c r="AP350" i="5" l="1"/>
  <c r="AO350" i="5"/>
  <c r="AT350" i="5" l="1"/>
  <c r="AX350" i="5" s="1"/>
  <c r="AU350" i="5" l="1"/>
  <c r="AV350" i="5" l="1"/>
  <c r="CC350" i="5" l="1"/>
  <c r="AZ350" i="5"/>
  <c r="AW350" i="5"/>
  <c r="BA350" i="5" l="1"/>
  <c r="BE350" i="5" l="1"/>
  <c r="BL350" i="5" s="1"/>
  <c r="BB350" i="5"/>
  <c r="BC350" i="5" l="1"/>
  <c r="BP350" i="5"/>
  <c r="CG350" i="5" l="1"/>
  <c r="BQ350" i="5"/>
  <c r="BR350" i="5"/>
  <c r="BI350" i="5"/>
  <c r="CD350" i="5"/>
  <c r="BD350" i="5"/>
  <c r="CB350" i="5" l="1"/>
  <c r="F359" i="8"/>
  <c r="BU350" i="5"/>
  <c r="BW350" i="5" s="1"/>
  <c r="BZ350" i="5" s="1"/>
  <c r="CJ350" i="5"/>
  <c r="BK350" i="5"/>
  <c r="BH351" i="5" s="1"/>
  <c r="CH350" i="5" l="1"/>
  <c r="BV350" i="5"/>
  <c r="CK350" i="5"/>
  <c r="CL350" i="5" s="1"/>
  <c r="BJ351" i="5"/>
  <c r="AS351" i="5"/>
  <c r="CF350" i="5" l="1"/>
  <c r="G359" i="8"/>
  <c r="BO351" i="5" l="1"/>
  <c r="BT351" i="5"/>
  <c r="AM351" i="5"/>
  <c r="AN351" i="5" l="1"/>
  <c r="AP351" i="5" l="1"/>
  <c r="AO351" i="5"/>
  <c r="AT351" i="5" l="1"/>
  <c r="AX351" i="5" s="1"/>
  <c r="AU351" i="5" l="1"/>
  <c r="AV351" i="5" l="1"/>
  <c r="AZ351" i="5" l="1"/>
  <c r="CC351" i="5"/>
  <c r="AW351" i="5"/>
  <c r="BA351" i="5" l="1"/>
  <c r="BE351" i="5" l="1"/>
  <c r="BL351" i="5" s="1"/>
  <c r="BB351" i="5"/>
  <c r="BC351" i="5" l="1"/>
  <c r="BP351" i="5"/>
  <c r="CG351" i="5" l="1"/>
  <c r="BQ351" i="5"/>
  <c r="BR351" i="5"/>
  <c r="BI351" i="5"/>
  <c r="CD351" i="5"/>
  <c r="BD351" i="5"/>
  <c r="CB351" i="5" l="1"/>
  <c r="F360" i="8"/>
  <c r="BU351" i="5"/>
  <c r="BW351" i="5" s="1"/>
  <c r="BZ351" i="5" s="1"/>
  <c r="CJ351" i="5"/>
  <c r="BK351" i="5"/>
  <c r="BH352" i="5" s="1"/>
  <c r="CH351" i="5" l="1"/>
  <c r="BV351" i="5"/>
  <c r="CK351" i="5"/>
  <c r="CL351" i="5" s="1"/>
  <c r="BJ352" i="5"/>
  <c r="AS352" i="5"/>
  <c r="CF351" i="5" l="1"/>
  <c r="G360" i="8"/>
  <c r="BO352" i="5" l="1"/>
  <c r="BT352" i="5"/>
  <c r="AM352" i="5"/>
  <c r="AN352" i="5" l="1"/>
  <c r="AP352" i="5" l="1"/>
  <c r="AO352" i="5"/>
  <c r="AT352" i="5" l="1"/>
  <c r="AX352" i="5" s="1"/>
  <c r="AU352" i="5" l="1"/>
  <c r="AV352" i="5" l="1"/>
  <c r="CC352" i="5" l="1"/>
  <c r="AZ352" i="5"/>
  <c r="AW352" i="5"/>
  <c r="BA352" i="5" l="1"/>
  <c r="BE352" i="5" l="1"/>
  <c r="BL352" i="5" s="1"/>
  <c r="BB352" i="5"/>
  <c r="BC352" i="5" l="1"/>
  <c r="BP352" i="5"/>
  <c r="CG352" i="5" l="1"/>
  <c r="BQ352" i="5"/>
  <c r="BR352" i="5"/>
  <c r="BI352" i="5"/>
  <c r="CD352" i="5"/>
  <c r="BD352" i="5"/>
  <c r="BU352" i="5" l="1"/>
  <c r="BW352" i="5" s="1"/>
  <c r="BZ352" i="5" s="1"/>
  <c r="CB352" i="5"/>
  <c r="F361" i="8"/>
  <c r="CJ352" i="5"/>
  <c r="BK352" i="5"/>
  <c r="BH353" i="5" s="1"/>
  <c r="BJ353" i="5" l="1"/>
  <c r="AS353" i="5"/>
  <c r="CH352" i="5"/>
  <c r="BV352" i="5"/>
  <c r="CK352" i="5"/>
  <c r="CL352" i="5" s="1"/>
  <c r="CF352" i="5" l="1"/>
  <c r="G361" i="8"/>
  <c r="BO353" i="5" l="1"/>
  <c r="AM353" i="5"/>
  <c r="BT353" i="5"/>
  <c r="AN353" i="5" l="1"/>
  <c r="AP353" i="5" l="1"/>
  <c r="AO353" i="5"/>
  <c r="AT353" i="5" l="1"/>
  <c r="AX353" i="5" s="1"/>
  <c r="AU353" i="5" l="1"/>
  <c r="AV353" i="5" l="1"/>
  <c r="CC353" i="5" l="1"/>
  <c r="AZ353" i="5"/>
  <c r="AW353" i="5"/>
  <c r="BA353" i="5" l="1"/>
  <c r="BE353" i="5" l="1"/>
  <c r="BL353" i="5" s="1"/>
  <c r="BB353" i="5"/>
  <c r="BC353" i="5" l="1"/>
  <c r="BP353" i="5"/>
  <c r="BR353" i="5" s="1"/>
  <c r="BU353" i="5" l="1"/>
  <c r="BW353" i="5" s="1"/>
  <c r="BZ353" i="5" s="1"/>
  <c r="CK353" i="5" s="1"/>
  <c r="CG353" i="5"/>
  <c r="BQ353" i="5"/>
  <c r="BI353" i="5"/>
  <c r="CD353" i="5"/>
  <c r="BD353" i="5"/>
  <c r="CJ353" i="5" l="1"/>
  <c r="CL353" i="5" s="1"/>
  <c r="BK353" i="5"/>
  <c r="BH354" i="5" s="1"/>
  <c r="CB353" i="5"/>
  <c r="F362" i="8"/>
  <c r="CH353" i="5"/>
  <c r="CF353" i="5" s="1"/>
  <c r="BV353" i="5"/>
  <c r="G362" i="8" l="1"/>
  <c r="BO354" i="5"/>
  <c r="BJ354" i="5"/>
  <c r="BT354" i="5"/>
  <c r="AS354" i="5"/>
  <c r="AM354" i="5"/>
  <c r="AN354" i="5" l="1"/>
  <c r="AO354" i="5" s="1"/>
  <c r="AP354" i="5" l="1"/>
  <c r="AT354" i="5" l="1"/>
  <c r="AX354" i="5" s="1"/>
  <c r="AU354" i="5" l="1"/>
  <c r="AV354" i="5" l="1"/>
  <c r="CC354" i="5" l="1"/>
  <c r="AZ354" i="5"/>
  <c r="AW354" i="5"/>
  <c r="BA354" i="5" l="1"/>
  <c r="BE354" i="5" l="1"/>
  <c r="BL354" i="5" s="1"/>
  <c r="BB354" i="5"/>
  <c r="BP354" i="5" l="1"/>
  <c r="BR354" i="5" s="1"/>
  <c r="BC354" i="5"/>
  <c r="BU354" i="5" l="1"/>
  <c r="BW354" i="5"/>
  <c r="BZ354" i="5" s="1"/>
  <c r="BI354" i="5"/>
  <c r="CD354" i="5"/>
  <c r="CK354" i="5"/>
  <c r="BD354" i="5"/>
  <c r="CG354" i="5"/>
  <c r="BQ354" i="5"/>
  <c r="CB354" i="5" l="1"/>
  <c r="F363" i="8"/>
  <c r="CJ354" i="5"/>
  <c r="CL354" i="5" s="1"/>
  <c r="BK354" i="5"/>
  <c r="BH355" i="5" s="1"/>
  <c r="CH354" i="5"/>
  <c r="CF354" i="5" s="1"/>
  <c r="BV354" i="5"/>
  <c r="BO355" i="5" l="1"/>
  <c r="BJ355" i="5"/>
  <c r="BT355" i="5"/>
  <c r="AS355" i="5"/>
  <c r="AM355" i="5"/>
  <c r="G363" i="8"/>
  <c r="AN355" i="5" l="1"/>
  <c r="AP355" i="5" l="1"/>
  <c r="AO355" i="5"/>
  <c r="AT355" i="5" l="1"/>
  <c r="AX355" i="5" s="1"/>
  <c r="AU355" i="5" l="1"/>
  <c r="AV355" i="5" l="1"/>
  <c r="AW355" i="5" s="1"/>
  <c r="AZ355" i="5" l="1"/>
  <c r="CC355" i="5"/>
  <c r="BA355" i="5" l="1"/>
  <c r="BE355" i="5" l="1"/>
  <c r="BL355" i="5" s="1"/>
  <c r="BB355" i="5"/>
  <c r="BP355" i="5" l="1"/>
  <c r="BR355" i="5" s="1"/>
  <c r="BC355" i="5"/>
  <c r="BU355" i="5" l="1"/>
  <c r="BW355" i="5" s="1"/>
  <c r="BZ355" i="5" s="1"/>
  <c r="CK355" i="5" s="1"/>
  <c r="BI355" i="5"/>
  <c r="CD355" i="5"/>
  <c r="BD355" i="5"/>
  <c r="CG355" i="5"/>
  <c r="BQ355" i="5"/>
  <c r="CJ355" i="5" l="1"/>
  <c r="CL355" i="5" s="1"/>
  <c r="BK355" i="5"/>
  <c r="BH356" i="5" s="1"/>
  <c r="CB355" i="5"/>
  <c r="F364" i="8"/>
  <c r="CH355" i="5"/>
  <c r="CF355" i="5" s="1"/>
  <c r="BV355" i="5"/>
  <c r="BJ356" i="5" l="1"/>
  <c r="BT356" i="5"/>
  <c r="AS356" i="5"/>
  <c r="AM356" i="5"/>
  <c r="BO356" i="5"/>
  <c r="G364" i="8"/>
  <c r="AN356" i="5" l="1"/>
  <c r="AO356" i="5" s="1"/>
  <c r="L28" i="9" l="1"/>
  <c r="AP356" i="5"/>
  <c r="AT356" i="5" l="1"/>
  <c r="AX356" i="5" s="1"/>
  <c r="AU356" i="5" l="1"/>
  <c r="AV356" i="5" l="1"/>
  <c r="AW356" i="5" s="1"/>
  <c r="CC356" i="5" l="1"/>
  <c r="AZ356" i="5"/>
  <c r="BA356" i="5" l="1"/>
  <c r="BE356" i="5" l="1"/>
  <c r="BL356" i="5" s="1"/>
  <c r="BB356" i="5"/>
  <c r="BC356" i="5" l="1"/>
  <c r="BP356" i="5"/>
  <c r="BR356" i="5" s="1"/>
  <c r="BU356" i="5" l="1"/>
  <c r="BI356" i="5"/>
  <c r="CD356" i="5"/>
  <c r="CG356" i="5"/>
  <c r="BQ356" i="5"/>
  <c r="BD356" i="5"/>
  <c r="CB356" i="5" l="1"/>
  <c r="F365" i="8"/>
  <c r="CJ356" i="5"/>
  <c r="BK356" i="5"/>
  <c r="BH357" i="5" s="1"/>
  <c r="CH356" i="5"/>
  <c r="CF356" i="5" s="1"/>
  <c r="BV356" i="5"/>
  <c r="BW356" i="5"/>
  <c r="BZ356" i="5" s="1"/>
  <c r="CK356" i="5" s="1"/>
  <c r="BO357" i="5" l="1"/>
  <c r="CL356" i="5"/>
  <c r="G365" i="8"/>
  <c r="P28" i="9"/>
  <c r="BT357" i="5"/>
  <c r="BJ357" i="5"/>
  <c r="AS357" i="5"/>
  <c r="AM357" i="5"/>
  <c r="AN357" i="5" l="1"/>
  <c r="L29" i="9" l="1"/>
  <c r="AP357" i="5"/>
  <c r="AO357" i="5"/>
  <c r="AT357" i="5" l="1"/>
  <c r="AU357" i="5" l="1"/>
  <c r="AX357" i="5"/>
  <c r="AV357" i="5" l="1"/>
  <c r="CC357" i="5" l="1"/>
  <c r="AW357" i="5"/>
  <c r="AZ357" i="5"/>
  <c r="BA357" i="5" l="1"/>
  <c r="BE357" i="5" l="1"/>
  <c r="BL357" i="5" s="1"/>
  <c r="BB357" i="5"/>
  <c r="BC357" i="5" l="1"/>
  <c r="BP357" i="5"/>
  <c r="CG357" i="5" l="1"/>
  <c r="BQ357" i="5"/>
  <c r="BR357" i="5"/>
  <c r="BI357" i="5"/>
  <c r="CD357" i="5"/>
  <c r="BD357" i="5"/>
  <c r="CB357" i="5" l="1"/>
  <c r="F366" i="8"/>
  <c r="CJ357" i="5"/>
  <c r="BK357" i="5"/>
  <c r="BH358" i="5" s="1"/>
  <c r="BU357" i="5"/>
  <c r="CH357" i="5" l="1"/>
  <c r="BV357" i="5"/>
  <c r="BW357" i="5"/>
  <c r="BZ357" i="5" s="1"/>
  <c r="CK357" i="5" s="1"/>
  <c r="CL357" i="5" s="1"/>
  <c r="BJ358" i="5"/>
  <c r="P29" i="9"/>
  <c r="AS358" i="5"/>
  <c r="CF357" i="5" l="1"/>
  <c r="G366" i="8"/>
  <c r="BO358" i="5" l="1"/>
  <c r="BT358" i="5"/>
  <c r="AM358" i="5"/>
  <c r="AN358" i="5" l="1"/>
  <c r="L30" i="9" l="1"/>
  <c r="AP358" i="5"/>
  <c r="AO358" i="5"/>
  <c r="AT358" i="5" l="1"/>
  <c r="AX358" i="5" s="1"/>
  <c r="AU358" i="5" l="1"/>
  <c r="AV358" i="5" l="1"/>
  <c r="AW358" i="5" s="1"/>
  <c r="CC358" i="5" l="1"/>
  <c r="AZ358" i="5"/>
  <c r="BA358" i="5" l="1"/>
  <c r="BE358" i="5" l="1"/>
  <c r="BL358" i="5" s="1"/>
  <c r="BB358" i="5"/>
  <c r="BC358" i="5" l="1"/>
  <c r="BP358" i="5"/>
  <c r="BR358" i="5" s="1"/>
  <c r="BI358" i="5" l="1"/>
  <c r="CD358" i="5"/>
  <c r="BU358" i="5"/>
  <c r="CG358" i="5"/>
  <c r="BQ358" i="5"/>
  <c r="BD358" i="5"/>
  <c r="CH358" i="5" l="1"/>
  <c r="CF358" i="5" s="1"/>
  <c r="BV358" i="5"/>
  <c r="G367" i="8"/>
  <c r="BW358" i="5"/>
  <c r="BZ358" i="5" s="1"/>
  <c r="CB358" i="5"/>
  <c r="F367" i="8"/>
  <c r="CK358" i="5"/>
  <c r="CJ358" i="5"/>
  <c r="BK358" i="5"/>
  <c r="BH359" i="5" s="1"/>
  <c r="BJ359" i="5" l="1"/>
  <c r="BT359" i="5"/>
  <c r="P30" i="9"/>
  <c r="AS359" i="5"/>
  <c r="AM359" i="5"/>
  <c r="CL358" i="5"/>
  <c r="BO359" i="5"/>
  <c r="AN359" i="5" l="1"/>
  <c r="L31" i="9" l="1"/>
  <c r="AP359" i="5"/>
  <c r="AO359" i="5"/>
  <c r="AT359" i="5" l="1"/>
  <c r="AX359" i="5" s="1"/>
  <c r="AU359" i="5" l="1"/>
  <c r="AV359" i="5" l="1"/>
  <c r="AZ359" i="5" l="1"/>
  <c r="CC359" i="5"/>
  <c r="AW359" i="5"/>
  <c r="BA359" i="5" l="1"/>
  <c r="BE359" i="5" l="1"/>
  <c r="BL359" i="5" s="1"/>
  <c r="BB359" i="5"/>
  <c r="BC359" i="5" l="1"/>
  <c r="BP359" i="5"/>
  <c r="CG359" i="5" l="1"/>
  <c r="BQ359" i="5"/>
  <c r="BR359" i="5"/>
  <c r="BI359" i="5"/>
  <c r="CD359" i="5"/>
  <c r="BD359" i="5"/>
  <c r="CJ359" i="5" l="1"/>
  <c r="BK359" i="5"/>
  <c r="BH360" i="5" s="1"/>
  <c r="CB359" i="5"/>
  <c r="F368" i="8"/>
  <c r="BU359" i="5"/>
  <c r="BW359" i="5" s="1"/>
  <c r="BZ359" i="5" s="1"/>
  <c r="CH359" i="5" l="1"/>
  <c r="BV359" i="5"/>
  <c r="CK359" i="5"/>
  <c r="CL359" i="5" s="1"/>
  <c r="P31" i="9"/>
  <c r="BJ360" i="5"/>
  <c r="AS360" i="5"/>
  <c r="CF359" i="5" l="1"/>
  <c r="G368" i="8"/>
  <c r="BO360" i="5" l="1"/>
  <c r="BT360" i="5"/>
  <c r="AM360" i="5"/>
  <c r="AN360" i="5" l="1"/>
  <c r="L32" i="9" l="1"/>
  <c r="AP360" i="5"/>
  <c r="AO360" i="5"/>
  <c r="AT360" i="5" l="1"/>
  <c r="AX360" i="5" s="1"/>
  <c r="AU360" i="5" l="1"/>
  <c r="AV360" i="5" l="1"/>
  <c r="AW360" i="5" s="1"/>
  <c r="AZ360" i="5" l="1"/>
  <c r="CC360" i="5"/>
  <c r="BA360" i="5" l="1"/>
  <c r="BB360" i="5" s="1"/>
  <c r="BC360" i="5" l="1"/>
  <c r="BI360" i="5" s="1"/>
  <c r="BE360" i="5"/>
  <c r="BL360" i="5" s="1"/>
  <c r="CD360" i="5" l="1"/>
  <c r="CJ360" i="5"/>
  <c r="BK360" i="5"/>
  <c r="BH361" i="5" s="1"/>
  <c r="BP360" i="5"/>
  <c r="BR360" i="5" s="1"/>
  <c r="BD360" i="5"/>
  <c r="BU360" i="5" l="1"/>
  <c r="BW360" i="5" s="1"/>
  <c r="BZ360" i="5" s="1"/>
  <c r="CK360" i="5" s="1"/>
  <c r="CL360" i="5" s="1"/>
  <c r="CG360" i="5"/>
  <c r="BQ360" i="5"/>
  <c r="CB360" i="5"/>
  <c r="F369" i="8"/>
  <c r="BJ361" i="5" l="1"/>
  <c r="P32" i="9"/>
  <c r="AS361" i="5"/>
  <c r="CH360" i="5"/>
  <c r="CF360" i="5" s="1"/>
  <c r="AM361" i="5" s="1"/>
  <c r="BV360" i="5"/>
  <c r="AN361" i="5" l="1"/>
  <c r="BO361" i="5"/>
  <c r="BT361" i="5"/>
  <c r="G369" i="8"/>
  <c r="L33" i="9" l="1"/>
  <c r="AP361" i="5"/>
  <c r="AO361" i="5"/>
  <c r="AT361" i="5" l="1"/>
  <c r="AX361" i="5" s="1"/>
  <c r="AU361" i="5" l="1"/>
  <c r="AV361" i="5" l="1"/>
  <c r="CC361" i="5" l="1"/>
  <c r="AZ361" i="5"/>
  <c r="AW361" i="5"/>
  <c r="BA361" i="5" l="1"/>
  <c r="BE361" i="5" l="1"/>
  <c r="BL361" i="5" s="1"/>
  <c r="BB361" i="5"/>
  <c r="BC361" i="5" l="1"/>
  <c r="BP361" i="5"/>
  <c r="BR361" i="5" s="1"/>
  <c r="BU361" i="5" l="1"/>
  <c r="CG361" i="5"/>
  <c r="BQ361" i="5"/>
  <c r="BI361" i="5"/>
  <c r="CD361" i="5"/>
  <c r="BD361" i="5"/>
  <c r="CB361" i="5" l="1"/>
  <c r="F370" i="8"/>
  <c r="CJ361" i="5"/>
  <c r="BK361" i="5"/>
  <c r="BH362" i="5" s="1"/>
  <c r="CH361" i="5"/>
  <c r="CF361" i="5" s="1"/>
  <c r="BV361" i="5"/>
  <c r="BW361" i="5"/>
  <c r="BZ361" i="5" s="1"/>
  <c r="CK361" i="5" s="1"/>
  <c r="BO362" i="5" l="1"/>
  <c r="CL361" i="5"/>
  <c r="G370" i="8"/>
  <c r="BJ362" i="5"/>
  <c r="P33" i="9"/>
  <c r="BT362" i="5"/>
  <c r="AS362" i="5"/>
  <c r="AM362" i="5"/>
  <c r="AN362" i="5" l="1"/>
  <c r="L34" i="9" l="1"/>
  <c r="AP362" i="5"/>
  <c r="AO362" i="5"/>
  <c r="AT362" i="5" l="1"/>
  <c r="AU362" i="5" l="1"/>
  <c r="AX362" i="5"/>
  <c r="AV362" i="5" l="1"/>
  <c r="AW362" i="5" s="1"/>
  <c r="CC362" i="5" l="1"/>
  <c r="AZ362" i="5"/>
  <c r="BA362" i="5" l="1"/>
  <c r="BE362" i="5" l="1"/>
  <c r="BL362" i="5" s="1"/>
  <c r="BB362" i="5"/>
  <c r="BP362" i="5" l="1"/>
  <c r="BC362" i="5"/>
  <c r="BI362" i="5" l="1"/>
  <c r="CD362" i="5"/>
  <c r="BD362" i="5"/>
  <c r="CG362" i="5"/>
  <c r="BQ362" i="5"/>
  <c r="BR362" i="5"/>
  <c r="BU362" i="5" l="1"/>
  <c r="BW362" i="5" s="1"/>
  <c r="BZ362" i="5" s="1"/>
  <c r="CB362" i="5"/>
  <c r="F371" i="8"/>
  <c r="CJ362" i="5"/>
  <c r="BK362" i="5"/>
  <c r="BH363" i="5" s="1"/>
  <c r="BJ363" i="5" l="1"/>
  <c r="P34" i="9"/>
  <c r="AS363" i="5"/>
  <c r="CH362" i="5"/>
  <c r="BV362" i="5"/>
  <c r="CK362" i="5"/>
  <c r="CL362" i="5" s="1"/>
  <c r="CF362" i="5" l="1"/>
  <c r="G371" i="8"/>
  <c r="BO363" i="5" l="1"/>
  <c r="AM363" i="5"/>
  <c r="BT363" i="5"/>
  <c r="AN363" i="5" l="1"/>
  <c r="L35" i="9" l="1"/>
  <c r="AP363" i="5"/>
  <c r="AO363" i="5"/>
  <c r="AT363" i="5" l="1"/>
  <c r="AX363" i="5" s="1"/>
  <c r="AU363" i="5" l="1"/>
  <c r="AV363" i="5" l="1"/>
  <c r="AW363" i="5" s="1"/>
  <c r="CC363" i="5" l="1"/>
  <c r="AZ363" i="5"/>
  <c r="BA363" i="5" l="1"/>
  <c r="BE363" i="5" l="1"/>
  <c r="BL363" i="5" s="1"/>
  <c r="BB363" i="5"/>
  <c r="BC363" i="5" l="1"/>
  <c r="BD363" i="5" s="1"/>
  <c r="BP363" i="5"/>
  <c r="BR363" i="5" s="1"/>
  <c r="BU363" i="5" l="1"/>
  <c r="BW363" i="5" s="1"/>
  <c r="BZ363" i="5" s="1"/>
  <c r="CK363" i="5" s="1"/>
  <c r="CG363" i="5"/>
  <c r="BQ363" i="5"/>
  <c r="BI363" i="5"/>
  <c r="CD363" i="5"/>
  <c r="CB363" i="5" l="1"/>
  <c r="F372" i="8"/>
  <c r="CJ363" i="5"/>
  <c r="CL363" i="5" s="1"/>
  <c r="BK363" i="5"/>
  <c r="BH364" i="5" s="1"/>
  <c r="CH363" i="5"/>
  <c r="CF363" i="5" s="1"/>
  <c r="BV363" i="5"/>
  <c r="BO364" i="5" l="1"/>
  <c r="G372" i="8"/>
  <c r="BJ364" i="5"/>
  <c r="BT364" i="5"/>
  <c r="P35" i="9"/>
  <c r="AS364" i="5"/>
  <c r="AM364" i="5"/>
  <c r="AN364" i="5" l="1"/>
  <c r="L36" i="9" l="1"/>
  <c r="AP364" i="5"/>
  <c r="AO364" i="5"/>
  <c r="AT364" i="5" l="1"/>
  <c r="AX364" i="5" s="1"/>
  <c r="AU364" i="5" l="1"/>
  <c r="AV364" i="5" l="1"/>
  <c r="AZ364" i="5" l="1"/>
  <c r="CC364" i="5"/>
  <c r="AW364" i="5"/>
  <c r="BA364" i="5" l="1"/>
  <c r="BB364" i="5" s="1"/>
  <c r="BC364" i="5" l="1"/>
  <c r="BI364" i="5" s="1"/>
  <c r="BE364" i="5"/>
  <c r="BL364" i="5" s="1"/>
  <c r="CD364" i="5" l="1"/>
  <c r="CJ364" i="5"/>
  <c r="BK364" i="5"/>
  <c r="BH365" i="5" s="1"/>
  <c r="BP364" i="5"/>
  <c r="BD364" i="5"/>
  <c r="CG364" i="5" l="1"/>
  <c r="BQ364" i="5"/>
  <c r="BR364" i="5"/>
  <c r="CB364" i="5"/>
  <c r="F373" i="8"/>
  <c r="BU364" i="5" l="1"/>
  <c r="P36" i="9"/>
  <c r="BJ365" i="5"/>
  <c r="AS365" i="5"/>
  <c r="CH364" i="5" l="1"/>
  <c r="BV364" i="5"/>
  <c r="BW364" i="5"/>
  <c r="BZ364" i="5" s="1"/>
  <c r="CK364" i="5" s="1"/>
  <c r="CL364" i="5" s="1"/>
  <c r="CF364" i="5" l="1"/>
  <c r="G373" i="8"/>
  <c r="BO365" i="5" l="1"/>
  <c r="BT365" i="5"/>
  <c r="AM365" i="5"/>
  <c r="AN365" i="5" l="1"/>
  <c r="L37" i="9" l="1"/>
  <c r="AP365" i="5"/>
  <c r="AO365" i="5"/>
  <c r="AT365" i="5" l="1"/>
  <c r="AU365" i="5" l="1"/>
  <c r="AX365" i="5"/>
  <c r="AV365" i="5" l="1"/>
  <c r="AW365" i="5" s="1"/>
  <c r="CC365" i="5" l="1"/>
  <c r="AZ365" i="5"/>
  <c r="BA365" i="5" l="1"/>
  <c r="BE365" i="5" l="1"/>
  <c r="BL365" i="5" s="1"/>
  <c r="BB365" i="5"/>
  <c r="BC365" i="5" l="1"/>
  <c r="BP365" i="5"/>
  <c r="CG365" i="5" l="1"/>
  <c r="BQ365" i="5"/>
  <c r="BI365" i="5"/>
  <c r="CD365" i="5"/>
  <c r="BR365" i="5"/>
  <c r="BD365" i="5"/>
  <c r="BU365" i="5" l="1"/>
  <c r="BW365" i="5" s="1"/>
  <c r="BZ365" i="5" s="1"/>
  <c r="CB365" i="5"/>
  <c r="F374" i="8"/>
  <c r="CJ365" i="5"/>
  <c r="BK365" i="5"/>
  <c r="BH366" i="5" s="1"/>
  <c r="BJ366" i="5" l="1"/>
  <c r="P37" i="9"/>
  <c r="AS366" i="5"/>
  <c r="CH365" i="5"/>
  <c r="BV365" i="5"/>
  <c r="CK365" i="5"/>
  <c r="CL365" i="5" s="1"/>
  <c r="CF365" i="5" l="1"/>
  <c r="G374" i="8"/>
  <c r="BO366" i="5" l="1"/>
  <c r="AM366" i="5"/>
  <c r="BT366" i="5"/>
  <c r="AN366" i="5" l="1"/>
  <c r="L38" i="9" l="1"/>
  <c r="AP366" i="5"/>
  <c r="AO366" i="5"/>
  <c r="AT366" i="5" l="1"/>
  <c r="AX366" i="5" s="1"/>
  <c r="AU366" i="5" l="1"/>
  <c r="AV366" i="5" l="1"/>
  <c r="AW366" i="5" s="1"/>
  <c r="CC366" i="5" l="1"/>
  <c r="AZ366" i="5"/>
  <c r="BA366" i="5" l="1"/>
  <c r="BE366" i="5" l="1"/>
  <c r="BL366" i="5" s="1"/>
  <c r="BB366" i="5"/>
  <c r="BP366" i="5" l="1"/>
  <c r="BR366" i="5" s="1"/>
  <c r="BC366" i="5"/>
  <c r="BD366" i="5" s="1"/>
  <c r="BU366" i="5" l="1"/>
  <c r="BW366" i="5" s="1"/>
  <c r="BZ366" i="5" s="1"/>
  <c r="CK366" i="5" s="1"/>
  <c r="BI366" i="5"/>
  <c r="CD366" i="5"/>
  <c r="CG366" i="5"/>
  <c r="BQ366" i="5"/>
  <c r="CJ366" i="5" l="1"/>
  <c r="CL366" i="5" s="1"/>
  <c r="CL5" i="5" s="1"/>
  <c r="L4" i="1" s="1"/>
  <c r="BK366" i="5"/>
  <c r="O6" i="9"/>
  <c r="CB366" i="5"/>
  <c r="F375" i="8"/>
  <c r="CH366" i="5"/>
  <c r="CF366" i="5" s="1"/>
  <c r="BV366" i="5"/>
  <c r="L6" i="1" l="1"/>
  <c r="O7" i="9" s="1"/>
  <c r="P38" i="9"/>
  <c r="F6" i="8"/>
  <c r="F8" i="8"/>
  <c r="G375" i="8"/>
  <c r="G6" i="8" l="1"/>
  <c r="G8" i="8"/>
</calcChain>
</file>

<file path=xl/sharedStrings.xml><?xml version="1.0" encoding="utf-8"?>
<sst xmlns="http://schemas.openxmlformats.org/spreadsheetml/2006/main" count="517" uniqueCount="216">
  <si>
    <t>First Payment Date</t>
  </si>
  <si>
    <t>Closing Date</t>
  </si>
  <si>
    <t>Day-Count System</t>
  </si>
  <si>
    <t>Payment Frequency</t>
  </si>
  <si>
    <t>Day Count System</t>
  </si>
  <si>
    <t>30 / 360</t>
  </si>
  <si>
    <t>Actual / 360</t>
  </si>
  <si>
    <t>Monthly</t>
  </si>
  <si>
    <t>Quarterly</t>
  </si>
  <si>
    <t>Annual</t>
  </si>
  <si>
    <t>Pmt Frequency</t>
  </si>
  <si>
    <t>Pmt Frequency Additive</t>
  </si>
  <si>
    <t>DATES &amp; TIMING</t>
  </si>
  <si>
    <t>Project Model Builder</t>
  </si>
  <si>
    <t>Hidden</t>
  </si>
  <si>
    <t>Actual / 365</t>
  </si>
  <si>
    <t xml:space="preserve">Period </t>
  </si>
  <si>
    <t>Date</t>
  </si>
  <si>
    <t>Day Factor</t>
  </si>
  <si>
    <t>Cash Flow</t>
  </si>
  <si>
    <t>ASSET INPUTS</t>
  </si>
  <si>
    <t>Description</t>
  </si>
  <si>
    <t>Original Principal Balance</t>
  </si>
  <si>
    <t>Current Principal Balance</t>
  </si>
  <si>
    <t>Asset Amort Type</t>
  </si>
  <si>
    <t>WA Fixed Rate</t>
  </si>
  <si>
    <t>Original Term</t>
  </si>
  <si>
    <t>Remaining Term</t>
  </si>
  <si>
    <t>Seasoning</t>
  </si>
  <si>
    <t>Floating Rate Curve</t>
  </si>
  <si>
    <t>Margin</t>
  </si>
  <si>
    <t>Periodic Cap/Floor</t>
  </si>
  <si>
    <t>Lifetime Cap</t>
  </si>
  <si>
    <t>Lifetime Floor</t>
  </si>
  <si>
    <t>Rate Reset Freq</t>
  </si>
  <si>
    <t>Asset Pool 1</t>
  </si>
  <si>
    <t>Fixed</t>
  </si>
  <si>
    <t>Asset Interest Type</t>
  </si>
  <si>
    <t>Floating</t>
  </si>
  <si>
    <t>Custom</t>
  </si>
  <si>
    <t>Period</t>
  </si>
  <si>
    <t>Vectors</t>
  </si>
  <si>
    <t>Interest Rates</t>
  </si>
  <si>
    <t>1-Month Libor</t>
  </si>
  <si>
    <t xml:space="preserve">Prime </t>
  </si>
  <si>
    <t>Custom 1</t>
  </si>
  <si>
    <t>Custom 2</t>
  </si>
  <si>
    <t>Custom 3</t>
  </si>
  <si>
    <t>Notional Amort Schedule</t>
  </si>
  <si>
    <t>Beginning Balance</t>
  </si>
  <si>
    <t>Interest Rate</t>
  </si>
  <si>
    <t>Payment</t>
  </si>
  <si>
    <t>Interest</t>
  </si>
  <si>
    <t>Principal</t>
  </si>
  <si>
    <t>Ending Balance</t>
  </si>
  <si>
    <t xml:space="preserve"> </t>
  </si>
  <si>
    <t>Actual Amortization</t>
  </si>
  <si>
    <t>Default Rate</t>
  </si>
  <si>
    <t>New Defaults</t>
  </si>
  <si>
    <t>Amort Factor</t>
  </si>
  <si>
    <t>Prepay Rate</t>
  </si>
  <si>
    <t>Voluntary Prepay</t>
  </si>
  <si>
    <t>Actual Amort</t>
  </si>
  <si>
    <t xml:space="preserve"> Interest Rate</t>
  </si>
  <si>
    <t>Actual Interest</t>
  </si>
  <si>
    <t>Principal Recovery</t>
  </si>
  <si>
    <t>PREPAYMENT/DEFAULT/RECOVERY INPUTS</t>
  </si>
  <si>
    <t>Prepay Curve</t>
  </si>
  <si>
    <t>Prepay Stress</t>
  </si>
  <si>
    <t>SMM 2</t>
  </si>
  <si>
    <t>Prepay</t>
  </si>
  <si>
    <t>SMM 1</t>
  </si>
  <si>
    <t>SMM 3</t>
  </si>
  <si>
    <t>Custom CPR 1 DATA ENTRY ONLY</t>
  </si>
  <si>
    <t>Custom CPR 2 DATA ENTRY ONLY</t>
  </si>
  <si>
    <t>Custom CPR 3 DATA ENTRY ONLY</t>
  </si>
  <si>
    <t>Gross Cumulative Loss</t>
  </si>
  <si>
    <t>Loss Stress</t>
  </si>
  <si>
    <t>Loss Timing Curve</t>
  </si>
  <si>
    <t>SDA Curves</t>
  </si>
  <si>
    <t>Recovery Rate</t>
  </si>
  <si>
    <t>Recovery Lag</t>
  </si>
  <si>
    <t>Timing Curve 3</t>
  </si>
  <si>
    <t>Defaults</t>
  </si>
  <si>
    <t>Timing Curve 1</t>
  </si>
  <si>
    <t>Timing Curve 2</t>
  </si>
  <si>
    <t>Timing Curve 4</t>
  </si>
  <si>
    <t>Timing Curve 5</t>
  </si>
  <si>
    <t>Default Rate 1</t>
  </si>
  <si>
    <t>Default Rate 2</t>
  </si>
  <si>
    <t>Default Rate 3</t>
  </si>
  <si>
    <t>Default Rate 4</t>
  </si>
  <si>
    <t>Default Rate 5</t>
  </si>
  <si>
    <t>SDA 50%</t>
  </si>
  <si>
    <t>SDA 100%</t>
  </si>
  <si>
    <t>SDA 200%</t>
  </si>
  <si>
    <t>Loss Timing</t>
  </si>
  <si>
    <t>TIMING CURVES</t>
  </si>
  <si>
    <t>Months</t>
  </si>
  <si>
    <t>Total Cash Available for Liabilities</t>
  </si>
  <si>
    <t>LIABILITY INPUTS</t>
  </si>
  <si>
    <t>Debt Description</t>
  </si>
  <si>
    <t>Liability Interest Type</t>
  </si>
  <si>
    <t>Fixed Rate</t>
  </si>
  <si>
    <t>Loan Margin</t>
  </si>
  <si>
    <t>Fees</t>
  </si>
  <si>
    <t>Senior Debt 1</t>
  </si>
  <si>
    <t>Sub Loan</t>
  </si>
  <si>
    <t>STRUCTURAL INPUTS</t>
  </si>
  <si>
    <t>Fees Due</t>
  </si>
  <si>
    <t>Fees Paid</t>
  </si>
  <si>
    <t>Unpaid</t>
  </si>
  <si>
    <t>Cash Remaining</t>
  </si>
  <si>
    <t>Note Interest Rate</t>
  </si>
  <si>
    <t>Note Interest Due</t>
  </si>
  <si>
    <t>Note Interest Paid</t>
  </si>
  <si>
    <t>Senior Debt Interest</t>
  </si>
  <si>
    <t>Sub Loan Interest</t>
  </si>
  <si>
    <t>Sub Loan Rate</t>
  </si>
  <si>
    <t>Loan Interest Due</t>
  </si>
  <si>
    <t>Loan Interest Paid</t>
  </si>
  <si>
    <t>Unpaid Interest</t>
  </si>
  <si>
    <t>Advance Rate</t>
  </si>
  <si>
    <t>PrinType</t>
  </si>
  <si>
    <t>Sequential</t>
  </si>
  <si>
    <t>Prin Allocation Type</t>
  </si>
  <si>
    <t>Loan Balances</t>
  </si>
  <si>
    <t>Senior Loan  EOP Balance</t>
  </si>
  <si>
    <t xml:space="preserve">Senior Interest </t>
  </si>
  <si>
    <t>Senior Principal</t>
  </si>
  <si>
    <t>Sub Loan EOP  Balance</t>
  </si>
  <si>
    <t xml:space="preserve">Sub Interest </t>
  </si>
  <si>
    <t>Sub Principal</t>
  </si>
  <si>
    <t xml:space="preserve">Senior Debt Principal </t>
  </si>
  <si>
    <t>Principal Due</t>
  </si>
  <si>
    <t>Principal Paid</t>
  </si>
  <si>
    <t>Sub Loan Principal</t>
  </si>
  <si>
    <t>Loan Principal Due</t>
  </si>
  <si>
    <t>Loan Principal Paid</t>
  </si>
  <si>
    <t>YesNo</t>
  </si>
  <si>
    <t>Yes</t>
  </si>
  <si>
    <t>No</t>
  </si>
  <si>
    <t>Capture All XS Spd</t>
  </si>
  <si>
    <t>Capture Trigger</t>
  </si>
  <si>
    <t>Post-Default Trigger Month</t>
  </si>
  <si>
    <t>Default Trigger %</t>
  </si>
  <si>
    <t>Post Default Mo Trigger</t>
  </si>
  <si>
    <t>Default Trigger</t>
  </si>
  <si>
    <t>Cumulative Default Percentage</t>
  </si>
  <si>
    <t>Event of Default</t>
  </si>
  <si>
    <t>Excess Applied to Sr Prin</t>
  </si>
  <si>
    <t>Swap Active</t>
  </si>
  <si>
    <t>Swap Rate In</t>
  </si>
  <si>
    <t>Swap Rate Out</t>
  </si>
  <si>
    <t>Swap</t>
  </si>
  <si>
    <t>Notional Swap Schedule</t>
  </si>
  <si>
    <t>Swap Flow In</t>
  </si>
  <si>
    <t>Swap Flow Out</t>
  </si>
  <si>
    <t>Swap Earn/Pay</t>
  </si>
  <si>
    <t xml:space="preserve">Cash Available </t>
  </si>
  <si>
    <t>Reserve Active</t>
  </si>
  <si>
    <t>Reserve Account %</t>
  </si>
  <si>
    <t>Reserve Account</t>
  </si>
  <si>
    <t>Reserve Account Minimum</t>
  </si>
  <si>
    <t>Reserve Account Beginning Balance</t>
  </si>
  <si>
    <t xml:space="preserve">Withdrawls </t>
  </si>
  <si>
    <t>Reimbursements</t>
  </si>
  <si>
    <t>Reserve Account Ending Balance</t>
  </si>
  <si>
    <t>Unpaid Covered by Reserve</t>
  </si>
  <si>
    <t>Excess Released</t>
  </si>
  <si>
    <t>Cash Check</t>
  </si>
  <si>
    <t>Cash In</t>
  </si>
  <si>
    <t>Cash Out</t>
  </si>
  <si>
    <t>Difference</t>
  </si>
  <si>
    <t>TESTS</t>
  </si>
  <si>
    <t>Cash In = Cash Out</t>
  </si>
  <si>
    <t>Asset Balance @ Maturity</t>
  </si>
  <si>
    <t>Senior Debt @ Maturity</t>
  </si>
  <si>
    <t>Asset Principal Check</t>
  </si>
  <si>
    <t>Analytics</t>
  </si>
  <si>
    <t>Initial Principal</t>
  </si>
  <si>
    <t>Monthly Yield</t>
  </si>
  <si>
    <t>PV Difference</t>
  </si>
  <si>
    <t>BEY</t>
  </si>
  <si>
    <t>Modified Duration</t>
  </si>
  <si>
    <t>REPORTING PARAMETERS</t>
  </si>
  <si>
    <t>Scenario Name</t>
  </si>
  <si>
    <t>Beginning Snapshot Start</t>
  </si>
  <si>
    <t>Ending Snapshot Start</t>
  </si>
  <si>
    <t>Base Case</t>
  </si>
  <si>
    <t>RESULTS</t>
  </si>
  <si>
    <t>Req. Cr Enhmnt</t>
  </si>
  <si>
    <t>Asset WA Life</t>
  </si>
  <si>
    <t>Loan WA Life</t>
  </si>
  <si>
    <t>Note Bal @ Mat.</t>
  </si>
  <si>
    <t>Trigger Trip Period</t>
  </si>
  <si>
    <t xml:space="preserve">Totals </t>
  </si>
  <si>
    <t>Tracking</t>
  </si>
  <si>
    <t>Asset Amort Total</t>
  </si>
  <si>
    <t>Combined Trigger Tracking</t>
  </si>
  <si>
    <t>Ending Cash Flow</t>
  </si>
  <si>
    <t>Beginning Cash Flow</t>
  </si>
  <si>
    <t>CASH FLOW SNAPSHOT</t>
  </si>
  <si>
    <t>SCENARIO GENERATOR</t>
  </si>
  <si>
    <t>Scenario</t>
  </si>
  <si>
    <t>Gross Loss</t>
  </si>
  <si>
    <t>Recovery</t>
  </si>
  <si>
    <t/>
  </si>
  <si>
    <t>OK</t>
  </si>
  <si>
    <t>NOTES</t>
  </si>
  <si>
    <t>1-Month LIBOR</t>
  </si>
  <si>
    <t>3-Month  LIBOR</t>
  </si>
  <si>
    <t>6-Month  LIBOR</t>
  </si>
  <si>
    <t>Semi Annual</t>
  </si>
  <si>
    <t>Pro Rata</t>
  </si>
  <si>
    <t>Asset-Based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</si>
</sst>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9" formatCode="_(* #,##0.000_);_(* \(#,##0.000\);_(* &quot;-&quot;_);_(@_)"/>
    <numFmt numFmtId="171" formatCode="#,##0\ &quot;           to&quot;"/>
    <numFmt numFmtId="173" formatCode="0.000%"/>
    <numFmt numFmtId="176" formatCode="0.000"/>
    <numFmt numFmtId="177" formatCode="0.00\ &quot;years&quot;"/>
    <numFmt numFmtId="179" formatCode="0.00000"/>
    <numFmt numFmtId="181" formatCode="#,###\ &quot;           to&quot;"/>
    <numFmt numFmtId="183" formatCode="0.000000%"/>
    <numFmt numFmtId="195" formatCode="m/d/yy;@"/>
    <numFmt numFmtId="196" formatCode="_([$€-2]* #,##0.00_);_([$€-2]* \(#,##0.00\);_([$€-2]* &quot;-&quot;??_)"/>
  </numFmts>
  <fonts count="3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8"/>
      <color indexed="12"/>
      <name val="Arial"/>
      <family val="2"/>
    </font>
    <font>
      <b/>
      <i/>
      <sz val="14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b/>
      <sz val="12"/>
      <color indexed="9"/>
      <name val="Arial"/>
      <family val="2"/>
    </font>
    <font>
      <b/>
      <sz val="12"/>
      <color indexed="12"/>
      <name val="Arial"/>
      <family val="2"/>
    </font>
    <font>
      <b/>
      <i/>
      <sz val="10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color indexed="22"/>
      <name val="Arial"/>
      <family val="2"/>
    </font>
    <font>
      <sz val="10"/>
      <color indexed="12"/>
      <name val="Arial"/>
      <family val="2"/>
    </font>
    <font>
      <b/>
      <sz val="10"/>
      <name val="Tahoma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sz val="11"/>
      <color indexed="16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3"/>
      <name val="Calibri"/>
      <family val="2"/>
    </font>
    <font>
      <sz val="11"/>
      <color indexed="53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5"/>
        <bgColor indexed="25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9"/>
        <bgColor indexed="49"/>
      </patternFill>
    </fill>
    <fill>
      <patternFill patternType="solid">
        <fgColor indexed="27"/>
        <bgColor indexed="27"/>
      </patternFill>
    </fill>
    <fill>
      <patternFill patternType="solid">
        <fgColor indexed="52"/>
        <bgColor indexed="52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</patternFill>
    </fill>
    <fill>
      <patternFill patternType="solid">
        <fgColor indexed="22"/>
      </patternFill>
    </fill>
    <fill>
      <patternFill patternType="solid">
        <fgColor indexed="19"/>
      </patternFill>
    </fill>
    <fill>
      <patternFill patternType="solid">
        <fgColor indexed="30"/>
      </patternFill>
    </fill>
    <fill>
      <patternFill patternType="solid">
        <fgColor indexed="26"/>
      </patternFill>
    </fill>
    <fill>
      <patternFill patternType="solid">
        <fgColor indexed="16"/>
      </patternFill>
    </fill>
    <fill>
      <patternFill patternType="solid">
        <fgColor indexed="44"/>
      </patternFill>
    </fill>
    <fill>
      <patternFill patternType="solid">
        <fgColor indexed="5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17"/>
      </patternFill>
    </fill>
    <fill>
      <patternFill patternType="solid">
        <fgColor indexed="8"/>
      </patternFill>
    </fill>
    <fill>
      <patternFill patternType="gray0625">
        <bgColor indexed="22"/>
      </patternFill>
    </fill>
    <fill>
      <patternFill patternType="solid">
        <fgColor indexed="62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48">
    <xf numFmtId="0" fontId="0" fillId="0" borderId="0"/>
    <xf numFmtId="0" fontId="36" fillId="2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7" fillId="6" borderId="0" applyNumberFormat="0" applyBorder="0" applyAlignment="0" applyProtection="0"/>
    <xf numFmtId="0" fontId="37" fillId="7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6" fillId="7" borderId="0" applyNumberFormat="0" applyBorder="0" applyAlignment="0" applyProtection="0"/>
    <xf numFmtId="0" fontId="36" fillId="2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10" borderId="0" applyNumberFormat="0" applyBorder="0" applyAlignment="0" applyProtection="0"/>
    <xf numFmtId="0" fontId="37" fillId="11" borderId="0" applyNumberFormat="0" applyBorder="0" applyAlignment="0" applyProtection="0"/>
    <xf numFmtId="0" fontId="37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12" borderId="0" applyNumberFormat="0" applyBorder="0" applyAlignment="0" applyProtection="0"/>
    <xf numFmtId="0" fontId="37" fillId="6" borderId="0" applyNumberFormat="0" applyBorder="0" applyAlignment="0" applyProtection="0"/>
    <xf numFmtId="0" fontId="37" fillId="13" borderId="0" applyNumberFormat="0" applyBorder="0" applyAlignment="0" applyProtection="0"/>
    <xf numFmtId="0" fontId="36" fillId="13" borderId="0" applyNumberFormat="0" applyBorder="0" applyAlignment="0" applyProtection="0"/>
    <xf numFmtId="0" fontId="26" fillId="14" borderId="0" applyNumberFormat="0" applyBorder="0" applyAlignment="0" applyProtection="0"/>
    <xf numFmtId="0" fontId="31" fillId="15" borderId="1" applyNumberFormat="0" applyAlignment="0" applyProtection="0"/>
    <xf numFmtId="0" fontId="33" fillId="8" borderId="2" applyNumberFormat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196" fontId="1" fillId="0" borderId="0" applyFont="0" applyFill="0" applyBorder="0" applyAlignment="0" applyProtection="0"/>
    <xf numFmtId="0" fontId="25" fillId="9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29" fillId="13" borderId="1" applyNumberFormat="0" applyAlignment="0" applyProtection="0"/>
    <xf numFmtId="0" fontId="32" fillId="0" borderId="6" applyNumberFormat="0" applyFill="0" applyAlignment="0" applyProtection="0"/>
    <xf numFmtId="0" fontId="27" fillId="19" borderId="0" applyNumberFormat="0" applyBorder="0" applyAlignment="0" applyProtection="0"/>
    <xf numFmtId="0" fontId="35" fillId="6" borderId="7" applyNumberFormat="0" applyFont="0" applyAlignment="0" applyProtection="0"/>
    <xf numFmtId="0" fontId="30" fillId="15" borderId="8" applyNumberFormat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34" fillId="0" borderId="0" applyNumberFormat="0" applyFill="0" applyBorder="0" applyAlignment="0" applyProtection="0"/>
  </cellStyleXfs>
  <cellXfs count="302">
    <xf numFmtId="0" fontId="0" fillId="0" borderId="0" xfId="0"/>
    <xf numFmtId="0" fontId="2" fillId="0" borderId="0" xfId="0" applyFont="1"/>
    <xf numFmtId="0" fontId="0" fillId="0" borderId="0" xfId="0" applyBorder="1"/>
    <xf numFmtId="0" fontId="6" fillId="0" borderId="0" xfId="0" applyFont="1"/>
    <xf numFmtId="0" fontId="2" fillId="0" borderId="0" xfId="0" applyFont="1" applyBorder="1"/>
    <xf numFmtId="0" fontId="7" fillId="0" borderId="10" xfId="0" applyFont="1" applyBorder="1"/>
    <xf numFmtId="0" fontId="4" fillId="0" borderId="0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10" fontId="3" fillId="0" borderId="0" xfId="44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/>
    <xf numFmtId="0" fontId="0" fillId="0" borderId="0" xfId="0" applyFill="1" applyBorder="1" applyAlignment="1">
      <alignment horizontal="center" vertical="center"/>
    </xf>
    <xf numFmtId="0" fontId="9" fillId="0" borderId="0" xfId="0" applyFont="1"/>
    <xf numFmtId="0" fontId="9" fillId="0" borderId="11" xfId="0" applyFont="1" applyBorder="1"/>
    <xf numFmtId="14" fontId="11" fillId="0" borderId="12" xfId="0" applyNumberFormat="1" applyFont="1" applyBorder="1" applyAlignment="1">
      <alignment horizontal="right"/>
    </xf>
    <xf numFmtId="0" fontId="11" fillId="0" borderId="12" xfId="0" applyFont="1" applyBorder="1" applyAlignment="1">
      <alignment horizontal="right"/>
    </xf>
    <xf numFmtId="0" fontId="9" fillId="0" borderId="13" xfId="0" applyFont="1" applyBorder="1"/>
    <xf numFmtId="0" fontId="11" fillId="0" borderId="14" xfId="0" applyFont="1" applyBorder="1" applyAlignment="1">
      <alignment horizontal="right"/>
    </xf>
    <xf numFmtId="0" fontId="9" fillId="0" borderId="0" xfId="0" applyFont="1" applyFill="1" applyBorder="1"/>
    <xf numFmtId="0" fontId="4" fillId="2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2" fillId="21" borderId="15" xfId="0" applyFont="1" applyFill="1" applyBorder="1" applyAlignment="1">
      <alignment horizontal="center" vertical="center" wrapText="1"/>
    </xf>
    <xf numFmtId="14" fontId="0" fillId="0" borderId="0" xfId="0" applyNumberFormat="1"/>
    <xf numFmtId="169" fontId="0" fillId="0" borderId="17" xfId="0" applyNumberFormat="1" applyBorder="1" applyAlignment="1">
      <alignment horizontal="center"/>
    </xf>
    <xf numFmtId="0" fontId="0" fillId="0" borderId="10" xfId="0" applyBorder="1"/>
    <xf numFmtId="0" fontId="0" fillId="0" borderId="18" xfId="0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10" fontId="3" fillId="0" borderId="19" xfId="44" applyNumberFormat="1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4" fontId="0" fillId="0" borderId="12" xfId="0" applyNumberFormat="1" applyBorder="1"/>
    <xf numFmtId="0" fontId="0" fillId="0" borderId="24" xfId="0" applyBorder="1" applyAlignment="1">
      <alignment horizontal="center"/>
    </xf>
    <xf numFmtId="14" fontId="0" fillId="0" borderId="14" xfId="0" applyNumberFormat="1" applyBorder="1"/>
    <xf numFmtId="0" fontId="12" fillId="0" borderId="0" xfId="0" applyFont="1"/>
    <xf numFmtId="0" fontId="13" fillId="22" borderId="25" xfId="0" applyFont="1" applyFill="1" applyBorder="1" applyAlignment="1">
      <alignment horizontal="center" vertical="center" wrapText="1"/>
    </xf>
    <xf numFmtId="0" fontId="13" fillId="22" borderId="15" xfId="0" applyFont="1" applyFill="1" applyBorder="1" applyAlignment="1">
      <alignment horizontal="center" vertical="center" wrapText="1"/>
    </xf>
    <xf numFmtId="0" fontId="0" fillId="21" borderId="17" xfId="0" applyFill="1" applyBorder="1"/>
    <xf numFmtId="169" fontId="0" fillId="0" borderId="11" xfId="0" applyNumberFormat="1" applyBorder="1" applyAlignment="1">
      <alignment horizontal="center"/>
    </xf>
    <xf numFmtId="10" fontId="3" fillId="0" borderId="0" xfId="44" applyNumberFormat="1" applyFont="1"/>
    <xf numFmtId="0" fontId="2" fillId="21" borderId="17" xfId="0" applyFont="1" applyFill="1" applyBorder="1" applyAlignment="1">
      <alignment horizontal="center" vertical="center" wrapText="1"/>
    </xf>
    <xf numFmtId="0" fontId="0" fillId="21" borderId="24" xfId="0" applyFill="1" applyBorder="1"/>
    <xf numFmtId="0" fontId="4" fillId="23" borderId="15" xfId="0" applyFont="1" applyFill="1" applyBorder="1" applyAlignment="1">
      <alignment horizontal="center" vertical="center" wrapText="1"/>
    </xf>
    <xf numFmtId="0" fontId="4" fillId="23" borderId="26" xfId="0" applyFont="1" applyFill="1" applyBorder="1" applyAlignment="1">
      <alignment horizontal="center" vertical="center" wrapText="1"/>
    </xf>
    <xf numFmtId="41" fontId="0" fillId="0" borderId="0" xfId="0" applyNumberFormat="1"/>
    <xf numFmtId="10" fontId="0" fillId="0" borderId="0" xfId="44" applyNumberFormat="1" applyFont="1"/>
    <xf numFmtId="0" fontId="14" fillId="0" borderId="0" xfId="0" applyFont="1"/>
    <xf numFmtId="0" fontId="2" fillId="24" borderId="15" xfId="0" applyFont="1" applyFill="1" applyBorder="1" applyAlignment="1">
      <alignment horizontal="center" vertical="center" wrapText="1"/>
    </xf>
    <xf numFmtId="44" fontId="2" fillId="24" borderId="15" xfId="29" applyFont="1" applyFill="1" applyBorder="1" applyAlignment="1">
      <alignment horizontal="center" vertical="center" wrapText="1"/>
    </xf>
    <xf numFmtId="179" fontId="0" fillId="0" borderId="0" xfId="0" applyNumberFormat="1"/>
    <xf numFmtId="173" fontId="0" fillId="0" borderId="0" xfId="44" applyNumberFormat="1" applyFont="1"/>
    <xf numFmtId="10" fontId="0" fillId="0" borderId="0" xfId="0" applyNumberFormat="1"/>
    <xf numFmtId="0" fontId="5" fillId="0" borderId="18" xfId="0" applyFont="1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3" fillId="25" borderId="15" xfId="0" applyFont="1" applyFill="1" applyBorder="1" applyAlignment="1">
      <alignment horizontal="center" vertical="center" wrapText="1"/>
    </xf>
    <xf numFmtId="173" fontId="3" fillId="0" borderId="0" xfId="44" applyNumberFormat="1" applyFont="1"/>
    <xf numFmtId="10" fontId="5" fillId="0" borderId="0" xfId="44" applyNumberFormat="1" applyFont="1"/>
    <xf numFmtId="0" fontId="15" fillId="24" borderId="15" xfId="0" applyFont="1" applyFill="1" applyBorder="1" applyAlignment="1">
      <alignment horizontal="center" vertical="center" wrapText="1"/>
    </xf>
    <xf numFmtId="183" fontId="0" fillId="0" borderId="0" xfId="44" applyNumberFormat="1" applyFont="1"/>
    <xf numFmtId="43" fontId="4" fillId="20" borderId="27" xfId="0" applyNumberFormat="1" applyFont="1" applyFill="1" applyBorder="1"/>
    <xf numFmtId="43" fontId="4" fillId="20" borderId="28" xfId="0" applyNumberFormat="1" applyFont="1" applyFill="1" applyBorder="1"/>
    <xf numFmtId="0" fontId="4" fillId="20" borderId="28" xfId="0" applyFont="1" applyFill="1" applyBorder="1"/>
    <xf numFmtId="0" fontId="0" fillId="20" borderId="28" xfId="0" applyFill="1" applyBorder="1"/>
    <xf numFmtId="0" fontId="0" fillId="20" borderId="29" xfId="0" applyFill="1" applyBorder="1"/>
    <xf numFmtId="43" fontId="4" fillId="0" borderId="11" xfId="0" applyNumberFormat="1" applyFont="1" applyFill="1" applyBorder="1"/>
    <xf numFmtId="43" fontId="4" fillId="0" borderId="0" xfId="0" applyNumberFormat="1" applyFont="1" applyFill="1" applyBorder="1"/>
    <xf numFmtId="0" fontId="4" fillId="0" borderId="0" xfId="0" applyFont="1" applyFill="1" applyBorder="1"/>
    <xf numFmtId="0" fontId="0" fillId="0" borderId="12" xfId="0" applyBorder="1"/>
    <xf numFmtId="0" fontId="0" fillId="0" borderId="12" xfId="0" applyBorder="1" applyAlignment="1">
      <alignment horizontal="center"/>
    </xf>
    <xf numFmtId="181" fontId="3" fillId="0" borderId="11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center"/>
    </xf>
    <xf numFmtId="10" fontId="3" fillId="0" borderId="0" xfId="44" applyNumberFormat="1" applyFont="1" applyBorder="1" applyAlignment="1">
      <alignment horizontal="center"/>
    </xf>
    <xf numFmtId="10" fontId="3" fillId="0" borderId="12" xfId="44" applyNumberFormat="1" applyFont="1" applyBorder="1" applyAlignment="1">
      <alignment horizontal="center"/>
    </xf>
    <xf numFmtId="171" fontId="3" fillId="0" borderId="11" xfId="0" applyNumberFormat="1" applyFont="1" applyBorder="1" applyAlignment="1">
      <alignment horizontal="right"/>
    </xf>
    <xf numFmtId="10" fontId="3" fillId="0" borderId="30" xfId="44" applyNumberFormat="1" applyFont="1" applyBorder="1" applyAlignment="1">
      <alignment horizontal="center"/>
    </xf>
    <xf numFmtId="10" fontId="3" fillId="0" borderId="31" xfId="44" applyNumberFormat="1" applyFont="1" applyBorder="1" applyAlignment="1">
      <alignment horizontal="center"/>
    </xf>
    <xf numFmtId="0" fontId="0" fillId="0" borderId="13" xfId="0" applyBorder="1"/>
    <xf numFmtId="10" fontId="16" fillId="0" borderId="10" xfId="0" applyNumberFormat="1" applyFont="1" applyBorder="1" applyAlignment="1">
      <alignment horizontal="center"/>
    </xf>
    <xf numFmtId="10" fontId="16" fillId="0" borderId="14" xfId="0" applyNumberFormat="1" applyFont="1" applyBorder="1" applyAlignment="1">
      <alignment horizontal="center"/>
    </xf>
    <xf numFmtId="0" fontId="17" fillId="0" borderId="0" xfId="0" applyFont="1" applyBorder="1"/>
    <xf numFmtId="0" fontId="17" fillId="0" borderId="0" xfId="0" applyFont="1" applyFill="1" applyBorder="1"/>
    <xf numFmtId="0" fontId="2" fillId="26" borderId="15" xfId="0" applyFont="1" applyFill="1" applyBorder="1" applyAlignment="1">
      <alignment horizontal="center" vertical="center" wrapText="1"/>
    </xf>
    <xf numFmtId="10" fontId="5" fillId="0" borderId="19" xfId="44" applyNumberFormat="1" applyFont="1" applyBorder="1" applyAlignment="1">
      <alignment horizontal="center" vertical="center"/>
    </xf>
    <xf numFmtId="0" fontId="0" fillId="0" borderId="11" xfId="0" applyBorder="1"/>
    <xf numFmtId="0" fontId="3" fillId="0" borderId="12" xfId="0" applyFont="1" applyBorder="1" applyAlignment="1">
      <alignment horizontal="center"/>
    </xf>
    <xf numFmtId="10" fontId="3" fillId="0" borderId="0" xfId="44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5" fontId="3" fillId="0" borderId="0" xfId="28" applyNumberFormat="1" applyFont="1" applyBorder="1"/>
    <xf numFmtId="10" fontId="3" fillId="0" borderId="10" xfId="44" applyNumberFormat="1" applyFont="1" applyBorder="1" applyAlignment="1">
      <alignment horizontal="center" vertical="center"/>
    </xf>
    <xf numFmtId="0" fontId="0" fillId="0" borderId="14" xfId="0" applyBorder="1"/>
    <xf numFmtId="0" fontId="4" fillId="27" borderId="15" xfId="0" applyFont="1" applyFill="1" applyBorder="1" applyAlignment="1">
      <alignment horizontal="center" vertical="center" wrapText="1"/>
    </xf>
    <xf numFmtId="0" fontId="4" fillId="25" borderId="15" xfId="0" applyFont="1" applyFill="1" applyBorder="1" applyAlignment="1">
      <alignment horizontal="center" vertical="center" wrapText="1"/>
    </xf>
    <xf numFmtId="0" fontId="4" fillId="28" borderId="15" xfId="0" applyFont="1" applyFill="1" applyBorder="1" applyAlignment="1">
      <alignment horizontal="center" vertical="center" wrapText="1"/>
    </xf>
    <xf numFmtId="0" fontId="5" fillId="0" borderId="0" xfId="0" applyFont="1"/>
    <xf numFmtId="0" fontId="2" fillId="29" borderId="15" xfId="0" applyFont="1" applyFill="1" applyBorder="1" applyAlignment="1">
      <alignment horizontal="center" vertical="center" wrapText="1"/>
    </xf>
    <xf numFmtId="0" fontId="3" fillId="0" borderId="0" xfId="0" applyFont="1"/>
    <xf numFmtId="0" fontId="2" fillId="28" borderId="15" xfId="0" applyFont="1" applyFill="1" applyBorder="1" applyAlignment="1">
      <alignment horizontal="center" vertical="center" wrapText="1"/>
    </xf>
    <xf numFmtId="0" fontId="1" fillId="0" borderId="0" xfId="0" applyFont="1"/>
    <xf numFmtId="0" fontId="1" fillId="21" borderId="17" xfId="0" applyFont="1" applyFill="1" applyBorder="1"/>
    <xf numFmtId="165" fontId="1" fillId="0" borderId="0" xfId="28" applyNumberFormat="1" applyFont="1"/>
    <xf numFmtId="165" fontId="1" fillId="0" borderId="0" xfId="0" applyNumberFormat="1" applyFont="1"/>
    <xf numFmtId="41" fontId="1" fillId="0" borderId="0" xfId="0" applyNumberFormat="1" applyFont="1"/>
    <xf numFmtId="43" fontId="1" fillId="0" borderId="0" xfId="0" applyNumberFormat="1" applyFont="1"/>
    <xf numFmtId="10" fontId="1" fillId="0" borderId="0" xfId="44" applyNumberFormat="1" applyFont="1"/>
    <xf numFmtId="0" fontId="1" fillId="21" borderId="24" xfId="0" applyFont="1" applyFill="1" applyBorder="1"/>
    <xf numFmtId="0" fontId="2" fillId="0" borderId="15" xfId="0" applyFont="1" applyFill="1" applyBorder="1" applyAlignment="1">
      <alignment horizontal="center" vertical="center" wrapText="1"/>
    </xf>
    <xf numFmtId="41" fontId="3" fillId="0" borderId="0" xfId="0" applyNumberFormat="1" applyFont="1"/>
    <xf numFmtId="0" fontId="4" fillId="30" borderId="15" xfId="0" applyFont="1" applyFill="1" applyBorder="1" applyAlignment="1">
      <alignment horizontal="center" vertical="center" wrapText="1"/>
    </xf>
    <xf numFmtId="0" fontId="4" fillId="31" borderId="26" xfId="0" applyFont="1" applyFill="1" applyBorder="1" applyAlignment="1">
      <alignment horizontal="center" vertical="center" wrapText="1"/>
    </xf>
    <xf numFmtId="0" fontId="4" fillId="31" borderId="15" xfId="0" applyFont="1" applyFill="1" applyBorder="1" applyAlignment="1">
      <alignment horizontal="center" vertical="center" wrapText="1"/>
    </xf>
    <xf numFmtId="0" fontId="0" fillId="0" borderId="11" xfId="0" applyFill="1" applyBorder="1"/>
    <xf numFmtId="0" fontId="0" fillId="0" borderId="13" xfId="0" applyFill="1" applyBorder="1"/>
    <xf numFmtId="195" fontId="0" fillId="0" borderId="17" xfId="0" applyNumberFormat="1" applyBorder="1" applyAlignment="1">
      <alignment horizontal="center"/>
    </xf>
    <xf numFmtId="176" fontId="0" fillId="0" borderId="17" xfId="0" applyNumberFormat="1" applyBorder="1" applyAlignment="1">
      <alignment horizontal="center"/>
    </xf>
    <xf numFmtId="0" fontId="2" fillId="24" borderId="26" xfId="0" applyFont="1" applyFill="1" applyBorder="1" applyAlignment="1">
      <alignment horizontal="center" vertical="center" wrapText="1"/>
    </xf>
    <xf numFmtId="0" fontId="2" fillId="24" borderId="25" xfId="0" applyFont="1" applyFill="1" applyBorder="1" applyAlignment="1">
      <alignment horizontal="center" vertical="center" wrapText="1"/>
    </xf>
    <xf numFmtId="0" fontId="18" fillId="0" borderId="0" xfId="0" applyFont="1"/>
    <xf numFmtId="165" fontId="5" fillId="0" borderId="0" xfId="28" applyNumberFormat="1" applyFont="1"/>
    <xf numFmtId="0" fontId="0" fillId="0" borderId="28" xfId="0" applyBorder="1"/>
    <xf numFmtId="0" fontId="0" fillId="20" borderId="32" xfId="0" applyFill="1" applyBorder="1"/>
    <xf numFmtId="0" fontId="4" fillId="20" borderId="33" xfId="0" applyFont="1" applyFill="1" applyBorder="1"/>
    <xf numFmtId="0" fontId="0" fillId="20" borderId="33" xfId="0" applyFill="1" applyBorder="1"/>
    <xf numFmtId="0" fontId="0" fillId="20" borderId="34" xfId="0" applyFill="1" applyBorder="1"/>
    <xf numFmtId="0" fontId="14" fillId="0" borderId="0" xfId="0" applyFont="1" applyFill="1" applyBorder="1"/>
    <xf numFmtId="0" fontId="5" fillId="0" borderId="35" xfId="0" applyFont="1" applyFill="1" applyBorder="1"/>
    <xf numFmtId="0" fontId="0" fillId="0" borderId="0" xfId="0" applyBorder="1" applyAlignment="1"/>
    <xf numFmtId="41" fontId="5" fillId="0" borderId="36" xfId="0" applyNumberFormat="1" applyFont="1" applyBorder="1"/>
    <xf numFmtId="0" fontId="0" fillId="0" borderId="35" xfId="0" applyBorder="1" applyAlignment="1">
      <alignment horizontal="center" vertical="top"/>
    </xf>
    <xf numFmtId="0" fontId="5" fillId="0" borderId="0" xfId="0" applyFont="1" applyBorder="1"/>
    <xf numFmtId="10" fontId="5" fillId="0" borderId="36" xfId="0" applyNumberFormat="1" applyFont="1" applyBorder="1"/>
    <xf numFmtId="10" fontId="5" fillId="0" borderId="35" xfId="0" applyNumberFormat="1" applyFont="1" applyBorder="1"/>
    <xf numFmtId="10" fontId="5" fillId="0" borderId="0" xfId="0" applyNumberFormat="1" applyFont="1" applyBorder="1" applyAlignment="1">
      <alignment horizontal="right"/>
    </xf>
    <xf numFmtId="10" fontId="0" fillId="0" borderId="36" xfId="44" applyNumberFormat="1" applyFont="1" applyBorder="1" applyAlignment="1"/>
    <xf numFmtId="0" fontId="0" fillId="0" borderId="35" xfId="0" applyBorder="1" applyAlignment="1"/>
    <xf numFmtId="10" fontId="2" fillId="0" borderId="36" xfId="44" applyNumberFormat="1" applyFont="1" applyBorder="1" applyAlignment="1">
      <alignment horizontal="center" vertical="center"/>
    </xf>
    <xf numFmtId="10" fontId="2" fillId="0" borderId="0" xfId="44" applyNumberFormat="1" applyFont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5" fillId="0" borderId="35" xfId="0" applyFont="1" applyBorder="1"/>
    <xf numFmtId="0" fontId="5" fillId="0" borderId="36" xfId="0" applyFont="1" applyBorder="1" applyAlignment="1">
      <alignment horizontal="right"/>
    </xf>
    <xf numFmtId="10" fontId="5" fillId="0" borderId="36" xfId="0" applyNumberFormat="1" applyFont="1" applyBorder="1" applyAlignment="1">
      <alignment horizontal="right"/>
    </xf>
    <xf numFmtId="10" fontId="5" fillId="0" borderId="35" xfId="0" applyNumberFormat="1" applyFont="1" applyBorder="1" applyAlignment="1">
      <alignment horizontal="right"/>
    </xf>
    <xf numFmtId="0" fontId="5" fillId="0" borderId="0" xfId="0" applyFont="1" applyFill="1" applyBorder="1"/>
    <xf numFmtId="0" fontId="0" fillId="0" borderId="35" xfId="0" applyBorder="1"/>
    <xf numFmtId="10" fontId="5" fillId="0" borderId="0" xfId="44" applyNumberFormat="1" applyFont="1" applyFill="1" applyBorder="1" applyAlignment="1">
      <alignment horizontal="left" vertical="center"/>
    </xf>
    <xf numFmtId="177" fontId="0" fillId="0" borderId="0" xfId="28" applyNumberFormat="1" applyFont="1" applyFill="1" applyBorder="1"/>
    <xf numFmtId="43" fontId="5" fillId="0" borderId="0" xfId="28" applyFont="1" applyBorder="1" applyAlignment="1">
      <alignment horizontal="right"/>
    </xf>
    <xf numFmtId="164" fontId="5" fillId="0" borderId="36" xfId="28" applyNumberFormat="1" applyFont="1" applyBorder="1" applyAlignment="1">
      <alignment horizontal="right"/>
    </xf>
    <xf numFmtId="0" fontId="0" fillId="0" borderId="36" xfId="0" applyBorder="1"/>
    <xf numFmtId="10" fontId="2" fillId="0" borderId="0" xfId="44" applyNumberFormat="1" applyFont="1" applyFill="1" applyBorder="1"/>
    <xf numFmtId="49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right" vertical="top"/>
    </xf>
    <xf numFmtId="10" fontId="0" fillId="0" borderId="0" xfId="44" applyNumberFormat="1" applyFont="1" applyFill="1" applyBorder="1"/>
    <xf numFmtId="165" fontId="5" fillId="0" borderId="0" xfId="28" applyNumberFormat="1" applyFont="1" applyBorder="1" applyAlignment="1">
      <alignment horizontal="right"/>
    </xf>
    <xf numFmtId="165" fontId="5" fillId="0" borderId="36" xfId="28" applyNumberFormat="1" applyFont="1" applyBorder="1" applyAlignment="1">
      <alignment horizontal="right"/>
    </xf>
    <xf numFmtId="173" fontId="0" fillId="0" borderId="0" xfId="44" applyNumberFormat="1" applyFont="1" applyFill="1" applyBorder="1"/>
    <xf numFmtId="165" fontId="0" fillId="0" borderId="0" xfId="28" applyNumberFormat="1" applyFont="1" applyBorder="1"/>
    <xf numFmtId="41" fontId="5" fillId="0" borderId="0" xfId="44" applyNumberFormat="1" applyFont="1" applyFill="1" applyBorder="1" applyAlignment="1">
      <alignment horizontal="center" vertical="center"/>
    </xf>
    <xf numFmtId="0" fontId="5" fillId="0" borderId="37" xfId="0" applyFont="1" applyFill="1" applyBorder="1"/>
    <xf numFmtId="0" fontId="0" fillId="0" borderId="30" xfId="0" applyBorder="1"/>
    <xf numFmtId="41" fontId="5" fillId="0" borderId="30" xfId="0" applyNumberFormat="1" applyFont="1" applyBorder="1"/>
    <xf numFmtId="0" fontId="0" fillId="0" borderId="37" xfId="0" applyBorder="1" applyAlignment="1">
      <alignment horizontal="center" vertical="top"/>
    </xf>
    <xf numFmtId="0" fontId="5" fillId="0" borderId="30" xfId="0" applyFont="1" applyBorder="1"/>
    <xf numFmtId="10" fontId="5" fillId="0" borderId="38" xfId="0" applyNumberFormat="1" applyFont="1" applyBorder="1"/>
    <xf numFmtId="10" fontId="5" fillId="0" borderId="30" xfId="0" applyNumberFormat="1" applyFont="1" applyBorder="1"/>
    <xf numFmtId="0" fontId="5" fillId="0" borderId="30" xfId="0" applyFont="1" applyFill="1" applyBorder="1"/>
    <xf numFmtId="165" fontId="5" fillId="0" borderId="30" xfId="28" applyNumberFormat="1" applyFont="1" applyBorder="1" applyAlignment="1">
      <alignment horizontal="right"/>
    </xf>
    <xf numFmtId="165" fontId="5" fillId="0" borderId="38" xfId="28" applyNumberFormat="1" applyFont="1" applyBorder="1" applyAlignment="1">
      <alignment horizontal="right"/>
    </xf>
    <xf numFmtId="173" fontId="0" fillId="0" borderId="30" xfId="44" applyNumberFormat="1" applyFont="1" applyFill="1" applyBorder="1"/>
    <xf numFmtId="165" fontId="0" fillId="0" borderId="30" xfId="28" applyNumberFormat="1" applyFont="1" applyBorder="1"/>
    <xf numFmtId="0" fontId="0" fillId="0" borderId="38" xfId="0" applyBorder="1"/>
    <xf numFmtId="0" fontId="0" fillId="0" borderId="0" xfId="0" applyBorder="1" applyAlignment="1">
      <alignment horizontal="center" vertical="top"/>
    </xf>
    <xf numFmtId="165" fontId="0" fillId="0" borderId="0" xfId="28" applyNumberFormat="1" applyFont="1" applyFill="1" applyBorder="1"/>
    <xf numFmtId="0" fontId="2" fillId="0" borderId="39" xfId="0" applyFont="1" applyBorder="1"/>
    <xf numFmtId="3" fontId="0" fillId="0" borderId="19" xfId="0" applyNumberFormat="1" applyBorder="1" applyAlignment="1">
      <alignment horizontal="center"/>
    </xf>
    <xf numFmtId="3" fontId="0" fillId="0" borderId="39" xfId="0" applyNumberFormat="1" applyBorder="1" applyAlignment="1">
      <alignment horizontal="center"/>
    </xf>
    <xf numFmtId="3" fontId="0" fillId="0" borderId="40" xfId="0" applyNumberFormat="1" applyBorder="1" applyAlignment="1">
      <alignment horizontal="center"/>
    </xf>
    <xf numFmtId="0" fontId="0" fillId="0" borderId="35" xfId="0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0" xfId="0" applyAlignment="1">
      <alignment horizontal="center"/>
    </xf>
    <xf numFmtId="173" fontId="0" fillId="0" borderId="0" xfId="44" applyNumberFormat="1" applyFont="1" applyFill="1" applyBorder="1" applyAlignment="1">
      <alignment horizontal="center"/>
    </xf>
    <xf numFmtId="10" fontId="2" fillId="0" borderId="0" xfId="44" applyNumberFormat="1" applyFont="1" applyFill="1" applyBorder="1" applyAlignment="1">
      <alignment horizontal="center"/>
    </xf>
    <xf numFmtId="10" fontId="0" fillId="0" borderId="0" xfId="44" applyNumberFormat="1" applyFont="1" applyFill="1" applyBorder="1" applyAlignment="1">
      <alignment horizontal="center"/>
    </xf>
    <xf numFmtId="3" fontId="0" fillId="0" borderId="42" xfId="0" applyNumberFormat="1" applyBorder="1" applyAlignment="1">
      <alignment horizontal="center"/>
    </xf>
    <xf numFmtId="3" fontId="0" fillId="0" borderId="32" xfId="0" applyNumberFormat="1" applyBorder="1" applyAlignment="1">
      <alignment horizontal="center"/>
    </xf>
    <xf numFmtId="3" fontId="0" fillId="0" borderId="33" xfId="0" applyNumberFormat="1" applyBorder="1" applyAlignment="1">
      <alignment horizontal="center"/>
    </xf>
    <xf numFmtId="3" fontId="0" fillId="0" borderId="41" xfId="0" applyNumberFormat="1" applyBorder="1" applyAlignment="1">
      <alignment horizontal="center"/>
    </xf>
    <xf numFmtId="3" fontId="0" fillId="0" borderId="35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10" fontId="8" fillId="0" borderId="0" xfId="44" applyNumberFormat="1" applyFont="1" applyFill="1" applyBorder="1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5" fillId="0" borderId="0" xfId="0" applyFont="1" applyFill="1" applyBorder="1" applyAlignment="1">
      <alignment horizontal="center"/>
    </xf>
    <xf numFmtId="10" fontId="3" fillId="0" borderId="0" xfId="44" applyNumberFormat="1" applyFont="1" applyFill="1" applyBorder="1"/>
    <xf numFmtId="3" fontId="0" fillId="0" borderId="43" xfId="0" applyNumberFormat="1" applyBorder="1" applyAlignment="1">
      <alignment horizontal="center"/>
    </xf>
    <xf numFmtId="3" fontId="0" fillId="0" borderId="37" xfId="0" applyNumberFormat="1" applyBorder="1" applyAlignment="1">
      <alignment horizontal="center"/>
    </xf>
    <xf numFmtId="3" fontId="0" fillId="0" borderId="30" xfId="0" applyNumberFormat="1" applyBorder="1" applyAlignment="1">
      <alignment horizontal="center"/>
    </xf>
    <xf numFmtId="0" fontId="0" fillId="32" borderId="35" xfId="0" applyFill="1" applyBorder="1"/>
    <xf numFmtId="0" fontId="0" fillId="32" borderId="0" xfId="0" applyFill="1" applyBorder="1" applyAlignment="1">
      <alignment horizontal="center"/>
    </xf>
    <xf numFmtId="0" fontId="0" fillId="32" borderId="36" xfId="0" applyFill="1" applyBorder="1" applyAlignment="1">
      <alignment horizontal="center"/>
    </xf>
    <xf numFmtId="165" fontId="0" fillId="0" borderId="0" xfId="28" applyNumberFormat="1" applyFont="1" applyFill="1" applyBorder="1" applyAlignment="1">
      <alignment horizontal="right"/>
    </xf>
    <xf numFmtId="0" fontId="0" fillId="0" borderId="42" xfId="0" applyBorder="1" applyAlignment="1">
      <alignment horizontal="center"/>
    </xf>
    <xf numFmtId="37" fontId="0" fillId="0" borderId="42" xfId="0" applyNumberFormat="1" applyBorder="1" applyAlignment="1">
      <alignment horizontal="center"/>
    </xf>
    <xf numFmtId="37" fontId="0" fillId="0" borderId="32" xfId="0" applyNumberFormat="1" applyBorder="1" applyAlignment="1">
      <alignment horizontal="center"/>
    </xf>
    <xf numFmtId="37" fontId="0" fillId="0" borderId="34" xfId="0" applyNumberFormat="1" applyBorder="1" applyAlignment="1">
      <alignment horizontal="center"/>
    </xf>
    <xf numFmtId="37" fontId="0" fillId="0" borderId="33" xfId="0" applyNumberFormat="1" applyBorder="1" applyAlignment="1">
      <alignment horizontal="center"/>
    </xf>
    <xf numFmtId="165" fontId="0" fillId="0" borderId="0" xfId="28" applyNumberFormat="1" applyFont="1" applyFill="1" applyBorder="1" applyAlignment="1"/>
    <xf numFmtId="37" fontId="0" fillId="0" borderId="41" xfId="0" applyNumberFormat="1" applyBorder="1" applyAlignment="1">
      <alignment horizontal="center"/>
    </xf>
    <xf numFmtId="37" fontId="0" fillId="0" borderId="35" xfId="0" applyNumberFormat="1" applyBorder="1" applyAlignment="1">
      <alignment horizontal="center"/>
    </xf>
    <xf numFmtId="37" fontId="0" fillId="0" borderId="36" xfId="0" applyNumberFormat="1" applyBorder="1" applyAlignment="1">
      <alignment horizontal="center"/>
    </xf>
    <xf numFmtId="37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0" fontId="0" fillId="0" borderId="43" xfId="0" applyBorder="1" applyAlignment="1">
      <alignment horizontal="center"/>
    </xf>
    <xf numFmtId="37" fontId="0" fillId="0" borderId="43" xfId="0" applyNumberFormat="1" applyBorder="1" applyAlignment="1">
      <alignment horizontal="center"/>
    </xf>
    <xf numFmtId="37" fontId="0" fillId="0" borderId="37" xfId="0" applyNumberFormat="1" applyBorder="1" applyAlignment="1">
      <alignment horizontal="center"/>
    </xf>
    <xf numFmtId="37" fontId="0" fillId="0" borderId="38" xfId="0" applyNumberFormat="1" applyBorder="1" applyAlignment="1">
      <alignment horizontal="center"/>
    </xf>
    <xf numFmtId="37" fontId="0" fillId="0" borderId="30" xfId="0" applyNumberFormat="1" applyBorder="1" applyAlignment="1">
      <alignment horizontal="center"/>
    </xf>
    <xf numFmtId="0" fontId="0" fillId="0" borderId="37" xfId="0" applyBorder="1"/>
    <xf numFmtId="0" fontId="0" fillId="0" borderId="35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44" fontId="2" fillId="0" borderId="34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73" fontId="0" fillId="0" borderId="0" xfId="44" applyNumberFormat="1" applyFont="1" applyFill="1" applyBorder="1" applyAlignment="1">
      <alignment horizontal="center" vertical="center" wrapText="1"/>
    </xf>
    <xf numFmtId="165" fontId="0" fillId="0" borderId="0" xfId="28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0" fontId="2" fillId="0" borderId="0" xfId="44" applyNumberFormat="1" applyFont="1" applyFill="1" applyBorder="1" applyAlignment="1">
      <alignment horizontal="center" vertical="center" wrapText="1"/>
    </xf>
    <xf numFmtId="10" fontId="0" fillId="0" borderId="0" xfId="44" applyNumberFormat="1" applyFont="1" applyFill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3" fillId="0" borderId="0" xfId="0" applyFont="1" applyBorder="1" applyAlignment="1">
      <alignment horizontal="center"/>
    </xf>
    <xf numFmtId="10" fontId="3" fillId="0" borderId="12" xfId="44" applyNumberFormat="1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3" fillId="0" borderId="10" xfId="0" applyFont="1" applyBorder="1" applyAlignment="1">
      <alignment horizontal="center"/>
    </xf>
    <xf numFmtId="10" fontId="3" fillId="0" borderId="14" xfId="44" applyNumberFormat="1" applyFont="1" applyBorder="1" applyAlignment="1">
      <alignment horizontal="center" vertical="center"/>
    </xf>
    <xf numFmtId="0" fontId="0" fillId="0" borderId="12" xfId="0" applyFill="1" applyBorder="1"/>
    <xf numFmtId="0" fontId="4" fillId="33" borderId="46" xfId="0" applyFont="1" applyFill="1" applyBorder="1" applyAlignment="1">
      <alignment horizontal="center"/>
    </xf>
    <xf numFmtId="0" fontId="4" fillId="33" borderId="47" xfId="0" applyFont="1" applyFill="1" applyBorder="1" applyAlignment="1">
      <alignment horizontal="center"/>
    </xf>
    <xf numFmtId="0" fontId="4" fillId="33" borderId="44" xfId="0" applyFont="1" applyFill="1" applyBorder="1" applyAlignment="1">
      <alignment horizontal="center"/>
    </xf>
    <xf numFmtId="0" fontId="10" fillId="33" borderId="27" xfId="0" applyFont="1" applyFill="1" applyBorder="1" applyAlignment="1">
      <alignment horizontal="center" vertical="center"/>
    </xf>
    <xf numFmtId="0" fontId="10" fillId="33" borderId="29" xfId="0" applyFont="1" applyFill="1" applyBorder="1" applyAlignment="1">
      <alignment horizontal="center" vertical="center"/>
    </xf>
    <xf numFmtId="0" fontId="4" fillId="33" borderId="27" xfId="0" applyFont="1" applyFill="1" applyBorder="1" applyAlignment="1">
      <alignment horizontal="center"/>
    </xf>
    <xf numFmtId="0" fontId="4" fillId="33" borderId="28" xfId="0" applyFont="1" applyFill="1" applyBorder="1" applyAlignment="1">
      <alignment horizontal="center"/>
    </xf>
    <xf numFmtId="0" fontId="4" fillId="33" borderId="29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20" fillId="33" borderId="46" xfId="0" applyFont="1" applyFill="1" applyBorder="1" applyAlignment="1">
      <alignment horizontal="center"/>
    </xf>
    <xf numFmtId="0" fontId="20" fillId="33" borderId="47" xfId="0" applyFont="1" applyFill="1" applyBorder="1" applyAlignment="1">
      <alignment horizontal="center"/>
    </xf>
    <xf numFmtId="0" fontId="20" fillId="33" borderId="44" xfId="0" applyFont="1" applyFill="1" applyBorder="1" applyAlignment="1">
      <alignment horizontal="center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45" xfId="0" applyFill="1" applyBorder="1" applyAlignment="1">
      <alignment horizontal="left" vertical="top" wrapText="1"/>
    </xf>
    <xf numFmtId="0" fontId="0" fillId="0" borderId="30" xfId="0" applyFill="1" applyBorder="1" applyAlignment="1">
      <alignment horizontal="left" vertical="top" wrapText="1"/>
    </xf>
    <xf numFmtId="0" fontId="0" fillId="0" borderId="31" xfId="0" applyFill="1" applyBorder="1" applyAlignment="1">
      <alignment horizontal="left" vertical="top" wrapTex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43" fontId="2" fillId="0" borderId="11" xfId="0" applyNumberFormat="1" applyFont="1" applyBorder="1" applyAlignment="1">
      <alignment horizontal="center"/>
    </xf>
    <xf numFmtId="43" fontId="2" fillId="0" borderId="0" xfId="0" applyNumberFormat="1" applyFont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4" fillId="20" borderId="35" xfId="0" applyFont="1" applyFill="1" applyBorder="1" applyAlignment="1">
      <alignment horizontal="center"/>
    </xf>
    <xf numFmtId="0" fontId="4" fillId="20" borderId="0" xfId="0" applyFont="1" applyFill="1" applyBorder="1" applyAlignment="1">
      <alignment horizontal="center"/>
    </xf>
    <xf numFmtId="0" fontId="4" fillId="20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 vertical="center" textRotation="90"/>
    </xf>
    <xf numFmtId="0" fontId="2" fillId="0" borderId="41" xfId="0" applyFont="1" applyBorder="1" applyAlignment="1">
      <alignment horizontal="center" vertical="center" textRotation="90"/>
    </xf>
    <xf numFmtId="0" fontId="2" fillId="0" borderId="43" xfId="0" applyFont="1" applyBorder="1" applyAlignment="1">
      <alignment horizontal="center" vertical="center" textRotation="90"/>
    </xf>
    <xf numFmtId="0" fontId="19" fillId="0" borderId="10" xfId="0" applyFont="1" applyBorder="1" applyAlignment="1">
      <alignment horizontal="right"/>
    </xf>
    <xf numFmtId="0" fontId="4" fillId="20" borderId="32" xfId="0" applyFont="1" applyFill="1" applyBorder="1" applyAlignment="1">
      <alignment horizontal="center"/>
    </xf>
    <xf numFmtId="0" fontId="4" fillId="20" borderId="33" xfId="0" applyFont="1" applyFill="1" applyBorder="1" applyAlignment="1">
      <alignment horizontal="center"/>
    </xf>
    <xf numFmtId="0" fontId="4" fillId="20" borderId="34" xfId="0" applyFont="1" applyFill="1" applyBorder="1" applyAlignment="1">
      <alignment horizontal="center"/>
    </xf>
  </cellXfs>
  <cellStyles count="48">
    <cellStyle name="Accent1" xfId="1" builtinId="29" customBuiltin="1"/>
    <cellStyle name="Accent1 - 20%" xfId="2"/>
    <cellStyle name="Accent1 - 40%" xfId="3"/>
    <cellStyle name="Accent1 - 60%" xfId="4"/>
    <cellStyle name="Accent2" xfId="5" builtinId="33" customBuiltin="1"/>
    <cellStyle name="Accent2 - 20%" xfId="6"/>
    <cellStyle name="Accent2 - 40%" xfId="7"/>
    <cellStyle name="Accent2 - 60%" xfId="8"/>
    <cellStyle name="Accent3" xfId="9" builtinId="37" customBuiltin="1"/>
    <cellStyle name="Accent3 - 20%" xfId="10"/>
    <cellStyle name="Accent3 - 40%" xfId="11"/>
    <cellStyle name="Accent3 - 60%" xfId="12"/>
    <cellStyle name="Accent4" xfId="13" builtinId="41" customBuiltin="1"/>
    <cellStyle name="Accent4 - 20%" xfId="14"/>
    <cellStyle name="Accent4 - 40%" xfId="15"/>
    <cellStyle name="Accent4 - 60%" xfId="16"/>
    <cellStyle name="Accent5" xfId="17" builtinId="45" customBuiltin="1"/>
    <cellStyle name="Accent5 - 20%" xfId="18"/>
    <cellStyle name="Accent5 - 40%" xfId="19"/>
    <cellStyle name="Accent5 - 60%" xfId="20"/>
    <cellStyle name="Accent6" xfId="21" builtinId="49" customBuiltin="1"/>
    <cellStyle name="Accent6 - 20%" xfId="22"/>
    <cellStyle name="Accent6 - 40%" xfId="23"/>
    <cellStyle name="Accent6 - 60%" xfId="24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urrency" xfId="29" builtinId="4"/>
    <cellStyle name="Emphasis 1" xfId="30"/>
    <cellStyle name="Emphasis 2" xfId="31"/>
    <cellStyle name="Emphasis 3" xfId="32"/>
    <cellStyle name="Euro" xfId="33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42" builtinId="10" customBuiltin="1"/>
    <cellStyle name="Output" xfId="43" builtinId="21" customBuiltin="1"/>
    <cellStyle name="Percent" xfId="44" builtinId="5"/>
    <cellStyle name="Sheet Title" xfId="45"/>
    <cellStyle name="Total" xfId="46" builtinId="25" customBuiltin="1"/>
    <cellStyle name="Warning Text" xfId="47" builtinId="11" customBuiltin="1"/>
  </cellStyles>
  <dxfs count="8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b/>
        <i val="0"/>
        <condense val="0"/>
        <extend val="0"/>
        <color indexed="9"/>
      </font>
      <fill>
        <patternFill patternType="solid">
          <fgColor indexed="64"/>
          <bgColor indexed="10"/>
        </patternFill>
      </fill>
    </dxf>
    <dxf>
      <font>
        <b/>
        <i val="0"/>
        <condense val="0"/>
        <extend val="0"/>
        <color indexed="9"/>
      </font>
      <fill>
        <patternFill patternType="solid">
          <fgColor indexed="64"/>
          <bgColor indexed="17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Cumulative Defaults</a:t>
            </a:r>
          </a:p>
        </c:rich>
      </c:tx>
      <c:layout>
        <c:manualLayout>
          <c:xMode val="edge"/>
          <c:yMode val="edge"/>
          <c:x val="0.37696969696969695"/>
          <c:y val="3.35968379446640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662239089184061"/>
          <c:y val="0.20123839009287925"/>
          <c:w val="0.76470588235294112"/>
          <c:h val="0.61609907120743035"/>
        </c:manualLayout>
      </c:layout>
      <c:lineChart>
        <c:grouping val="standard"/>
        <c:varyColors val="0"/>
        <c:ser>
          <c:idx val="0"/>
          <c:order val="0"/>
          <c:tx>
            <c:v>Cumulative Defaults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Vectors!$A$6:$A$366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cat>
          <c:val>
            <c:numRef>
              <c:f>'Cash Flow'!$CP$7:$CP$366</c:f>
              <c:numCache>
                <c:formatCode>0.00%</c:formatCode>
                <c:ptCount val="360"/>
                <c:pt idx="0">
                  <c:v>2.7777777777777779E-5</c:v>
                </c:pt>
                <c:pt idx="1">
                  <c:v>5.5555555555555558E-5</c:v>
                </c:pt>
                <c:pt idx="2">
                  <c:v>8.3333333333333344E-5</c:v>
                </c:pt>
                <c:pt idx="3">
                  <c:v>1.1111111111111112E-4</c:v>
                </c:pt>
                <c:pt idx="4">
                  <c:v>1.3888888888888889E-4</c:v>
                </c:pt>
                <c:pt idx="5">
                  <c:v>1.6666666666666666E-4</c:v>
                </c:pt>
                <c:pt idx="6">
                  <c:v>1.9444444444444443E-4</c:v>
                </c:pt>
                <c:pt idx="7">
                  <c:v>2.2222222222222221E-4</c:v>
                </c:pt>
                <c:pt idx="8">
                  <c:v>2.5000000000000001E-4</c:v>
                </c:pt>
                <c:pt idx="9">
                  <c:v>2.7777777777777778E-4</c:v>
                </c:pt>
                <c:pt idx="10">
                  <c:v>3.0555555555555555E-4</c:v>
                </c:pt>
                <c:pt idx="11">
                  <c:v>3.3333333333333332E-4</c:v>
                </c:pt>
                <c:pt idx="12">
                  <c:v>3.6111111111111109E-4</c:v>
                </c:pt>
                <c:pt idx="13">
                  <c:v>3.8888888888888887E-4</c:v>
                </c:pt>
                <c:pt idx="14">
                  <c:v>4.1666666666666664E-4</c:v>
                </c:pt>
                <c:pt idx="15">
                  <c:v>4.4444444444444441E-4</c:v>
                </c:pt>
                <c:pt idx="16">
                  <c:v>4.7222222222222218E-4</c:v>
                </c:pt>
                <c:pt idx="17">
                  <c:v>5.0000000000000001E-4</c:v>
                </c:pt>
                <c:pt idx="18">
                  <c:v>5.2777777777777784E-4</c:v>
                </c:pt>
                <c:pt idx="19">
                  <c:v>5.5555555555555566E-4</c:v>
                </c:pt>
                <c:pt idx="20">
                  <c:v>5.8333333333333349E-4</c:v>
                </c:pt>
                <c:pt idx="21">
                  <c:v>6.1111111111111132E-4</c:v>
                </c:pt>
                <c:pt idx="22">
                  <c:v>6.3888888888888914E-4</c:v>
                </c:pt>
                <c:pt idx="23">
                  <c:v>6.6666666666666697E-4</c:v>
                </c:pt>
                <c:pt idx="24">
                  <c:v>6.944444444444448E-4</c:v>
                </c:pt>
                <c:pt idx="25">
                  <c:v>7.2222222222222262E-4</c:v>
                </c:pt>
                <c:pt idx="26">
                  <c:v>7.5000000000000045E-4</c:v>
                </c:pt>
                <c:pt idx="27">
                  <c:v>7.7777777777777828E-4</c:v>
                </c:pt>
                <c:pt idx="28">
                  <c:v>8.055555555555561E-4</c:v>
                </c:pt>
                <c:pt idx="29">
                  <c:v>8.3333333333333393E-4</c:v>
                </c:pt>
                <c:pt idx="30">
                  <c:v>8.6111111111111176E-4</c:v>
                </c:pt>
                <c:pt idx="31">
                  <c:v>8.8888888888888958E-4</c:v>
                </c:pt>
                <c:pt idx="32">
                  <c:v>9.1666666666666741E-4</c:v>
                </c:pt>
                <c:pt idx="33">
                  <c:v>9.4444444444444524E-4</c:v>
                </c:pt>
                <c:pt idx="34">
                  <c:v>9.7222222222222306E-4</c:v>
                </c:pt>
                <c:pt idx="35">
                  <c:v>1.0000000000000009E-3</c:v>
                </c:pt>
                <c:pt idx="36">
                  <c:v>1.0277777777777787E-3</c:v>
                </c:pt>
                <c:pt idx="37">
                  <c:v>1.0555555555555565E-3</c:v>
                </c:pt>
                <c:pt idx="38">
                  <c:v>1.0833333333333344E-3</c:v>
                </c:pt>
                <c:pt idx="39">
                  <c:v>1.1111111111111122E-3</c:v>
                </c:pt>
                <c:pt idx="40">
                  <c:v>1.13888888888889E-3</c:v>
                </c:pt>
                <c:pt idx="41">
                  <c:v>1.1666666666666678E-3</c:v>
                </c:pt>
                <c:pt idx="42">
                  <c:v>1.1944444444444457E-3</c:v>
                </c:pt>
                <c:pt idx="43">
                  <c:v>1.2222222222222235E-3</c:v>
                </c:pt>
                <c:pt idx="44">
                  <c:v>1.2500000000000013E-3</c:v>
                </c:pt>
                <c:pt idx="45">
                  <c:v>1.2777777777777792E-3</c:v>
                </c:pt>
                <c:pt idx="46">
                  <c:v>1.305555555555557E-3</c:v>
                </c:pt>
                <c:pt idx="47">
                  <c:v>1.3333333333333348E-3</c:v>
                </c:pt>
                <c:pt idx="48">
                  <c:v>1.3611111111111126E-3</c:v>
                </c:pt>
                <c:pt idx="49">
                  <c:v>1.3888888888888905E-3</c:v>
                </c:pt>
                <c:pt idx="50">
                  <c:v>1.4166666666666683E-3</c:v>
                </c:pt>
                <c:pt idx="51">
                  <c:v>1.4444444444444461E-3</c:v>
                </c:pt>
                <c:pt idx="52">
                  <c:v>1.4722222222222239E-3</c:v>
                </c:pt>
                <c:pt idx="53">
                  <c:v>1.5000000000000018E-3</c:v>
                </c:pt>
                <c:pt idx="54">
                  <c:v>1.5277777777777796E-3</c:v>
                </c:pt>
                <c:pt idx="55">
                  <c:v>1.5555555555555574E-3</c:v>
                </c:pt>
                <c:pt idx="56">
                  <c:v>1.5833333333333352E-3</c:v>
                </c:pt>
                <c:pt idx="57">
                  <c:v>1.6111111111111131E-3</c:v>
                </c:pt>
                <c:pt idx="58">
                  <c:v>1.6388888888888909E-3</c:v>
                </c:pt>
                <c:pt idx="59">
                  <c:v>1.6666666666666687E-3</c:v>
                </c:pt>
                <c:pt idx="60">
                  <c:v>1.6944444444444466E-3</c:v>
                </c:pt>
                <c:pt idx="61">
                  <c:v>1.7222222222222244E-3</c:v>
                </c:pt>
                <c:pt idx="62">
                  <c:v>1.7500000000000022E-3</c:v>
                </c:pt>
                <c:pt idx="63">
                  <c:v>1.77777777777778E-3</c:v>
                </c:pt>
                <c:pt idx="64">
                  <c:v>1.8055555555555579E-3</c:v>
                </c:pt>
                <c:pt idx="65">
                  <c:v>1.8333333333333357E-3</c:v>
                </c:pt>
                <c:pt idx="66">
                  <c:v>1.8611111111111135E-3</c:v>
                </c:pt>
                <c:pt idx="67">
                  <c:v>1.8888888888888913E-3</c:v>
                </c:pt>
                <c:pt idx="68">
                  <c:v>1.9166666666666692E-3</c:v>
                </c:pt>
                <c:pt idx="69">
                  <c:v>1.944444444444447E-3</c:v>
                </c:pt>
                <c:pt idx="70">
                  <c:v>1.9722222222222246E-3</c:v>
                </c:pt>
                <c:pt idx="71">
                  <c:v>2.0000000000000022E-3</c:v>
                </c:pt>
                <c:pt idx="72">
                  <c:v>2.0277777777777798E-3</c:v>
                </c:pt>
                <c:pt idx="73">
                  <c:v>2.0555555555555574E-3</c:v>
                </c:pt>
                <c:pt idx="74">
                  <c:v>2.083333333333335E-3</c:v>
                </c:pt>
                <c:pt idx="75">
                  <c:v>2.1111111111111126E-3</c:v>
                </c:pt>
                <c:pt idx="76">
                  <c:v>2.1388888888888903E-3</c:v>
                </c:pt>
                <c:pt idx="77">
                  <c:v>2.1666666666666679E-3</c:v>
                </c:pt>
                <c:pt idx="78">
                  <c:v>2.1944444444444455E-3</c:v>
                </c:pt>
                <c:pt idx="79">
                  <c:v>2.2222222222222231E-3</c:v>
                </c:pt>
                <c:pt idx="80">
                  <c:v>2.2500000000000007E-3</c:v>
                </c:pt>
                <c:pt idx="81">
                  <c:v>2.2777777777777783E-3</c:v>
                </c:pt>
                <c:pt idx="82">
                  <c:v>2.3055555555555559E-3</c:v>
                </c:pt>
                <c:pt idx="83">
                  <c:v>2.3333333333333335E-3</c:v>
                </c:pt>
                <c:pt idx="84">
                  <c:v>2.3611111111111111E-3</c:v>
                </c:pt>
                <c:pt idx="85">
                  <c:v>2.3888888888888887E-3</c:v>
                </c:pt>
                <c:pt idx="86">
                  <c:v>2.4166666666666664E-3</c:v>
                </c:pt>
                <c:pt idx="87">
                  <c:v>2.444444444444444E-3</c:v>
                </c:pt>
                <c:pt idx="88">
                  <c:v>2.4722222222222216E-3</c:v>
                </c:pt>
                <c:pt idx="89">
                  <c:v>2.4999999999999992E-3</c:v>
                </c:pt>
                <c:pt idx="90">
                  <c:v>2.5277777777777768E-3</c:v>
                </c:pt>
                <c:pt idx="91">
                  <c:v>2.5555555555555544E-3</c:v>
                </c:pt>
                <c:pt idx="92">
                  <c:v>2.583333333333332E-3</c:v>
                </c:pt>
                <c:pt idx="93">
                  <c:v>2.6111111111111096E-3</c:v>
                </c:pt>
                <c:pt idx="94">
                  <c:v>2.6388888888888872E-3</c:v>
                </c:pt>
                <c:pt idx="95">
                  <c:v>2.6666666666666648E-3</c:v>
                </c:pt>
                <c:pt idx="96">
                  <c:v>2.6944444444444425E-3</c:v>
                </c:pt>
                <c:pt idx="97">
                  <c:v>2.7222222222222201E-3</c:v>
                </c:pt>
                <c:pt idx="98">
                  <c:v>2.7499999999999977E-3</c:v>
                </c:pt>
                <c:pt idx="99">
                  <c:v>2.7777777777777753E-3</c:v>
                </c:pt>
                <c:pt idx="100">
                  <c:v>2.8055555555555529E-3</c:v>
                </c:pt>
                <c:pt idx="101">
                  <c:v>2.8333333333333305E-3</c:v>
                </c:pt>
                <c:pt idx="102">
                  <c:v>2.8611111111111081E-3</c:v>
                </c:pt>
                <c:pt idx="103">
                  <c:v>2.8888888888888857E-3</c:v>
                </c:pt>
                <c:pt idx="104">
                  <c:v>2.9166666666666633E-3</c:v>
                </c:pt>
                <c:pt idx="105">
                  <c:v>2.9444444444444409E-3</c:v>
                </c:pt>
                <c:pt idx="106">
                  <c:v>2.9722222222222185E-3</c:v>
                </c:pt>
                <c:pt idx="107">
                  <c:v>2.9999999999999962E-3</c:v>
                </c:pt>
                <c:pt idx="108">
                  <c:v>3.0277777777777738E-3</c:v>
                </c:pt>
                <c:pt idx="109">
                  <c:v>3.0555555555555514E-3</c:v>
                </c:pt>
                <c:pt idx="110">
                  <c:v>3.083333333333329E-3</c:v>
                </c:pt>
                <c:pt idx="111">
                  <c:v>3.1111111111111066E-3</c:v>
                </c:pt>
                <c:pt idx="112">
                  <c:v>3.1388888888888842E-3</c:v>
                </c:pt>
                <c:pt idx="113">
                  <c:v>3.1666666666666618E-3</c:v>
                </c:pt>
                <c:pt idx="114">
                  <c:v>3.1944444444444394E-3</c:v>
                </c:pt>
                <c:pt idx="115">
                  <c:v>3.222222222222217E-3</c:v>
                </c:pt>
                <c:pt idx="116">
                  <c:v>3.2499999999999946E-3</c:v>
                </c:pt>
                <c:pt idx="117">
                  <c:v>3.2777777777777723E-3</c:v>
                </c:pt>
                <c:pt idx="118">
                  <c:v>3.3055555555555499E-3</c:v>
                </c:pt>
                <c:pt idx="119">
                  <c:v>3.3333333333333275E-3</c:v>
                </c:pt>
                <c:pt idx="120">
                  <c:v>3.3611111111111051E-3</c:v>
                </c:pt>
                <c:pt idx="121">
                  <c:v>3.3888888888888827E-3</c:v>
                </c:pt>
                <c:pt idx="122">
                  <c:v>3.4166666666666603E-3</c:v>
                </c:pt>
                <c:pt idx="123">
                  <c:v>3.4444444444444379E-3</c:v>
                </c:pt>
                <c:pt idx="124">
                  <c:v>3.4722222222222155E-3</c:v>
                </c:pt>
                <c:pt idx="125">
                  <c:v>3.4999999999999931E-3</c:v>
                </c:pt>
                <c:pt idx="126">
                  <c:v>3.5277777777777707E-3</c:v>
                </c:pt>
                <c:pt idx="127">
                  <c:v>3.5555555555555484E-3</c:v>
                </c:pt>
                <c:pt idx="128">
                  <c:v>3.583333333333326E-3</c:v>
                </c:pt>
                <c:pt idx="129">
                  <c:v>3.6111111111111036E-3</c:v>
                </c:pt>
                <c:pt idx="130">
                  <c:v>3.6388888888888812E-3</c:v>
                </c:pt>
                <c:pt idx="131">
                  <c:v>3.6666666666666588E-3</c:v>
                </c:pt>
                <c:pt idx="132">
                  <c:v>3.6944444444444364E-3</c:v>
                </c:pt>
                <c:pt idx="133">
                  <c:v>3.722222222222214E-3</c:v>
                </c:pt>
                <c:pt idx="134">
                  <c:v>3.7499999999999916E-3</c:v>
                </c:pt>
                <c:pt idx="135">
                  <c:v>3.7777777777777692E-3</c:v>
                </c:pt>
                <c:pt idx="136">
                  <c:v>3.8055555555555468E-3</c:v>
                </c:pt>
                <c:pt idx="137">
                  <c:v>3.8333333333333245E-3</c:v>
                </c:pt>
                <c:pt idx="138">
                  <c:v>3.8611111111111021E-3</c:v>
                </c:pt>
                <c:pt idx="139">
                  <c:v>3.8888888888888797E-3</c:v>
                </c:pt>
                <c:pt idx="140">
                  <c:v>3.9166666666666577E-3</c:v>
                </c:pt>
                <c:pt idx="141">
                  <c:v>3.9444444444444353E-3</c:v>
                </c:pt>
                <c:pt idx="142">
                  <c:v>3.9722222222222129E-3</c:v>
                </c:pt>
                <c:pt idx="143">
                  <c:v>3.9999999999999905E-3</c:v>
                </c:pt>
                <c:pt idx="144">
                  <c:v>4.0277777777777682E-3</c:v>
                </c:pt>
                <c:pt idx="145">
                  <c:v>4.0555555555555458E-3</c:v>
                </c:pt>
                <c:pt idx="146">
                  <c:v>4.0833333333333234E-3</c:v>
                </c:pt>
                <c:pt idx="147">
                  <c:v>4.111111111111101E-3</c:v>
                </c:pt>
                <c:pt idx="148">
                  <c:v>4.1388888888888786E-3</c:v>
                </c:pt>
                <c:pt idx="149">
                  <c:v>4.1666666666666562E-3</c:v>
                </c:pt>
                <c:pt idx="150">
                  <c:v>4.1944444444444338E-3</c:v>
                </c:pt>
                <c:pt idx="151">
                  <c:v>4.2222222222222114E-3</c:v>
                </c:pt>
                <c:pt idx="152">
                  <c:v>4.249999999999989E-3</c:v>
                </c:pt>
                <c:pt idx="153">
                  <c:v>4.2777777777777666E-3</c:v>
                </c:pt>
                <c:pt idx="154">
                  <c:v>4.3055555555555442E-3</c:v>
                </c:pt>
                <c:pt idx="155">
                  <c:v>4.3333333333333219E-3</c:v>
                </c:pt>
                <c:pt idx="156">
                  <c:v>4.3611111111110995E-3</c:v>
                </c:pt>
                <c:pt idx="157">
                  <c:v>4.3888888888888771E-3</c:v>
                </c:pt>
                <c:pt idx="158">
                  <c:v>4.4166666666666547E-3</c:v>
                </c:pt>
                <c:pt idx="159">
                  <c:v>4.4444444444444323E-3</c:v>
                </c:pt>
                <c:pt idx="160">
                  <c:v>4.4722222222222099E-3</c:v>
                </c:pt>
                <c:pt idx="161">
                  <c:v>4.4999999999999875E-3</c:v>
                </c:pt>
                <c:pt idx="162">
                  <c:v>4.5277777777777651E-3</c:v>
                </c:pt>
                <c:pt idx="163">
                  <c:v>4.5555555555555427E-3</c:v>
                </c:pt>
                <c:pt idx="164">
                  <c:v>4.5833333333333203E-3</c:v>
                </c:pt>
                <c:pt idx="165">
                  <c:v>4.611111111111098E-3</c:v>
                </c:pt>
                <c:pt idx="166">
                  <c:v>4.6388888888888756E-3</c:v>
                </c:pt>
                <c:pt idx="167">
                  <c:v>4.6666666666666532E-3</c:v>
                </c:pt>
                <c:pt idx="168">
                  <c:v>4.6944444444444308E-3</c:v>
                </c:pt>
                <c:pt idx="169">
                  <c:v>4.7222222222222084E-3</c:v>
                </c:pt>
                <c:pt idx="170">
                  <c:v>4.749999999999986E-3</c:v>
                </c:pt>
                <c:pt idx="171">
                  <c:v>4.7777777777777636E-3</c:v>
                </c:pt>
                <c:pt idx="172">
                  <c:v>4.8055555555555412E-3</c:v>
                </c:pt>
                <c:pt idx="173">
                  <c:v>4.8333333333333188E-3</c:v>
                </c:pt>
                <c:pt idx="174">
                  <c:v>4.8611111111110964E-3</c:v>
                </c:pt>
                <c:pt idx="175">
                  <c:v>4.8888888888888741E-3</c:v>
                </c:pt>
                <c:pt idx="176">
                  <c:v>4.9166666666666517E-3</c:v>
                </c:pt>
                <c:pt idx="177">
                  <c:v>4.9444444444444293E-3</c:v>
                </c:pt>
                <c:pt idx="178">
                  <c:v>4.9722222222222069E-3</c:v>
                </c:pt>
                <c:pt idx="179">
                  <c:v>4.9999999999999845E-3</c:v>
                </c:pt>
                <c:pt idx="180">
                  <c:v>5.0277777777777621E-3</c:v>
                </c:pt>
                <c:pt idx="181">
                  <c:v>5.0555555555555397E-3</c:v>
                </c:pt>
                <c:pt idx="182">
                  <c:v>5.0833333333333173E-3</c:v>
                </c:pt>
                <c:pt idx="183">
                  <c:v>5.1111111111110949E-3</c:v>
                </c:pt>
                <c:pt idx="184">
                  <c:v>5.1388888888888725E-3</c:v>
                </c:pt>
                <c:pt idx="185">
                  <c:v>5.1666666666666501E-3</c:v>
                </c:pt>
                <c:pt idx="186">
                  <c:v>5.1944444444444278E-3</c:v>
                </c:pt>
                <c:pt idx="187">
                  <c:v>5.2222222222222054E-3</c:v>
                </c:pt>
                <c:pt idx="188">
                  <c:v>5.249999999999983E-3</c:v>
                </c:pt>
                <c:pt idx="189">
                  <c:v>5.2777777777777606E-3</c:v>
                </c:pt>
                <c:pt idx="190">
                  <c:v>5.3055555555555382E-3</c:v>
                </c:pt>
                <c:pt idx="191">
                  <c:v>5.3333333333333158E-3</c:v>
                </c:pt>
                <c:pt idx="192">
                  <c:v>5.3611111111110934E-3</c:v>
                </c:pt>
                <c:pt idx="193">
                  <c:v>5.388888888888871E-3</c:v>
                </c:pt>
                <c:pt idx="194">
                  <c:v>5.4166666666666486E-3</c:v>
                </c:pt>
                <c:pt idx="195">
                  <c:v>5.4444444444444262E-3</c:v>
                </c:pt>
                <c:pt idx="196">
                  <c:v>5.4722222222222039E-3</c:v>
                </c:pt>
                <c:pt idx="197">
                  <c:v>5.4999999999999815E-3</c:v>
                </c:pt>
                <c:pt idx="198">
                  <c:v>5.5277777777777591E-3</c:v>
                </c:pt>
                <c:pt idx="199">
                  <c:v>5.5555555555555367E-3</c:v>
                </c:pt>
                <c:pt idx="200">
                  <c:v>5.5833333333333143E-3</c:v>
                </c:pt>
                <c:pt idx="201">
                  <c:v>5.6111111111110919E-3</c:v>
                </c:pt>
                <c:pt idx="202">
                  <c:v>5.6388888888888695E-3</c:v>
                </c:pt>
                <c:pt idx="203">
                  <c:v>5.6666666666666471E-3</c:v>
                </c:pt>
                <c:pt idx="204">
                  <c:v>5.6944444444444247E-3</c:v>
                </c:pt>
                <c:pt idx="205">
                  <c:v>5.7222222222222023E-3</c:v>
                </c:pt>
                <c:pt idx="206">
                  <c:v>5.74999999999998E-3</c:v>
                </c:pt>
                <c:pt idx="207">
                  <c:v>5.7777777777777576E-3</c:v>
                </c:pt>
                <c:pt idx="208">
                  <c:v>5.8055555555555352E-3</c:v>
                </c:pt>
                <c:pt idx="209">
                  <c:v>5.8333333333333128E-3</c:v>
                </c:pt>
                <c:pt idx="210">
                  <c:v>5.8611111111110904E-3</c:v>
                </c:pt>
                <c:pt idx="211">
                  <c:v>5.888888888888868E-3</c:v>
                </c:pt>
                <c:pt idx="212">
                  <c:v>5.9166666666666456E-3</c:v>
                </c:pt>
                <c:pt idx="213">
                  <c:v>5.9444444444444232E-3</c:v>
                </c:pt>
                <c:pt idx="214">
                  <c:v>5.9722222222222008E-3</c:v>
                </c:pt>
                <c:pt idx="215">
                  <c:v>5.9999999999999784E-3</c:v>
                </c:pt>
                <c:pt idx="216">
                  <c:v>6.0277777777777561E-3</c:v>
                </c:pt>
                <c:pt idx="217">
                  <c:v>6.0555555555555337E-3</c:v>
                </c:pt>
                <c:pt idx="218">
                  <c:v>6.0833333333333113E-3</c:v>
                </c:pt>
                <c:pt idx="219">
                  <c:v>6.1111111111110889E-3</c:v>
                </c:pt>
                <c:pt idx="220">
                  <c:v>6.1388888888888665E-3</c:v>
                </c:pt>
                <c:pt idx="221">
                  <c:v>6.1666666666666441E-3</c:v>
                </c:pt>
                <c:pt idx="222">
                  <c:v>6.1944444444444217E-3</c:v>
                </c:pt>
                <c:pt idx="223">
                  <c:v>6.2222222222221993E-3</c:v>
                </c:pt>
                <c:pt idx="224">
                  <c:v>6.2499999999999769E-3</c:v>
                </c:pt>
                <c:pt idx="225">
                  <c:v>6.2777777777777545E-3</c:v>
                </c:pt>
                <c:pt idx="226">
                  <c:v>6.3055555555555321E-3</c:v>
                </c:pt>
                <c:pt idx="227">
                  <c:v>6.3333333333333098E-3</c:v>
                </c:pt>
                <c:pt idx="228">
                  <c:v>6.3611111111110874E-3</c:v>
                </c:pt>
                <c:pt idx="229">
                  <c:v>6.388888888888865E-3</c:v>
                </c:pt>
                <c:pt idx="230">
                  <c:v>6.4166666666666426E-3</c:v>
                </c:pt>
                <c:pt idx="231">
                  <c:v>6.4444444444444202E-3</c:v>
                </c:pt>
                <c:pt idx="232">
                  <c:v>6.4722222222221978E-3</c:v>
                </c:pt>
                <c:pt idx="233">
                  <c:v>6.4999999999999754E-3</c:v>
                </c:pt>
                <c:pt idx="234">
                  <c:v>6.527777777777753E-3</c:v>
                </c:pt>
                <c:pt idx="235">
                  <c:v>6.5555555555555306E-3</c:v>
                </c:pt>
                <c:pt idx="236">
                  <c:v>6.5833333333333082E-3</c:v>
                </c:pt>
                <c:pt idx="237">
                  <c:v>6.6111111111110859E-3</c:v>
                </c:pt>
                <c:pt idx="238">
                  <c:v>6.6388888888888635E-3</c:v>
                </c:pt>
                <c:pt idx="239">
                  <c:v>6.6666666666666411E-3</c:v>
                </c:pt>
                <c:pt idx="240">
                  <c:v>6.6944444444444187E-3</c:v>
                </c:pt>
                <c:pt idx="241">
                  <c:v>6.7222222222221963E-3</c:v>
                </c:pt>
                <c:pt idx="242">
                  <c:v>6.7499999999999739E-3</c:v>
                </c:pt>
                <c:pt idx="243">
                  <c:v>6.7777777777777515E-3</c:v>
                </c:pt>
                <c:pt idx="244">
                  <c:v>6.8055555555555291E-3</c:v>
                </c:pt>
                <c:pt idx="245">
                  <c:v>6.8333333333333067E-3</c:v>
                </c:pt>
                <c:pt idx="246">
                  <c:v>6.8611111111110843E-3</c:v>
                </c:pt>
                <c:pt idx="247">
                  <c:v>6.888888888888862E-3</c:v>
                </c:pt>
                <c:pt idx="248">
                  <c:v>6.9166666666666396E-3</c:v>
                </c:pt>
                <c:pt idx="249">
                  <c:v>6.9444444444444172E-3</c:v>
                </c:pt>
                <c:pt idx="250">
                  <c:v>6.9722222222221948E-3</c:v>
                </c:pt>
                <c:pt idx="251">
                  <c:v>6.9999999999999724E-3</c:v>
                </c:pt>
                <c:pt idx="252">
                  <c:v>7.02777777777775E-3</c:v>
                </c:pt>
                <c:pt idx="253">
                  <c:v>7.0555555555555276E-3</c:v>
                </c:pt>
                <c:pt idx="254">
                  <c:v>7.0833333333333052E-3</c:v>
                </c:pt>
                <c:pt idx="255">
                  <c:v>7.1111111111110828E-3</c:v>
                </c:pt>
                <c:pt idx="256">
                  <c:v>7.1388888888888604E-3</c:v>
                </c:pt>
                <c:pt idx="257">
                  <c:v>7.166666666666638E-3</c:v>
                </c:pt>
                <c:pt idx="258">
                  <c:v>7.1944444444444157E-3</c:v>
                </c:pt>
                <c:pt idx="259">
                  <c:v>7.2222222222221933E-3</c:v>
                </c:pt>
                <c:pt idx="260">
                  <c:v>7.2499999999999709E-3</c:v>
                </c:pt>
                <c:pt idx="261">
                  <c:v>7.2777777777777485E-3</c:v>
                </c:pt>
                <c:pt idx="262">
                  <c:v>7.3055555555555261E-3</c:v>
                </c:pt>
                <c:pt idx="263">
                  <c:v>7.3333333333333037E-3</c:v>
                </c:pt>
                <c:pt idx="264">
                  <c:v>7.3611111111110813E-3</c:v>
                </c:pt>
                <c:pt idx="265">
                  <c:v>7.3888888888888589E-3</c:v>
                </c:pt>
                <c:pt idx="266">
                  <c:v>7.4166666666666365E-3</c:v>
                </c:pt>
                <c:pt idx="267">
                  <c:v>7.4444444444444141E-3</c:v>
                </c:pt>
                <c:pt idx="268">
                  <c:v>7.4722222222221918E-3</c:v>
                </c:pt>
                <c:pt idx="269">
                  <c:v>7.4999999999999694E-3</c:v>
                </c:pt>
                <c:pt idx="270">
                  <c:v>7.527777777777747E-3</c:v>
                </c:pt>
                <c:pt idx="271">
                  <c:v>7.5555555555555246E-3</c:v>
                </c:pt>
                <c:pt idx="272">
                  <c:v>7.5833333333333022E-3</c:v>
                </c:pt>
                <c:pt idx="273">
                  <c:v>7.6111111111110798E-3</c:v>
                </c:pt>
                <c:pt idx="274">
                  <c:v>7.6388888888888574E-3</c:v>
                </c:pt>
                <c:pt idx="275">
                  <c:v>7.666666666666635E-3</c:v>
                </c:pt>
                <c:pt idx="276">
                  <c:v>7.6944444444444126E-3</c:v>
                </c:pt>
                <c:pt idx="277">
                  <c:v>7.7222222222221902E-3</c:v>
                </c:pt>
                <c:pt idx="278">
                  <c:v>7.7499999999999679E-3</c:v>
                </c:pt>
                <c:pt idx="279">
                  <c:v>7.7777777777777455E-3</c:v>
                </c:pt>
                <c:pt idx="280">
                  <c:v>7.8055555555555231E-3</c:v>
                </c:pt>
                <c:pt idx="281">
                  <c:v>7.8333333333333015E-3</c:v>
                </c:pt>
                <c:pt idx="282">
                  <c:v>7.8611111111110792E-3</c:v>
                </c:pt>
                <c:pt idx="283">
                  <c:v>7.8888888888888568E-3</c:v>
                </c:pt>
                <c:pt idx="284">
                  <c:v>7.9166666666666344E-3</c:v>
                </c:pt>
                <c:pt idx="285">
                  <c:v>7.944444444444412E-3</c:v>
                </c:pt>
                <c:pt idx="286">
                  <c:v>7.9722222222221896E-3</c:v>
                </c:pt>
                <c:pt idx="287">
                  <c:v>7.9999999999999672E-3</c:v>
                </c:pt>
                <c:pt idx="288">
                  <c:v>8.0277777777777448E-3</c:v>
                </c:pt>
                <c:pt idx="289">
                  <c:v>8.0555555555555224E-3</c:v>
                </c:pt>
                <c:pt idx="290">
                  <c:v>8.0833333333333E-3</c:v>
                </c:pt>
                <c:pt idx="291">
                  <c:v>8.1111111111110776E-3</c:v>
                </c:pt>
                <c:pt idx="292">
                  <c:v>8.1388888888888553E-3</c:v>
                </c:pt>
                <c:pt idx="293">
                  <c:v>8.1666666666666329E-3</c:v>
                </c:pt>
                <c:pt idx="294">
                  <c:v>8.1944444444444105E-3</c:v>
                </c:pt>
                <c:pt idx="295">
                  <c:v>8.2222222222221881E-3</c:v>
                </c:pt>
                <c:pt idx="296">
                  <c:v>8.2499999999999657E-3</c:v>
                </c:pt>
                <c:pt idx="297">
                  <c:v>8.2777777777777433E-3</c:v>
                </c:pt>
                <c:pt idx="298">
                  <c:v>8.3055555555555209E-3</c:v>
                </c:pt>
                <c:pt idx="299">
                  <c:v>8.3333333333332985E-3</c:v>
                </c:pt>
                <c:pt idx="300">
                  <c:v>8.3611111111110761E-3</c:v>
                </c:pt>
                <c:pt idx="301">
                  <c:v>8.3888888888888537E-3</c:v>
                </c:pt>
                <c:pt idx="302">
                  <c:v>8.4166666666666314E-3</c:v>
                </c:pt>
                <c:pt idx="303">
                  <c:v>8.444444444444409E-3</c:v>
                </c:pt>
                <c:pt idx="304">
                  <c:v>8.4722222222221866E-3</c:v>
                </c:pt>
                <c:pt idx="305">
                  <c:v>8.4999999999999642E-3</c:v>
                </c:pt>
                <c:pt idx="306">
                  <c:v>8.5277777777777418E-3</c:v>
                </c:pt>
                <c:pt idx="307">
                  <c:v>8.5555555555555194E-3</c:v>
                </c:pt>
                <c:pt idx="308">
                  <c:v>8.583333333333297E-3</c:v>
                </c:pt>
                <c:pt idx="309">
                  <c:v>8.6111111111110746E-3</c:v>
                </c:pt>
                <c:pt idx="310">
                  <c:v>8.6388888888888522E-3</c:v>
                </c:pt>
                <c:pt idx="311">
                  <c:v>8.6666666666666298E-3</c:v>
                </c:pt>
                <c:pt idx="312">
                  <c:v>8.6944444444444074E-3</c:v>
                </c:pt>
                <c:pt idx="313">
                  <c:v>8.7222222222221851E-3</c:v>
                </c:pt>
                <c:pt idx="314">
                  <c:v>8.7499999999999627E-3</c:v>
                </c:pt>
                <c:pt idx="315">
                  <c:v>8.7777777777777403E-3</c:v>
                </c:pt>
                <c:pt idx="316">
                  <c:v>8.8055555555555179E-3</c:v>
                </c:pt>
                <c:pt idx="317">
                  <c:v>8.8333333333332955E-3</c:v>
                </c:pt>
                <c:pt idx="318">
                  <c:v>8.8611111111110731E-3</c:v>
                </c:pt>
                <c:pt idx="319">
                  <c:v>8.8888888888888507E-3</c:v>
                </c:pt>
                <c:pt idx="320">
                  <c:v>8.9166666666666283E-3</c:v>
                </c:pt>
                <c:pt idx="321">
                  <c:v>8.9444444444444059E-3</c:v>
                </c:pt>
                <c:pt idx="322">
                  <c:v>8.9722222222221835E-3</c:v>
                </c:pt>
                <c:pt idx="323">
                  <c:v>8.9999999999999612E-3</c:v>
                </c:pt>
                <c:pt idx="324">
                  <c:v>9.0277777777777388E-3</c:v>
                </c:pt>
                <c:pt idx="325">
                  <c:v>9.0555555555555164E-3</c:v>
                </c:pt>
                <c:pt idx="326">
                  <c:v>9.083333333333294E-3</c:v>
                </c:pt>
                <c:pt idx="327">
                  <c:v>9.1111111111110716E-3</c:v>
                </c:pt>
                <c:pt idx="328">
                  <c:v>9.1388888888888492E-3</c:v>
                </c:pt>
                <c:pt idx="329">
                  <c:v>9.1666666666666268E-3</c:v>
                </c:pt>
                <c:pt idx="330">
                  <c:v>9.1944444444444044E-3</c:v>
                </c:pt>
                <c:pt idx="331">
                  <c:v>9.222222222222182E-3</c:v>
                </c:pt>
                <c:pt idx="332">
                  <c:v>9.2499999999999596E-3</c:v>
                </c:pt>
                <c:pt idx="333">
                  <c:v>9.2777777777777373E-3</c:v>
                </c:pt>
                <c:pt idx="334">
                  <c:v>9.3055555555555149E-3</c:v>
                </c:pt>
                <c:pt idx="335">
                  <c:v>9.3333333333332925E-3</c:v>
                </c:pt>
                <c:pt idx="336">
                  <c:v>9.3611111111110701E-3</c:v>
                </c:pt>
                <c:pt idx="337">
                  <c:v>9.3888888888888477E-3</c:v>
                </c:pt>
                <c:pt idx="338">
                  <c:v>9.4166666666666253E-3</c:v>
                </c:pt>
                <c:pt idx="339">
                  <c:v>9.4444444444444029E-3</c:v>
                </c:pt>
                <c:pt idx="340">
                  <c:v>9.4722222222221805E-3</c:v>
                </c:pt>
                <c:pt idx="341">
                  <c:v>9.4999999999999581E-3</c:v>
                </c:pt>
                <c:pt idx="342">
                  <c:v>9.5277777777777357E-3</c:v>
                </c:pt>
                <c:pt idx="343">
                  <c:v>9.5555555555555134E-3</c:v>
                </c:pt>
                <c:pt idx="344">
                  <c:v>9.583333333333291E-3</c:v>
                </c:pt>
                <c:pt idx="345">
                  <c:v>9.6111111111110686E-3</c:v>
                </c:pt>
                <c:pt idx="346">
                  <c:v>9.6388888888888462E-3</c:v>
                </c:pt>
                <c:pt idx="347">
                  <c:v>9.6666666666666238E-3</c:v>
                </c:pt>
                <c:pt idx="348">
                  <c:v>9.6944444444444014E-3</c:v>
                </c:pt>
                <c:pt idx="349">
                  <c:v>9.722222222222179E-3</c:v>
                </c:pt>
                <c:pt idx="350">
                  <c:v>9.7499999999999566E-3</c:v>
                </c:pt>
                <c:pt idx="351">
                  <c:v>9.7777777777777342E-3</c:v>
                </c:pt>
                <c:pt idx="352">
                  <c:v>9.8055555555555118E-3</c:v>
                </c:pt>
                <c:pt idx="353">
                  <c:v>9.8333333333332894E-3</c:v>
                </c:pt>
                <c:pt idx="354">
                  <c:v>9.8611111111110671E-3</c:v>
                </c:pt>
                <c:pt idx="355">
                  <c:v>9.8888888888888447E-3</c:v>
                </c:pt>
                <c:pt idx="356">
                  <c:v>9.9166666666666223E-3</c:v>
                </c:pt>
                <c:pt idx="357">
                  <c:v>9.9444444444443999E-3</c:v>
                </c:pt>
                <c:pt idx="358">
                  <c:v>9.9722222222221775E-3</c:v>
                </c:pt>
                <c:pt idx="359">
                  <c:v>9.9999999999999551E-3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C2-4BA0-B697-4DC6A000A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010175"/>
        <c:axId val="1"/>
      </c:lineChart>
      <c:catAx>
        <c:axId val="141001017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0"/>
        <c:tickMarkSkip val="1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0010175"/>
        <c:crossesAt val="1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75" l="0.7" r="0.7" t="0.75" header="0.3" footer="0.3"/>
    <c:pageSetup paperSize="0" orientation="portrait" horizontalDpi="0" verticalDpi="0" copies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Loan Amortization</a:t>
            </a:r>
          </a:p>
        </c:rich>
      </c:tx>
      <c:layout>
        <c:manualLayout>
          <c:xMode val="edge"/>
          <c:yMode val="edge"/>
          <c:x val="0.37433155080213903"/>
          <c:y val="3.35968379446640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4895422920435611"/>
          <c:y val="0.20123839009287925"/>
          <c:w val="0.68619316957167065"/>
          <c:h val="0.61300309597523217"/>
        </c:manualLayout>
      </c:layout>
      <c:lineChart>
        <c:grouping val="standard"/>
        <c:varyColors val="0"/>
        <c:ser>
          <c:idx val="0"/>
          <c:order val="0"/>
          <c:tx>
            <c:v>Loan Amortization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'Cash Flow'!$A$6:$A$366</c:f>
              <c:numCache>
                <c:formatCode>General</c:formatCode>
                <c:ptCount val="3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</c:numCache>
            </c:numRef>
          </c:cat>
          <c:val>
            <c:numRef>
              <c:f>'Cash Flow'!$CB$6:$CB$366</c:f>
              <c:numCache>
                <c:formatCode>_(* #,##0_);_(* \(#,##0\);_(* "-"??_);_(@_)</c:formatCode>
                <c:ptCount val="361"/>
                <c:pt idx="0">
                  <c:v>89747088.277657911</c:v>
                </c:pt>
                <c:pt idx="1">
                  <c:v>89680611.057377025</c:v>
                </c:pt>
                <c:pt idx="2">
                  <c:v>89598807.199763164</c:v>
                </c:pt>
                <c:pt idx="3">
                  <c:v>89324001.336518988</c:v>
                </c:pt>
                <c:pt idx="4">
                  <c:v>89030716.05453907</c:v>
                </c:pt>
                <c:pt idx="5">
                  <c:v>88719095.768116906</c:v>
                </c:pt>
                <c:pt idx="6">
                  <c:v>88388178.326080188</c:v>
                </c:pt>
                <c:pt idx="7">
                  <c:v>88039224.084165975</c:v>
                </c:pt>
                <c:pt idx="8">
                  <c:v>87672391.017364144</c:v>
                </c:pt>
                <c:pt idx="9">
                  <c:v>87287841.68842645</c:v>
                </c:pt>
                <c:pt idx="10">
                  <c:v>86885743.24935706</c:v>
                </c:pt>
                <c:pt idx="11">
                  <c:v>86466267.4364568</c:v>
                </c:pt>
                <c:pt idx="12">
                  <c:v>86029590.558937654</c:v>
                </c:pt>
                <c:pt idx="13">
                  <c:v>85576092.712370932</c:v>
                </c:pt>
                <c:pt idx="14">
                  <c:v>85106010.055378109</c:v>
                </c:pt>
                <c:pt idx="15">
                  <c:v>84619579.425021097</c:v>
                </c:pt>
                <c:pt idx="16">
                  <c:v>84117038.36317718</c:v>
                </c:pt>
                <c:pt idx="17">
                  <c:v>83598625.13588281</c:v>
                </c:pt>
                <c:pt idx="18">
                  <c:v>83064578.745728076</c:v>
                </c:pt>
                <c:pt idx="19">
                  <c:v>82515138.937387198</c:v>
                </c:pt>
                <c:pt idx="20">
                  <c:v>81950546.196374699</c:v>
                </c:pt>
                <c:pt idx="21">
                  <c:v>81371041.741120204</c:v>
                </c:pt>
                <c:pt idx="22">
                  <c:v>80776867.508459672</c:v>
                </c:pt>
                <c:pt idx="23">
                  <c:v>80168266.132643342</c:v>
                </c:pt>
                <c:pt idx="24">
                  <c:v>79545480.917966157</c:v>
                </c:pt>
                <c:pt idx="25">
                  <c:v>78908618.129316881</c:v>
                </c:pt>
                <c:pt idx="26">
                  <c:v>78257914.994876102</c:v>
                </c:pt>
                <c:pt idx="27">
                  <c:v>77593610.366580054</c:v>
                </c:pt>
                <c:pt idx="28">
                  <c:v>76915944.649087697</c:v>
                </c:pt>
                <c:pt idx="29">
                  <c:v>76225159.723333746</c:v>
                </c:pt>
                <c:pt idx="30">
                  <c:v>75521498.864791304</c:v>
                </c:pt>
                <c:pt idx="31">
                  <c:v>74821196.422749937</c:v>
                </c:pt>
                <c:pt idx="32">
                  <c:v>74124246.063798979</c:v>
                </c:pt>
                <c:pt idx="33">
                  <c:v>73430640.489316076</c:v>
                </c:pt>
                <c:pt idx="34">
                  <c:v>72740371.452956915</c:v>
                </c:pt>
                <c:pt idx="35">
                  <c:v>72053429.777506948</c:v>
                </c:pt>
                <c:pt idx="36">
                  <c:v>71369805.37110354</c:v>
                </c:pt>
                <c:pt idx="37">
                  <c:v>70689170.489707842</c:v>
                </c:pt>
                <c:pt idx="38">
                  <c:v>70011507.743290797</c:v>
                </c:pt>
                <c:pt idx="39">
                  <c:v>69336799.216980815</c:v>
                </c:pt>
                <c:pt idx="40">
                  <c:v>68665026.477392405</c:v>
                </c:pt>
                <c:pt idx="41">
                  <c:v>67996170.578683496</c:v>
                </c:pt>
                <c:pt idx="42">
                  <c:v>67330212.068343699</c:v>
                </c:pt>
                <c:pt idx="43">
                  <c:v>66667130.992715657</c:v>
                </c:pt>
                <c:pt idx="44">
                  <c:v>66006906.902251832</c:v>
                </c:pt>
                <c:pt idx="45">
                  <c:v>65349518.856508479</c:v>
                </c:pt>
                <c:pt idx="46">
                  <c:v>64694945.428878807</c:v>
                </c:pt>
                <c:pt idx="47">
                  <c:v>64043164.7110672</c:v>
                </c:pt>
                <c:pt idx="48">
                  <c:v>63394154.317306012</c:v>
                </c:pt>
                <c:pt idx="49">
                  <c:v>62747400.076619744</c:v>
                </c:pt>
                <c:pt idx="50">
                  <c:v>62102875.266691811</c:v>
                </c:pt>
                <c:pt idx="51">
                  <c:v>61460553.277446903</c:v>
                </c:pt>
                <c:pt idx="52">
                  <c:v>60820407.609504521</c:v>
                </c:pt>
                <c:pt idx="53">
                  <c:v>60182411.872641817</c:v>
                </c:pt>
                <c:pt idx="54">
                  <c:v>59546539.784265302</c:v>
                </c:pt>
                <c:pt idx="55">
                  <c:v>58912765.167891458</c:v>
                </c:pt>
                <c:pt idx="56">
                  <c:v>58281061.951636188</c:v>
                </c:pt>
                <c:pt idx="57">
                  <c:v>57651404.166712791</c:v>
                </c:pt>
                <c:pt idx="58">
                  <c:v>57023765.945938595</c:v>
                </c:pt>
                <c:pt idx="59">
                  <c:v>56398121.522249945</c:v>
                </c:pt>
                <c:pt idx="60">
                  <c:v>55774445.227225475</c:v>
                </c:pt>
                <c:pt idx="61">
                  <c:v>55152711.489617638</c:v>
                </c:pt>
                <c:pt idx="62">
                  <c:v>54532894.833892301</c:v>
                </c:pt>
                <c:pt idx="63">
                  <c:v>53914969.878776275</c:v>
                </c:pt>
                <c:pt idx="64">
                  <c:v>53298911.335812785</c:v>
                </c:pt>
                <c:pt idx="65">
                  <c:v>52684694.007924587</c:v>
                </c:pt>
                <c:pt idx="66">
                  <c:v>52072292.787984908</c:v>
                </c:pt>
                <c:pt idx="67">
                  <c:v>51461682.657395743</c:v>
                </c:pt>
                <c:pt idx="68">
                  <c:v>50852838.684673667</c:v>
                </c:pt>
                <c:pt idx="69">
                  <c:v>50245736.024043053</c:v>
                </c:pt>
                <c:pt idx="70">
                  <c:v>49640349.914036378</c:v>
                </c:pt>
                <c:pt idx="71">
                  <c:v>49036655.676101744</c:v>
                </c:pt>
                <c:pt idx="72">
                  <c:v>48434628.713217385</c:v>
                </c:pt>
                <c:pt idx="73">
                  <c:v>47834244.5085131</c:v>
                </c:pt>
                <c:pt idx="74">
                  <c:v>47235478.623898536</c:v>
                </c:pt>
                <c:pt idx="75">
                  <c:v>46638306.698698111</c:v>
                </c:pt>
                <c:pt idx="76">
                  <c:v>46042704.448292598</c:v>
                </c:pt>
                <c:pt idx="77">
                  <c:v>45448647.662767224</c:v>
                </c:pt>
                <c:pt idx="78">
                  <c:v>44856112.205566198</c:v>
                </c:pt>
                <c:pt idx="79">
                  <c:v>44265074.012153499</c:v>
                </c:pt>
                <c:pt idx="80">
                  <c:v>43675509.088679977</c:v>
                </c:pt>
                <c:pt idx="81">
                  <c:v>43087393.510656476</c:v>
                </c:pt>
                <c:pt idx="82">
                  <c:v>42500703.421633057</c:v>
                </c:pt>
                <c:pt idx="83">
                  <c:v>41915415.031884156</c:v>
                </c:pt>
                <c:pt idx="84">
                  <c:v>41331504.617099501</c:v>
                </c:pt>
                <c:pt idx="85">
                  <c:v>40748948.517080858</c:v>
                </c:pt>
                <c:pt idx="86">
                  <c:v>40167723.134444408</c:v>
                </c:pt>
                <c:pt idx="87">
                  <c:v>39587804.933328621</c:v>
                </c:pt>
                <c:pt idx="88">
                  <c:v>39009170.438107699</c:v>
                </c:pt>
                <c:pt idx="89">
                  <c:v>38431796.232110292</c:v>
                </c:pt>
                <c:pt idx="90">
                  <c:v>37855658.956343539</c:v>
                </c:pt>
                <c:pt idx="91">
                  <c:v>37280735.308222324</c:v>
                </c:pt>
                <c:pt idx="92">
                  <c:v>36707002.040303573</c:v>
                </c:pt>
                <c:pt idx="93">
                  <c:v>36134435.959025651</c:v>
                </c:pt>
                <c:pt idx="94">
                  <c:v>35563013.923452564</c:v>
                </c:pt>
                <c:pt idx="95">
                  <c:v>34992712.844023101</c:v>
                </c:pt>
                <c:pt idx="96">
                  <c:v>34423509.681304663</c:v>
                </c:pt>
                <c:pt idx="97">
                  <c:v>33855381.444751792</c:v>
                </c:pt>
                <c:pt idx="98">
                  <c:v>33288305.191469211</c:v>
                </c:pt>
                <c:pt idx="99">
                  <c:v>32722258.024979457</c:v>
                </c:pt>
                <c:pt idx="100">
                  <c:v>32157217.093994793</c:v>
                </c:pt>
                <c:pt idx="101">
                  <c:v>31593159.591193523</c:v>
                </c:pt>
                <c:pt idx="102">
                  <c:v>31030062.752000477</c:v>
                </c:pt>
                <c:pt idx="103">
                  <c:v>30467903.853371739</c:v>
                </c:pt>
                <c:pt idx="104">
                  <c:v>29906660.21258333</c:v>
                </c:pt>
                <c:pt idx="105">
                  <c:v>29346309.186023917</c:v>
                </c:pt>
                <c:pt idx="106">
                  <c:v>28786828.167991463</c:v>
                </c:pt>
                <c:pt idx="107">
                  <c:v>28228194.589493632</c:v>
                </c:pt>
                <c:pt idx="108">
                  <c:v>27670385.917051952</c:v>
                </c:pt>
                <c:pt idx="109">
                  <c:v>27113379.651509624</c:v>
                </c:pt>
                <c:pt idx="110">
                  <c:v>26557153.326842949</c:v>
                </c:pt>
                <c:pt idx="111">
                  <c:v>26001684.508976188</c:v>
                </c:pt>
                <c:pt idx="112">
                  <c:v>25446950.794599872</c:v>
                </c:pt>
                <c:pt idx="113">
                  <c:v>24892929.809992425</c:v>
                </c:pt>
                <c:pt idx="114">
                  <c:v>24339599.20984507</c:v>
                </c:pt>
                <c:pt idx="115">
                  <c:v>23786936.676089879</c:v>
                </c:pt>
                <c:pt idx="116">
                  <c:v>23234919.91673097</c:v>
                </c:pt>
                <c:pt idx="117">
                  <c:v>22683526.664678652</c:v>
                </c:pt>
                <c:pt idx="118">
                  <c:v>22132734.676586617</c:v>
                </c:pt>
                <c:pt idx="119">
                  <c:v>21582521.731691886</c:v>
                </c:pt>
                <c:pt idx="120">
                  <c:v>21032865.630657651</c:v>
                </c:pt>
                <c:pt idx="121">
                  <c:v>20483744.194418736</c:v>
                </c:pt>
                <c:pt idx="122">
                  <c:v>19935135.263029795</c:v>
                </c:pt>
                <c:pt idx="123">
                  <c:v>19387016.694515988</c:v>
                </c:pt>
                <c:pt idx="124">
                  <c:v>18839366.363726225</c:v>
                </c:pt>
                <c:pt idx="125">
                  <c:v>18292162.161188751</c:v>
                </c:pt>
                <c:pt idx="126">
                  <c:v>17745381.991969138</c:v>
                </c:pt>
                <c:pt idx="127">
                  <c:v>17199003.774530526</c:v>
                </c:pt>
                <c:pt idx="128">
                  <c:v>16653005.439596007</c:v>
                </c:pt>
                <c:pt idx="129">
                  <c:v>16107364.929013222</c:v>
                </c:pt>
                <c:pt idx="130">
                  <c:v>15562060.194620937</c:v>
                </c:pt>
                <c:pt idx="131">
                  <c:v>15017069.197117658</c:v>
                </c:pt>
                <c:pt idx="132">
                  <c:v>14472369.904932069</c:v>
                </c:pt>
                <c:pt idx="133">
                  <c:v>13927940.293095373</c:v>
                </c:pt>
                <c:pt idx="134">
                  <c:v>13383758.342115404</c:v>
                </c:pt>
                <c:pt idx="135">
                  <c:v>12839802.036852358</c:v>
                </c:pt>
                <c:pt idx="136">
                  <c:v>12296049.365396243</c:v>
                </c:pt>
                <c:pt idx="137">
                  <c:v>11752478.31794578</c:v>
                </c:pt>
                <c:pt idx="138">
                  <c:v>11209066.885688886</c:v>
                </c:pt>
                <c:pt idx="139">
                  <c:v>10665793.059684489</c:v>
                </c:pt>
                <c:pt idx="140">
                  <c:v>10122634.829745751</c:v>
                </c:pt>
                <c:pt idx="141">
                  <c:v>9579570.1833245102</c:v>
                </c:pt>
                <c:pt idx="142">
                  <c:v>9036577.1043969672</c:v>
                </c:pt>
                <c:pt idx="143">
                  <c:v>8493633.5723505132</c:v>
                </c:pt>
                <c:pt idx="144">
                  <c:v>7950717.5608715871</c:v>
                </c:pt>
                <c:pt idx="145">
                  <c:v>7407807.036834605</c:v>
                </c:pt>
                <c:pt idx="146">
                  <c:v>6864879.9591917479</c:v>
                </c:pt>
                <c:pt idx="147">
                  <c:v>6321914.2778636701</c:v>
                </c:pt>
                <c:pt idx="148">
                  <c:v>5778887.9326309944</c:v>
                </c:pt>
                <c:pt idx="149">
                  <c:v>5235778.8520265706</c:v>
                </c:pt>
                <c:pt idx="150">
                  <c:v>4692564.9522283496</c:v>
                </c:pt>
                <c:pt idx="151">
                  <c:v>4149224.1359528974</c:v>
                </c:pt>
                <c:pt idx="152">
                  <c:v>3605734.2913494427</c:v>
                </c:pt>
                <c:pt idx="153">
                  <c:v>3062073.2908944171</c:v>
                </c:pt>
                <c:pt idx="154">
                  <c:v>2518218.9902863749</c:v>
                </c:pt>
                <c:pt idx="155">
                  <c:v>1974149.2273412456</c:v>
                </c:pt>
                <c:pt idx="156">
                  <c:v>1429841.8208879298</c:v>
                </c:pt>
                <c:pt idx="157">
                  <c:v>885274.56966403453</c:v>
                </c:pt>
                <c:pt idx="158">
                  <c:v>340425.25121182099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BB-4A68-ADB7-A56FDE9FCE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011775"/>
        <c:axId val="1"/>
      </c:lineChart>
      <c:catAx>
        <c:axId val="141001177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3"/>
        <c:tickMarkSkip val="1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0011775"/>
        <c:crossesAt val="1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75" l="0.7" r="0.7" t="0.75" header="0.3" footer="0.3"/>
    <c:pageSetup paperSize="0" orientation="portrait" horizontalDpi="0" verticalDpi="0" copies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3"/>
    </mc:Choice>
    <mc:Fallback>
      <c:style val="13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 Month Libor</a:t>
            </a:r>
          </a:p>
        </c:rich>
      </c:tx>
      <c:layout>
        <c:manualLayout>
          <c:xMode val="edge"/>
          <c:yMode val="edge"/>
          <c:x val="0.40832249674902471"/>
          <c:y val="3.35968379446640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460285132382891"/>
          <c:y val="0.20743034055727555"/>
          <c:w val="0.82892057026476573"/>
          <c:h val="0.61300309597523217"/>
        </c:manualLayout>
      </c:layout>
      <c:lineChart>
        <c:grouping val="standard"/>
        <c:varyColors val="0"/>
        <c:ser>
          <c:idx val="0"/>
          <c:order val="0"/>
          <c:tx>
            <c:v>1 Month Libor</c:v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Vectors!$A$7:$A$366</c:f>
              <c:numCache>
                <c:formatCode>General</c:formatCode>
                <c:ptCount val="3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</c:numCache>
            </c:numRef>
          </c:cat>
          <c:val>
            <c:numRef>
              <c:f>Vectors!$E$7:$E$366</c:f>
              <c:numCache>
                <c:formatCode>0.00%</c:formatCode>
                <c:ptCount val="360"/>
                <c:pt idx="0">
                  <c:v>2.5999999999999999E-2</c:v>
                </c:pt>
                <c:pt idx="1">
                  <c:v>2.8118999999999998E-2</c:v>
                </c:pt>
                <c:pt idx="2">
                  <c:v>2.8743999999999999E-2</c:v>
                </c:pt>
                <c:pt idx="3">
                  <c:v>2.9368999999999999E-2</c:v>
                </c:pt>
                <c:pt idx="4">
                  <c:v>2.9994E-2</c:v>
                </c:pt>
                <c:pt idx="5">
                  <c:v>3.0619E-2</c:v>
                </c:pt>
                <c:pt idx="6">
                  <c:v>3.1244000000000001E-2</c:v>
                </c:pt>
                <c:pt idx="7">
                  <c:v>3.1869000000000001E-2</c:v>
                </c:pt>
                <c:pt idx="8">
                  <c:v>3.2494000000000002E-2</c:v>
                </c:pt>
                <c:pt idx="9">
                  <c:v>3.3119000000000003E-2</c:v>
                </c:pt>
                <c:pt idx="10">
                  <c:v>3.3744000000000003E-2</c:v>
                </c:pt>
                <c:pt idx="11">
                  <c:v>3.4369000000000004E-2</c:v>
                </c:pt>
                <c:pt idx="12">
                  <c:v>3.5619000000000005E-2</c:v>
                </c:pt>
                <c:pt idx="13">
                  <c:v>3.6869000000000006E-2</c:v>
                </c:pt>
                <c:pt idx="14">
                  <c:v>3.8119000000000007E-2</c:v>
                </c:pt>
                <c:pt idx="15">
                  <c:v>3.9369000000000008E-2</c:v>
                </c:pt>
                <c:pt idx="16">
                  <c:v>4.0619000000000009E-2</c:v>
                </c:pt>
                <c:pt idx="17">
                  <c:v>4.186900000000001E-2</c:v>
                </c:pt>
                <c:pt idx="18">
                  <c:v>4.3119000000000011E-2</c:v>
                </c:pt>
                <c:pt idx="19">
                  <c:v>4.4369000000000013E-2</c:v>
                </c:pt>
                <c:pt idx="20">
                  <c:v>4.5619000000000014E-2</c:v>
                </c:pt>
                <c:pt idx="21">
                  <c:v>4.6869000000000015E-2</c:v>
                </c:pt>
                <c:pt idx="22">
                  <c:v>4.8119000000000016E-2</c:v>
                </c:pt>
                <c:pt idx="23">
                  <c:v>4.9369000000000017E-2</c:v>
                </c:pt>
                <c:pt idx="24">
                  <c:v>5.0410666666666687E-2</c:v>
                </c:pt>
                <c:pt idx="25">
                  <c:v>5.1452333333333357E-2</c:v>
                </c:pt>
                <c:pt idx="26">
                  <c:v>5.2494000000000027E-2</c:v>
                </c:pt>
                <c:pt idx="27">
                  <c:v>5.3535666666666697E-2</c:v>
                </c:pt>
                <c:pt idx="28">
                  <c:v>5.4577333333333367E-2</c:v>
                </c:pt>
                <c:pt idx="29">
                  <c:v>5.5619000000000036E-2</c:v>
                </c:pt>
                <c:pt idx="30">
                  <c:v>5.6660666666666706E-2</c:v>
                </c:pt>
                <c:pt idx="31">
                  <c:v>5.7702333333333376E-2</c:v>
                </c:pt>
                <c:pt idx="32">
                  <c:v>5.8744000000000046E-2</c:v>
                </c:pt>
                <c:pt idx="33">
                  <c:v>5.9785666666666716E-2</c:v>
                </c:pt>
                <c:pt idx="34">
                  <c:v>6.0827333333333386E-2</c:v>
                </c:pt>
                <c:pt idx="35">
                  <c:v>6.1869000000000056E-2</c:v>
                </c:pt>
                <c:pt idx="36">
                  <c:v>6.2494000000000056E-2</c:v>
                </c:pt>
                <c:pt idx="37">
                  <c:v>6.311900000000005E-2</c:v>
                </c:pt>
                <c:pt idx="38">
                  <c:v>6.3744000000000051E-2</c:v>
                </c:pt>
                <c:pt idx="39">
                  <c:v>6.4369000000000051E-2</c:v>
                </c:pt>
                <c:pt idx="40">
                  <c:v>6.4994000000000052E-2</c:v>
                </c:pt>
                <c:pt idx="41">
                  <c:v>6.5619000000000052E-2</c:v>
                </c:pt>
                <c:pt idx="42">
                  <c:v>6.6244000000000053E-2</c:v>
                </c:pt>
                <c:pt idx="43">
                  <c:v>6.6869000000000053E-2</c:v>
                </c:pt>
                <c:pt idx="44">
                  <c:v>6.7494000000000054E-2</c:v>
                </c:pt>
                <c:pt idx="45">
                  <c:v>6.8119000000000055E-2</c:v>
                </c:pt>
                <c:pt idx="46">
                  <c:v>6.8744000000000055E-2</c:v>
                </c:pt>
                <c:pt idx="47">
                  <c:v>6.9369000000000056E-2</c:v>
                </c:pt>
                <c:pt idx="48">
                  <c:v>6.9369000000000056E-2</c:v>
                </c:pt>
                <c:pt idx="49">
                  <c:v>6.9369000000000056E-2</c:v>
                </c:pt>
                <c:pt idx="50">
                  <c:v>6.9369000000000056E-2</c:v>
                </c:pt>
                <c:pt idx="51">
                  <c:v>6.9369000000000056E-2</c:v>
                </c:pt>
                <c:pt idx="52">
                  <c:v>6.9369000000000056E-2</c:v>
                </c:pt>
                <c:pt idx="53">
                  <c:v>6.9369000000000056E-2</c:v>
                </c:pt>
                <c:pt idx="54">
                  <c:v>6.9369000000000056E-2</c:v>
                </c:pt>
                <c:pt idx="55">
                  <c:v>6.9369000000000056E-2</c:v>
                </c:pt>
                <c:pt idx="56">
                  <c:v>6.9369000000000056E-2</c:v>
                </c:pt>
                <c:pt idx="57">
                  <c:v>6.9369000000000056E-2</c:v>
                </c:pt>
                <c:pt idx="58">
                  <c:v>6.9369000000000056E-2</c:v>
                </c:pt>
                <c:pt idx="59">
                  <c:v>6.9369000000000056E-2</c:v>
                </c:pt>
                <c:pt idx="60">
                  <c:v>6.9369000000000056E-2</c:v>
                </c:pt>
                <c:pt idx="61">
                  <c:v>6.9369000000000056E-2</c:v>
                </c:pt>
                <c:pt idx="62">
                  <c:v>6.9369000000000056E-2</c:v>
                </c:pt>
                <c:pt idx="63">
                  <c:v>6.9369000000000056E-2</c:v>
                </c:pt>
                <c:pt idx="64">
                  <c:v>6.9369000000000056E-2</c:v>
                </c:pt>
                <c:pt idx="65">
                  <c:v>6.9369000000000056E-2</c:v>
                </c:pt>
                <c:pt idx="66">
                  <c:v>6.9369000000000056E-2</c:v>
                </c:pt>
                <c:pt idx="67">
                  <c:v>6.9369000000000056E-2</c:v>
                </c:pt>
                <c:pt idx="68">
                  <c:v>6.9369000000000056E-2</c:v>
                </c:pt>
                <c:pt idx="69">
                  <c:v>6.9369000000000056E-2</c:v>
                </c:pt>
                <c:pt idx="70">
                  <c:v>6.9369000000000056E-2</c:v>
                </c:pt>
                <c:pt idx="71">
                  <c:v>6.9369000000000056E-2</c:v>
                </c:pt>
                <c:pt idx="72">
                  <c:v>6.9369000000000056E-2</c:v>
                </c:pt>
                <c:pt idx="73">
                  <c:v>6.9369000000000056E-2</c:v>
                </c:pt>
                <c:pt idx="74">
                  <c:v>6.9369000000000056E-2</c:v>
                </c:pt>
                <c:pt idx="75">
                  <c:v>6.9369000000000056E-2</c:v>
                </c:pt>
                <c:pt idx="76">
                  <c:v>6.9369000000000056E-2</c:v>
                </c:pt>
                <c:pt idx="77">
                  <c:v>6.9369000000000056E-2</c:v>
                </c:pt>
                <c:pt idx="78">
                  <c:v>6.9369000000000056E-2</c:v>
                </c:pt>
                <c:pt idx="79">
                  <c:v>6.9369000000000056E-2</c:v>
                </c:pt>
                <c:pt idx="80">
                  <c:v>6.9369000000000056E-2</c:v>
                </c:pt>
                <c:pt idx="81">
                  <c:v>6.9369000000000056E-2</c:v>
                </c:pt>
                <c:pt idx="82">
                  <c:v>6.9369000000000056E-2</c:v>
                </c:pt>
                <c:pt idx="83">
                  <c:v>6.9369000000000056E-2</c:v>
                </c:pt>
                <c:pt idx="84">
                  <c:v>6.9369000000000056E-2</c:v>
                </c:pt>
                <c:pt idx="85">
                  <c:v>6.9369000000000056E-2</c:v>
                </c:pt>
                <c:pt idx="86">
                  <c:v>6.9369000000000056E-2</c:v>
                </c:pt>
                <c:pt idx="87">
                  <c:v>6.9369000000000056E-2</c:v>
                </c:pt>
                <c:pt idx="88">
                  <c:v>6.9369000000000056E-2</c:v>
                </c:pt>
                <c:pt idx="89">
                  <c:v>6.9369000000000056E-2</c:v>
                </c:pt>
                <c:pt idx="90">
                  <c:v>6.9369000000000056E-2</c:v>
                </c:pt>
                <c:pt idx="91">
                  <c:v>6.9369000000000056E-2</c:v>
                </c:pt>
                <c:pt idx="92">
                  <c:v>6.9369000000000056E-2</c:v>
                </c:pt>
                <c:pt idx="93">
                  <c:v>6.9369000000000056E-2</c:v>
                </c:pt>
                <c:pt idx="94">
                  <c:v>6.9369000000000056E-2</c:v>
                </c:pt>
                <c:pt idx="95">
                  <c:v>6.9369000000000056E-2</c:v>
                </c:pt>
                <c:pt idx="96">
                  <c:v>6.9369000000000056E-2</c:v>
                </c:pt>
                <c:pt idx="97">
                  <c:v>6.9369000000000056E-2</c:v>
                </c:pt>
                <c:pt idx="98">
                  <c:v>6.9369000000000056E-2</c:v>
                </c:pt>
                <c:pt idx="99">
                  <c:v>6.9369000000000056E-2</c:v>
                </c:pt>
                <c:pt idx="100">
                  <c:v>6.9369000000000056E-2</c:v>
                </c:pt>
                <c:pt idx="101">
                  <c:v>6.9369000000000056E-2</c:v>
                </c:pt>
                <c:pt idx="102">
                  <c:v>6.9369000000000056E-2</c:v>
                </c:pt>
                <c:pt idx="103">
                  <c:v>6.9369000000000056E-2</c:v>
                </c:pt>
                <c:pt idx="104">
                  <c:v>6.9369000000000056E-2</c:v>
                </c:pt>
                <c:pt idx="105">
                  <c:v>6.9369000000000056E-2</c:v>
                </c:pt>
                <c:pt idx="106">
                  <c:v>6.9369000000000056E-2</c:v>
                </c:pt>
                <c:pt idx="107">
                  <c:v>6.9369000000000056E-2</c:v>
                </c:pt>
                <c:pt idx="108">
                  <c:v>6.9369000000000056E-2</c:v>
                </c:pt>
                <c:pt idx="109">
                  <c:v>6.9369000000000056E-2</c:v>
                </c:pt>
                <c:pt idx="110">
                  <c:v>6.9369000000000056E-2</c:v>
                </c:pt>
                <c:pt idx="111">
                  <c:v>6.9369000000000056E-2</c:v>
                </c:pt>
                <c:pt idx="112">
                  <c:v>6.9369000000000056E-2</c:v>
                </c:pt>
                <c:pt idx="113">
                  <c:v>6.9369000000000056E-2</c:v>
                </c:pt>
                <c:pt idx="114">
                  <c:v>6.9369000000000056E-2</c:v>
                </c:pt>
                <c:pt idx="115">
                  <c:v>6.9369000000000056E-2</c:v>
                </c:pt>
                <c:pt idx="116">
                  <c:v>6.9369000000000056E-2</c:v>
                </c:pt>
                <c:pt idx="117">
                  <c:v>6.9369000000000056E-2</c:v>
                </c:pt>
                <c:pt idx="118">
                  <c:v>6.9369000000000056E-2</c:v>
                </c:pt>
                <c:pt idx="119">
                  <c:v>6.9369000000000056E-2</c:v>
                </c:pt>
                <c:pt idx="120">
                  <c:v>6.9369000000000056E-2</c:v>
                </c:pt>
                <c:pt idx="121">
                  <c:v>6.9369000000000056E-2</c:v>
                </c:pt>
                <c:pt idx="122">
                  <c:v>6.9369000000000056E-2</c:v>
                </c:pt>
                <c:pt idx="123">
                  <c:v>6.9369000000000056E-2</c:v>
                </c:pt>
                <c:pt idx="124">
                  <c:v>6.9369000000000056E-2</c:v>
                </c:pt>
                <c:pt idx="125">
                  <c:v>6.9369000000000056E-2</c:v>
                </c:pt>
                <c:pt idx="126">
                  <c:v>6.9369000000000056E-2</c:v>
                </c:pt>
                <c:pt idx="127">
                  <c:v>6.9369000000000056E-2</c:v>
                </c:pt>
                <c:pt idx="128">
                  <c:v>6.9369000000000056E-2</c:v>
                </c:pt>
                <c:pt idx="129">
                  <c:v>6.9369000000000056E-2</c:v>
                </c:pt>
                <c:pt idx="130">
                  <c:v>6.9369000000000056E-2</c:v>
                </c:pt>
                <c:pt idx="131">
                  <c:v>6.9369000000000056E-2</c:v>
                </c:pt>
                <c:pt idx="132">
                  <c:v>6.9369000000000056E-2</c:v>
                </c:pt>
                <c:pt idx="133">
                  <c:v>6.9369000000000056E-2</c:v>
                </c:pt>
                <c:pt idx="134">
                  <c:v>6.9369000000000056E-2</c:v>
                </c:pt>
                <c:pt idx="135">
                  <c:v>6.9369000000000056E-2</c:v>
                </c:pt>
                <c:pt idx="136">
                  <c:v>6.9369000000000056E-2</c:v>
                </c:pt>
                <c:pt idx="137">
                  <c:v>6.9369000000000056E-2</c:v>
                </c:pt>
                <c:pt idx="138">
                  <c:v>6.9369000000000056E-2</c:v>
                </c:pt>
                <c:pt idx="139">
                  <c:v>6.9369000000000056E-2</c:v>
                </c:pt>
                <c:pt idx="140">
                  <c:v>6.9369000000000056E-2</c:v>
                </c:pt>
                <c:pt idx="141">
                  <c:v>6.9369000000000056E-2</c:v>
                </c:pt>
                <c:pt idx="142">
                  <c:v>6.9369000000000056E-2</c:v>
                </c:pt>
                <c:pt idx="143">
                  <c:v>6.9369000000000056E-2</c:v>
                </c:pt>
                <c:pt idx="144">
                  <c:v>6.9369000000000056E-2</c:v>
                </c:pt>
                <c:pt idx="145">
                  <c:v>6.9369000000000056E-2</c:v>
                </c:pt>
                <c:pt idx="146">
                  <c:v>6.9369000000000056E-2</c:v>
                </c:pt>
                <c:pt idx="147">
                  <c:v>6.9369000000000056E-2</c:v>
                </c:pt>
                <c:pt idx="148">
                  <c:v>6.9369000000000056E-2</c:v>
                </c:pt>
                <c:pt idx="149">
                  <c:v>6.9369000000000056E-2</c:v>
                </c:pt>
                <c:pt idx="150">
                  <c:v>6.9369000000000056E-2</c:v>
                </c:pt>
                <c:pt idx="151">
                  <c:v>6.9369000000000056E-2</c:v>
                </c:pt>
                <c:pt idx="152">
                  <c:v>6.9369000000000056E-2</c:v>
                </c:pt>
                <c:pt idx="153">
                  <c:v>6.9369000000000056E-2</c:v>
                </c:pt>
                <c:pt idx="154">
                  <c:v>6.9369000000000056E-2</c:v>
                </c:pt>
                <c:pt idx="155">
                  <c:v>6.9369000000000056E-2</c:v>
                </c:pt>
                <c:pt idx="156">
                  <c:v>6.9369000000000056E-2</c:v>
                </c:pt>
                <c:pt idx="157">
                  <c:v>6.9369000000000056E-2</c:v>
                </c:pt>
                <c:pt idx="158">
                  <c:v>6.9369000000000056E-2</c:v>
                </c:pt>
                <c:pt idx="159">
                  <c:v>6.9369000000000056E-2</c:v>
                </c:pt>
                <c:pt idx="160">
                  <c:v>6.9369000000000056E-2</c:v>
                </c:pt>
                <c:pt idx="161">
                  <c:v>6.9369000000000056E-2</c:v>
                </c:pt>
                <c:pt idx="162">
                  <c:v>6.9369000000000056E-2</c:v>
                </c:pt>
                <c:pt idx="163">
                  <c:v>6.9369000000000056E-2</c:v>
                </c:pt>
                <c:pt idx="164">
                  <c:v>6.9369000000000056E-2</c:v>
                </c:pt>
                <c:pt idx="165">
                  <c:v>6.9369000000000056E-2</c:v>
                </c:pt>
                <c:pt idx="166">
                  <c:v>6.9369000000000056E-2</c:v>
                </c:pt>
                <c:pt idx="167">
                  <c:v>6.9369000000000056E-2</c:v>
                </c:pt>
                <c:pt idx="168">
                  <c:v>6.9369000000000056E-2</c:v>
                </c:pt>
                <c:pt idx="169">
                  <c:v>6.9369000000000056E-2</c:v>
                </c:pt>
                <c:pt idx="170">
                  <c:v>6.9369000000000056E-2</c:v>
                </c:pt>
                <c:pt idx="171">
                  <c:v>6.9369000000000056E-2</c:v>
                </c:pt>
                <c:pt idx="172">
                  <c:v>6.9369000000000056E-2</c:v>
                </c:pt>
                <c:pt idx="173">
                  <c:v>6.9369000000000056E-2</c:v>
                </c:pt>
                <c:pt idx="174">
                  <c:v>6.9369000000000056E-2</c:v>
                </c:pt>
                <c:pt idx="175">
                  <c:v>6.9369000000000056E-2</c:v>
                </c:pt>
                <c:pt idx="176">
                  <c:v>6.9369000000000056E-2</c:v>
                </c:pt>
                <c:pt idx="177">
                  <c:v>6.9369000000000056E-2</c:v>
                </c:pt>
                <c:pt idx="178">
                  <c:v>6.9369000000000056E-2</c:v>
                </c:pt>
                <c:pt idx="179">
                  <c:v>6.9369000000000056E-2</c:v>
                </c:pt>
                <c:pt idx="180">
                  <c:v>6.9369000000000056E-2</c:v>
                </c:pt>
                <c:pt idx="181">
                  <c:v>6.9369000000000056E-2</c:v>
                </c:pt>
                <c:pt idx="182">
                  <c:v>6.9369000000000056E-2</c:v>
                </c:pt>
                <c:pt idx="183">
                  <c:v>6.9369000000000056E-2</c:v>
                </c:pt>
                <c:pt idx="184">
                  <c:v>6.9369000000000056E-2</c:v>
                </c:pt>
                <c:pt idx="185">
                  <c:v>6.9369000000000056E-2</c:v>
                </c:pt>
                <c:pt idx="186">
                  <c:v>6.9369000000000056E-2</c:v>
                </c:pt>
                <c:pt idx="187">
                  <c:v>6.9369000000000056E-2</c:v>
                </c:pt>
                <c:pt idx="188">
                  <c:v>6.9369000000000056E-2</c:v>
                </c:pt>
                <c:pt idx="189">
                  <c:v>6.9369000000000056E-2</c:v>
                </c:pt>
                <c:pt idx="190">
                  <c:v>6.9369000000000056E-2</c:v>
                </c:pt>
                <c:pt idx="191">
                  <c:v>6.9369000000000056E-2</c:v>
                </c:pt>
                <c:pt idx="192">
                  <c:v>6.9369000000000056E-2</c:v>
                </c:pt>
                <c:pt idx="193">
                  <c:v>6.9369000000000056E-2</c:v>
                </c:pt>
                <c:pt idx="194">
                  <c:v>6.9369000000000056E-2</c:v>
                </c:pt>
                <c:pt idx="195">
                  <c:v>6.9369000000000056E-2</c:v>
                </c:pt>
                <c:pt idx="196">
                  <c:v>6.9369000000000056E-2</c:v>
                </c:pt>
                <c:pt idx="197">
                  <c:v>6.9369000000000056E-2</c:v>
                </c:pt>
                <c:pt idx="198">
                  <c:v>6.9369000000000056E-2</c:v>
                </c:pt>
                <c:pt idx="199">
                  <c:v>6.9369000000000056E-2</c:v>
                </c:pt>
                <c:pt idx="200">
                  <c:v>6.9369000000000056E-2</c:v>
                </c:pt>
                <c:pt idx="201">
                  <c:v>6.9369000000000056E-2</c:v>
                </c:pt>
                <c:pt idx="202">
                  <c:v>6.9369000000000056E-2</c:v>
                </c:pt>
                <c:pt idx="203">
                  <c:v>6.9369000000000056E-2</c:v>
                </c:pt>
                <c:pt idx="204">
                  <c:v>6.9369000000000056E-2</c:v>
                </c:pt>
                <c:pt idx="205">
                  <c:v>6.9369000000000056E-2</c:v>
                </c:pt>
                <c:pt idx="206">
                  <c:v>6.9369000000000056E-2</c:v>
                </c:pt>
                <c:pt idx="207">
                  <c:v>6.9369000000000056E-2</c:v>
                </c:pt>
                <c:pt idx="208">
                  <c:v>6.9369000000000056E-2</c:v>
                </c:pt>
                <c:pt idx="209">
                  <c:v>6.9369000000000056E-2</c:v>
                </c:pt>
                <c:pt idx="210">
                  <c:v>6.9369000000000056E-2</c:v>
                </c:pt>
                <c:pt idx="211">
                  <c:v>6.9369000000000056E-2</c:v>
                </c:pt>
                <c:pt idx="212">
                  <c:v>6.9369000000000056E-2</c:v>
                </c:pt>
                <c:pt idx="213">
                  <c:v>6.9369000000000056E-2</c:v>
                </c:pt>
                <c:pt idx="214">
                  <c:v>6.9369000000000056E-2</c:v>
                </c:pt>
                <c:pt idx="215">
                  <c:v>6.9369000000000056E-2</c:v>
                </c:pt>
                <c:pt idx="216">
                  <c:v>6.9369000000000056E-2</c:v>
                </c:pt>
                <c:pt idx="217">
                  <c:v>6.9369000000000056E-2</c:v>
                </c:pt>
                <c:pt idx="218">
                  <c:v>6.9369000000000056E-2</c:v>
                </c:pt>
                <c:pt idx="219">
                  <c:v>6.9369000000000056E-2</c:v>
                </c:pt>
                <c:pt idx="220">
                  <c:v>6.9369000000000056E-2</c:v>
                </c:pt>
                <c:pt idx="221">
                  <c:v>6.9369000000000056E-2</c:v>
                </c:pt>
                <c:pt idx="222">
                  <c:v>6.9369000000000056E-2</c:v>
                </c:pt>
                <c:pt idx="223">
                  <c:v>6.9369000000000056E-2</c:v>
                </c:pt>
                <c:pt idx="224">
                  <c:v>6.9369000000000056E-2</c:v>
                </c:pt>
                <c:pt idx="225">
                  <c:v>6.9369000000000056E-2</c:v>
                </c:pt>
                <c:pt idx="226">
                  <c:v>6.9369000000000056E-2</c:v>
                </c:pt>
                <c:pt idx="227">
                  <c:v>6.9369000000000056E-2</c:v>
                </c:pt>
                <c:pt idx="228">
                  <c:v>6.9369000000000056E-2</c:v>
                </c:pt>
                <c:pt idx="229">
                  <c:v>6.9369000000000056E-2</c:v>
                </c:pt>
                <c:pt idx="230">
                  <c:v>6.9369000000000056E-2</c:v>
                </c:pt>
                <c:pt idx="231">
                  <c:v>6.9369000000000056E-2</c:v>
                </c:pt>
                <c:pt idx="232">
                  <c:v>6.9369000000000056E-2</c:v>
                </c:pt>
                <c:pt idx="233">
                  <c:v>6.9369000000000056E-2</c:v>
                </c:pt>
                <c:pt idx="234">
                  <c:v>6.9369000000000056E-2</c:v>
                </c:pt>
                <c:pt idx="235">
                  <c:v>6.9369000000000056E-2</c:v>
                </c:pt>
                <c:pt idx="236">
                  <c:v>6.9369000000000056E-2</c:v>
                </c:pt>
                <c:pt idx="237">
                  <c:v>6.9369000000000056E-2</c:v>
                </c:pt>
                <c:pt idx="238">
                  <c:v>6.9369000000000056E-2</c:v>
                </c:pt>
                <c:pt idx="239">
                  <c:v>6.9369000000000056E-2</c:v>
                </c:pt>
                <c:pt idx="240">
                  <c:v>6.9369000000000056E-2</c:v>
                </c:pt>
                <c:pt idx="241">
                  <c:v>6.9369000000000056E-2</c:v>
                </c:pt>
                <c:pt idx="242">
                  <c:v>6.9369000000000056E-2</c:v>
                </c:pt>
                <c:pt idx="243">
                  <c:v>6.9369000000000056E-2</c:v>
                </c:pt>
                <c:pt idx="244">
                  <c:v>6.9369000000000056E-2</c:v>
                </c:pt>
                <c:pt idx="245">
                  <c:v>6.9369000000000056E-2</c:v>
                </c:pt>
                <c:pt idx="246">
                  <c:v>6.9369000000000056E-2</c:v>
                </c:pt>
                <c:pt idx="247">
                  <c:v>6.9369000000000056E-2</c:v>
                </c:pt>
                <c:pt idx="248">
                  <c:v>6.9369000000000056E-2</c:v>
                </c:pt>
                <c:pt idx="249">
                  <c:v>6.9369000000000056E-2</c:v>
                </c:pt>
                <c:pt idx="250">
                  <c:v>6.9369000000000056E-2</c:v>
                </c:pt>
                <c:pt idx="251">
                  <c:v>6.9369000000000056E-2</c:v>
                </c:pt>
                <c:pt idx="252">
                  <c:v>6.9369000000000056E-2</c:v>
                </c:pt>
                <c:pt idx="253">
                  <c:v>6.9369000000000056E-2</c:v>
                </c:pt>
                <c:pt idx="254">
                  <c:v>6.9369000000000056E-2</c:v>
                </c:pt>
                <c:pt idx="255">
                  <c:v>6.9369000000000056E-2</c:v>
                </c:pt>
                <c:pt idx="256">
                  <c:v>6.9369000000000056E-2</c:v>
                </c:pt>
                <c:pt idx="257">
                  <c:v>6.9369000000000056E-2</c:v>
                </c:pt>
                <c:pt idx="258">
                  <c:v>6.9369000000000056E-2</c:v>
                </c:pt>
                <c:pt idx="259">
                  <c:v>6.9369000000000056E-2</c:v>
                </c:pt>
                <c:pt idx="260">
                  <c:v>6.9369000000000056E-2</c:v>
                </c:pt>
                <c:pt idx="261">
                  <c:v>6.9369000000000056E-2</c:v>
                </c:pt>
                <c:pt idx="262">
                  <c:v>6.9369000000000056E-2</c:v>
                </c:pt>
                <c:pt idx="263">
                  <c:v>6.9369000000000056E-2</c:v>
                </c:pt>
                <c:pt idx="264">
                  <c:v>6.9369000000000056E-2</c:v>
                </c:pt>
                <c:pt idx="265">
                  <c:v>6.9369000000000056E-2</c:v>
                </c:pt>
                <c:pt idx="266">
                  <c:v>6.9369000000000056E-2</c:v>
                </c:pt>
                <c:pt idx="267">
                  <c:v>6.9369000000000056E-2</c:v>
                </c:pt>
                <c:pt idx="268">
                  <c:v>6.9369000000000056E-2</c:v>
                </c:pt>
                <c:pt idx="269">
                  <c:v>6.9369000000000056E-2</c:v>
                </c:pt>
                <c:pt idx="270">
                  <c:v>6.9369000000000056E-2</c:v>
                </c:pt>
                <c:pt idx="271">
                  <c:v>6.9369000000000056E-2</c:v>
                </c:pt>
                <c:pt idx="272">
                  <c:v>6.9369000000000056E-2</c:v>
                </c:pt>
                <c:pt idx="273">
                  <c:v>6.9369000000000056E-2</c:v>
                </c:pt>
                <c:pt idx="274">
                  <c:v>6.9369000000000056E-2</c:v>
                </c:pt>
                <c:pt idx="275">
                  <c:v>6.9369000000000056E-2</c:v>
                </c:pt>
                <c:pt idx="276">
                  <c:v>6.9369000000000056E-2</c:v>
                </c:pt>
                <c:pt idx="277">
                  <c:v>6.9369000000000056E-2</c:v>
                </c:pt>
                <c:pt idx="278">
                  <c:v>6.9369000000000056E-2</c:v>
                </c:pt>
                <c:pt idx="279">
                  <c:v>6.9369000000000056E-2</c:v>
                </c:pt>
                <c:pt idx="280">
                  <c:v>6.9369000000000056E-2</c:v>
                </c:pt>
                <c:pt idx="281">
                  <c:v>6.9369000000000056E-2</c:v>
                </c:pt>
                <c:pt idx="282">
                  <c:v>6.9369000000000056E-2</c:v>
                </c:pt>
                <c:pt idx="283">
                  <c:v>6.9369000000000056E-2</c:v>
                </c:pt>
                <c:pt idx="284">
                  <c:v>6.9369000000000056E-2</c:v>
                </c:pt>
                <c:pt idx="285">
                  <c:v>6.9369000000000056E-2</c:v>
                </c:pt>
                <c:pt idx="286">
                  <c:v>6.9369000000000056E-2</c:v>
                </c:pt>
                <c:pt idx="287">
                  <c:v>6.9369000000000056E-2</c:v>
                </c:pt>
                <c:pt idx="288">
                  <c:v>6.9369000000000056E-2</c:v>
                </c:pt>
                <c:pt idx="289">
                  <c:v>6.9369000000000056E-2</c:v>
                </c:pt>
                <c:pt idx="290">
                  <c:v>6.9369000000000056E-2</c:v>
                </c:pt>
                <c:pt idx="291">
                  <c:v>6.9369000000000056E-2</c:v>
                </c:pt>
                <c:pt idx="292">
                  <c:v>6.9369000000000056E-2</c:v>
                </c:pt>
                <c:pt idx="293">
                  <c:v>6.9369000000000056E-2</c:v>
                </c:pt>
                <c:pt idx="294">
                  <c:v>6.9369000000000056E-2</c:v>
                </c:pt>
                <c:pt idx="295">
                  <c:v>6.9369000000000056E-2</c:v>
                </c:pt>
                <c:pt idx="296">
                  <c:v>6.9369000000000056E-2</c:v>
                </c:pt>
                <c:pt idx="297">
                  <c:v>6.9369000000000056E-2</c:v>
                </c:pt>
                <c:pt idx="298">
                  <c:v>6.9369000000000056E-2</c:v>
                </c:pt>
                <c:pt idx="299">
                  <c:v>6.9369000000000056E-2</c:v>
                </c:pt>
                <c:pt idx="300">
                  <c:v>6.9369000000000056E-2</c:v>
                </c:pt>
                <c:pt idx="301">
                  <c:v>6.9369000000000056E-2</c:v>
                </c:pt>
                <c:pt idx="302">
                  <c:v>6.9369000000000056E-2</c:v>
                </c:pt>
                <c:pt idx="303">
                  <c:v>6.9369000000000056E-2</c:v>
                </c:pt>
                <c:pt idx="304">
                  <c:v>6.9369000000000056E-2</c:v>
                </c:pt>
                <c:pt idx="305">
                  <c:v>6.9369000000000056E-2</c:v>
                </c:pt>
                <c:pt idx="306">
                  <c:v>6.9369000000000056E-2</c:v>
                </c:pt>
                <c:pt idx="307">
                  <c:v>6.9369000000000056E-2</c:v>
                </c:pt>
                <c:pt idx="308">
                  <c:v>6.9369000000000056E-2</c:v>
                </c:pt>
                <c:pt idx="309">
                  <c:v>6.9369000000000056E-2</c:v>
                </c:pt>
                <c:pt idx="310">
                  <c:v>6.9369000000000056E-2</c:v>
                </c:pt>
                <c:pt idx="311">
                  <c:v>6.9369000000000056E-2</c:v>
                </c:pt>
                <c:pt idx="312">
                  <c:v>6.9369000000000056E-2</c:v>
                </c:pt>
                <c:pt idx="313">
                  <c:v>6.9369000000000056E-2</c:v>
                </c:pt>
                <c:pt idx="314">
                  <c:v>6.9369000000000056E-2</c:v>
                </c:pt>
                <c:pt idx="315">
                  <c:v>6.9369000000000056E-2</c:v>
                </c:pt>
                <c:pt idx="316">
                  <c:v>6.9369000000000056E-2</c:v>
                </c:pt>
                <c:pt idx="317">
                  <c:v>6.9369000000000056E-2</c:v>
                </c:pt>
                <c:pt idx="318">
                  <c:v>6.9369000000000056E-2</c:v>
                </c:pt>
                <c:pt idx="319">
                  <c:v>6.9369000000000056E-2</c:v>
                </c:pt>
                <c:pt idx="320">
                  <c:v>6.9369000000000056E-2</c:v>
                </c:pt>
                <c:pt idx="321">
                  <c:v>6.9369000000000056E-2</c:v>
                </c:pt>
                <c:pt idx="322">
                  <c:v>6.9369000000000056E-2</c:v>
                </c:pt>
                <c:pt idx="323">
                  <c:v>6.9369000000000056E-2</c:v>
                </c:pt>
                <c:pt idx="324">
                  <c:v>6.9369000000000056E-2</c:v>
                </c:pt>
                <c:pt idx="325">
                  <c:v>6.9369000000000056E-2</c:v>
                </c:pt>
                <c:pt idx="326">
                  <c:v>6.9369000000000056E-2</c:v>
                </c:pt>
                <c:pt idx="327">
                  <c:v>6.9369000000000056E-2</c:v>
                </c:pt>
                <c:pt idx="328">
                  <c:v>6.9369000000000056E-2</c:v>
                </c:pt>
                <c:pt idx="329">
                  <c:v>6.9369000000000056E-2</c:v>
                </c:pt>
                <c:pt idx="330">
                  <c:v>6.9369000000000056E-2</c:v>
                </c:pt>
                <c:pt idx="331">
                  <c:v>6.9369000000000056E-2</c:v>
                </c:pt>
                <c:pt idx="332">
                  <c:v>6.9369000000000056E-2</c:v>
                </c:pt>
                <c:pt idx="333">
                  <c:v>6.9369000000000056E-2</c:v>
                </c:pt>
                <c:pt idx="334">
                  <c:v>6.9369000000000056E-2</c:v>
                </c:pt>
                <c:pt idx="335">
                  <c:v>6.9369000000000056E-2</c:v>
                </c:pt>
                <c:pt idx="336">
                  <c:v>6.9369000000000056E-2</c:v>
                </c:pt>
                <c:pt idx="337">
                  <c:v>6.9369000000000056E-2</c:v>
                </c:pt>
                <c:pt idx="338">
                  <c:v>6.9369000000000056E-2</c:v>
                </c:pt>
                <c:pt idx="339">
                  <c:v>6.9369000000000056E-2</c:v>
                </c:pt>
                <c:pt idx="340">
                  <c:v>6.9369000000000056E-2</c:v>
                </c:pt>
                <c:pt idx="341">
                  <c:v>6.9369000000000056E-2</c:v>
                </c:pt>
                <c:pt idx="342">
                  <c:v>6.9369000000000056E-2</c:v>
                </c:pt>
                <c:pt idx="343">
                  <c:v>6.9369000000000056E-2</c:v>
                </c:pt>
                <c:pt idx="344">
                  <c:v>6.9369000000000056E-2</c:v>
                </c:pt>
                <c:pt idx="345">
                  <c:v>6.9369000000000056E-2</c:v>
                </c:pt>
                <c:pt idx="346">
                  <c:v>6.9369000000000056E-2</c:v>
                </c:pt>
                <c:pt idx="347">
                  <c:v>6.9369000000000056E-2</c:v>
                </c:pt>
                <c:pt idx="348">
                  <c:v>6.9369000000000056E-2</c:v>
                </c:pt>
                <c:pt idx="349">
                  <c:v>6.9369000000000056E-2</c:v>
                </c:pt>
                <c:pt idx="350">
                  <c:v>6.9369000000000056E-2</c:v>
                </c:pt>
                <c:pt idx="351">
                  <c:v>6.9369000000000056E-2</c:v>
                </c:pt>
                <c:pt idx="352">
                  <c:v>6.9369000000000056E-2</c:v>
                </c:pt>
                <c:pt idx="353">
                  <c:v>6.9369000000000056E-2</c:v>
                </c:pt>
                <c:pt idx="354">
                  <c:v>6.9369000000000056E-2</c:v>
                </c:pt>
                <c:pt idx="355">
                  <c:v>6.9369000000000056E-2</c:v>
                </c:pt>
                <c:pt idx="356">
                  <c:v>6.9369000000000056E-2</c:v>
                </c:pt>
                <c:pt idx="357">
                  <c:v>6.9369000000000056E-2</c:v>
                </c:pt>
                <c:pt idx="358">
                  <c:v>6.9369000000000056E-2</c:v>
                </c:pt>
                <c:pt idx="359">
                  <c:v>6.9369000000000056E-2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F6-4C5F-BD2A-75A92E99B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0012575"/>
        <c:axId val="1"/>
      </c:lineChart>
      <c:catAx>
        <c:axId val="141001257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9"/>
        <c:tickMarkSkip val="1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0012575"/>
        <c:crossesAt val="1"/>
        <c:crossBetween val="between"/>
      </c:valAx>
      <c:spPr>
        <a:solidFill>
          <a:srgbClr val="FFFFCC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75" l="0.7" r="0.7" t="0.75" header="0.3" footer="0.3"/>
    <c:pageSetup paperSize="0" orientation="portrait" horizontalDpi="0" verticalDpi="0" copies="0"/>
  </c:printSettings>
</c:chartSpace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3</xdr:row>
          <xdr:rowOff>0</xdr:rowOff>
        </xdr:from>
        <xdr:to>
          <xdr:col>5</xdr:col>
          <xdr:colOff>504825</xdr:colOff>
          <xdr:row>5</xdr:row>
          <xdr:rowOff>95250</xdr:rowOff>
        </xdr:to>
        <xdr:sp macro="" textlink="">
          <xdr:nvSpPr>
            <xdr:cNvPr id="3077" name="Button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A636A81F-DB27-438E-8EBF-050E98C029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Optimize Advance Rate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9525</xdr:colOff>
          <xdr:row>5</xdr:row>
          <xdr:rowOff>104775</xdr:rowOff>
        </xdr:from>
        <xdr:to>
          <xdr:col>5</xdr:col>
          <xdr:colOff>504825</xdr:colOff>
          <xdr:row>7</xdr:row>
          <xdr:rowOff>190500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98027249-B7CF-4F89-8C4C-58D53B9874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Calculate Analytics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504825</xdr:colOff>
          <xdr:row>3</xdr:row>
          <xdr:rowOff>0</xdr:rowOff>
        </xdr:from>
        <xdr:to>
          <xdr:col>7</xdr:col>
          <xdr:colOff>0</xdr:colOff>
          <xdr:row>5</xdr:row>
          <xdr:rowOff>95250</xdr:rowOff>
        </xdr:to>
        <xdr:sp macro="" textlink="">
          <xdr:nvSpPr>
            <xdr:cNvPr id="3076" name="Butto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C6A00A94-9C21-4088-AAAA-66F3F23453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 Output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504825</xdr:colOff>
          <xdr:row>5</xdr:row>
          <xdr:rowOff>104775</xdr:rowOff>
        </xdr:from>
        <xdr:to>
          <xdr:col>6</xdr:col>
          <xdr:colOff>1095375</xdr:colOff>
          <xdr:row>7</xdr:row>
          <xdr:rowOff>190500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10D93C59-A105-42CB-8E04-9B4358A43A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 Scenarios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0</xdr:rowOff>
    </xdr:from>
    <xdr:to>
      <xdr:col>5</xdr:col>
      <xdr:colOff>828675</xdr:colOff>
      <xdr:row>57</xdr:row>
      <xdr:rowOff>0</xdr:rowOff>
    </xdr:to>
    <xdr:graphicFrame macro="">
      <xdr:nvGraphicFramePr>
        <xdr:cNvPr id="1038" name="Chart 1">
          <a:extLst>
            <a:ext uri="{FF2B5EF4-FFF2-40B4-BE49-F238E27FC236}">
              <a16:creationId xmlns:a16="http://schemas.microsoft.com/office/drawing/2014/main" id="{FE0B6276-EA42-438B-97EC-D5C7B7CE9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828675</xdr:colOff>
      <xdr:row>38</xdr:row>
      <xdr:rowOff>0</xdr:rowOff>
    </xdr:from>
    <xdr:to>
      <xdr:col>11</xdr:col>
      <xdr:colOff>504825</xdr:colOff>
      <xdr:row>57</xdr:row>
      <xdr:rowOff>0</xdr:rowOff>
    </xdr:to>
    <xdr:graphicFrame macro="">
      <xdr:nvGraphicFramePr>
        <xdr:cNvPr id="1039" name="Chart 2">
          <a:extLst>
            <a:ext uri="{FF2B5EF4-FFF2-40B4-BE49-F238E27FC236}">
              <a16:creationId xmlns:a16="http://schemas.microsoft.com/office/drawing/2014/main" id="{C8E4BCF8-D92E-4A6D-BC74-C020A6B658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504825</xdr:colOff>
      <xdr:row>38</xdr:row>
      <xdr:rowOff>0</xdr:rowOff>
    </xdr:from>
    <xdr:to>
      <xdr:col>16</xdr:col>
      <xdr:colOff>0</xdr:colOff>
      <xdr:row>57</xdr:row>
      <xdr:rowOff>0</xdr:rowOff>
    </xdr:to>
    <xdr:graphicFrame macro="">
      <xdr:nvGraphicFramePr>
        <xdr:cNvPr id="1040" name="Chart 3">
          <a:extLst>
            <a:ext uri="{FF2B5EF4-FFF2-40B4-BE49-F238E27FC236}">
              <a16:creationId xmlns:a16="http://schemas.microsoft.com/office/drawing/2014/main" id="{40375017-85FC-4BCF-AE46-CBD7578C56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O44"/>
  <sheetViews>
    <sheetView showGridLines="0" tabSelected="1" zoomScale="75" workbookViewId="0"/>
  </sheetViews>
  <sheetFormatPr defaultRowHeight="12.75" x14ac:dyDescent="0.2"/>
  <cols>
    <col min="1" max="1" width="1.85546875" customWidth="1"/>
    <col min="2" max="2" width="23" customWidth="1"/>
    <col min="3" max="3" width="15.28515625" customWidth="1"/>
    <col min="4" max="4" width="17.85546875" bestFit="1" customWidth="1"/>
    <col min="5" max="5" width="17.140625" customWidth="1"/>
    <col min="6" max="6" width="16.28515625" customWidth="1"/>
    <col min="7" max="7" width="15.42578125" customWidth="1"/>
    <col min="8" max="8" width="11.7109375" customWidth="1"/>
    <col min="9" max="9" width="12" customWidth="1"/>
    <col min="10" max="10" width="14.42578125" customWidth="1"/>
    <col min="11" max="11" width="9.28515625" customWidth="1"/>
    <col min="12" max="12" width="9.85546875" customWidth="1"/>
    <col min="13" max="13" width="8.85546875" customWidth="1"/>
  </cols>
  <sheetData>
    <row r="1" spans="2:15" ht="23.25" x14ac:dyDescent="0.35">
      <c r="B1" s="3" t="s">
        <v>13</v>
      </c>
    </row>
    <row r="2" spans="2:15" ht="15.75" thickBot="1" x14ac:dyDescent="0.25">
      <c r="B2" s="18"/>
      <c r="C2" s="18"/>
    </row>
    <row r="3" spans="2:15" ht="15.75" x14ac:dyDescent="0.25">
      <c r="B3" s="269" t="s">
        <v>12</v>
      </c>
      <c r="C3" s="270"/>
      <c r="D3" s="6"/>
      <c r="E3" s="266"/>
      <c r="F3" s="267"/>
      <c r="G3" s="268"/>
      <c r="H3" s="6"/>
      <c r="I3" s="278" t="s">
        <v>174</v>
      </c>
      <c r="J3" s="279"/>
      <c r="K3" s="279"/>
      <c r="L3" s="279"/>
      <c r="M3" s="280"/>
    </row>
    <row r="4" spans="2:15" ht="15.75" x14ac:dyDescent="0.25">
      <c r="B4" s="19" t="s">
        <v>1</v>
      </c>
      <c r="C4" s="20">
        <v>39114</v>
      </c>
      <c r="D4" s="10"/>
      <c r="E4" s="133"/>
      <c r="F4" s="10"/>
      <c r="G4" s="265"/>
      <c r="H4" s="10"/>
      <c r="I4" s="133" t="s">
        <v>175</v>
      </c>
      <c r="J4" s="2"/>
      <c r="K4" s="2"/>
      <c r="L4" s="274" t="str">
        <f ca="1">IF('Cash Flow'!CL5=0,"OK","ERROR")</f>
        <v>OK</v>
      </c>
      <c r="M4" s="275"/>
    </row>
    <row r="5" spans="2:15" ht="15.75" x14ac:dyDescent="0.25">
      <c r="B5" s="19" t="s">
        <v>0</v>
      </c>
      <c r="C5" s="20">
        <v>39142</v>
      </c>
      <c r="D5" s="10"/>
      <c r="E5" s="133"/>
      <c r="F5" s="10"/>
      <c r="G5" s="265"/>
      <c r="H5" s="10"/>
      <c r="I5" s="133" t="s">
        <v>176</v>
      </c>
      <c r="J5" s="2"/>
      <c r="K5" s="2"/>
      <c r="L5" s="274" t="str">
        <f ca="1">IF('Cash Flow'!V366&lt;1,"OK","ERROR")</f>
        <v>OK</v>
      </c>
      <c r="M5" s="275"/>
    </row>
    <row r="6" spans="2:15" ht="15.75" x14ac:dyDescent="0.25">
      <c r="B6" s="19" t="s">
        <v>2</v>
      </c>
      <c r="C6" s="21" t="s">
        <v>5</v>
      </c>
      <c r="D6" s="10"/>
      <c r="E6" s="133"/>
      <c r="F6" s="10"/>
      <c r="G6" s="265"/>
      <c r="H6" s="10"/>
      <c r="I6" s="133" t="s">
        <v>177</v>
      </c>
      <c r="J6" s="2"/>
      <c r="K6" s="2"/>
      <c r="L6" s="274" t="str">
        <f ca="1">IF(FinalLoanBal&lt;1,"OK","ERROR")</f>
        <v>OK</v>
      </c>
      <c r="M6" s="275"/>
    </row>
    <row r="7" spans="2:15" ht="16.5" thickBot="1" x14ac:dyDescent="0.3">
      <c r="B7" s="19" t="s">
        <v>10</v>
      </c>
      <c r="C7" s="21" t="s">
        <v>7</v>
      </c>
      <c r="D7" s="10"/>
      <c r="E7" s="133"/>
      <c r="F7" s="10"/>
      <c r="G7" s="265"/>
      <c r="H7" s="10"/>
      <c r="I7" s="134" t="s">
        <v>178</v>
      </c>
      <c r="J7" s="31"/>
      <c r="K7" s="31"/>
      <c r="L7" s="276" t="str">
        <f ca="1">IF(ROUND(('Cash Flow'!N5+'Cash Flow'!Q5+'Cash Flow'!R5),0)=ROUND('Cash Flow'!V6,0),"OK","ERROR")</f>
        <v>OK</v>
      </c>
      <c r="M7" s="277"/>
    </row>
    <row r="8" spans="2:15" ht="16.5" thickBot="1" x14ac:dyDescent="0.3">
      <c r="B8" s="22"/>
      <c r="C8" s="23"/>
      <c r="D8" s="10"/>
      <c r="E8" s="99"/>
      <c r="F8" s="31"/>
      <c r="G8" s="112"/>
      <c r="I8" s="2"/>
      <c r="J8" s="2"/>
      <c r="K8" s="10"/>
      <c r="L8" s="2"/>
      <c r="M8" s="12"/>
      <c r="N8" s="2"/>
      <c r="O8" s="2"/>
    </row>
    <row r="9" spans="2:15" ht="15.75" thickBot="1" x14ac:dyDescent="0.25">
      <c r="B9" s="24"/>
      <c r="C9" s="2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2:15" x14ac:dyDescent="0.2">
      <c r="B10" s="271" t="s">
        <v>20</v>
      </c>
      <c r="C10" s="272"/>
      <c r="D10" s="272"/>
      <c r="E10" s="272"/>
      <c r="F10" s="272"/>
      <c r="G10" s="272"/>
      <c r="H10" s="272"/>
      <c r="I10" s="272"/>
      <c r="J10" s="272"/>
      <c r="K10" s="272"/>
      <c r="L10" s="272"/>
      <c r="M10" s="272"/>
      <c r="N10" s="272"/>
      <c r="O10" s="273"/>
    </row>
    <row r="11" spans="2:15" s="7" customFormat="1" ht="41.25" customHeight="1" x14ac:dyDescent="0.2">
      <c r="B11" s="32" t="s">
        <v>21</v>
      </c>
      <c r="C11" s="33" t="s">
        <v>22</v>
      </c>
      <c r="D11" s="33" t="s">
        <v>23</v>
      </c>
      <c r="E11" s="33" t="s">
        <v>24</v>
      </c>
      <c r="F11" s="34" t="s">
        <v>25</v>
      </c>
      <c r="G11" s="34" t="s">
        <v>26</v>
      </c>
      <c r="H11" s="34" t="s">
        <v>27</v>
      </c>
      <c r="I11" s="34" t="s">
        <v>28</v>
      </c>
      <c r="J11" s="34" t="s">
        <v>29</v>
      </c>
      <c r="K11" s="35" t="s">
        <v>30</v>
      </c>
      <c r="L11" s="35" t="s">
        <v>31</v>
      </c>
      <c r="M11" s="35" t="s">
        <v>32</v>
      </c>
      <c r="N11" s="35" t="s">
        <v>33</v>
      </c>
      <c r="O11" s="36" t="s">
        <v>34</v>
      </c>
    </row>
    <row r="12" spans="2:15" s="8" customFormat="1" x14ac:dyDescent="0.2">
      <c r="B12" s="37" t="s">
        <v>35</v>
      </c>
      <c r="C12" s="38">
        <v>100000000</v>
      </c>
      <c r="D12" s="38">
        <v>100000000</v>
      </c>
      <c r="E12" s="39" t="s">
        <v>36</v>
      </c>
      <c r="F12" s="40">
        <v>0.09</v>
      </c>
      <c r="G12" s="39">
        <v>360</v>
      </c>
      <c r="H12" s="39">
        <v>360</v>
      </c>
      <c r="I12" s="41">
        <f>OrgTerm1-RemTerm1</f>
        <v>0</v>
      </c>
      <c r="J12" s="39" t="s">
        <v>210</v>
      </c>
      <c r="K12" s="40"/>
      <c r="L12" s="40">
        <v>1</v>
      </c>
      <c r="M12" s="40">
        <v>1</v>
      </c>
      <c r="N12" s="40">
        <v>0</v>
      </c>
      <c r="O12" s="42">
        <v>1</v>
      </c>
    </row>
    <row r="13" spans="2:15" s="8" customFormat="1" x14ac:dyDescent="0.2">
      <c r="B13" s="43"/>
      <c r="C13" s="38"/>
      <c r="D13" s="38"/>
      <c r="E13" s="39"/>
      <c r="F13" s="40"/>
      <c r="G13" s="39"/>
      <c r="H13" s="39"/>
      <c r="I13" s="39"/>
      <c r="J13" s="39"/>
      <c r="K13" s="44"/>
      <c r="L13" s="44"/>
      <c r="M13" s="44"/>
      <c r="N13" s="44"/>
      <c r="O13" s="45"/>
    </row>
    <row r="14" spans="2:15" s="8" customFormat="1" ht="13.5" thickBot="1" x14ac:dyDescent="0.25">
      <c r="B14" s="46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8"/>
    </row>
    <row r="15" spans="2:15" s="8" customFormat="1" ht="13.5" thickBot="1" x14ac:dyDescent="0.25">
      <c r="B15" s="9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</row>
    <row r="16" spans="2:15" x14ac:dyDescent="0.2">
      <c r="B16" s="266" t="s">
        <v>66</v>
      </c>
      <c r="C16" s="267"/>
      <c r="D16" s="267"/>
      <c r="E16" s="267"/>
      <c r="F16" s="267"/>
      <c r="G16" s="267"/>
      <c r="H16" s="267"/>
      <c r="I16" s="267"/>
      <c r="J16" s="267"/>
      <c r="K16" s="267"/>
      <c r="L16" s="267"/>
      <c r="M16" s="267"/>
      <c r="N16" s="267"/>
      <c r="O16" s="268"/>
    </row>
    <row r="17" spans="2:15" s="7" customFormat="1" ht="41.25" customHeight="1" x14ac:dyDescent="0.2">
      <c r="B17" s="32" t="s">
        <v>21</v>
      </c>
      <c r="C17" s="33" t="s">
        <v>67</v>
      </c>
      <c r="D17" s="33" t="s">
        <v>68</v>
      </c>
      <c r="E17" s="33" t="s">
        <v>76</v>
      </c>
      <c r="F17" s="34" t="s">
        <v>77</v>
      </c>
      <c r="G17" s="34" t="s">
        <v>78</v>
      </c>
      <c r="H17" s="34" t="s">
        <v>79</v>
      </c>
      <c r="I17" s="34"/>
      <c r="J17" s="34" t="s">
        <v>80</v>
      </c>
      <c r="K17" s="35" t="s">
        <v>81</v>
      </c>
      <c r="L17" s="35"/>
      <c r="M17" s="35"/>
      <c r="N17" s="35"/>
      <c r="O17" s="36"/>
    </row>
    <row r="18" spans="2:15" x14ac:dyDescent="0.2">
      <c r="B18" s="70" t="str">
        <f>AssetDes1</f>
        <v>Asset Pool 1</v>
      </c>
      <c r="C18" s="39" t="s">
        <v>71</v>
      </c>
      <c r="D18" s="39">
        <v>1</v>
      </c>
      <c r="E18" s="40">
        <v>0.01</v>
      </c>
      <c r="F18" s="39">
        <v>1</v>
      </c>
      <c r="G18" s="39" t="s">
        <v>84</v>
      </c>
      <c r="H18" s="39"/>
      <c r="I18" s="39"/>
      <c r="J18" s="40">
        <v>0.4</v>
      </c>
      <c r="K18" s="39">
        <v>5</v>
      </c>
      <c r="L18" s="71"/>
      <c r="M18" s="71"/>
      <c r="N18" s="71"/>
      <c r="O18" s="72"/>
    </row>
    <row r="19" spans="2:15" x14ac:dyDescent="0.2">
      <c r="B19" s="73"/>
      <c r="C19" s="39"/>
      <c r="D19" s="39"/>
      <c r="E19" s="40"/>
      <c r="F19" s="39"/>
      <c r="G19" s="39"/>
      <c r="H19" s="39"/>
      <c r="I19" s="39"/>
      <c r="J19" s="40"/>
      <c r="K19" s="39"/>
      <c r="L19" s="71"/>
      <c r="M19" s="71"/>
      <c r="N19" s="71"/>
      <c r="O19" s="72"/>
    </row>
    <row r="20" spans="2:15" ht="13.5" thickBot="1" x14ac:dyDescent="0.25">
      <c r="B20" s="74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75"/>
      <c r="N20" s="75"/>
      <c r="O20" s="76"/>
    </row>
    <row r="21" spans="2:15" ht="13.5" thickBot="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2:15" x14ac:dyDescent="0.2">
      <c r="B22" s="266" t="s">
        <v>100</v>
      </c>
      <c r="C22" s="267"/>
      <c r="D22" s="267"/>
      <c r="E22" s="267"/>
      <c r="F22" s="267"/>
      <c r="G22" s="267"/>
      <c r="H22" s="267"/>
      <c r="I22" s="267"/>
      <c r="J22" s="267"/>
      <c r="K22" s="267"/>
      <c r="L22" s="267"/>
      <c r="M22" s="267"/>
      <c r="N22" s="267"/>
      <c r="O22" s="268"/>
    </row>
    <row r="23" spans="2:15" s="7" customFormat="1" ht="25.5" x14ac:dyDescent="0.2">
      <c r="B23" s="32" t="s">
        <v>101</v>
      </c>
      <c r="C23" s="33" t="s">
        <v>122</v>
      </c>
      <c r="D23" s="33" t="s">
        <v>102</v>
      </c>
      <c r="E23" s="33" t="s">
        <v>29</v>
      </c>
      <c r="F23" s="33" t="s">
        <v>103</v>
      </c>
      <c r="G23" s="34" t="s">
        <v>104</v>
      </c>
      <c r="H23" s="34" t="s">
        <v>105</v>
      </c>
      <c r="I23" s="34" t="s">
        <v>160</v>
      </c>
      <c r="J23" s="35" t="s">
        <v>125</v>
      </c>
      <c r="K23" s="35"/>
      <c r="L23" s="35"/>
      <c r="M23" s="35"/>
      <c r="N23" s="35"/>
      <c r="O23" s="36"/>
    </row>
    <row r="24" spans="2:15" x14ac:dyDescent="0.2">
      <c r="B24" s="37" t="s">
        <v>106</v>
      </c>
      <c r="C24" s="40">
        <v>0.89747088277657916</v>
      </c>
      <c r="D24" s="39" t="s">
        <v>38</v>
      </c>
      <c r="E24" s="39" t="s">
        <v>210</v>
      </c>
      <c r="F24" s="40"/>
      <c r="G24" s="40">
        <v>0.01</v>
      </c>
      <c r="H24" s="40">
        <v>5.0000000000000001E-3</v>
      </c>
      <c r="I24" s="39" t="s">
        <v>140</v>
      </c>
      <c r="J24" s="39" t="s">
        <v>214</v>
      </c>
      <c r="K24" s="71"/>
      <c r="L24" s="71"/>
      <c r="N24" s="71"/>
      <c r="O24" s="72"/>
    </row>
    <row r="25" spans="2:15" x14ac:dyDescent="0.2">
      <c r="B25" s="37" t="s">
        <v>107</v>
      </c>
      <c r="C25" s="105">
        <f>1-LiabAdvRate1</f>
        <v>0.10252911722342084</v>
      </c>
      <c r="D25" s="39" t="s">
        <v>38</v>
      </c>
      <c r="E25" s="39" t="s">
        <v>45</v>
      </c>
      <c r="F25" s="40"/>
      <c r="G25" s="40">
        <v>0</v>
      </c>
      <c r="H25" s="40">
        <v>0</v>
      </c>
      <c r="I25" s="39" t="s">
        <v>141</v>
      </c>
      <c r="J25" s="39" t="s">
        <v>214</v>
      </c>
      <c r="K25" s="71"/>
      <c r="L25" s="71"/>
      <c r="M25" s="71"/>
      <c r="N25" s="71"/>
      <c r="O25" s="72"/>
    </row>
    <row r="26" spans="2:15" ht="13.5" thickBot="1" x14ac:dyDescent="0.25">
      <c r="B26" s="74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6"/>
    </row>
    <row r="27" spans="2:15" ht="13.5" thickBot="1" x14ac:dyDescent="0.25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2:15" s="11" customFormat="1" ht="13.5" thickBot="1" x14ac:dyDescent="0.25">
      <c r="B28" s="271" t="s">
        <v>108</v>
      </c>
      <c r="C28" s="272"/>
      <c r="D28" s="287"/>
      <c r="E28" s="288"/>
      <c r="F28" s="13"/>
      <c r="G28" s="271" t="s">
        <v>185</v>
      </c>
      <c r="H28" s="272"/>
      <c r="I28" s="273"/>
      <c r="J28" s="13"/>
      <c r="K28" s="271" t="s">
        <v>209</v>
      </c>
      <c r="L28" s="272"/>
      <c r="M28" s="272"/>
      <c r="N28" s="272"/>
      <c r="O28" s="273"/>
    </row>
    <row r="29" spans="2:15" x14ac:dyDescent="0.2">
      <c r="B29" s="106" t="s">
        <v>215</v>
      </c>
      <c r="C29" s="94">
        <v>0.02</v>
      </c>
      <c r="D29" s="2" t="s">
        <v>151</v>
      </c>
      <c r="E29" s="107" t="s">
        <v>140</v>
      </c>
      <c r="F29" s="10"/>
      <c r="G29" s="106" t="s">
        <v>186</v>
      </c>
      <c r="H29" s="2"/>
      <c r="I29" s="256" t="s">
        <v>189</v>
      </c>
      <c r="J29" s="10"/>
      <c r="K29" s="281"/>
      <c r="L29" s="282"/>
      <c r="M29" s="282"/>
      <c r="N29" s="282"/>
      <c r="O29" s="283"/>
    </row>
    <row r="30" spans="2:15" x14ac:dyDescent="0.2">
      <c r="B30" s="106" t="s">
        <v>161</v>
      </c>
      <c r="C30" s="108">
        <v>0.01</v>
      </c>
      <c r="D30" s="2" t="s">
        <v>152</v>
      </c>
      <c r="E30" s="107" t="s">
        <v>210</v>
      </c>
      <c r="F30" s="10"/>
      <c r="G30" s="106" t="s">
        <v>187</v>
      </c>
      <c r="H30" s="2"/>
      <c r="I30" s="257">
        <v>0</v>
      </c>
      <c r="J30" s="10"/>
      <c r="K30" s="281"/>
      <c r="L30" s="282"/>
      <c r="M30" s="282"/>
      <c r="N30" s="282"/>
      <c r="O30" s="283"/>
    </row>
    <row r="31" spans="2:15" x14ac:dyDescent="0.2">
      <c r="B31" s="106" t="s">
        <v>142</v>
      </c>
      <c r="C31" s="109" t="s">
        <v>141</v>
      </c>
      <c r="D31" s="2" t="s">
        <v>153</v>
      </c>
      <c r="E31" s="107" t="s">
        <v>45</v>
      </c>
      <c r="F31" s="10"/>
      <c r="G31" s="106" t="s">
        <v>188</v>
      </c>
      <c r="H31" s="2"/>
      <c r="I31" s="257">
        <v>350</v>
      </c>
      <c r="J31" s="10"/>
      <c r="K31" s="281"/>
      <c r="L31" s="282"/>
      <c r="M31" s="282"/>
      <c r="N31" s="282"/>
      <c r="O31" s="283"/>
    </row>
    <row r="32" spans="2:15" x14ac:dyDescent="0.2">
      <c r="B32" s="106" t="s">
        <v>144</v>
      </c>
      <c r="C32" s="110">
        <v>3</v>
      </c>
      <c r="D32" s="2"/>
      <c r="E32" s="107"/>
      <c r="F32" s="10"/>
      <c r="G32" s="106"/>
      <c r="H32" s="2"/>
      <c r="I32" s="257"/>
      <c r="J32" s="10"/>
      <c r="K32" s="281"/>
      <c r="L32" s="282"/>
      <c r="M32" s="282"/>
      <c r="N32" s="282"/>
      <c r="O32" s="283"/>
    </row>
    <row r="33" spans="2:15" ht="13.5" thickBot="1" x14ac:dyDescent="0.25">
      <c r="B33" s="99" t="s">
        <v>145</v>
      </c>
      <c r="C33" s="111">
        <v>0.05</v>
      </c>
      <c r="D33" s="31"/>
      <c r="E33" s="112"/>
      <c r="F33" s="10"/>
      <c r="G33" s="99"/>
      <c r="H33" s="31"/>
      <c r="I33" s="112"/>
      <c r="J33" s="10"/>
      <c r="K33" s="284"/>
      <c r="L33" s="285"/>
      <c r="M33" s="285"/>
      <c r="N33" s="285"/>
      <c r="O33" s="286"/>
    </row>
    <row r="34" spans="2:15" ht="13.5" thickBot="1" x14ac:dyDescent="0.2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2:15" x14ac:dyDescent="0.2">
      <c r="B35" s="271" t="s">
        <v>203</v>
      </c>
      <c r="C35" s="272"/>
      <c r="D35" s="287"/>
      <c r="E35" s="288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2:15" x14ac:dyDescent="0.2">
      <c r="B36" s="259" t="s">
        <v>204</v>
      </c>
      <c r="C36" s="12" t="s">
        <v>205</v>
      </c>
      <c r="D36" s="12" t="s">
        <v>96</v>
      </c>
      <c r="E36" s="91" t="s">
        <v>206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2:15" x14ac:dyDescent="0.2">
      <c r="B37" s="259">
        <v>1</v>
      </c>
      <c r="C37" s="108">
        <v>0.01</v>
      </c>
      <c r="D37" s="260" t="s">
        <v>84</v>
      </c>
      <c r="E37" s="261">
        <v>0.5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2:15" x14ac:dyDescent="0.2">
      <c r="B38" s="259">
        <v>2</v>
      </c>
      <c r="C38" s="108">
        <v>0.03</v>
      </c>
      <c r="D38" s="260" t="s">
        <v>84</v>
      </c>
      <c r="E38" s="261">
        <v>0.5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2:15" x14ac:dyDescent="0.2">
      <c r="B39" s="259">
        <v>3</v>
      </c>
      <c r="C39" s="108">
        <v>0.05</v>
      </c>
      <c r="D39" s="260" t="s">
        <v>84</v>
      </c>
      <c r="E39" s="261">
        <v>0.5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2:15" x14ac:dyDescent="0.2">
      <c r="B40" s="259">
        <v>4</v>
      </c>
      <c r="C40" s="108">
        <v>7.0000000000000007E-2</v>
      </c>
      <c r="D40" s="260" t="s">
        <v>84</v>
      </c>
      <c r="E40" s="261">
        <v>0.3</v>
      </c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2:15" ht="13.5" thickBot="1" x14ac:dyDescent="0.25">
      <c r="B41" s="262">
        <v>5</v>
      </c>
      <c r="C41" s="111">
        <v>0.1</v>
      </c>
      <c r="D41" s="263" t="s">
        <v>82</v>
      </c>
      <c r="E41" s="264">
        <v>0.3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2:15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2:15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2:15" x14ac:dyDescent="0.2">
      <c r="C44" s="16"/>
    </row>
  </sheetData>
  <mergeCells count="15">
    <mergeCell ref="G28:I28"/>
    <mergeCell ref="K29:O33"/>
    <mergeCell ref="B28:E28"/>
    <mergeCell ref="B35:E35"/>
    <mergeCell ref="K28:O28"/>
    <mergeCell ref="B16:O16"/>
    <mergeCell ref="B22:O22"/>
    <mergeCell ref="B3:C3"/>
    <mergeCell ref="B10:O10"/>
    <mergeCell ref="E3:G3"/>
    <mergeCell ref="L4:M4"/>
    <mergeCell ref="L5:M5"/>
    <mergeCell ref="L6:M6"/>
    <mergeCell ref="L7:M7"/>
    <mergeCell ref="I3:M3"/>
  </mergeCells>
  <phoneticPr fontId="0" type="noConversion"/>
  <conditionalFormatting sqref="M8 L4:L7">
    <cfRule type="cellIs" dxfId="7" priority="1" stopIfTrue="1" operator="equal">
      <formula>"OK"</formula>
    </cfRule>
    <cfRule type="cellIs" dxfId="6" priority="2" stopIfTrue="1" operator="equal">
      <formula>"ERROR"</formula>
    </cfRule>
  </conditionalFormatting>
  <dataValidations count="11">
    <dataValidation type="list" allowBlank="1" showInputMessage="1" showErrorMessage="1" sqref="E30:E32 J12:J13 E24:E25">
      <formula1>lstInterestRates</formula1>
    </dataValidation>
    <dataValidation type="list" allowBlank="1" showInputMessage="1" showErrorMessage="1" sqref="C6">
      <formula1>lstDayCountSys</formula1>
    </dataValidation>
    <dataValidation type="list" allowBlank="1" showInputMessage="1" showErrorMessage="1" sqref="C7:C8">
      <formula1>lstPaymentFreq</formula1>
    </dataValidation>
    <dataValidation type="list" allowBlank="1" showInputMessage="1" showErrorMessage="1" sqref="E13">
      <formula1>lstAmortType</formula1>
    </dataValidation>
    <dataValidation type="list" allowBlank="1" showInputMessage="1" showErrorMessage="1" sqref="C18:C19">
      <formula1>lstPrepayCurve</formula1>
    </dataValidation>
    <dataValidation type="list" allowBlank="1" showInputMessage="1" showErrorMessage="1" sqref="G18:G19 I18:I19 H19">
      <formula1>lstDefaultCurve</formula1>
    </dataValidation>
    <dataValidation type="list" allowBlank="1" showInputMessage="1" showErrorMessage="1" sqref="C31 E29 I24:I25">
      <formula1>lstYesNo</formula1>
    </dataValidation>
    <dataValidation type="list" allowBlank="1" showInputMessage="1" showErrorMessage="1" sqref="H18">
      <formula1>lstSDA</formula1>
    </dataValidation>
    <dataValidation type="list" allowBlank="1" showInputMessage="1" showErrorMessage="1" sqref="E12">
      <formula1>lstIntType</formula1>
    </dataValidation>
    <dataValidation type="list" allowBlank="1" showInputMessage="1" showErrorMessage="1" sqref="D24:D25">
      <formula1>lstIntType</formula1>
    </dataValidation>
    <dataValidation type="list" allowBlank="1" showInputMessage="1" showErrorMessage="1" sqref="J24:J25">
      <formula1>lstPrinType</formula1>
    </dataValidation>
  </dataValidations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4" name="Button 5">
              <controlPr defaultSize="0" print="0" autoFill="0" autoPict="0" macro="[0]!SolveAdvance">
                <anchor moveWithCells="1" sizeWithCells="1">
                  <from>
                    <xdr:col>4</xdr:col>
                    <xdr:colOff>9525</xdr:colOff>
                    <xdr:row>3</xdr:row>
                    <xdr:rowOff>0</xdr:rowOff>
                  </from>
                  <to>
                    <xdr:col>5</xdr:col>
                    <xdr:colOff>504825</xdr:colOff>
                    <xdr:row>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5" name="Button 6">
              <controlPr defaultSize="0" print="0" autoFill="0" autoPict="0" macro="[0]!SolveYield">
                <anchor moveWithCells="1" sizeWithCells="1">
                  <from>
                    <xdr:col>4</xdr:col>
                    <xdr:colOff>9525</xdr:colOff>
                    <xdr:row>5</xdr:row>
                    <xdr:rowOff>104775</xdr:rowOff>
                  </from>
                  <to>
                    <xdr:col>5</xdr:col>
                    <xdr:colOff>504825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Button 4">
              <controlPr defaultSize="0" print="0" autoFill="0" autoPict="0" macro="[0]!PrintOutput">
                <anchor moveWithCells="1" sizeWithCells="1">
                  <from>
                    <xdr:col>5</xdr:col>
                    <xdr:colOff>504825</xdr:colOff>
                    <xdr:row>3</xdr:row>
                    <xdr:rowOff>0</xdr:rowOff>
                  </from>
                  <to>
                    <xdr:col>7</xdr:col>
                    <xdr:colOff>0</xdr:colOff>
                    <xdr:row>5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7" name="Button 7">
              <controlPr defaultSize="0" print="0" autoFill="0" autoPict="0" macro="[0]!Scenario_Generator">
                <anchor moveWithCells="1" sizeWithCells="1">
                  <from>
                    <xdr:col>5</xdr:col>
                    <xdr:colOff>504825</xdr:colOff>
                    <xdr:row>5</xdr:row>
                    <xdr:rowOff>104775</xdr:rowOff>
                  </from>
                  <to>
                    <xdr:col>6</xdr:col>
                    <xdr:colOff>1095375</xdr:colOff>
                    <xdr:row>7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I367"/>
  <sheetViews>
    <sheetView workbookViewId="0"/>
  </sheetViews>
  <sheetFormatPr defaultRowHeight="12.75" x14ac:dyDescent="0.2"/>
  <cols>
    <col min="4" max="4" width="1.7109375" customWidth="1"/>
    <col min="12" max="12" width="1.5703125" customWidth="1"/>
    <col min="16" max="16" width="13.5703125" customWidth="1"/>
    <col min="17" max="17" width="16.85546875" customWidth="1"/>
    <col min="18" max="18" width="15.85546875" customWidth="1"/>
    <col min="19" max="19" width="1.85546875" customWidth="1"/>
    <col min="25" max="25" width="1.7109375" customWidth="1"/>
    <col min="31" max="31" width="1.7109375" customWidth="1"/>
    <col min="33" max="33" width="10.28515625" bestFit="1" customWidth="1"/>
    <col min="34" max="34" width="9.7109375" customWidth="1"/>
    <col min="35" max="35" width="1.7109375" customWidth="1"/>
  </cols>
  <sheetData>
    <row r="1" spans="1:35" s="31" customFormat="1" ht="19.5" thickBot="1" x14ac:dyDescent="0.35">
      <c r="A1" s="5" t="s">
        <v>41</v>
      </c>
    </row>
    <row r="3" spans="1:35" ht="13.5" thickBot="1" x14ac:dyDescent="0.25">
      <c r="E3" s="52" t="s">
        <v>42</v>
      </c>
      <c r="M3" s="52" t="s">
        <v>70</v>
      </c>
      <c r="T3" s="52" t="s">
        <v>83</v>
      </c>
      <c r="U3" s="52"/>
      <c r="V3" s="52"/>
      <c r="W3" s="52"/>
      <c r="X3" s="52"/>
      <c r="Y3" s="52"/>
    </row>
    <row r="4" spans="1:35" ht="39" thickBot="1" x14ac:dyDescent="0.25">
      <c r="A4" s="25" t="s">
        <v>40</v>
      </c>
      <c r="B4" s="25" t="s">
        <v>17</v>
      </c>
      <c r="C4" s="25" t="s">
        <v>18</v>
      </c>
      <c r="D4" s="28"/>
      <c r="E4" s="53" t="s">
        <v>210</v>
      </c>
      <c r="F4" s="54" t="s">
        <v>211</v>
      </c>
      <c r="G4" s="54" t="s">
        <v>212</v>
      </c>
      <c r="H4" s="54" t="s">
        <v>44</v>
      </c>
      <c r="I4" s="54" t="s">
        <v>45</v>
      </c>
      <c r="J4" s="54" t="s">
        <v>46</v>
      </c>
      <c r="K4" s="54" t="s">
        <v>47</v>
      </c>
      <c r="L4" s="28"/>
      <c r="M4" s="77" t="s">
        <v>71</v>
      </c>
      <c r="N4" s="77" t="s">
        <v>69</v>
      </c>
      <c r="O4" s="77" t="s">
        <v>72</v>
      </c>
      <c r="P4" s="77" t="s">
        <v>73</v>
      </c>
      <c r="Q4" s="77" t="s">
        <v>74</v>
      </c>
      <c r="R4" s="77" t="s">
        <v>75</v>
      </c>
      <c r="S4" s="28"/>
      <c r="T4" s="80" t="s">
        <v>84</v>
      </c>
      <c r="U4" s="80" t="s">
        <v>85</v>
      </c>
      <c r="V4" s="80" t="s">
        <v>82</v>
      </c>
      <c r="W4" s="80" t="s">
        <v>86</v>
      </c>
      <c r="X4" s="80" t="s">
        <v>87</v>
      </c>
      <c r="Y4" s="28"/>
      <c r="Z4" s="80" t="s">
        <v>88</v>
      </c>
      <c r="AA4" s="80" t="s">
        <v>89</v>
      </c>
      <c r="AB4" s="80" t="s">
        <v>90</v>
      </c>
      <c r="AC4" s="80" t="s">
        <v>91</v>
      </c>
      <c r="AD4" s="80" t="s">
        <v>92</v>
      </c>
      <c r="AE4" s="28"/>
      <c r="AF4" s="80" t="s">
        <v>93</v>
      </c>
      <c r="AG4" s="80" t="s">
        <v>94</v>
      </c>
      <c r="AH4" s="80" t="s">
        <v>95</v>
      </c>
      <c r="AI4" s="28"/>
    </row>
    <row r="5" spans="1:35" x14ac:dyDescent="0.2">
      <c r="A5" s="26"/>
      <c r="B5" s="26"/>
      <c r="C5" s="26"/>
      <c r="D5" s="55"/>
      <c r="L5" s="55"/>
      <c r="S5" s="55"/>
      <c r="Y5" s="55"/>
      <c r="AE5" s="55"/>
      <c r="AI5" s="55"/>
    </row>
    <row r="6" spans="1:35" x14ac:dyDescent="0.2">
      <c r="A6" s="27">
        <f>'Cash Flow'!A6</f>
        <v>0</v>
      </c>
      <c r="B6" s="49">
        <f>'Cash Flow'!B6</f>
        <v>39114</v>
      </c>
      <c r="C6" s="56">
        <f>'Cash Flow'!C6</f>
        <v>0</v>
      </c>
      <c r="D6" s="55"/>
      <c r="E6" s="57"/>
      <c r="F6" s="57"/>
      <c r="G6" s="57"/>
      <c r="H6" s="57"/>
      <c r="I6" s="57"/>
      <c r="J6" s="57"/>
      <c r="K6" s="57"/>
      <c r="L6" s="55"/>
      <c r="M6" s="78"/>
      <c r="N6" s="79"/>
      <c r="Q6" s="57"/>
      <c r="S6" s="55"/>
      <c r="T6" s="79"/>
      <c r="U6" s="79"/>
      <c r="V6" s="79"/>
      <c r="W6" s="79"/>
      <c r="X6" s="79"/>
      <c r="Y6" s="55"/>
      <c r="Z6" s="68"/>
      <c r="AA6" s="68"/>
      <c r="AB6" s="68"/>
      <c r="AC6" s="68"/>
      <c r="AD6" s="68"/>
      <c r="AE6" s="55"/>
      <c r="AI6" s="55"/>
    </row>
    <row r="7" spans="1:35" x14ac:dyDescent="0.2">
      <c r="A7" s="27">
        <f>'Cash Flow'!A7</f>
        <v>1</v>
      </c>
      <c r="B7" s="49">
        <f>'Cash Flow'!B7</f>
        <v>39142</v>
      </c>
      <c r="C7" s="56">
        <f>'Cash Flow'!C7</f>
        <v>8.3333333333333329E-2</v>
      </c>
      <c r="D7" s="55"/>
      <c r="E7" s="57">
        <v>2.5999999999999999E-2</v>
      </c>
      <c r="F7" s="57"/>
      <c r="G7" s="57"/>
      <c r="H7" s="57"/>
      <c r="I7" s="57">
        <v>0.04</v>
      </c>
      <c r="J7" s="57"/>
      <c r="K7" s="57"/>
      <c r="L7" s="55"/>
      <c r="M7" s="78">
        <v>1.6681963994558124E-4</v>
      </c>
      <c r="N7" s="78">
        <v>0.01</v>
      </c>
      <c r="Q7" s="57"/>
      <c r="S7" s="55"/>
      <c r="T7" s="79">
        <f ca="1">OFFSET('Loss Timing'!D$6,MATCH($A7,'Loss Timing'!$A$7:$A$36,1),0)/12/PmtFreqAdd</f>
        <v>2.7777777777777779E-3</v>
      </c>
      <c r="U7" s="79">
        <f ca="1">OFFSET('Loss Timing'!E$6,MATCH($A7,'Loss Timing'!$A$7:$A$36,1),0)/12/PmtFreqAdd</f>
        <v>4.1666666666666666E-3</v>
      </c>
      <c r="V7" s="79">
        <f ca="1">OFFSET('Loss Timing'!F$6,MATCH($A7,'Loss Timing'!$A$7:$A$36,1),0)/12/PmtFreqAdd</f>
        <v>1.6666666666666666E-2</v>
      </c>
      <c r="W7" s="79">
        <f ca="1">OFFSET('Loss Timing'!G$6,MATCH($A7,'Loss Timing'!$A$7:$A$36,1),0)/12/PmtFreqAdd</f>
        <v>8.3333333333333339E-4</v>
      </c>
      <c r="X7" s="79">
        <f ca="1">OFFSET('Loss Timing'!H$6,MATCH($A7,'Loss Timing'!$A$7:$A$36,1),0)/12/PmtFreqAdd</f>
        <v>0</v>
      </c>
      <c r="Y7" s="55"/>
      <c r="Z7" s="68">
        <f t="shared" ref="Z7:Z70" ca="1" si="0">(pdrCumLoss1*pdrLossStress1)*T7</f>
        <v>2.7777777777777779E-5</v>
      </c>
      <c r="AA7" s="68">
        <f t="shared" ref="AA7:AA70" ca="1" si="1">(pdrCumLoss1*pdrLossStress1)*U7</f>
        <v>4.1666666666666665E-5</v>
      </c>
      <c r="AB7" s="68">
        <f t="shared" ref="AB7:AB70" ca="1" si="2">(pdrCumLoss1*pdrLossStress1)*V7</f>
        <v>1.6666666666666666E-4</v>
      </c>
      <c r="AC7" s="68">
        <f t="shared" ref="AC7:AC70" ca="1" si="3">(pdrCumLoss1*pdrLossStress1)*W7</f>
        <v>8.3333333333333337E-6</v>
      </c>
      <c r="AD7" s="68">
        <f t="shared" ref="AD7:AD70" ca="1" si="4">(pdrCumLoss1*pdrLossStress1)*X7</f>
        <v>0</v>
      </c>
      <c r="AE7" s="55"/>
      <c r="AF7" s="68">
        <v>8.3333371536653544E-6</v>
      </c>
      <c r="AG7" s="81">
        <v>1.6666681945665118E-5</v>
      </c>
      <c r="AH7" s="68">
        <v>3.3333394444667874E-5</v>
      </c>
      <c r="AI7" s="55"/>
    </row>
    <row r="8" spans="1:35" x14ac:dyDescent="0.2">
      <c r="A8" s="27">
        <f>'Cash Flow'!A8</f>
        <v>2</v>
      </c>
      <c r="B8" s="49">
        <f>'Cash Flow'!B8</f>
        <v>39173</v>
      </c>
      <c r="C8" s="56">
        <f>'Cash Flow'!C8</f>
        <v>8.3333333333333329E-2</v>
      </c>
      <c r="D8" s="55"/>
      <c r="E8" s="57">
        <v>2.8118999999999998E-2</v>
      </c>
      <c r="F8" s="57"/>
      <c r="G8" s="57"/>
      <c r="H8" s="57"/>
      <c r="I8" s="57">
        <v>0.04</v>
      </c>
      <c r="J8" s="57"/>
      <c r="K8" s="57"/>
      <c r="L8" s="55"/>
      <c r="M8" s="78">
        <v>3.3394601074221431E-4</v>
      </c>
      <c r="N8" s="78">
        <v>0.01</v>
      </c>
      <c r="Q8" s="57"/>
      <c r="S8" s="55"/>
      <c r="T8" s="79">
        <f ca="1">OFFSET('Loss Timing'!D$6,MATCH($A8,'Loss Timing'!$A$7:$A$36,1),0)/12/PmtFreqAdd</f>
        <v>2.7777777777777779E-3</v>
      </c>
      <c r="U8" s="79">
        <f ca="1">OFFSET('Loss Timing'!E$6,MATCH($A8,'Loss Timing'!$A$7:$A$36,1),0)/12/PmtFreqAdd</f>
        <v>4.1666666666666666E-3</v>
      </c>
      <c r="V8" s="79">
        <f ca="1">OFFSET('Loss Timing'!F$6,MATCH($A8,'Loss Timing'!$A$7:$A$36,1),0)/12/PmtFreqAdd</f>
        <v>1.6666666666666666E-2</v>
      </c>
      <c r="W8" s="79">
        <f ca="1">OFFSET('Loss Timing'!G$6,MATCH($A8,'Loss Timing'!$A$7:$A$36,1),0)/12/PmtFreqAdd</f>
        <v>8.3333333333333339E-4</v>
      </c>
      <c r="X8" s="79">
        <f ca="1">OFFSET('Loss Timing'!H$6,MATCH($A8,'Loss Timing'!$A$7:$A$36,1),0)/12/PmtFreqAdd</f>
        <v>0</v>
      </c>
      <c r="Y8" s="55"/>
      <c r="Z8" s="68">
        <f t="shared" ca="1" si="0"/>
        <v>2.7777777777777779E-5</v>
      </c>
      <c r="AA8" s="68">
        <f t="shared" ca="1" si="1"/>
        <v>4.1666666666666665E-5</v>
      </c>
      <c r="AB8" s="68">
        <f t="shared" ca="1" si="2"/>
        <v>1.6666666666666666E-4</v>
      </c>
      <c r="AC8" s="68">
        <f t="shared" ca="1" si="3"/>
        <v>8.3333333333333337E-6</v>
      </c>
      <c r="AD8" s="68">
        <f t="shared" ca="1" si="4"/>
        <v>0</v>
      </c>
      <c r="AE8" s="55"/>
      <c r="AF8" s="68">
        <v>1.6666681945665118E-5</v>
      </c>
      <c r="AG8" s="81">
        <v>3.3333394444667874E-5</v>
      </c>
      <c r="AH8" s="68">
        <v>6.666691111378853E-5</v>
      </c>
      <c r="AI8" s="55"/>
    </row>
    <row r="9" spans="1:35" x14ac:dyDescent="0.2">
      <c r="A9" s="27">
        <f>'Cash Flow'!A9</f>
        <v>3</v>
      </c>
      <c r="B9" s="49">
        <f>'Cash Flow'!B9</f>
        <v>39203</v>
      </c>
      <c r="C9" s="56">
        <f>'Cash Flow'!C9</f>
        <v>8.3333333333333329E-2</v>
      </c>
      <c r="D9" s="55"/>
      <c r="E9" s="57">
        <v>2.8743999999999999E-2</v>
      </c>
      <c r="F9" s="57"/>
      <c r="G9" s="57"/>
      <c r="H9" s="57"/>
      <c r="I9" s="57">
        <v>0.04</v>
      </c>
      <c r="J9" s="57"/>
      <c r="K9" s="57"/>
      <c r="L9" s="55"/>
      <c r="M9" s="78">
        <v>5.0138029400215167E-4</v>
      </c>
      <c r="N9" s="78">
        <v>0.01</v>
      </c>
      <c r="Q9" s="57"/>
      <c r="S9" s="55"/>
      <c r="T9" s="79">
        <f ca="1">OFFSET('Loss Timing'!D$6,MATCH($A9,'Loss Timing'!$A$7:$A$36,1),0)/12/PmtFreqAdd</f>
        <v>2.7777777777777779E-3</v>
      </c>
      <c r="U9" s="79">
        <f ca="1">OFFSET('Loss Timing'!E$6,MATCH($A9,'Loss Timing'!$A$7:$A$36,1),0)/12/PmtFreqAdd</f>
        <v>4.1666666666666666E-3</v>
      </c>
      <c r="V9" s="79">
        <f ca="1">OFFSET('Loss Timing'!F$6,MATCH($A9,'Loss Timing'!$A$7:$A$36,1),0)/12/PmtFreqAdd</f>
        <v>1.6666666666666666E-2</v>
      </c>
      <c r="W9" s="79">
        <f ca="1">OFFSET('Loss Timing'!G$6,MATCH($A9,'Loss Timing'!$A$7:$A$36,1),0)/12/PmtFreqAdd</f>
        <v>8.3333333333333339E-4</v>
      </c>
      <c r="X9" s="79">
        <f ca="1">OFFSET('Loss Timing'!H$6,MATCH($A9,'Loss Timing'!$A$7:$A$36,1),0)/12/PmtFreqAdd</f>
        <v>0</v>
      </c>
      <c r="Y9" s="55"/>
      <c r="Z9" s="68">
        <f t="shared" ca="1" si="0"/>
        <v>2.7777777777777779E-5</v>
      </c>
      <c r="AA9" s="68">
        <f t="shared" ca="1" si="1"/>
        <v>4.1666666666666665E-5</v>
      </c>
      <c r="AB9" s="68">
        <f t="shared" ca="1" si="2"/>
        <v>1.6666666666666666E-4</v>
      </c>
      <c r="AC9" s="68">
        <f t="shared" ca="1" si="3"/>
        <v>8.3333333333333337E-6</v>
      </c>
      <c r="AD9" s="68">
        <f t="shared" ca="1" si="4"/>
        <v>0</v>
      </c>
      <c r="AE9" s="55"/>
      <c r="AF9" s="68">
        <v>2.5000034375999292E-5</v>
      </c>
      <c r="AG9" s="81">
        <v>5.0000137497008268E-5</v>
      </c>
      <c r="AH9" s="68">
        <v>1.0000055000736197E-4</v>
      </c>
      <c r="AI9" s="55"/>
    </row>
    <row r="10" spans="1:35" x14ac:dyDescent="0.2">
      <c r="A10" s="27">
        <f>'Cash Flow'!A10</f>
        <v>4</v>
      </c>
      <c r="B10" s="49">
        <f>'Cash Flow'!B10</f>
        <v>39234</v>
      </c>
      <c r="C10" s="56">
        <f>'Cash Flow'!C10</f>
        <v>8.3333333333333329E-2</v>
      </c>
      <c r="D10" s="55"/>
      <c r="E10" s="57">
        <v>2.9368999999999999E-2</v>
      </c>
      <c r="F10" s="57"/>
      <c r="G10" s="57"/>
      <c r="H10" s="57"/>
      <c r="I10" s="57">
        <v>0.04</v>
      </c>
      <c r="J10" s="57"/>
      <c r="K10" s="57"/>
      <c r="L10" s="55"/>
      <c r="M10" s="78">
        <v>6.6912367827864916E-4</v>
      </c>
      <c r="N10" s="78">
        <v>0.01</v>
      </c>
      <c r="Q10" s="57"/>
      <c r="S10" s="55"/>
      <c r="T10" s="79">
        <f ca="1">OFFSET('Loss Timing'!D$6,MATCH($A10,'Loss Timing'!$A$7:$A$36,1),0)/12/PmtFreqAdd</f>
        <v>2.7777777777777779E-3</v>
      </c>
      <c r="U10" s="79">
        <f ca="1">OFFSET('Loss Timing'!E$6,MATCH($A10,'Loss Timing'!$A$7:$A$36,1),0)/12/PmtFreqAdd</f>
        <v>4.1666666666666666E-3</v>
      </c>
      <c r="V10" s="79">
        <f ca="1">OFFSET('Loss Timing'!F$6,MATCH($A10,'Loss Timing'!$A$7:$A$36,1),0)/12/PmtFreqAdd</f>
        <v>1.6666666666666666E-2</v>
      </c>
      <c r="W10" s="79">
        <f ca="1">OFFSET('Loss Timing'!G$6,MATCH($A10,'Loss Timing'!$A$7:$A$36,1),0)/12/PmtFreqAdd</f>
        <v>8.3333333333333339E-4</v>
      </c>
      <c r="X10" s="79">
        <f ca="1">OFFSET('Loss Timing'!H$6,MATCH($A10,'Loss Timing'!$A$7:$A$36,1),0)/12/PmtFreqAdd</f>
        <v>0</v>
      </c>
      <c r="Y10" s="55"/>
      <c r="Z10" s="68">
        <f t="shared" ca="1" si="0"/>
        <v>2.7777777777777779E-5</v>
      </c>
      <c r="AA10" s="68">
        <f t="shared" ca="1" si="1"/>
        <v>4.1666666666666665E-5</v>
      </c>
      <c r="AB10" s="68">
        <f t="shared" ca="1" si="2"/>
        <v>1.6666666666666666E-4</v>
      </c>
      <c r="AC10" s="68">
        <f t="shared" ca="1" si="3"/>
        <v>8.3333333333333337E-6</v>
      </c>
      <c r="AD10" s="68">
        <f t="shared" ca="1" si="4"/>
        <v>0</v>
      </c>
      <c r="AE10" s="55"/>
      <c r="AF10" s="68">
        <v>3.3333394444667874E-5</v>
      </c>
      <c r="AG10" s="81">
        <v>6.666691111378853E-5</v>
      </c>
      <c r="AH10" s="68">
        <v>1.3333431112538818E-4</v>
      </c>
      <c r="AI10" s="55"/>
    </row>
    <row r="11" spans="1:35" x14ac:dyDescent="0.2">
      <c r="A11" s="27">
        <f>'Cash Flow'!A11</f>
        <v>5</v>
      </c>
      <c r="B11" s="49">
        <f>'Cash Flow'!B11</f>
        <v>39264</v>
      </c>
      <c r="C11" s="56">
        <f>'Cash Flow'!C11</f>
        <v>8.3333333333333329E-2</v>
      </c>
      <c r="D11" s="55"/>
      <c r="E11" s="57">
        <v>2.9994E-2</v>
      </c>
      <c r="F11" s="57"/>
      <c r="G11" s="57"/>
      <c r="H11" s="57"/>
      <c r="I11" s="57">
        <v>0.04</v>
      </c>
      <c r="J11" s="57"/>
      <c r="K11" s="57"/>
      <c r="L11" s="55"/>
      <c r="M11" s="78">
        <v>8.3717735912058888E-4</v>
      </c>
      <c r="N11" s="78">
        <v>0.01</v>
      </c>
      <c r="Q11" s="57"/>
      <c r="S11" s="55"/>
      <c r="T11" s="79">
        <f ca="1">OFFSET('Loss Timing'!D$6,MATCH($A11,'Loss Timing'!$A$7:$A$36,1),0)/12/PmtFreqAdd</f>
        <v>2.7777777777777779E-3</v>
      </c>
      <c r="U11" s="79">
        <f ca="1">OFFSET('Loss Timing'!E$6,MATCH($A11,'Loss Timing'!$A$7:$A$36,1),0)/12/PmtFreqAdd</f>
        <v>4.1666666666666666E-3</v>
      </c>
      <c r="V11" s="79">
        <f ca="1">OFFSET('Loss Timing'!F$6,MATCH($A11,'Loss Timing'!$A$7:$A$36,1),0)/12/PmtFreqAdd</f>
        <v>1.6666666666666666E-2</v>
      </c>
      <c r="W11" s="79">
        <f ca="1">OFFSET('Loss Timing'!G$6,MATCH($A11,'Loss Timing'!$A$7:$A$36,1),0)/12/PmtFreqAdd</f>
        <v>8.3333333333333339E-4</v>
      </c>
      <c r="X11" s="79">
        <f ca="1">OFFSET('Loss Timing'!H$6,MATCH($A11,'Loss Timing'!$A$7:$A$36,1),0)/12/PmtFreqAdd</f>
        <v>0</v>
      </c>
      <c r="Y11" s="55"/>
      <c r="Z11" s="68">
        <f t="shared" ca="1" si="0"/>
        <v>2.7777777777777779E-5</v>
      </c>
      <c r="AA11" s="68">
        <f t="shared" ca="1" si="1"/>
        <v>4.1666666666666665E-5</v>
      </c>
      <c r="AB11" s="68">
        <f t="shared" ca="1" si="2"/>
        <v>1.6666666666666666E-4</v>
      </c>
      <c r="AC11" s="68">
        <f t="shared" ca="1" si="3"/>
        <v>8.3333333333333337E-6</v>
      </c>
      <c r="AD11" s="68">
        <f t="shared" ca="1" si="4"/>
        <v>0</v>
      </c>
      <c r="AE11" s="55"/>
      <c r="AF11" s="68">
        <v>4.1666762151670866E-5</v>
      </c>
      <c r="AG11" s="81">
        <v>8.3333715283906429E-5</v>
      </c>
      <c r="AH11" s="68">
        <v>1.6666819446786718E-4</v>
      </c>
      <c r="AI11" s="55"/>
    </row>
    <row r="12" spans="1:35" x14ac:dyDescent="0.2">
      <c r="A12" s="27">
        <f>'Cash Flow'!A12</f>
        <v>6</v>
      </c>
      <c r="B12" s="49">
        <f>'Cash Flow'!B12</f>
        <v>39295</v>
      </c>
      <c r="C12" s="56">
        <f>'Cash Flow'!C12</f>
        <v>8.3333333333333329E-2</v>
      </c>
      <c r="D12" s="55"/>
      <c r="E12" s="57">
        <v>3.0619E-2</v>
      </c>
      <c r="F12" s="57"/>
      <c r="G12" s="57"/>
      <c r="H12" s="57"/>
      <c r="I12" s="57">
        <v>0.04</v>
      </c>
      <c r="J12" s="57"/>
      <c r="K12" s="57"/>
      <c r="L12" s="55"/>
      <c r="M12" s="78">
        <v>1.0055425391276573E-3</v>
      </c>
      <c r="N12" s="78">
        <v>0.01</v>
      </c>
      <c r="Q12" s="57"/>
      <c r="S12" s="55"/>
      <c r="T12" s="79">
        <f ca="1">OFFSET('Loss Timing'!D$6,MATCH($A12,'Loss Timing'!$A$7:$A$36,1),0)/12/PmtFreqAdd</f>
        <v>2.7777777777777779E-3</v>
      </c>
      <c r="U12" s="79">
        <f ca="1">OFFSET('Loss Timing'!E$6,MATCH($A12,'Loss Timing'!$A$7:$A$36,1),0)/12/PmtFreqAdd</f>
        <v>4.1666666666666666E-3</v>
      </c>
      <c r="V12" s="79">
        <f ca="1">OFFSET('Loss Timing'!F$6,MATCH($A12,'Loss Timing'!$A$7:$A$36,1),0)/12/PmtFreqAdd</f>
        <v>1.6666666666666666E-2</v>
      </c>
      <c r="W12" s="79">
        <f ca="1">OFFSET('Loss Timing'!G$6,MATCH($A12,'Loss Timing'!$A$7:$A$36,1),0)/12/PmtFreqAdd</f>
        <v>8.3333333333333339E-4</v>
      </c>
      <c r="X12" s="79">
        <f ca="1">OFFSET('Loss Timing'!H$6,MATCH($A12,'Loss Timing'!$A$7:$A$36,1),0)/12/PmtFreqAdd</f>
        <v>0</v>
      </c>
      <c r="Y12" s="55"/>
      <c r="Z12" s="68">
        <f t="shared" ca="1" si="0"/>
        <v>2.7777777777777779E-5</v>
      </c>
      <c r="AA12" s="68">
        <f t="shared" ca="1" si="1"/>
        <v>4.1666666666666665E-5</v>
      </c>
      <c r="AB12" s="68">
        <f t="shared" ca="1" si="2"/>
        <v>1.6666666666666666E-4</v>
      </c>
      <c r="AC12" s="68">
        <f t="shared" ca="1" si="3"/>
        <v>8.3333333333333337E-6</v>
      </c>
      <c r="AD12" s="68">
        <f t="shared" ca="1" si="4"/>
        <v>0</v>
      </c>
      <c r="AE12" s="55"/>
      <c r="AF12" s="68">
        <v>5.0000137497008268E-5</v>
      </c>
      <c r="AG12" s="81">
        <v>1.0000055000736197E-4</v>
      </c>
      <c r="AH12" s="68">
        <v>2.0000220003479896E-4</v>
      </c>
      <c r="AI12" s="55"/>
    </row>
    <row r="13" spans="1:35" x14ac:dyDescent="0.2">
      <c r="A13" s="27">
        <f>'Cash Flow'!A13</f>
        <v>7</v>
      </c>
      <c r="B13" s="49">
        <f>'Cash Flow'!B13</f>
        <v>39326</v>
      </c>
      <c r="C13" s="56">
        <f>'Cash Flow'!C13</f>
        <v>8.3333333333333329E-2</v>
      </c>
      <c r="D13" s="55"/>
      <c r="E13" s="57">
        <v>3.1244000000000001E-2</v>
      </c>
      <c r="F13" s="57"/>
      <c r="G13" s="57"/>
      <c r="H13" s="57"/>
      <c r="I13" s="57">
        <v>0.04</v>
      </c>
      <c r="J13" s="57"/>
      <c r="K13" s="57"/>
      <c r="L13" s="55"/>
      <c r="M13" s="78">
        <v>1.1742204280067448E-3</v>
      </c>
      <c r="N13" s="78">
        <v>0.01</v>
      </c>
      <c r="Q13" s="57"/>
      <c r="S13" s="55"/>
      <c r="T13" s="79">
        <f ca="1">OFFSET('Loss Timing'!D$6,MATCH($A13,'Loss Timing'!$A$7:$A$36,1),0)/12/PmtFreqAdd</f>
        <v>2.7777777777777779E-3</v>
      </c>
      <c r="U13" s="79">
        <f ca="1">OFFSET('Loss Timing'!E$6,MATCH($A13,'Loss Timing'!$A$7:$A$36,1),0)/12/PmtFreqAdd</f>
        <v>4.1666666666666666E-3</v>
      </c>
      <c r="V13" s="79">
        <f ca="1">OFFSET('Loss Timing'!F$6,MATCH($A13,'Loss Timing'!$A$7:$A$36,1),0)/12/PmtFreqAdd</f>
        <v>1.6666666666666666E-2</v>
      </c>
      <c r="W13" s="79">
        <f ca="1">OFFSET('Loss Timing'!G$6,MATCH($A13,'Loss Timing'!$A$7:$A$36,1),0)/12/PmtFreqAdd</f>
        <v>8.3333333333333339E-4</v>
      </c>
      <c r="X13" s="79">
        <f ca="1">OFFSET('Loss Timing'!H$6,MATCH($A13,'Loss Timing'!$A$7:$A$36,1),0)/12/PmtFreqAdd</f>
        <v>0</v>
      </c>
      <c r="Y13" s="55"/>
      <c r="Z13" s="68">
        <f t="shared" ca="1" si="0"/>
        <v>2.7777777777777779E-5</v>
      </c>
      <c r="AA13" s="68">
        <f t="shared" ca="1" si="1"/>
        <v>4.1666666666666665E-5</v>
      </c>
      <c r="AB13" s="68">
        <f t="shared" ca="1" si="2"/>
        <v>1.6666666666666666E-4</v>
      </c>
      <c r="AC13" s="68">
        <f t="shared" ca="1" si="3"/>
        <v>8.3333333333333337E-6</v>
      </c>
      <c r="AD13" s="68">
        <f t="shared" ca="1" si="4"/>
        <v>0</v>
      </c>
      <c r="AE13" s="55"/>
      <c r="AF13" s="68">
        <v>5.8333520491782309E-5</v>
      </c>
      <c r="AG13" s="81">
        <v>1.1666741528415514E-4</v>
      </c>
      <c r="AH13" s="68">
        <v>2.3333632782618352E-4</v>
      </c>
      <c r="AI13" s="55"/>
    </row>
    <row r="14" spans="1:35" x14ac:dyDescent="0.2">
      <c r="A14" s="27">
        <f>'Cash Flow'!A14</f>
        <v>8</v>
      </c>
      <c r="B14" s="49">
        <f>'Cash Flow'!B14</f>
        <v>39356</v>
      </c>
      <c r="C14" s="56">
        <f>'Cash Flow'!C14</f>
        <v>8.3333333333333329E-2</v>
      </c>
      <c r="D14" s="55"/>
      <c r="E14" s="57">
        <v>3.1869000000000001E-2</v>
      </c>
      <c r="F14" s="57"/>
      <c r="G14" s="57"/>
      <c r="H14" s="57"/>
      <c r="I14" s="57">
        <v>0.04</v>
      </c>
      <c r="J14" s="57"/>
      <c r="K14" s="57"/>
      <c r="L14" s="55"/>
      <c r="M14" s="78">
        <v>1.3432122426282334E-3</v>
      </c>
      <c r="N14" s="78">
        <v>0.01</v>
      </c>
      <c r="Q14" s="57"/>
      <c r="S14" s="55"/>
      <c r="T14" s="79">
        <f ca="1">OFFSET('Loss Timing'!D$6,MATCH($A14,'Loss Timing'!$A$7:$A$36,1),0)/12/PmtFreqAdd</f>
        <v>2.7777777777777779E-3</v>
      </c>
      <c r="U14" s="79">
        <f ca="1">OFFSET('Loss Timing'!E$6,MATCH($A14,'Loss Timing'!$A$7:$A$36,1),0)/12/PmtFreqAdd</f>
        <v>4.1666666666666666E-3</v>
      </c>
      <c r="V14" s="79">
        <f ca="1">OFFSET('Loss Timing'!F$6,MATCH($A14,'Loss Timing'!$A$7:$A$36,1),0)/12/PmtFreqAdd</f>
        <v>1.6666666666666666E-2</v>
      </c>
      <c r="W14" s="79">
        <f ca="1">OFFSET('Loss Timing'!G$6,MATCH($A14,'Loss Timing'!$A$7:$A$36,1),0)/12/PmtFreqAdd</f>
        <v>8.3333333333333339E-4</v>
      </c>
      <c r="X14" s="79">
        <f ca="1">OFFSET('Loss Timing'!H$6,MATCH($A14,'Loss Timing'!$A$7:$A$36,1),0)/12/PmtFreqAdd</f>
        <v>0</v>
      </c>
      <c r="Y14" s="55"/>
      <c r="Z14" s="68">
        <f t="shared" ca="1" si="0"/>
        <v>2.7777777777777779E-5</v>
      </c>
      <c r="AA14" s="68">
        <f t="shared" ca="1" si="1"/>
        <v>4.1666666666666665E-5</v>
      </c>
      <c r="AB14" s="68">
        <f t="shared" ca="1" si="2"/>
        <v>1.6666666666666666E-4</v>
      </c>
      <c r="AC14" s="68">
        <f t="shared" ca="1" si="3"/>
        <v>8.3333333333333337E-6</v>
      </c>
      <c r="AD14" s="68">
        <f t="shared" ca="1" si="4"/>
        <v>0</v>
      </c>
      <c r="AE14" s="55"/>
      <c r="AF14" s="68">
        <v>6.666691111378853E-5</v>
      </c>
      <c r="AG14" s="81">
        <v>1.3333431112538818E-4</v>
      </c>
      <c r="AH14" s="68">
        <v>2.6667057785312309E-4</v>
      </c>
      <c r="AI14" s="55"/>
    </row>
    <row r="15" spans="1:35" x14ac:dyDescent="0.2">
      <c r="A15" s="27">
        <f>'Cash Flow'!A15</f>
        <v>9</v>
      </c>
      <c r="B15" s="49">
        <f>'Cash Flow'!B15</f>
        <v>39387</v>
      </c>
      <c r="C15" s="56">
        <f>'Cash Flow'!C15</f>
        <v>8.3333333333333329E-2</v>
      </c>
      <c r="D15" s="55"/>
      <c r="E15" s="57">
        <v>3.2494000000000002E-2</v>
      </c>
      <c r="F15" s="57"/>
      <c r="G15" s="57"/>
      <c r="H15" s="57"/>
      <c r="I15" s="57">
        <v>0.04</v>
      </c>
      <c r="J15" s="57"/>
      <c r="K15" s="57"/>
      <c r="L15" s="55"/>
      <c r="M15" s="78">
        <v>1.5125192070827298E-3</v>
      </c>
      <c r="N15" s="78">
        <v>0.01</v>
      </c>
      <c r="Q15" s="57"/>
      <c r="S15" s="55"/>
      <c r="T15" s="79">
        <f ca="1">OFFSET('Loss Timing'!D$6,MATCH($A15,'Loss Timing'!$A$7:$A$36,1),0)/12/PmtFreqAdd</f>
        <v>2.7777777777777779E-3</v>
      </c>
      <c r="U15" s="79">
        <f ca="1">OFFSET('Loss Timing'!E$6,MATCH($A15,'Loss Timing'!$A$7:$A$36,1),0)/12/PmtFreqAdd</f>
        <v>4.1666666666666666E-3</v>
      </c>
      <c r="V15" s="79">
        <f ca="1">OFFSET('Loss Timing'!F$6,MATCH($A15,'Loss Timing'!$A$7:$A$36,1),0)/12/PmtFreqAdd</f>
        <v>1.6666666666666666E-2</v>
      </c>
      <c r="W15" s="79">
        <f ca="1">OFFSET('Loss Timing'!G$6,MATCH($A15,'Loss Timing'!$A$7:$A$36,1),0)/12/PmtFreqAdd</f>
        <v>8.3333333333333339E-4</v>
      </c>
      <c r="X15" s="79">
        <f ca="1">OFFSET('Loss Timing'!H$6,MATCH($A15,'Loss Timing'!$A$7:$A$36,1),0)/12/PmtFreqAdd</f>
        <v>0</v>
      </c>
      <c r="Y15" s="55"/>
      <c r="Z15" s="68">
        <f t="shared" ca="1" si="0"/>
        <v>2.7777777777777779E-5</v>
      </c>
      <c r="AA15" s="68">
        <f t="shared" ca="1" si="1"/>
        <v>4.1666666666666665E-5</v>
      </c>
      <c r="AB15" s="68">
        <f t="shared" ca="1" si="2"/>
        <v>1.6666666666666666E-4</v>
      </c>
      <c r="AC15" s="68">
        <f t="shared" ca="1" si="3"/>
        <v>8.3333333333333337E-6</v>
      </c>
      <c r="AD15" s="68">
        <f t="shared" ca="1" si="4"/>
        <v>0</v>
      </c>
      <c r="AE15" s="55"/>
      <c r="AF15" s="68">
        <v>7.5000309374129159E-5</v>
      </c>
      <c r="AG15" s="81">
        <v>1.5000123750885663E-4</v>
      </c>
      <c r="AH15" s="68">
        <v>3.0000495011561767E-4</v>
      </c>
      <c r="AI15" s="55"/>
    </row>
    <row r="16" spans="1:35" x14ac:dyDescent="0.2">
      <c r="A16" s="27">
        <f>'Cash Flow'!A16</f>
        <v>10</v>
      </c>
      <c r="B16" s="49">
        <f>'Cash Flow'!B16</f>
        <v>39417</v>
      </c>
      <c r="C16" s="56">
        <f>'Cash Flow'!C16</f>
        <v>8.3333333333333329E-2</v>
      </c>
      <c r="D16" s="55"/>
      <c r="E16" s="57">
        <v>3.3119000000000003E-2</v>
      </c>
      <c r="F16" s="57"/>
      <c r="G16" s="57"/>
      <c r="H16" s="57"/>
      <c r="I16" s="57">
        <v>0.04</v>
      </c>
      <c r="J16" s="57"/>
      <c r="K16" s="57"/>
      <c r="L16" s="55"/>
      <c r="M16" s="78">
        <v>1.6821425527395739E-3</v>
      </c>
      <c r="N16" s="78">
        <v>0.01</v>
      </c>
      <c r="Q16" s="57"/>
      <c r="S16" s="55"/>
      <c r="T16" s="79">
        <f ca="1">OFFSET('Loss Timing'!D$6,MATCH($A16,'Loss Timing'!$A$7:$A$36,1),0)/12/PmtFreqAdd</f>
        <v>2.7777777777777779E-3</v>
      </c>
      <c r="U16" s="79">
        <f ca="1">OFFSET('Loss Timing'!E$6,MATCH($A16,'Loss Timing'!$A$7:$A$36,1),0)/12/PmtFreqAdd</f>
        <v>4.1666666666666666E-3</v>
      </c>
      <c r="V16" s="79">
        <f ca="1">OFFSET('Loss Timing'!F$6,MATCH($A16,'Loss Timing'!$A$7:$A$36,1),0)/12/PmtFreqAdd</f>
        <v>1.6666666666666666E-2</v>
      </c>
      <c r="W16" s="79">
        <f ca="1">OFFSET('Loss Timing'!G$6,MATCH($A16,'Loss Timing'!$A$7:$A$36,1),0)/12/PmtFreqAdd</f>
        <v>8.3333333333333339E-4</v>
      </c>
      <c r="X16" s="79">
        <f ca="1">OFFSET('Loss Timing'!H$6,MATCH($A16,'Loss Timing'!$A$7:$A$36,1),0)/12/PmtFreqAdd</f>
        <v>0</v>
      </c>
      <c r="Y16" s="55"/>
      <c r="Z16" s="68">
        <f t="shared" ca="1" si="0"/>
        <v>2.7777777777777779E-5</v>
      </c>
      <c r="AA16" s="68">
        <f t="shared" ca="1" si="1"/>
        <v>4.1666666666666665E-5</v>
      </c>
      <c r="AB16" s="68">
        <f t="shared" ca="1" si="2"/>
        <v>1.6666666666666666E-4</v>
      </c>
      <c r="AC16" s="68">
        <f t="shared" ca="1" si="3"/>
        <v>8.3333333333333337E-6</v>
      </c>
      <c r="AD16" s="68">
        <f t="shared" ca="1" si="4"/>
        <v>0</v>
      </c>
      <c r="AE16" s="55"/>
      <c r="AF16" s="68">
        <v>8.3333715283906429E-5</v>
      </c>
      <c r="AG16" s="81">
        <v>1.6666819446786718E-4</v>
      </c>
      <c r="AH16" s="68">
        <v>3.3333944460256504E-4</v>
      </c>
      <c r="AI16" s="55"/>
    </row>
    <row r="17" spans="1:35" x14ac:dyDescent="0.2">
      <c r="A17" s="27">
        <f>'Cash Flow'!A17</f>
        <v>11</v>
      </c>
      <c r="B17" s="49">
        <f>'Cash Flow'!B17</f>
        <v>39448</v>
      </c>
      <c r="C17" s="56">
        <f>'Cash Flow'!C17</f>
        <v>8.3333333333333329E-2</v>
      </c>
      <c r="D17" s="55"/>
      <c r="E17" s="57">
        <v>3.3744000000000003E-2</v>
      </c>
      <c r="F17" s="57"/>
      <c r="G17" s="57"/>
      <c r="H17" s="57"/>
      <c r="I17" s="57">
        <v>0.04</v>
      </c>
      <c r="J17" s="57"/>
      <c r="K17" s="57"/>
      <c r="L17" s="55"/>
      <c r="M17" s="78">
        <v>1.8520835183041262E-3</v>
      </c>
      <c r="N17" s="78">
        <v>0.01</v>
      </c>
      <c r="Q17" s="57"/>
      <c r="S17" s="55"/>
      <c r="T17" s="79">
        <f ca="1">OFFSET('Loss Timing'!D$6,MATCH($A17,'Loss Timing'!$A$7:$A$36,1),0)/12/PmtFreqAdd</f>
        <v>2.7777777777777779E-3</v>
      </c>
      <c r="U17" s="79">
        <f ca="1">OFFSET('Loss Timing'!E$6,MATCH($A17,'Loss Timing'!$A$7:$A$36,1),0)/12/PmtFreqAdd</f>
        <v>4.1666666666666666E-3</v>
      </c>
      <c r="V17" s="79">
        <f ca="1">OFFSET('Loss Timing'!F$6,MATCH($A17,'Loss Timing'!$A$7:$A$36,1),0)/12/PmtFreqAdd</f>
        <v>1.6666666666666666E-2</v>
      </c>
      <c r="W17" s="79">
        <f ca="1">OFFSET('Loss Timing'!G$6,MATCH($A17,'Loss Timing'!$A$7:$A$36,1),0)/12/PmtFreqAdd</f>
        <v>8.3333333333333339E-4</v>
      </c>
      <c r="X17" s="79">
        <f ca="1">OFFSET('Loss Timing'!H$6,MATCH($A17,'Loss Timing'!$A$7:$A$36,1),0)/12/PmtFreqAdd</f>
        <v>0</v>
      </c>
      <c r="Y17" s="55"/>
      <c r="Z17" s="68">
        <f t="shared" ca="1" si="0"/>
        <v>2.7777777777777779E-5</v>
      </c>
      <c r="AA17" s="68">
        <f t="shared" ca="1" si="1"/>
        <v>4.1666666666666665E-5</v>
      </c>
      <c r="AB17" s="68">
        <f t="shared" ca="1" si="2"/>
        <v>1.6666666666666666E-4</v>
      </c>
      <c r="AC17" s="68">
        <f t="shared" ca="1" si="3"/>
        <v>8.3333333333333337E-6</v>
      </c>
      <c r="AD17" s="68">
        <f t="shared" ca="1" si="4"/>
        <v>0</v>
      </c>
      <c r="AE17" s="55"/>
      <c r="AF17" s="68">
        <v>9.1667128820915877E-5</v>
      </c>
      <c r="AG17" s="81">
        <v>1.8333518196911314E-4</v>
      </c>
      <c r="AH17" s="68">
        <v>3.6667406131396518E-4</v>
      </c>
      <c r="AI17" s="55"/>
    </row>
    <row r="18" spans="1:35" x14ac:dyDescent="0.2">
      <c r="A18" s="27">
        <f>'Cash Flow'!A18</f>
        <v>12</v>
      </c>
      <c r="B18" s="49">
        <f>'Cash Flow'!B18</f>
        <v>39479</v>
      </c>
      <c r="C18" s="56">
        <f>'Cash Flow'!C18</f>
        <v>8.3333333333333329E-2</v>
      </c>
      <c r="D18" s="55"/>
      <c r="E18" s="57">
        <v>3.4369000000000004E-2</v>
      </c>
      <c r="F18" s="57"/>
      <c r="G18" s="57"/>
      <c r="H18" s="57"/>
      <c r="I18" s="57">
        <v>0.04</v>
      </c>
      <c r="J18" s="57"/>
      <c r="K18" s="57"/>
      <c r="L18" s="55"/>
      <c r="M18" s="78">
        <v>2.0223433498771648E-3</v>
      </c>
      <c r="N18" s="78">
        <v>0.01</v>
      </c>
      <c r="Q18" s="57"/>
      <c r="S18" s="55"/>
      <c r="T18" s="79">
        <f ca="1">OFFSET('Loss Timing'!D$6,MATCH($A18,'Loss Timing'!$A$7:$A$36,1),0)/12/PmtFreqAdd</f>
        <v>2.7777777777777779E-3</v>
      </c>
      <c r="U18" s="79">
        <f ca="1">OFFSET('Loss Timing'!E$6,MATCH($A18,'Loss Timing'!$A$7:$A$36,1),0)/12/PmtFreqAdd</f>
        <v>4.1666666666666666E-3</v>
      </c>
      <c r="V18" s="79">
        <f ca="1">OFFSET('Loss Timing'!F$6,MATCH($A18,'Loss Timing'!$A$7:$A$36,1),0)/12/PmtFreqAdd</f>
        <v>1.6666666666666666E-2</v>
      </c>
      <c r="W18" s="79">
        <f ca="1">OFFSET('Loss Timing'!G$6,MATCH($A18,'Loss Timing'!$A$7:$A$36,1),0)/12/PmtFreqAdd</f>
        <v>8.3333333333333339E-4</v>
      </c>
      <c r="X18" s="79">
        <f ca="1">OFFSET('Loss Timing'!H$6,MATCH($A18,'Loss Timing'!$A$7:$A$36,1),0)/12/PmtFreqAdd</f>
        <v>0</v>
      </c>
      <c r="Y18" s="55"/>
      <c r="Z18" s="68">
        <f t="shared" ca="1" si="0"/>
        <v>2.7777777777777779E-5</v>
      </c>
      <c r="AA18" s="68">
        <f t="shared" ca="1" si="1"/>
        <v>4.1666666666666665E-5</v>
      </c>
      <c r="AB18" s="68">
        <f t="shared" ca="1" si="2"/>
        <v>1.6666666666666666E-4</v>
      </c>
      <c r="AC18" s="68">
        <f t="shared" ca="1" si="3"/>
        <v>8.3333333333333337E-6</v>
      </c>
      <c r="AD18" s="68">
        <f t="shared" ca="1" si="4"/>
        <v>0</v>
      </c>
      <c r="AE18" s="55"/>
      <c r="AF18" s="68">
        <v>1.0000055000736197E-4</v>
      </c>
      <c r="AG18" s="81">
        <v>2.0000220003479896E-4</v>
      </c>
      <c r="AH18" s="68">
        <v>4.0000880027202257E-4</v>
      </c>
      <c r="AI18" s="55"/>
    </row>
    <row r="19" spans="1:35" x14ac:dyDescent="0.2">
      <c r="A19" s="27">
        <f>'Cash Flow'!A19</f>
        <v>13</v>
      </c>
      <c r="B19" s="49">
        <f>'Cash Flow'!B19</f>
        <v>39508</v>
      </c>
      <c r="C19" s="56">
        <f>'Cash Flow'!C19</f>
        <v>8.3333333333333329E-2</v>
      </c>
      <c r="D19" s="55"/>
      <c r="E19" s="57">
        <v>3.5619000000000005E-2</v>
      </c>
      <c r="F19" s="57"/>
      <c r="G19" s="57"/>
      <c r="H19" s="57"/>
      <c r="I19" s="57">
        <v>0.04</v>
      </c>
      <c r="J19" s="57"/>
      <c r="K19" s="57"/>
      <c r="L19" s="55"/>
      <c r="M19" s="78">
        <v>2.1929233010143934E-3</v>
      </c>
      <c r="N19" s="78">
        <v>0.01</v>
      </c>
      <c r="Q19" s="57"/>
      <c r="S19" s="55"/>
      <c r="T19" s="79">
        <f ca="1">OFFSET('Loss Timing'!D$6,MATCH($A19,'Loss Timing'!$A$7:$A$36,1),0)/12/PmtFreqAdd</f>
        <v>2.7777777777777779E-3</v>
      </c>
      <c r="U19" s="79">
        <f ca="1">OFFSET('Loss Timing'!E$6,MATCH($A19,'Loss Timing'!$A$7:$A$36,1),0)/12/PmtFreqAdd</f>
        <v>4.1666666666666666E-3</v>
      </c>
      <c r="V19" s="79">
        <f ca="1">OFFSET('Loss Timing'!F$6,MATCH($A19,'Loss Timing'!$A$7:$A$36,1),0)/12/PmtFreqAdd</f>
        <v>1.6666666666666666E-2</v>
      </c>
      <c r="W19" s="79">
        <f ca="1">OFFSET('Loss Timing'!G$6,MATCH($A19,'Loss Timing'!$A$7:$A$36,1),0)/12/PmtFreqAdd</f>
        <v>8.3333333333333339E-4</v>
      </c>
      <c r="X19" s="79">
        <f ca="1">OFFSET('Loss Timing'!H$6,MATCH($A19,'Loss Timing'!$A$7:$A$36,1),0)/12/PmtFreqAdd</f>
        <v>0</v>
      </c>
      <c r="Y19" s="55"/>
      <c r="Z19" s="68">
        <f t="shared" ca="1" si="0"/>
        <v>2.7777777777777779E-5</v>
      </c>
      <c r="AA19" s="68">
        <f t="shared" ca="1" si="1"/>
        <v>4.1666666666666665E-5</v>
      </c>
      <c r="AB19" s="68">
        <f t="shared" ca="1" si="2"/>
        <v>1.6666666666666666E-4</v>
      </c>
      <c r="AC19" s="68">
        <f t="shared" ca="1" si="3"/>
        <v>8.3333333333333337E-6</v>
      </c>
      <c r="AD19" s="68">
        <f t="shared" ca="1" si="4"/>
        <v>0</v>
      </c>
      <c r="AE19" s="55"/>
      <c r="AF19" s="68">
        <v>1.0833397882104023E-4</v>
      </c>
      <c r="AG19" s="81">
        <v>2.1666924865382242E-4</v>
      </c>
      <c r="AH19" s="68">
        <v>4.3334366145453274E-4</v>
      </c>
      <c r="AI19" s="55"/>
    </row>
    <row r="20" spans="1:35" x14ac:dyDescent="0.2">
      <c r="A20" s="27">
        <f>'Cash Flow'!A20</f>
        <v>14</v>
      </c>
      <c r="B20" s="49">
        <f>'Cash Flow'!B20</f>
        <v>39539</v>
      </c>
      <c r="C20" s="56">
        <f>'Cash Flow'!C20</f>
        <v>8.3333333333333329E-2</v>
      </c>
      <c r="D20" s="55"/>
      <c r="E20" s="57">
        <v>3.6869000000000006E-2</v>
      </c>
      <c r="F20" s="57"/>
      <c r="G20" s="57"/>
      <c r="H20" s="57"/>
      <c r="I20" s="57">
        <v>0.04</v>
      </c>
      <c r="J20" s="57"/>
      <c r="K20" s="57"/>
      <c r="L20" s="55"/>
      <c r="M20" s="78">
        <v>2.3638246327857271E-3</v>
      </c>
      <c r="N20" s="78">
        <v>0.01</v>
      </c>
      <c r="Q20" s="57"/>
      <c r="S20" s="55"/>
      <c r="T20" s="79">
        <f ca="1">OFFSET('Loss Timing'!D$6,MATCH($A20,'Loss Timing'!$A$7:$A$36,1),0)/12/PmtFreqAdd</f>
        <v>2.7777777777777779E-3</v>
      </c>
      <c r="U20" s="79">
        <f ca="1">OFFSET('Loss Timing'!E$6,MATCH($A20,'Loss Timing'!$A$7:$A$36,1),0)/12/PmtFreqAdd</f>
        <v>4.1666666666666666E-3</v>
      </c>
      <c r="V20" s="79">
        <f ca="1">OFFSET('Loss Timing'!F$6,MATCH($A20,'Loss Timing'!$A$7:$A$36,1),0)/12/PmtFreqAdd</f>
        <v>1.6666666666666666E-2</v>
      </c>
      <c r="W20" s="79">
        <f ca="1">OFFSET('Loss Timing'!G$6,MATCH($A20,'Loss Timing'!$A$7:$A$36,1),0)/12/PmtFreqAdd</f>
        <v>8.3333333333333339E-4</v>
      </c>
      <c r="X20" s="79">
        <f ca="1">OFFSET('Loss Timing'!H$6,MATCH($A20,'Loss Timing'!$A$7:$A$36,1),0)/12/PmtFreqAdd</f>
        <v>0</v>
      </c>
      <c r="Y20" s="55"/>
      <c r="Z20" s="68">
        <f t="shared" ca="1" si="0"/>
        <v>2.7777777777777779E-5</v>
      </c>
      <c r="AA20" s="68">
        <f t="shared" ca="1" si="1"/>
        <v>4.1666666666666665E-5</v>
      </c>
      <c r="AB20" s="68">
        <f t="shared" ca="1" si="2"/>
        <v>1.6666666666666666E-4</v>
      </c>
      <c r="AC20" s="68">
        <f t="shared" ca="1" si="3"/>
        <v>8.3333333333333337E-6</v>
      </c>
      <c r="AD20" s="68">
        <f t="shared" ca="1" si="4"/>
        <v>0</v>
      </c>
      <c r="AE20" s="55"/>
      <c r="AF20" s="68">
        <v>1.1666741528415514E-4</v>
      </c>
      <c r="AG20" s="81">
        <v>2.3333632782618352E-4</v>
      </c>
      <c r="AH20" s="68">
        <v>4.6667864487259791E-4</v>
      </c>
      <c r="AI20" s="55"/>
    </row>
    <row r="21" spans="1:35" x14ac:dyDescent="0.2">
      <c r="A21" s="27">
        <f>'Cash Flow'!A21</f>
        <v>15</v>
      </c>
      <c r="B21" s="49">
        <f>'Cash Flow'!B21</f>
        <v>39569</v>
      </c>
      <c r="C21" s="56">
        <f>'Cash Flow'!C21</f>
        <v>8.3333333333333329E-2</v>
      </c>
      <c r="D21" s="55"/>
      <c r="E21" s="57">
        <v>3.8119000000000007E-2</v>
      </c>
      <c r="F21" s="57"/>
      <c r="G21" s="57"/>
      <c r="H21" s="57"/>
      <c r="I21" s="57">
        <v>0.04</v>
      </c>
      <c r="J21" s="57"/>
      <c r="K21" s="57"/>
      <c r="L21" s="55"/>
      <c r="M21" s="78">
        <v>2.5350486138366879E-3</v>
      </c>
      <c r="N21" s="78">
        <v>0.01</v>
      </c>
      <c r="Q21" s="57"/>
      <c r="S21" s="55"/>
      <c r="T21" s="79">
        <f ca="1">OFFSET('Loss Timing'!D$6,MATCH($A21,'Loss Timing'!$A$7:$A$36,1),0)/12/PmtFreqAdd</f>
        <v>2.7777777777777779E-3</v>
      </c>
      <c r="U21" s="79">
        <f ca="1">OFFSET('Loss Timing'!E$6,MATCH($A21,'Loss Timing'!$A$7:$A$36,1),0)/12/PmtFreqAdd</f>
        <v>4.1666666666666666E-3</v>
      </c>
      <c r="V21" s="79">
        <f ca="1">OFFSET('Loss Timing'!F$6,MATCH($A21,'Loss Timing'!$A$7:$A$36,1),0)/12/PmtFreqAdd</f>
        <v>1.6666666666666666E-2</v>
      </c>
      <c r="W21" s="79">
        <f ca="1">OFFSET('Loss Timing'!G$6,MATCH($A21,'Loss Timing'!$A$7:$A$36,1),0)/12/PmtFreqAdd</f>
        <v>8.3333333333333339E-4</v>
      </c>
      <c r="X21" s="79">
        <f ca="1">OFFSET('Loss Timing'!H$6,MATCH($A21,'Loss Timing'!$A$7:$A$36,1),0)/12/PmtFreqAdd</f>
        <v>0</v>
      </c>
      <c r="Y21" s="55"/>
      <c r="Z21" s="68">
        <f t="shared" ca="1" si="0"/>
        <v>2.7777777777777779E-5</v>
      </c>
      <c r="AA21" s="68">
        <f t="shared" ca="1" si="1"/>
        <v>4.1666666666666665E-5</v>
      </c>
      <c r="AB21" s="68">
        <f t="shared" ca="1" si="2"/>
        <v>1.6666666666666666E-4</v>
      </c>
      <c r="AC21" s="68">
        <f t="shared" ca="1" si="3"/>
        <v>8.3333333333333337E-6</v>
      </c>
      <c r="AD21" s="68">
        <f t="shared" ca="1" si="4"/>
        <v>0</v>
      </c>
      <c r="AE21" s="55"/>
      <c r="AF21" s="68">
        <v>1.2500085938560446E-4</v>
      </c>
      <c r="AG21" s="81">
        <v>2.5000343756298449E-4</v>
      </c>
      <c r="AH21" s="68">
        <v>5.000137505262181E-4</v>
      </c>
      <c r="AI21" s="55"/>
    </row>
    <row r="22" spans="1:35" x14ac:dyDescent="0.2">
      <c r="A22" s="27">
        <f>'Cash Flow'!A22</f>
        <v>16</v>
      </c>
      <c r="B22" s="49">
        <f>'Cash Flow'!B22</f>
        <v>39600</v>
      </c>
      <c r="C22" s="56">
        <f>'Cash Flow'!C22</f>
        <v>8.3333333333333329E-2</v>
      </c>
      <c r="D22" s="55"/>
      <c r="E22" s="57">
        <v>3.9369000000000008E-2</v>
      </c>
      <c r="F22" s="57"/>
      <c r="G22" s="57"/>
      <c r="H22" s="57"/>
      <c r="I22" s="57">
        <v>0.04</v>
      </c>
      <c r="J22" s="57"/>
      <c r="K22" s="57"/>
      <c r="L22" s="55"/>
      <c r="M22" s="78">
        <v>2.7065965204493558E-3</v>
      </c>
      <c r="N22" s="78">
        <v>0.01</v>
      </c>
      <c r="Q22" s="57"/>
      <c r="S22" s="55"/>
      <c r="T22" s="79">
        <f ca="1">OFFSET('Loss Timing'!D$6,MATCH($A22,'Loss Timing'!$A$7:$A$36,1),0)/12/PmtFreqAdd</f>
        <v>2.7777777777777779E-3</v>
      </c>
      <c r="U22" s="79">
        <f ca="1">OFFSET('Loss Timing'!E$6,MATCH($A22,'Loss Timing'!$A$7:$A$36,1),0)/12/PmtFreqAdd</f>
        <v>4.1666666666666666E-3</v>
      </c>
      <c r="V22" s="79">
        <f ca="1">OFFSET('Loss Timing'!F$6,MATCH($A22,'Loss Timing'!$A$7:$A$36,1),0)/12/PmtFreqAdd</f>
        <v>1.6666666666666666E-2</v>
      </c>
      <c r="W22" s="79">
        <f ca="1">OFFSET('Loss Timing'!G$6,MATCH($A22,'Loss Timing'!$A$7:$A$36,1),0)/12/PmtFreqAdd</f>
        <v>8.3333333333333339E-4</v>
      </c>
      <c r="X22" s="79">
        <f ca="1">OFFSET('Loss Timing'!H$6,MATCH($A22,'Loss Timing'!$A$7:$A$36,1),0)/12/PmtFreqAdd</f>
        <v>0</v>
      </c>
      <c r="Y22" s="55"/>
      <c r="Z22" s="68">
        <f t="shared" ca="1" si="0"/>
        <v>2.7777777777777779E-5</v>
      </c>
      <c r="AA22" s="68">
        <f t="shared" ca="1" si="1"/>
        <v>4.1666666666666665E-5</v>
      </c>
      <c r="AB22" s="68">
        <f t="shared" ca="1" si="2"/>
        <v>1.6666666666666666E-4</v>
      </c>
      <c r="AC22" s="68">
        <f t="shared" ca="1" si="3"/>
        <v>8.3333333333333337E-6</v>
      </c>
      <c r="AD22" s="68">
        <f t="shared" ca="1" si="4"/>
        <v>0</v>
      </c>
      <c r="AE22" s="55"/>
      <c r="AF22" s="68">
        <v>1.3333431112538818E-4</v>
      </c>
      <c r="AG22" s="81">
        <v>2.6667057785312309E-4</v>
      </c>
      <c r="AH22" s="68">
        <v>5.333489784153933E-4</v>
      </c>
      <c r="AI22" s="55"/>
    </row>
    <row r="23" spans="1:35" x14ac:dyDescent="0.2">
      <c r="A23" s="27">
        <f>'Cash Flow'!A23</f>
        <v>17</v>
      </c>
      <c r="B23" s="49">
        <f>'Cash Flow'!B23</f>
        <v>39630</v>
      </c>
      <c r="C23" s="56">
        <f>'Cash Flow'!C23</f>
        <v>8.3333333333333329E-2</v>
      </c>
      <c r="D23" s="55"/>
      <c r="E23" s="57">
        <v>4.0619000000000009E-2</v>
      </c>
      <c r="F23" s="57"/>
      <c r="G23" s="57"/>
      <c r="H23" s="57"/>
      <c r="I23" s="57">
        <v>0.04</v>
      </c>
      <c r="J23" s="57"/>
      <c r="K23" s="57"/>
      <c r="L23" s="55"/>
      <c r="M23" s="78">
        <v>2.8784696366042084E-3</v>
      </c>
      <c r="N23" s="78">
        <v>0.01</v>
      </c>
      <c r="Q23" s="57"/>
      <c r="S23" s="55"/>
      <c r="T23" s="79">
        <f ca="1">OFFSET('Loss Timing'!D$6,MATCH($A23,'Loss Timing'!$A$7:$A$36,1),0)/12/PmtFreqAdd</f>
        <v>2.7777777777777779E-3</v>
      </c>
      <c r="U23" s="79">
        <f ca="1">OFFSET('Loss Timing'!E$6,MATCH($A23,'Loss Timing'!$A$7:$A$36,1),0)/12/PmtFreqAdd</f>
        <v>4.1666666666666666E-3</v>
      </c>
      <c r="V23" s="79">
        <f ca="1">OFFSET('Loss Timing'!F$6,MATCH($A23,'Loss Timing'!$A$7:$A$36,1),0)/12/PmtFreqAdd</f>
        <v>1.6666666666666666E-2</v>
      </c>
      <c r="W23" s="79">
        <f ca="1">OFFSET('Loss Timing'!G$6,MATCH($A23,'Loss Timing'!$A$7:$A$36,1),0)/12/PmtFreqAdd</f>
        <v>8.3333333333333339E-4</v>
      </c>
      <c r="X23" s="79">
        <f ca="1">OFFSET('Loss Timing'!H$6,MATCH($A23,'Loss Timing'!$A$7:$A$36,1),0)/12/PmtFreqAdd</f>
        <v>0</v>
      </c>
      <c r="Y23" s="55"/>
      <c r="Z23" s="68">
        <f t="shared" ca="1" si="0"/>
        <v>2.7777777777777779E-5</v>
      </c>
      <c r="AA23" s="68">
        <f t="shared" ca="1" si="1"/>
        <v>4.1666666666666665E-5</v>
      </c>
      <c r="AB23" s="68">
        <f t="shared" ca="1" si="2"/>
        <v>1.6666666666666666E-4</v>
      </c>
      <c r="AC23" s="68">
        <f t="shared" ca="1" si="3"/>
        <v>8.3333333333333337E-6</v>
      </c>
      <c r="AD23" s="68">
        <f t="shared" ca="1" si="4"/>
        <v>0</v>
      </c>
      <c r="AE23" s="55"/>
      <c r="AF23" s="68">
        <v>1.4166777050350632E-4</v>
      </c>
      <c r="AG23" s="81">
        <v>2.8333774870770156E-4</v>
      </c>
      <c r="AH23" s="68">
        <v>5.6668432854012352E-4</v>
      </c>
      <c r="AI23" s="55"/>
    </row>
    <row r="24" spans="1:35" x14ac:dyDescent="0.2">
      <c r="A24" s="27">
        <f>'Cash Flow'!A24</f>
        <v>18</v>
      </c>
      <c r="B24" s="49">
        <f>'Cash Flow'!B24</f>
        <v>39661</v>
      </c>
      <c r="C24" s="56">
        <f>'Cash Flow'!C24</f>
        <v>8.3333333333333329E-2</v>
      </c>
      <c r="D24" s="55"/>
      <c r="E24" s="57">
        <v>4.186900000000001E-2</v>
      </c>
      <c r="F24" s="57"/>
      <c r="G24" s="57"/>
      <c r="H24" s="57"/>
      <c r="I24" s="57">
        <v>0.04</v>
      </c>
      <c r="J24" s="57"/>
      <c r="K24" s="57"/>
      <c r="L24" s="55"/>
      <c r="M24" s="78">
        <v>3.0506692540422931E-3</v>
      </c>
      <c r="N24" s="78">
        <v>0.01</v>
      </c>
      <c r="Q24" s="57"/>
      <c r="S24" s="55"/>
      <c r="T24" s="79">
        <f ca="1">OFFSET('Loss Timing'!D$6,MATCH($A24,'Loss Timing'!$A$7:$A$36,1),0)/12/PmtFreqAdd</f>
        <v>2.7777777777777779E-3</v>
      </c>
      <c r="U24" s="79">
        <f ca="1">OFFSET('Loss Timing'!E$6,MATCH($A24,'Loss Timing'!$A$7:$A$36,1),0)/12/PmtFreqAdd</f>
        <v>4.1666666666666666E-3</v>
      </c>
      <c r="V24" s="79">
        <f ca="1">OFFSET('Loss Timing'!F$6,MATCH($A24,'Loss Timing'!$A$7:$A$36,1),0)/12/PmtFreqAdd</f>
        <v>1.6666666666666666E-2</v>
      </c>
      <c r="W24" s="79">
        <f ca="1">OFFSET('Loss Timing'!G$6,MATCH($A24,'Loss Timing'!$A$7:$A$36,1),0)/12/PmtFreqAdd</f>
        <v>8.3333333333333339E-4</v>
      </c>
      <c r="X24" s="79">
        <f ca="1">OFFSET('Loss Timing'!H$6,MATCH($A24,'Loss Timing'!$A$7:$A$36,1),0)/12/PmtFreqAdd</f>
        <v>0</v>
      </c>
      <c r="Y24" s="55"/>
      <c r="Z24" s="68">
        <f t="shared" ca="1" si="0"/>
        <v>2.7777777777777779E-5</v>
      </c>
      <c r="AA24" s="68">
        <f t="shared" ca="1" si="1"/>
        <v>4.1666666666666665E-5</v>
      </c>
      <c r="AB24" s="68">
        <f t="shared" ca="1" si="2"/>
        <v>1.6666666666666666E-4</v>
      </c>
      <c r="AC24" s="68">
        <f t="shared" ca="1" si="3"/>
        <v>8.3333333333333337E-6</v>
      </c>
      <c r="AD24" s="68">
        <f t="shared" ca="1" si="4"/>
        <v>0</v>
      </c>
      <c r="AE24" s="55"/>
      <c r="AF24" s="68">
        <v>1.5000123750885663E-4</v>
      </c>
      <c r="AG24" s="81">
        <v>3.0000495011561767E-4</v>
      </c>
      <c r="AH24" s="68">
        <v>6.0001980091151097E-4</v>
      </c>
      <c r="AI24" s="55"/>
    </row>
    <row r="25" spans="1:35" x14ac:dyDescent="0.2">
      <c r="A25" s="27">
        <f>'Cash Flow'!A25</f>
        <v>19</v>
      </c>
      <c r="B25" s="49">
        <f>'Cash Flow'!B25</f>
        <v>39692</v>
      </c>
      <c r="C25" s="56">
        <f>'Cash Flow'!C25</f>
        <v>8.3333333333333329E-2</v>
      </c>
      <c r="D25" s="55"/>
      <c r="E25" s="57">
        <v>4.3119000000000011E-2</v>
      </c>
      <c r="F25" s="57"/>
      <c r="G25" s="57"/>
      <c r="H25" s="57"/>
      <c r="I25" s="57">
        <v>0.04</v>
      </c>
      <c r="J25" s="57"/>
      <c r="K25" s="57"/>
      <c r="L25" s="55"/>
      <c r="M25" s="78">
        <v>3.223196672329065E-3</v>
      </c>
      <c r="N25" s="78">
        <v>0.01</v>
      </c>
      <c r="Q25" s="57"/>
      <c r="S25" s="55"/>
      <c r="T25" s="79">
        <f ca="1">OFFSET('Loss Timing'!D$6,MATCH($A25,'Loss Timing'!$A$7:$A$36,1),0)/12/PmtFreqAdd</f>
        <v>2.7777777777777779E-3</v>
      </c>
      <c r="U25" s="79">
        <f ca="1">OFFSET('Loss Timing'!E$6,MATCH($A25,'Loss Timing'!$A$7:$A$36,1),0)/12/PmtFreqAdd</f>
        <v>4.1666666666666666E-3</v>
      </c>
      <c r="V25" s="79">
        <f ca="1">OFFSET('Loss Timing'!F$6,MATCH($A25,'Loss Timing'!$A$7:$A$36,1),0)/12/PmtFreqAdd</f>
        <v>1.6666666666666666E-2</v>
      </c>
      <c r="W25" s="79">
        <f ca="1">OFFSET('Loss Timing'!G$6,MATCH($A25,'Loss Timing'!$A$7:$A$36,1),0)/12/PmtFreqAdd</f>
        <v>8.3333333333333339E-4</v>
      </c>
      <c r="X25" s="79">
        <f ca="1">OFFSET('Loss Timing'!H$6,MATCH($A25,'Loss Timing'!$A$7:$A$36,1),0)/12/PmtFreqAdd</f>
        <v>0</v>
      </c>
      <c r="Y25" s="55"/>
      <c r="Z25" s="68">
        <f t="shared" ca="1" si="0"/>
        <v>2.7777777777777779E-5</v>
      </c>
      <c r="AA25" s="68">
        <f t="shared" ca="1" si="1"/>
        <v>4.1666666666666665E-5</v>
      </c>
      <c r="AB25" s="68">
        <f t="shared" ca="1" si="2"/>
        <v>1.6666666666666666E-4</v>
      </c>
      <c r="AC25" s="68">
        <f t="shared" ca="1" si="3"/>
        <v>8.3333333333333337E-6</v>
      </c>
      <c r="AD25" s="68">
        <f t="shared" ca="1" si="4"/>
        <v>0</v>
      </c>
      <c r="AE25" s="55"/>
      <c r="AF25" s="68">
        <v>1.5833471217474582E-4</v>
      </c>
      <c r="AG25" s="81">
        <v>3.1667218207687142E-4</v>
      </c>
      <c r="AH25" s="68">
        <v>6.3335539551845343E-4</v>
      </c>
      <c r="AI25" s="55"/>
    </row>
    <row r="26" spans="1:35" x14ac:dyDescent="0.2">
      <c r="A26" s="27">
        <f>'Cash Flow'!A26</f>
        <v>20</v>
      </c>
      <c r="B26" s="49">
        <f>'Cash Flow'!B26</f>
        <v>39722</v>
      </c>
      <c r="C26" s="56">
        <f>'Cash Flow'!C26</f>
        <v>8.3333333333333329E-2</v>
      </c>
      <c r="D26" s="55"/>
      <c r="E26" s="57">
        <v>4.4369000000000013E-2</v>
      </c>
      <c r="F26" s="57"/>
      <c r="G26" s="57"/>
      <c r="H26" s="57"/>
      <c r="I26" s="57">
        <v>0.04</v>
      </c>
      <c r="J26" s="57"/>
      <c r="K26" s="57"/>
      <c r="L26" s="55"/>
      <c r="M26" s="78">
        <v>3.3960531989175591E-3</v>
      </c>
      <c r="N26" s="78">
        <v>0.01</v>
      </c>
      <c r="Q26" s="57"/>
      <c r="S26" s="55"/>
      <c r="T26" s="79">
        <f ca="1">OFFSET('Loss Timing'!D$6,MATCH($A26,'Loss Timing'!$A$7:$A$36,1),0)/12/PmtFreqAdd</f>
        <v>2.7777777777777779E-3</v>
      </c>
      <c r="U26" s="79">
        <f ca="1">OFFSET('Loss Timing'!E$6,MATCH($A26,'Loss Timing'!$A$7:$A$36,1),0)/12/PmtFreqAdd</f>
        <v>4.1666666666666666E-3</v>
      </c>
      <c r="V26" s="79">
        <f ca="1">OFFSET('Loss Timing'!F$6,MATCH($A26,'Loss Timing'!$A$7:$A$36,1),0)/12/PmtFreqAdd</f>
        <v>1.6666666666666666E-2</v>
      </c>
      <c r="W26" s="79">
        <f ca="1">OFFSET('Loss Timing'!G$6,MATCH($A26,'Loss Timing'!$A$7:$A$36,1),0)/12/PmtFreqAdd</f>
        <v>8.3333333333333339E-4</v>
      </c>
      <c r="X26" s="79">
        <f ca="1">OFFSET('Loss Timing'!H$6,MATCH($A26,'Loss Timing'!$A$7:$A$36,1),0)/12/PmtFreqAdd</f>
        <v>0</v>
      </c>
      <c r="Y26" s="55"/>
      <c r="Z26" s="68">
        <f t="shared" ca="1" si="0"/>
        <v>2.7777777777777779E-5</v>
      </c>
      <c r="AA26" s="68">
        <f t="shared" ca="1" si="1"/>
        <v>4.1666666666666665E-5</v>
      </c>
      <c r="AB26" s="68">
        <f t="shared" ca="1" si="2"/>
        <v>1.6666666666666666E-4</v>
      </c>
      <c r="AC26" s="68">
        <f t="shared" ca="1" si="3"/>
        <v>8.3333333333333337E-6</v>
      </c>
      <c r="AD26" s="68">
        <f t="shared" ca="1" si="4"/>
        <v>0</v>
      </c>
      <c r="AE26" s="55"/>
      <c r="AF26" s="68">
        <v>1.6666819446786718E-4</v>
      </c>
      <c r="AG26" s="81">
        <v>3.3333944460256504E-4</v>
      </c>
      <c r="AH26" s="68">
        <v>6.6669111236095091E-4</v>
      </c>
      <c r="AI26" s="55"/>
    </row>
    <row r="27" spans="1:35" x14ac:dyDescent="0.2">
      <c r="A27" s="27">
        <f>'Cash Flow'!A27</f>
        <v>21</v>
      </c>
      <c r="B27" s="49">
        <f>'Cash Flow'!B27</f>
        <v>39753</v>
      </c>
      <c r="C27" s="56">
        <f>'Cash Flow'!C27</f>
        <v>8.3333333333333329E-2</v>
      </c>
      <c r="D27" s="55"/>
      <c r="E27" s="57">
        <v>4.5619000000000014E-2</v>
      </c>
      <c r="F27" s="57"/>
      <c r="G27" s="57"/>
      <c r="H27" s="57"/>
      <c r="I27" s="57">
        <v>0.04</v>
      </c>
      <c r="J27" s="57"/>
      <c r="K27" s="57"/>
      <c r="L27" s="55"/>
      <c r="M27" s="78">
        <v>3.5692401492131154E-3</v>
      </c>
      <c r="N27" s="78">
        <v>0.01</v>
      </c>
      <c r="Q27" s="57"/>
      <c r="S27" s="55"/>
      <c r="T27" s="79">
        <f ca="1">OFFSET('Loss Timing'!D$6,MATCH($A27,'Loss Timing'!$A$7:$A$36,1),0)/12/PmtFreqAdd</f>
        <v>2.7777777777777779E-3</v>
      </c>
      <c r="U27" s="79">
        <f ca="1">OFFSET('Loss Timing'!E$6,MATCH($A27,'Loss Timing'!$A$7:$A$36,1),0)/12/PmtFreqAdd</f>
        <v>4.1666666666666666E-3</v>
      </c>
      <c r="V27" s="79">
        <f ca="1">OFFSET('Loss Timing'!F$6,MATCH($A27,'Loss Timing'!$A$7:$A$36,1),0)/12/PmtFreqAdd</f>
        <v>1.6666666666666666E-2</v>
      </c>
      <c r="W27" s="79">
        <f ca="1">OFFSET('Loss Timing'!G$6,MATCH($A27,'Loss Timing'!$A$7:$A$36,1),0)/12/PmtFreqAdd</f>
        <v>8.3333333333333339E-4</v>
      </c>
      <c r="X27" s="79">
        <f ca="1">OFFSET('Loss Timing'!H$6,MATCH($A27,'Loss Timing'!$A$7:$A$36,1),0)/12/PmtFreqAdd</f>
        <v>0</v>
      </c>
      <c r="Y27" s="55"/>
      <c r="Z27" s="68">
        <f t="shared" ca="1" si="0"/>
        <v>2.7777777777777779E-5</v>
      </c>
      <c r="AA27" s="68">
        <f t="shared" ca="1" si="1"/>
        <v>4.1666666666666665E-5</v>
      </c>
      <c r="AB27" s="68">
        <f t="shared" ca="1" si="2"/>
        <v>1.6666666666666666E-4</v>
      </c>
      <c r="AC27" s="68">
        <f t="shared" ca="1" si="3"/>
        <v>8.3333333333333337E-6</v>
      </c>
      <c r="AD27" s="68">
        <f t="shared" ca="1" si="4"/>
        <v>0</v>
      </c>
      <c r="AE27" s="55"/>
      <c r="AF27" s="68">
        <v>1.7500168439932295E-4</v>
      </c>
      <c r="AG27" s="81">
        <v>3.5000673768159629E-4</v>
      </c>
      <c r="AH27" s="68">
        <v>7.0002695145010563E-4</v>
      </c>
      <c r="AI27" s="55"/>
    </row>
    <row r="28" spans="1:35" x14ac:dyDescent="0.2">
      <c r="A28" s="27">
        <f>'Cash Flow'!A28</f>
        <v>22</v>
      </c>
      <c r="B28" s="49">
        <f>'Cash Flow'!B28</f>
        <v>39783</v>
      </c>
      <c r="C28" s="56">
        <f>'Cash Flow'!C28</f>
        <v>8.3333333333333329E-2</v>
      </c>
      <c r="D28" s="55"/>
      <c r="E28" s="57">
        <v>4.6869000000000015E-2</v>
      </c>
      <c r="F28" s="57"/>
      <c r="G28" s="57"/>
      <c r="H28" s="57"/>
      <c r="I28" s="57">
        <v>0.04</v>
      </c>
      <c r="J28" s="57"/>
      <c r="K28" s="57"/>
      <c r="L28" s="55"/>
      <c r="M28" s="78">
        <v>3.7427588466381057E-3</v>
      </c>
      <c r="N28" s="78">
        <v>0.01</v>
      </c>
      <c r="Q28" s="57"/>
      <c r="S28" s="55"/>
      <c r="T28" s="79">
        <f ca="1">OFFSET('Loss Timing'!D$6,MATCH($A28,'Loss Timing'!$A$7:$A$36,1),0)/12/PmtFreqAdd</f>
        <v>2.7777777777777779E-3</v>
      </c>
      <c r="U28" s="79">
        <f ca="1">OFFSET('Loss Timing'!E$6,MATCH($A28,'Loss Timing'!$A$7:$A$36,1),0)/12/PmtFreqAdd</f>
        <v>4.1666666666666666E-3</v>
      </c>
      <c r="V28" s="79">
        <f ca="1">OFFSET('Loss Timing'!F$6,MATCH($A28,'Loss Timing'!$A$7:$A$36,1),0)/12/PmtFreqAdd</f>
        <v>1.6666666666666666E-2</v>
      </c>
      <c r="W28" s="79">
        <f ca="1">OFFSET('Loss Timing'!G$6,MATCH($A28,'Loss Timing'!$A$7:$A$36,1),0)/12/PmtFreqAdd</f>
        <v>8.3333333333333339E-4</v>
      </c>
      <c r="X28" s="79">
        <f ca="1">OFFSET('Loss Timing'!H$6,MATCH($A28,'Loss Timing'!$A$7:$A$36,1),0)/12/PmtFreqAdd</f>
        <v>0</v>
      </c>
      <c r="Y28" s="55"/>
      <c r="Z28" s="68">
        <f t="shared" ca="1" si="0"/>
        <v>2.7777777777777779E-5</v>
      </c>
      <c r="AA28" s="68">
        <f t="shared" ca="1" si="1"/>
        <v>4.1666666666666665E-5</v>
      </c>
      <c r="AB28" s="68">
        <f t="shared" ca="1" si="2"/>
        <v>1.6666666666666666E-4</v>
      </c>
      <c r="AC28" s="68">
        <f t="shared" ca="1" si="3"/>
        <v>8.3333333333333337E-6</v>
      </c>
      <c r="AD28" s="68">
        <f t="shared" ca="1" si="4"/>
        <v>0</v>
      </c>
      <c r="AE28" s="55"/>
      <c r="AF28" s="68">
        <v>1.8333518196911314E-4</v>
      </c>
      <c r="AG28" s="81">
        <v>3.6667406131396518E-4</v>
      </c>
      <c r="AH28" s="68">
        <v>7.3336291277481536E-4</v>
      </c>
      <c r="AI28" s="55"/>
    </row>
    <row r="29" spans="1:35" x14ac:dyDescent="0.2">
      <c r="A29" s="27">
        <f>'Cash Flow'!A29</f>
        <v>23</v>
      </c>
      <c r="B29" s="49">
        <f>'Cash Flow'!B29</f>
        <v>39814</v>
      </c>
      <c r="C29" s="56">
        <f>'Cash Flow'!C29</f>
        <v>8.3333333333333329E-2</v>
      </c>
      <c r="D29" s="55"/>
      <c r="E29" s="57">
        <v>4.8119000000000016E-2</v>
      </c>
      <c r="F29" s="57"/>
      <c r="G29" s="57"/>
      <c r="H29" s="57"/>
      <c r="I29" s="57">
        <v>0.04</v>
      </c>
      <c r="J29" s="57"/>
      <c r="K29" s="57"/>
      <c r="L29" s="55"/>
      <c r="M29" s="78">
        <v>3.9166106226982134E-3</v>
      </c>
      <c r="N29" s="78">
        <v>0.01</v>
      </c>
      <c r="Q29" s="57"/>
      <c r="S29" s="55"/>
      <c r="T29" s="79">
        <f ca="1">OFFSET('Loss Timing'!D$6,MATCH($A29,'Loss Timing'!$A$7:$A$36,1),0)/12/PmtFreqAdd</f>
        <v>2.7777777777777779E-3</v>
      </c>
      <c r="U29" s="79">
        <f ca="1">OFFSET('Loss Timing'!E$6,MATCH($A29,'Loss Timing'!$A$7:$A$36,1),0)/12/PmtFreqAdd</f>
        <v>4.1666666666666666E-3</v>
      </c>
      <c r="V29" s="79">
        <f ca="1">OFFSET('Loss Timing'!F$6,MATCH($A29,'Loss Timing'!$A$7:$A$36,1),0)/12/PmtFreqAdd</f>
        <v>1.6666666666666666E-2</v>
      </c>
      <c r="W29" s="79">
        <f ca="1">OFFSET('Loss Timing'!G$6,MATCH($A29,'Loss Timing'!$A$7:$A$36,1),0)/12/PmtFreqAdd</f>
        <v>8.3333333333333339E-4</v>
      </c>
      <c r="X29" s="79">
        <f ca="1">OFFSET('Loss Timing'!H$6,MATCH($A29,'Loss Timing'!$A$7:$A$36,1),0)/12/PmtFreqAdd</f>
        <v>0</v>
      </c>
      <c r="Y29" s="55"/>
      <c r="Z29" s="68">
        <f t="shared" ca="1" si="0"/>
        <v>2.7777777777777779E-5</v>
      </c>
      <c r="AA29" s="68">
        <f t="shared" ca="1" si="1"/>
        <v>4.1666666666666665E-5</v>
      </c>
      <c r="AB29" s="68">
        <f t="shared" ca="1" si="2"/>
        <v>1.6666666666666666E-4</v>
      </c>
      <c r="AC29" s="68">
        <f t="shared" ca="1" si="3"/>
        <v>8.3333333333333337E-6</v>
      </c>
      <c r="AD29" s="68">
        <f t="shared" ca="1" si="4"/>
        <v>0</v>
      </c>
      <c r="AE29" s="55"/>
      <c r="AF29" s="68">
        <v>1.9166868717723773E-4</v>
      </c>
      <c r="AG29" s="81">
        <v>3.8334141551077394E-4</v>
      </c>
      <c r="AH29" s="68">
        <v>7.6669899634618233E-4</v>
      </c>
      <c r="AI29" s="55"/>
    </row>
    <row r="30" spans="1:35" x14ac:dyDescent="0.2">
      <c r="A30" s="27">
        <f>'Cash Flow'!A30</f>
        <v>24</v>
      </c>
      <c r="B30" s="49">
        <f>'Cash Flow'!B30</f>
        <v>39845</v>
      </c>
      <c r="C30" s="56">
        <f>'Cash Flow'!C30</f>
        <v>8.3333333333333329E-2</v>
      </c>
      <c r="D30" s="55"/>
      <c r="E30" s="57">
        <v>4.9369000000000017E-2</v>
      </c>
      <c r="F30" s="57"/>
      <c r="G30" s="57"/>
      <c r="H30" s="57"/>
      <c r="I30" s="57">
        <v>0.04</v>
      </c>
      <c r="J30" s="57"/>
      <c r="K30" s="57"/>
      <c r="L30" s="55"/>
      <c r="M30" s="78">
        <v>4.0907968170484921E-3</v>
      </c>
      <c r="N30" s="78">
        <v>0.01</v>
      </c>
      <c r="Q30" s="57"/>
      <c r="S30" s="55"/>
      <c r="T30" s="79">
        <f ca="1">OFFSET('Loss Timing'!D$6,MATCH($A30,'Loss Timing'!$A$7:$A$36,1),0)/12/PmtFreqAdd</f>
        <v>2.7777777777777779E-3</v>
      </c>
      <c r="U30" s="79">
        <f ca="1">OFFSET('Loss Timing'!E$6,MATCH($A30,'Loss Timing'!$A$7:$A$36,1),0)/12/PmtFreqAdd</f>
        <v>4.1666666666666666E-3</v>
      </c>
      <c r="V30" s="79">
        <f ca="1">OFFSET('Loss Timing'!F$6,MATCH($A30,'Loss Timing'!$A$7:$A$36,1),0)/12/PmtFreqAdd</f>
        <v>1.6666666666666666E-2</v>
      </c>
      <c r="W30" s="79">
        <f ca="1">OFFSET('Loss Timing'!G$6,MATCH($A30,'Loss Timing'!$A$7:$A$36,1),0)/12/PmtFreqAdd</f>
        <v>8.3333333333333339E-4</v>
      </c>
      <c r="X30" s="79">
        <f ca="1">OFFSET('Loss Timing'!H$6,MATCH($A30,'Loss Timing'!$A$7:$A$36,1),0)/12/PmtFreqAdd</f>
        <v>0</v>
      </c>
      <c r="Y30" s="55"/>
      <c r="Z30" s="68">
        <f t="shared" ca="1" si="0"/>
        <v>2.7777777777777779E-5</v>
      </c>
      <c r="AA30" s="68">
        <f t="shared" ca="1" si="1"/>
        <v>4.1666666666666665E-5</v>
      </c>
      <c r="AB30" s="68">
        <f t="shared" ca="1" si="2"/>
        <v>1.6666666666666666E-4</v>
      </c>
      <c r="AC30" s="68">
        <f t="shared" ca="1" si="3"/>
        <v>8.3333333333333337E-6</v>
      </c>
      <c r="AD30" s="68">
        <f t="shared" ca="1" si="4"/>
        <v>0</v>
      </c>
      <c r="AE30" s="55"/>
      <c r="AF30" s="68">
        <v>2.0000220003479896E-4</v>
      </c>
      <c r="AG30" s="81">
        <v>4.0000880027202257E-4</v>
      </c>
      <c r="AH30" s="68">
        <v>8.0003520216420654E-4</v>
      </c>
      <c r="AI30" s="55"/>
    </row>
    <row r="31" spans="1:35" x14ac:dyDescent="0.2">
      <c r="A31" s="27">
        <f>'Cash Flow'!A31</f>
        <v>25</v>
      </c>
      <c r="B31" s="49">
        <f>'Cash Flow'!B31</f>
        <v>39873</v>
      </c>
      <c r="C31" s="56">
        <f>'Cash Flow'!C31</f>
        <v>8.3333333333333329E-2</v>
      </c>
      <c r="D31" s="55"/>
      <c r="E31" s="57">
        <v>5.0410666666666687E-2</v>
      </c>
      <c r="F31" s="57"/>
      <c r="G31" s="57"/>
      <c r="H31" s="57"/>
      <c r="I31" s="57">
        <v>0.04</v>
      </c>
      <c r="J31" s="57"/>
      <c r="K31" s="57"/>
      <c r="L31" s="55"/>
      <c r="M31" s="78">
        <v>4.2653187775606449E-3</v>
      </c>
      <c r="N31" s="78">
        <v>0.01</v>
      </c>
      <c r="Q31" s="57"/>
      <c r="S31" s="55"/>
      <c r="T31" s="79">
        <f ca="1">OFFSET('Loss Timing'!D$6,MATCH($A31,'Loss Timing'!$A$7:$A$36,1),0)/12/PmtFreqAdd</f>
        <v>2.7777777777777779E-3</v>
      </c>
      <c r="U31" s="79">
        <f ca="1">OFFSET('Loss Timing'!E$6,MATCH($A31,'Loss Timing'!$A$7:$A$36,1),0)/12/PmtFreqAdd</f>
        <v>4.1666666666666666E-3</v>
      </c>
      <c r="V31" s="79">
        <f ca="1">OFFSET('Loss Timing'!F$6,MATCH($A31,'Loss Timing'!$A$7:$A$36,1),0)/12/PmtFreqAdd</f>
        <v>1.6666666666666666E-2</v>
      </c>
      <c r="W31" s="79">
        <f ca="1">OFFSET('Loss Timing'!G$6,MATCH($A31,'Loss Timing'!$A$7:$A$36,1),0)/12/PmtFreqAdd</f>
        <v>8.3333333333333339E-4</v>
      </c>
      <c r="X31" s="79">
        <f ca="1">OFFSET('Loss Timing'!H$6,MATCH($A31,'Loss Timing'!$A$7:$A$36,1),0)/12/PmtFreqAdd</f>
        <v>0</v>
      </c>
      <c r="Y31" s="55"/>
      <c r="Z31" s="68">
        <f t="shared" ca="1" si="0"/>
        <v>2.7777777777777779E-5</v>
      </c>
      <c r="AA31" s="68">
        <f t="shared" ca="1" si="1"/>
        <v>4.1666666666666665E-5</v>
      </c>
      <c r="AB31" s="68">
        <f t="shared" ca="1" si="2"/>
        <v>1.6666666666666666E-4</v>
      </c>
      <c r="AC31" s="68">
        <f t="shared" ca="1" si="3"/>
        <v>8.3333333333333337E-6</v>
      </c>
      <c r="AD31" s="68">
        <f t="shared" ca="1" si="4"/>
        <v>0</v>
      </c>
      <c r="AE31" s="55"/>
      <c r="AF31" s="68">
        <v>2.0833572051959237E-4</v>
      </c>
      <c r="AG31" s="81">
        <v>4.1667621558660883E-4</v>
      </c>
      <c r="AH31" s="68">
        <v>8.3337153021778576E-4</v>
      </c>
      <c r="AI31" s="55"/>
    </row>
    <row r="32" spans="1:35" x14ac:dyDescent="0.2">
      <c r="A32" s="27">
        <f>'Cash Flow'!A32</f>
        <v>26</v>
      </c>
      <c r="B32" s="49">
        <f>'Cash Flow'!B32</f>
        <v>39904</v>
      </c>
      <c r="C32" s="56">
        <f>'Cash Flow'!C32</f>
        <v>8.3333333333333329E-2</v>
      </c>
      <c r="D32" s="55"/>
      <c r="E32" s="57">
        <v>5.1452333333333357E-2</v>
      </c>
      <c r="F32" s="57"/>
      <c r="G32" s="57"/>
      <c r="H32" s="57"/>
      <c r="I32" s="57">
        <v>0.04</v>
      </c>
      <c r="J32" s="57"/>
      <c r="K32" s="57"/>
      <c r="L32" s="55"/>
      <c r="M32" s="78">
        <v>4.4401778603907482E-3</v>
      </c>
      <c r="N32" s="78">
        <v>0.01</v>
      </c>
      <c r="Q32" s="57"/>
      <c r="S32" s="55"/>
      <c r="T32" s="79">
        <f ca="1">OFFSET('Loss Timing'!D$6,MATCH($A32,'Loss Timing'!$A$7:$A$36,1),0)/12/PmtFreqAdd</f>
        <v>2.7777777777777779E-3</v>
      </c>
      <c r="U32" s="79">
        <f ca="1">OFFSET('Loss Timing'!E$6,MATCH($A32,'Loss Timing'!$A$7:$A$36,1),0)/12/PmtFreqAdd</f>
        <v>4.1666666666666666E-3</v>
      </c>
      <c r="V32" s="79">
        <f ca="1">OFFSET('Loss Timing'!F$6,MATCH($A32,'Loss Timing'!$A$7:$A$36,1),0)/12/PmtFreqAdd</f>
        <v>1.6666666666666666E-2</v>
      </c>
      <c r="W32" s="79">
        <f ca="1">OFFSET('Loss Timing'!G$6,MATCH($A32,'Loss Timing'!$A$7:$A$36,1),0)/12/PmtFreqAdd</f>
        <v>8.3333333333333339E-4</v>
      </c>
      <c r="X32" s="79">
        <f ca="1">OFFSET('Loss Timing'!H$6,MATCH($A32,'Loss Timing'!$A$7:$A$36,1),0)/12/PmtFreqAdd</f>
        <v>0</v>
      </c>
      <c r="Y32" s="55"/>
      <c r="Z32" s="68">
        <f t="shared" ca="1" si="0"/>
        <v>2.7777777777777779E-5</v>
      </c>
      <c r="AA32" s="68">
        <f t="shared" ca="1" si="1"/>
        <v>4.1666666666666665E-5</v>
      </c>
      <c r="AB32" s="68">
        <f t="shared" ca="1" si="2"/>
        <v>1.6666666666666666E-4</v>
      </c>
      <c r="AC32" s="68">
        <f t="shared" ca="1" si="3"/>
        <v>8.3333333333333337E-6</v>
      </c>
      <c r="AD32" s="68">
        <f t="shared" ca="1" si="4"/>
        <v>0</v>
      </c>
      <c r="AE32" s="55"/>
      <c r="AF32" s="68">
        <v>2.1666924865382242E-4</v>
      </c>
      <c r="AG32" s="81">
        <v>4.3334366145453274E-4</v>
      </c>
      <c r="AH32" s="68">
        <v>8.6670798051802223E-4</v>
      </c>
      <c r="AI32" s="55"/>
    </row>
    <row r="33" spans="1:35" x14ac:dyDescent="0.2">
      <c r="A33" s="27">
        <f>'Cash Flow'!A33</f>
        <v>27</v>
      </c>
      <c r="B33" s="49">
        <f>'Cash Flow'!B33</f>
        <v>39934</v>
      </c>
      <c r="C33" s="56">
        <f>'Cash Flow'!C33</f>
        <v>8.3333333333333329E-2</v>
      </c>
      <c r="D33" s="55"/>
      <c r="E33" s="57">
        <v>5.2494000000000027E-2</v>
      </c>
      <c r="F33" s="57"/>
      <c r="G33" s="57"/>
      <c r="H33" s="57"/>
      <c r="I33" s="57">
        <v>0.04</v>
      </c>
      <c r="J33" s="57"/>
      <c r="K33" s="57"/>
      <c r="L33" s="55"/>
      <c r="M33" s="78">
        <v>4.6153754300476413E-3</v>
      </c>
      <c r="N33" s="78">
        <v>0.01</v>
      </c>
      <c r="Q33" s="57"/>
      <c r="S33" s="55"/>
      <c r="T33" s="79">
        <f ca="1">OFFSET('Loss Timing'!D$6,MATCH($A33,'Loss Timing'!$A$7:$A$36,1),0)/12/PmtFreqAdd</f>
        <v>2.7777777777777779E-3</v>
      </c>
      <c r="U33" s="79">
        <f ca="1">OFFSET('Loss Timing'!E$6,MATCH($A33,'Loss Timing'!$A$7:$A$36,1),0)/12/PmtFreqAdd</f>
        <v>4.1666666666666666E-3</v>
      </c>
      <c r="V33" s="79">
        <f ca="1">OFFSET('Loss Timing'!F$6,MATCH($A33,'Loss Timing'!$A$7:$A$36,1),0)/12/PmtFreqAdd</f>
        <v>1.6666666666666666E-2</v>
      </c>
      <c r="W33" s="79">
        <f ca="1">OFFSET('Loss Timing'!G$6,MATCH($A33,'Loss Timing'!$A$7:$A$36,1),0)/12/PmtFreqAdd</f>
        <v>8.3333333333333339E-4</v>
      </c>
      <c r="X33" s="79">
        <f ca="1">OFFSET('Loss Timing'!H$6,MATCH($A33,'Loss Timing'!$A$7:$A$36,1),0)/12/PmtFreqAdd</f>
        <v>0</v>
      </c>
      <c r="Y33" s="55"/>
      <c r="Z33" s="68">
        <f t="shared" ca="1" si="0"/>
        <v>2.7777777777777779E-5</v>
      </c>
      <c r="AA33" s="68">
        <f t="shared" ca="1" si="1"/>
        <v>4.1666666666666665E-5</v>
      </c>
      <c r="AB33" s="68">
        <f t="shared" ca="1" si="2"/>
        <v>1.6666666666666666E-4</v>
      </c>
      <c r="AC33" s="68">
        <f t="shared" ca="1" si="3"/>
        <v>8.3333333333333337E-6</v>
      </c>
      <c r="AD33" s="68">
        <f t="shared" ca="1" si="4"/>
        <v>0</v>
      </c>
      <c r="AE33" s="55"/>
      <c r="AF33" s="68">
        <v>2.2500278442638688E-4</v>
      </c>
      <c r="AG33" s="81">
        <v>4.5001113788689651E-4</v>
      </c>
      <c r="AH33" s="68">
        <v>9.0004455307601816E-4</v>
      </c>
      <c r="AI33" s="55"/>
    </row>
    <row r="34" spans="1:35" x14ac:dyDescent="0.2">
      <c r="A34" s="27">
        <f>'Cash Flow'!A34</f>
        <v>28</v>
      </c>
      <c r="B34" s="49">
        <f>'Cash Flow'!B34</f>
        <v>39965</v>
      </c>
      <c r="C34" s="56">
        <f>'Cash Flow'!C34</f>
        <v>8.3333333333333329E-2</v>
      </c>
      <c r="D34" s="55"/>
      <c r="E34" s="57">
        <v>5.3535666666666697E-2</v>
      </c>
      <c r="F34" s="57"/>
      <c r="G34" s="57"/>
      <c r="H34" s="57"/>
      <c r="I34" s="57">
        <v>0.04</v>
      </c>
      <c r="J34" s="57"/>
      <c r="K34" s="57"/>
      <c r="L34" s="55"/>
      <c r="M34" s="78">
        <v>4.7909128594627592E-3</v>
      </c>
      <c r="N34" s="78">
        <v>0.01</v>
      </c>
      <c r="Q34" s="57"/>
      <c r="S34" s="55"/>
      <c r="T34" s="79">
        <f ca="1">OFFSET('Loss Timing'!D$6,MATCH($A34,'Loss Timing'!$A$7:$A$36,1),0)/12/PmtFreqAdd</f>
        <v>2.7777777777777779E-3</v>
      </c>
      <c r="U34" s="79">
        <f ca="1">OFFSET('Loss Timing'!E$6,MATCH($A34,'Loss Timing'!$A$7:$A$36,1),0)/12/PmtFreqAdd</f>
        <v>4.1666666666666666E-3</v>
      </c>
      <c r="V34" s="79">
        <f ca="1">OFFSET('Loss Timing'!F$6,MATCH($A34,'Loss Timing'!$A$7:$A$36,1),0)/12/PmtFreqAdd</f>
        <v>1.6666666666666666E-2</v>
      </c>
      <c r="W34" s="79">
        <f ca="1">OFFSET('Loss Timing'!G$6,MATCH($A34,'Loss Timing'!$A$7:$A$36,1),0)/12/PmtFreqAdd</f>
        <v>8.3333333333333339E-4</v>
      </c>
      <c r="X34" s="79">
        <f ca="1">OFFSET('Loss Timing'!H$6,MATCH($A34,'Loss Timing'!$A$7:$A$36,1),0)/12/PmtFreqAdd</f>
        <v>0</v>
      </c>
      <c r="Y34" s="55"/>
      <c r="Z34" s="68">
        <f t="shared" ca="1" si="0"/>
        <v>2.7777777777777779E-5</v>
      </c>
      <c r="AA34" s="68">
        <f t="shared" ca="1" si="1"/>
        <v>4.1666666666666665E-5</v>
      </c>
      <c r="AB34" s="68">
        <f t="shared" ca="1" si="2"/>
        <v>1.6666666666666666E-4</v>
      </c>
      <c r="AC34" s="68">
        <f t="shared" ca="1" si="3"/>
        <v>8.3333333333333337E-6</v>
      </c>
      <c r="AD34" s="68">
        <f t="shared" ca="1" si="4"/>
        <v>0</v>
      </c>
      <c r="AE34" s="55"/>
      <c r="AF34" s="68">
        <v>2.3333632782618352E-4</v>
      </c>
      <c r="AG34" s="81">
        <v>4.6667864487259791E-4</v>
      </c>
      <c r="AH34" s="68">
        <v>9.3338124786956911E-4</v>
      </c>
      <c r="AI34" s="55"/>
    </row>
    <row r="35" spans="1:35" x14ac:dyDescent="0.2">
      <c r="A35" s="27">
        <f>'Cash Flow'!A35</f>
        <v>29</v>
      </c>
      <c r="B35" s="49">
        <f>'Cash Flow'!B35</f>
        <v>39995</v>
      </c>
      <c r="C35" s="56">
        <f>'Cash Flow'!C35</f>
        <v>8.3333333333333329E-2</v>
      </c>
      <c r="D35" s="55"/>
      <c r="E35" s="57">
        <v>5.4577333333333367E-2</v>
      </c>
      <c r="F35" s="57"/>
      <c r="G35" s="57"/>
      <c r="H35" s="57"/>
      <c r="I35" s="57">
        <v>0.04</v>
      </c>
      <c r="J35" s="57"/>
      <c r="K35" s="57"/>
      <c r="L35" s="55"/>
      <c r="M35" s="78">
        <v>4.9667915300590781E-3</v>
      </c>
      <c r="N35" s="78">
        <v>0.01</v>
      </c>
      <c r="Q35" s="57"/>
      <c r="S35" s="55"/>
      <c r="T35" s="79">
        <f ca="1">OFFSET('Loss Timing'!D$6,MATCH($A35,'Loss Timing'!$A$7:$A$36,1),0)/12/PmtFreqAdd</f>
        <v>2.7777777777777779E-3</v>
      </c>
      <c r="U35" s="79">
        <f ca="1">OFFSET('Loss Timing'!E$6,MATCH($A35,'Loss Timing'!$A$7:$A$36,1),0)/12/PmtFreqAdd</f>
        <v>4.1666666666666666E-3</v>
      </c>
      <c r="V35" s="79">
        <f ca="1">OFFSET('Loss Timing'!F$6,MATCH($A35,'Loss Timing'!$A$7:$A$36,1),0)/12/PmtFreqAdd</f>
        <v>1.6666666666666666E-2</v>
      </c>
      <c r="W35" s="79">
        <f ca="1">OFFSET('Loss Timing'!G$6,MATCH($A35,'Loss Timing'!$A$7:$A$36,1),0)/12/PmtFreqAdd</f>
        <v>8.3333333333333339E-4</v>
      </c>
      <c r="X35" s="79">
        <f ca="1">OFFSET('Loss Timing'!H$6,MATCH($A35,'Loss Timing'!$A$7:$A$36,1),0)/12/PmtFreqAdd</f>
        <v>0</v>
      </c>
      <c r="Y35" s="55"/>
      <c r="Z35" s="68">
        <f t="shared" ca="1" si="0"/>
        <v>2.7777777777777779E-5</v>
      </c>
      <c r="AA35" s="68">
        <f t="shared" ca="1" si="1"/>
        <v>4.1666666666666665E-5</v>
      </c>
      <c r="AB35" s="68">
        <f t="shared" ca="1" si="2"/>
        <v>1.6666666666666666E-4</v>
      </c>
      <c r="AC35" s="68">
        <f t="shared" ca="1" si="3"/>
        <v>8.3333333333333337E-6</v>
      </c>
      <c r="AD35" s="68">
        <f t="shared" ca="1" si="4"/>
        <v>0</v>
      </c>
      <c r="AE35" s="55"/>
      <c r="AF35" s="68">
        <v>2.416698788754168E-4</v>
      </c>
      <c r="AG35" s="81">
        <v>4.8334618242273919E-4</v>
      </c>
      <c r="AH35" s="68">
        <v>9.6671806492087953E-4</v>
      </c>
      <c r="AI35" s="55"/>
    </row>
    <row r="36" spans="1:35" x14ac:dyDescent="0.2">
      <c r="A36" s="27">
        <f>'Cash Flow'!A36</f>
        <v>30</v>
      </c>
      <c r="B36" s="49">
        <f>'Cash Flow'!B36</f>
        <v>40026</v>
      </c>
      <c r="C36" s="56">
        <f>'Cash Flow'!C36</f>
        <v>8.3333333333333329E-2</v>
      </c>
      <c r="D36" s="55"/>
      <c r="E36" s="57">
        <v>5.5619000000000036E-2</v>
      </c>
      <c r="F36" s="57"/>
      <c r="G36" s="57"/>
      <c r="H36" s="57"/>
      <c r="I36" s="57">
        <v>0.04</v>
      </c>
      <c r="J36" s="57"/>
      <c r="K36" s="57"/>
      <c r="L36" s="55"/>
      <c r="M36" s="78">
        <v>5.1430128318229462E-3</v>
      </c>
      <c r="N36" s="78">
        <v>0.01</v>
      </c>
      <c r="Q36" s="57"/>
      <c r="S36" s="55"/>
      <c r="T36" s="79">
        <f ca="1">OFFSET('Loss Timing'!D$6,MATCH($A36,'Loss Timing'!$A$7:$A$36,1),0)/12/PmtFreqAdd</f>
        <v>2.7777777777777779E-3</v>
      </c>
      <c r="U36" s="79">
        <f ca="1">OFFSET('Loss Timing'!E$6,MATCH($A36,'Loss Timing'!$A$7:$A$36,1),0)/12/PmtFreqAdd</f>
        <v>4.1666666666666666E-3</v>
      </c>
      <c r="V36" s="79">
        <f ca="1">OFFSET('Loss Timing'!F$6,MATCH($A36,'Loss Timing'!$A$7:$A$36,1),0)/12/PmtFreqAdd</f>
        <v>1.6666666666666666E-2</v>
      </c>
      <c r="W36" s="79">
        <f ca="1">OFFSET('Loss Timing'!G$6,MATCH($A36,'Loss Timing'!$A$7:$A$36,1),0)/12/PmtFreqAdd</f>
        <v>8.3333333333333339E-4</v>
      </c>
      <c r="X36" s="79">
        <f ca="1">OFFSET('Loss Timing'!H$6,MATCH($A36,'Loss Timing'!$A$7:$A$36,1),0)/12/PmtFreqAdd</f>
        <v>0</v>
      </c>
      <c r="Y36" s="55"/>
      <c r="Z36" s="68">
        <f t="shared" ca="1" si="0"/>
        <v>2.7777777777777779E-5</v>
      </c>
      <c r="AA36" s="68">
        <f t="shared" ca="1" si="1"/>
        <v>4.1666666666666665E-5</v>
      </c>
      <c r="AB36" s="68">
        <f t="shared" ca="1" si="2"/>
        <v>1.6666666666666666E-4</v>
      </c>
      <c r="AC36" s="68">
        <f t="shared" ca="1" si="3"/>
        <v>8.3333333333333337E-6</v>
      </c>
      <c r="AD36" s="68">
        <f t="shared" ca="1" si="4"/>
        <v>0</v>
      </c>
      <c r="AE36" s="55"/>
      <c r="AF36" s="68">
        <v>2.5000343756298449E-4</v>
      </c>
      <c r="AG36" s="81">
        <v>5.000137505262181E-4</v>
      </c>
      <c r="AH36" s="68">
        <v>1.0000550042188472E-3</v>
      </c>
      <c r="AI36" s="55"/>
    </row>
    <row r="37" spans="1:35" x14ac:dyDescent="0.2">
      <c r="A37" s="27">
        <f>'Cash Flow'!A37</f>
        <v>31</v>
      </c>
      <c r="B37" s="49">
        <f>'Cash Flow'!B37</f>
        <v>40057</v>
      </c>
      <c r="C37" s="56">
        <f>'Cash Flow'!C37</f>
        <v>8.3333333333333329E-2</v>
      </c>
      <c r="D37" s="55"/>
      <c r="E37" s="57">
        <v>5.6660666666666706E-2</v>
      </c>
      <c r="F37" s="57"/>
      <c r="G37" s="57"/>
      <c r="H37" s="57"/>
      <c r="I37" s="57">
        <v>0.04</v>
      </c>
      <c r="J37" s="57"/>
      <c r="K37" s="57"/>
      <c r="L37" s="55"/>
      <c r="M37" s="78">
        <v>5.1430128318229462E-3</v>
      </c>
      <c r="N37" s="78">
        <v>0.01</v>
      </c>
      <c r="Q37" s="57"/>
      <c r="S37" s="55"/>
      <c r="T37" s="79">
        <f ca="1">OFFSET('Loss Timing'!D$6,MATCH($A37,'Loss Timing'!$A$7:$A$36,1),0)/12/PmtFreqAdd</f>
        <v>2.7777777777777779E-3</v>
      </c>
      <c r="U37" s="79">
        <f ca="1">OFFSET('Loss Timing'!E$6,MATCH($A37,'Loss Timing'!$A$7:$A$36,1),0)/12/PmtFreqAdd</f>
        <v>4.1666666666666666E-3</v>
      </c>
      <c r="V37" s="79">
        <f ca="1">OFFSET('Loss Timing'!F$6,MATCH($A37,'Loss Timing'!$A$7:$A$36,1),0)/12/PmtFreqAdd</f>
        <v>1.6666666666666666E-2</v>
      </c>
      <c r="W37" s="79">
        <f ca="1">OFFSET('Loss Timing'!G$6,MATCH($A37,'Loss Timing'!$A$7:$A$36,1),0)/12/PmtFreqAdd</f>
        <v>8.3333333333333339E-4</v>
      </c>
      <c r="X37" s="79">
        <f ca="1">OFFSET('Loss Timing'!H$6,MATCH($A37,'Loss Timing'!$A$7:$A$36,1),0)/12/PmtFreqAdd</f>
        <v>0</v>
      </c>
      <c r="Y37" s="55"/>
      <c r="Z37" s="68">
        <f t="shared" ca="1" si="0"/>
        <v>2.7777777777777779E-5</v>
      </c>
      <c r="AA37" s="68">
        <f t="shared" ca="1" si="1"/>
        <v>4.1666666666666665E-5</v>
      </c>
      <c r="AB37" s="68">
        <f t="shared" ca="1" si="2"/>
        <v>1.6666666666666666E-4</v>
      </c>
      <c r="AC37" s="68">
        <f t="shared" ca="1" si="3"/>
        <v>8.3333333333333337E-6</v>
      </c>
      <c r="AD37" s="68">
        <f t="shared" ca="1" si="4"/>
        <v>0</v>
      </c>
      <c r="AE37" s="55"/>
      <c r="AF37" s="68">
        <v>2.5000343756298449E-4</v>
      </c>
      <c r="AG37" s="81">
        <v>5.000137505262181E-4</v>
      </c>
      <c r="AH37" s="68">
        <v>1.0000550042188472E-3</v>
      </c>
      <c r="AI37" s="55"/>
    </row>
    <row r="38" spans="1:35" x14ac:dyDescent="0.2">
      <c r="A38" s="27">
        <f>'Cash Flow'!A38</f>
        <v>32</v>
      </c>
      <c r="B38" s="49">
        <f>'Cash Flow'!B38</f>
        <v>40087</v>
      </c>
      <c r="C38" s="56">
        <f>'Cash Flow'!C38</f>
        <v>8.3333333333333329E-2</v>
      </c>
      <c r="D38" s="55"/>
      <c r="E38" s="57">
        <v>5.7702333333333376E-2</v>
      </c>
      <c r="F38" s="57"/>
      <c r="G38" s="57"/>
      <c r="H38" s="57"/>
      <c r="I38" s="57">
        <v>0.04</v>
      </c>
      <c r="J38" s="57"/>
      <c r="K38" s="57"/>
      <c r="L38" s="55"/>
      <c r="M38" s="78">
        <v>5.1430128318229462E-3</v>
      </c>
      <c r="N38" s="78">
        <v>0.01</v>
      </c>
      <c r="Q38" s="57"/>
      <c r="S38" s="55"/>
      <c r="T38" s="79">
        <f ca="1">OFFSET('Loss Timing'!D$6,MATCH($A38,'Loss Timing'!$A$7:$A$36,1),0)/12/PmtFreqAdd</f>
        <v>2.7777777777777779E-3</v>
      </c>
      <c r="U38" s="79">
        <f ca="1">OFFSET('Loss Timing'!E$6,MATCH($A38,'Loss Timing'!$A$7:$A$36,1),0)/12/PmtFreqAdd</f>
        <v>4.1666666666666666E-3</v>
      </c>
      <c r="V38" s="79">
        <f ca="1">OFFSET('Loss Timing'!F$6,MATCH($A38,'Loss Timing'!$A$7:$A$36,1),0)/12/PmtFreqAdd</f>
        <v>1.6666666666666666E-2</v>
      </c>
      <c r="W38" s="79">
        <f ca="1">OFFSET('Loss Timing'!G$6,MATCH($A38,'Loss Timing'!$A$7:$A$36,1),0)/12/PmtFreqAdd</f>
        <v>8.3333333333333339E-4</v>
      </c>
      <c r="X38" s="79">
        <f ca="1">OFFSET('Loss Timing'!H$6,MATCH($A38,'Loss Timing'!$A$7:$A$36,1),0)/12/PmtFreqAdd</f>
        <v>0</v>
      </c>
      <c r="Y38" s="55"/>
      <c r="Z38" s="68">
        <f t="shared" ca="1" si="0"/>
        <v>2.7777777777777779E-5</v>
      </c>
      <c r="AA38" s="68">
        <f t="shared" ca="1" si="1"/>
        <v>4.1666666666666665E-5</v>
      </c>
      <c r="AB38" s="68">
        <f t="shared" ca="1" si="2"/>
        <v>1.6666666666666666E-4</v>
      </c>
      <c r="AC38" s="68">
        <f t="shared" ca="1" si="3"/>
        <v>8.3333333333333337E-6</v>
      </c>
      <c r="AD38" s="68">
        <f t="shared" ca="1" si="4"/>
        <v>0</v>
      </c>
      <c r="AE38" s="55"/>
      <c r="AF38" s="68">
        <v>2.5000343756298449E-4</v>
      </c>
      <c r="AG38" s="81">
        <v>5.000137505262181E-4</v>
      </c>
      <c r="AH38" s="68">
        <v>1.0000550042188472E-3</v>
      </c>
      <c r="AI38" s="55"/>
    </row>
    <row r="39" spans="1:35" x14ac:dyDescent="0.2">
      <c r="A39" s="27">
        <f>'Cash Flow'!A39</f>
        <v>33</v>
      </c>
      <c r="B39" s="49">
        <f>'Cash Flow'!B39</f>
        <v>40118</v>
      </c>
      <c r="C39" s="56">
        <f>'Cash Flow'!C39</f>
        <v>8.3333333333333329E-2</v>
      </c>
      <c r="D39" s="55"/>
      <c r="E39" s="57">
        <v>5.8744000000000046E-2</v>
      </c>
      <c r="F39" s="57"/>
      <c r="G39" s="57"/>
      <c r="H39" s="57"/>
      <c r="I39" s="57">
        <v>0.04</v>
      </c>
      <c r="J39" s="57"/>
      <c r="K39" s="57"/>
      <c r="L39" s="55"/>
      <c r="M39" s="78">
        <v>5.1430128318229462E-3</v>
      </c>
      <c r="N39" s="78">
        <v>0.01</v>
      </c>
      <c r="Q39" s="57"/>
      <c r="S39" s="55"/>
      <c r="T39" s="79">
        <f ca="1">OFFSET('Loss Timing'!D$6,MATCH($A39,'Loss Timing'!$A$7:$A$36,1),0)/12/PmtFreqAdd</f>
        <v>2.7777777777777779E-3</v>
      </c>
      <c r="U39" s="79">
        <f ca="1">OFFSET('Loss Timing'!E$6,MATCH($A39,'Loss Timing'!$A$7:$A$36,1),0)/12/PmtFreqAdd</f>
        <v>4.1666666666666666E-3</v>
      </c>
      <c r="V39" s="79">
        <f ca="1">OFFSET('Loss Timing'!F$6,MATCH($A39,'Loss Timing'!$A$7:$A$36,1),0)/12/PmtFreqAdd</f>
        <v>1.6666666666666666E-2</v>
      </c>
      <c r="W39" s="79">
        <f ca="1">OFFSET('Loss Timing'!G$6,MATCH($A39,'Loss Timing'!$A$7:$A$36,1),0)/12/PmtFreqAdd</f>
        <v>8.3333333333333339E-4</v>
      </c>
      <c r="X39" s="79">
        <f ca="1">OFFSET('Loss Timing'!H$6,MATCH($A39,'Loss Timing'!$A$7:$A$36,1),0)/12/PmtFreqAdd</f>
        <v>0</v>
      </c>
      <c r="Y39" s="55"/>
      <c r="Z39" s="68">
        <f t="shared" ca="1" si="0"/>
        <v>2.7777777777777779E-5</v>
      </c>
      <c r="AA39" s="68">
        <f t="shared" ca="1" si="1"/>
        <v>4.1666666666666665E-5</v>
      </c>
      <c r="AB39" s="68">
        <f t="shared" ca="1" si="2"/>
        <v>1.6666666666666666E-4</v>
      </c>
      <c r="AC39" s="68">
        <f t="shared" ca="1" si="3"/>
        <v>8.3333333333333337E-6</v>
      </c>
      <c r="AD39" s="68">
        <f t="shared" ca="1" si="4"/>
        <v>0</v>
      </c>
      <c r="AE39" s="55"/>
      <c r="AF39" s="68">
        <v>2.5000343756298449E-4</v>
      </c>
      <c r="AG39" s="81">
        <v>5.000137505262181E-4</v>
      </c>
      <c r="AH39" s="68">
        <v>1.0000550042188472E-3</v>
      </c>
      <c r="AI39" s="55"/>
    </row>
    <row r="40" spans="1:35" x14ac:dyDescent="0.2">
      <c r="A40" s="27">
        <f>'Cash Flow'!A40</f>
        <v>34</v>
      </c>
      <c r="B40" s="49">
        <f>'Cash Flow'!B40</f>
        <v>40148</v>
      </c>
      <c r="C40" s="56">
        <f>'Cash Flow'!C40</f>
        <v>8.3333333333333329E-2</v>
      </c>
      <c r="D40" s="55"/>
      <c r="E40" s="57">
        <v>5.9785666666666716E-2</v>
      </c>
      <c r="F40" s="57"/>
      <c r="G40" s="57"/>
      <c r="H40" s="57"/>
      <c r="I40" s="57">
        <v>0.04</v>
      </c>
      <c r="J40" s="57"/>
      <c r="K40" s="57"/>
      <c r="L40" s="55"/>
      <c r="M40" s="78">
        <v>5.1430128318229462E-3</v>
      </c>
      <c r="N40" s="78">
        <v>0.01</v>
      </c>
      <c r="Q40" s="57"/>
      <c r="S40" s="55"/>
      <c r="T40" s="79">
        <f ca="1">OFFSET('Loss Timing'!D$6,MATCH($A40,'Loss Timing'!$A$7:$A$36,1),0)/12/PmtFreqAdd</f>
        <v>2.7777777777777779E-3</v>
      </c>
      <c r="U40" s="79">
        <f ca="1">OFFSET('Loss Timing'!E$6,MATCH($A40,'Loss Timing'!$A$7:$A$36,1),0)/12/PmtFreqAdd</f>
        <v>4.1666666666666666E-3</v>
      </c>
      <c r="V40" s="79">
        <f ca="1">OFFSET('Loss Timing'!F$6,MATCH($A40,'Loss Timing'!$A$7:$A$36,1),0)/12/PmtFreqAdd</f>
        <v>1.6666666666666666E-2</v>
      </c>
      <c r="W40" s="79">
        <f ca="1">OFFSET('Loss Timing'!G$6,MATCH($A40,'Loss Timing'!$A$7:$A$36,1),0)/12/PmtFreqAdd</f>
        <v>8.3333333333333339E-4</v>
      </c>
      <c r="X40" s="79">
        <f ca="1">OFFSET('Loss Timing'!H$6,MATCH($A40,'Loss Timing'!$A$7:$A$36,1),0)/12/PmtFreqAdd</f>
        <v>0</v>
      </c>
      <c r="Y40" s="55"/>
      <c r="Z40" s="68">
        <f t="shared" ca="1" si="0"/>
        <v>2.7777777777777779E-5</v>
      </c>
      <c r="AA40" s="68">
        <f t="shared" ca="1" si="1"/>
        <v>4.1666666666666665E-5</v>
      </c>
      <c r="AB40" s="68">
        <f t="shared" ca="1" si="2"/>
        <v>1.6666666666666666E-4</v>
      </c>
      <c r="AC40" s="68">
        <f t="shared" ca="1" si="3"/>
        <v>8.3333333333333337E-6</v>
      </c>
      <c r="AD40" s="68">
        <f t="shared" ca="1" si="4"/>
        <v>0</v>
      </c>
      <c r="AE40" s="55"/>
      <c r="AF40" s="68">
        <v>2.5000343756298449E-4</v>
      </c>
      <c r="AG40" s="81">
        <v>5.000137505262181E-4</v>
      </c>
      <c r="AH40" s="68">
        <v>1.0000550042188472E-3</v>
      </c>
      <c r="AI40" s="55"/>
    </row>
    <row r="41" spans="1:35" x14ac:dyDescent="0.2">
      <c r="A41" s="27">
        <f>'Cash Flow'!A41</f>
        <v>35</v>
      </c>
      <c r="B41" s="49">
        <f>'Cash Flow'!B41</f>
        <v>40179</v>
      </c>
      <c r="C41" s="56">
        <f>'Cash Flow'!C41</f>
        <v>8.3333333333333329E-2</v>
      </c>
      <c r="D41" s="55"/>
      <c r="E41" s="57">
        <v>6.0827333333333386E-2</v>
      </c>
      <c r="F41" s="57"/>
      <c r="G41" s="57"/>
      <c r="H41" s="57"/>
      <c r="I41" s="57">
        <v>0.04</v>
      </c>
      <c r="J41" s="57"/>
      <c r="K41" s="57"/>
      <c r="L41" s="55"/>
      <c r="M41" s="78">
        <v>5.1430128318229462E-3</v>
      </c>
      <c r="N41" s="78">
        <v>0.01</v>
      </c>
      <c r="Q41" s="57"/>
      <c r="S41" s="55"/>
      <c r="T41" s="79">
        <f ca="1">OFFSET('Loss Timing'!D$6,MATCH($A41,'Loss Timing'!$A$7:$A$36,1),0)/12/PmtFreqAdd</f>
        <v>2.7777777777777779E-3</v>
      </c>
      <c r="U41" s="79">
        <f ca="1">OFFSET('Loss Timing'!E$6,MATCH($A41,'Loss Timing'!$A$7:$A$36,1),0)/12/PmtFreqAdd</f>
        <v>4.1666666666666666E-3</v>
      </c>
      <c r="V41" s="79">
        <f ca="1">OFFSET('Loss Timing'!F$6,MATCH($A41,'Loss Timing'!$A$7:$A$36,1),0)/12/PmtFreqAdd</f>
        <v>1.6666666666666666E-2</v>
      </c>
      <c r="W41" s="79">
        <f ca="1">OFFSET('Loss Timing'!G$6,MATCH($A41,'Loss Timing'!$A$7:$A$36,1),0)/12/PmtFreqAdd</f>
        <v>8.3333333333333339E-4</v>
      </c>
      <c r="X41" s="79">
        <f ca="1">OFFSET('Loss Timing'!H$6,MATCH($A41,'Loss Timing'!$A$7:$A$36,1),0)/12/PmtFreqAdd</f>
        <v>0</v>
      </c>
      <c r="Y41" s="55"/>
      <c r="Z41" s="68">
        <f t="shared" ca="1" si="0"/>
        <v>2.7777777777777779E-5</v>
      </c>
      <c r="AA41" s="68">
        <f t="shared" ca="1" si="1"/>
        <v>4.1666666666666665E-5</v>
      </c>
      <c r="AB41" s="68">
        <f t="shared" ca="1" si="2"/>
        <v>1.6666666666666666E-4</v>
      </c>
      <c r="AC41" s="68">
        <f t="shared" ca="1" si="3"/>
        <v>8.3333333333333337E-6</v>
      </c>
      <c r="AD41" s="68">
        <f t="shared" ca="1" si="4"/>
        <v>0</v>
      </c>
      <c r="AE41" s="55"/>
      <c r="AF41" s="68">
        <v>2.5000343756298449E-4</v>
      </c>
      <c r="AG41" s="81">
        <v>5.000137505262181E-4</v>
      </c>
      <c r="AH41" s="68">
        <v>1.0000550042188472E-3</v>
      </c>
      <c r="AI41" s="55"/>
    </row>
    <row r="42" spans="1:35" x14ac:dyDescent="0.2">
      <c r="A42" s="27">
        <f>'Cash Flow'!A42</f>
        <v>36</v>
      </c>
      <c r="B42" s="49">
        <f>'Cash Flow'!B42</f>
        <v>40210</v>
      </c>
      <c r="C42" s="56">
        <f>'Cash Flow'!C42</f>
        <v>8.3333333333333329E-2</v>
      </c>
      <c r="D42" s="55"/>
      <c r="E42" s="57">
        <v>6.1869000000000056E-2</v>
      </c>
      <c r="F42" s="57"/>
      <c r="G42" s="57"/>
      <c r="H42" s="57"/>
      <c r="I42" s="57">
        <v>0.04</v>
      </c>
      <c r="J42" s="57"/>
      <c r="K42" s="57"/>
      <c r="L42" s="55"/>
      <c r="M42" s="78">
        <v>5.1430128318229462E-3</v>
      </c>
      <c r="N42" s="78">
        <v>0.01</v>
      </c>
      <c r="Q42" s="57"/>
      <c r="S42" s="55"/>
      <c r="T42" s="79">
        <f ca="1">OFFSET('Loss Timing'!D$6,MATCH($A42,'Loss Timing'!$A$7:$A$36,1),0)/12/PmtFreqAdd</f>
        <v>2.7777777777777779E-3</v>
      </c>
      <c r="U42" s="79">
        <f ca="1">OFFSET('Loss Timing'!E$6,MATCH($A42,'Loss Timing'!$A$7:$A$36,1),0)/12/PmtFreqAdd</f>
        <v>4.1666666666666666E-3</v>
      </c>
      <c r="V42" s="79">
        <f ca="1">OFFSET('Loss Timing'!F$6,MATCH($A42,'Loss Timing'!$A$7:$A$36,1),0)/12/PmtFreqAdd</f>
        <v>1.6666666666666666E-2</v>
      </c>
      <c r="W42" s="79">
        <f ca="1">OFFSET('Loss Timing'!G$6,MATCH($A42,'Loss Timing'!$A$7:$A$36,1),0)/12/PmtFreqAdd</f>
        <v>8.3333333333333339E-4</v>
      </c>
      <c r="X42" s="79">
        <f ca="1">OFFSET('Loss Timing'!H$6,MATCH($A42,'Loss Timing'!$A$7:$A$36,1),0)/12/PmtFreqAdd</f>
        <v>0</v>
      </c>
      <c r="Y42" s="55"/>
      <c r="Z42" s="68">
        <f t="shared" ca="1" si="0"/>
        <v>2.7777777777777779E-5</v>
      </c>
      <c r="AA42" s="68">
        <f t="shared" ca="1" si="1"/>
        <v>4.1666666666666665E-5</v>
      </c>
      <c r="AB42" s="68">
        <f t="shared" ca="1" si="2"/>
        <v>1.6666666666666666E-4</v>
      </c>
      <c r="AC42" s="68">
        <f t="shared" ca="1" si="3"/>
        <v>8.3333333333333337E-6</v>
      </c>
      <c r="AD42" s="68">
        <f t="shared" ca="1" si="4"/>
        <v>0</v>
      </c>
      <c r="AE42" s="55"/>
      <c r="AF42" s="68">
        <v>2.5000343756298449E-4</v>
      </c>
      <c r="AG42" s="81">
        <v>5.000137505262181E-4</v>
      </c>
      <c r="AH42" s="68">
        <v>1.0000550042188472E-3</v>
      </c>
      <c r="AI42" s="55"/>
    </row>
    <row r="43" spans="1:35" x14ac:dyDescent="0.2">
      <c r="A43" s="27">
        <f>'Cash Flow'!A43</f>
        <v>37</v>
      </c>
      <c r="B43" s="49">
        <f>'Cash Flow'!B43</f>
        <v>40238</v>
      </c>
      <c r="C43" s="56">
        <f>'Cash Flow'!C43</f>
        <v>8.3333333333333329E-2</v>
      </c>
      <c r="D43" s="55"/>
      <c r="E43" s="57">
        <v>6.2494000000000056E-2</v>
      </c>
      <c r="F43" s="57"/>
      <c r="G43" s="57"/>
      <c r="H43" s="57"/>
      <c r="I43" s="57">
        <v>0.04</v>
      </c>
      <c r="J43" s="57"/>
      <c r="K43" s="57"/>
      <c r="L43" s="55"/>
      <c r="M43" s="78">
        <v>5.1430128318229462E-3</v>
      </c>
      <c r="N43" s="78">
        <v>0.01</v>
      </c>
      <c r="Q43" s="57"/>
      <c r="S43" s="55"/>
      <c r="T43" s="79">
        <f ca="1">OFFSET('Loss Timing'!D$6,MATCH($A43,'Loss Timing'!$A$7:$A$36,1),0)/12/PmtFreqAdd</f>
        <v>2.7777777777777779E-3</v>
      </c>
      <c r="U43" s="79">
        <f ca="1">OFFSET('Loss Timing'!E$6,MATCH($A43,'Loss Timing'!$A$7:$A$36,1),0)/12/PmtFreqAdd</f>
        <v>4.1666666666666666E-3</v>
      </c>
      <c r="V43" s="79">
        <f ca="1">OFFSET('Loss Timing'!F$6,MATCH($A43,'Loss Timing'!$A$7:$A$36,1),0)/12/PmtFreqAdd</f>
        <v>1.6666666666666666E-2</v>
      </c>
      <c r="W43" s="79">
        <f ca="1">OFFSET('Loss Timing'!G$6,MATCH($A43,'Loss Timing'!$A$7:$A$36,1),0)/12/PmtFreqAdd</f>
        <v>8.3333333333333339E-4</v>
      </c>
      <c r="X43" s="79">
        <f ca="1">OFFSET('Loss Timing'!H$6,MATCH($A43,'Loss Timing'!$A$7:$A$36,1),0)/12/PmtFreqAdd</f>
        <v>0</v>
      </c>
      <c r="Y43" s="55"/>
      <c r="Z43" s="68">
        <f t="shared" ca="1" si="0"/>
        <v>2.7777777777777779E-5</v>
      </c>
      <c r="AA43" s="68">
        <f t="shared" ca="1" si="1"/>
        <v>4.1666666666666665E-5</v>
      </c>
      <c r="AB43" s="68">
        <f t="shared" ca="1" si="2"/>
        <v>1.6666666666666666E-4</v>
      </c>
      <c r="AC43" s="68">
        <f t="shared" ca="1" si="3"/>
        <v>8.3333333333333337E-6</v>
      </c>
      <c r="AD43" s="68">
        <f t="shared" ca="1" si="4"/>
        <v>0</v>
      </c>
      <c r="AE43" s="55"/>
      <c r="AF43" s="68">
        <v>2.5000343756298449E-4</v>
      </c>
      <c r="AG43" s="81">
        <v>5.000137505262181E-4</v>
      </c>
      <c r="AH43" s="68">
        <v>1.0000550042188472E-3</v>
      </c>
      <c r="AI43" s="55"/>
    </row>
    <row r="44" spans="1:35" x14ac:dyDescent="0.2">
      <c r="A44" s="27">
        <f>'Cash Flow'!A44</f>
        <v>38</v>
      </c>
      <c r="B44" s="49">
        <f>'Cash Flow'!B44</f>
        <v>40269</v>
      </c>
      <c r="C44" s="56">
        <f>'Cash Flow'!C44</f>
        <v>8.3333333333333329E-2</v>
      </c>
      <c r="D44" s="55"/>
      <c r="E44" s="57">
        <v>6.311900000000005E-2</v>
      </c>
      <c r="F44" s="57"/>
      <c r="G44" s="57"/>
      <c r="H44" s="57"/>
      <c r="I44" s="57">
        <v>0.04</v>
      </c>
      <c r="J44" s="57"/>
      <c r="K44" s="57"/>
      <c r="L44" s="55"/>
      <c r="M44" s="78">
        <v>5.1430128318229462E-3</v>
      </c>
      <c r="N44" s="78">
        <v>0.01</v>
      </c>
      <c r="Q44" s="57"/>
      <c r="S44" s="55"/>
      <c r="T44" s="79">
        <f ca="1">OFFSET('Loss Timing'!D$6,MATCH($A44,'Loss Timing'!$A$7:$A$36,1),0)/12/PmtFreqAdd</f>
        <v>2.7777777777777779E-3</v>
      </c>
      <c r="U44" s="79">
        <f ca="1">OFFSET('Loss Timing'!E$6,MATCH($A44,'Loss Timing'!$A$7:$A$36,1),0)/12/PmtFreqAdd</f>
        <v>4.1666666666666666E-3</v>
      </c>
      <c r="V44" s="79">
        <f ca="1">OFFSET('Loss Timing'!F$6,MATCH($A44,'Loss Timing'!$A$7:$A$36,1),0)/12/PmtFreqAdd</f>
        <v>1.6666666666666666E-2</v>
      </c>
      <c r="W44" s="79">
        <f ca="1">OFFSET('Loss Timing'!G$6,MATCH($A44,'Loss Timing'!$A$7:$A$36,1),0)/12/PmtFreqAdd</f>
        <v>8.3333333333333339E-4</v>
      </c>
      <c r="X44" s="79">
        <f ca="1">OFFSET('Loss Timing'!H$6,MATCH($A44,'Loss Timing'!$A$7:$A$36,1),0)/12/PmtFreqAdd</f>
        <v>0</v>
      </c>
      <c r="Y44" s="55"/>
      <c r="Z44" s="68">
        <f t="shared" ca="1" si="0"/>
        <v>2.7777777777777779E-5</v>
      </c>
      <c r="AA44" s="68">
        <f t="shared" ca="1" si="1"/>
        <v>4.1666666666666665E-5</v>
      </c>
      <c r="AB44" s="68">
        <f t="shared" ca="1" si="2"/>
        <v>1.6666666666666666E-4</v>
      </c>
      <c r="AC44" s="68">
        <f t="shared" ca="1" si="3"/>
        <v>8.3333333333333337E-6</v>
      </c>
      <c r="AD44" s="68">
        <f t="shared" ca="1" si="4"/>
        <v>0</v>
      </c>
      <c r="AE44" s="55"/>
      <c r="AF44" s="68">
        <v>2.5000343756298449E-4</v>
      </c>
      <c r="AG44" s="81">
        <v>5.000137505262181E-4</v>
      </c>
      <c r="AH44" s="68">
        <v>1.0000550042188472E-3</v>
      </c>
      <c r="AI44" s="55"/>
    </row>
    <row r="45" spans="1:35" x14ac:dyDescent="0.2">
      <c r="A45" s="27">
        <f>'Cash Flow'!A45</f>
        <v>39</v>
      </c>
      <c r="B45" s="49">
        <f>'Cash Flow'!B45</f>
        <v>40299</v>
      </c>
      <c r="C45" s="56">
        <f>'Cash Flow'!C45</f>
        <v>8.3333333333333329E-2</v>
      </c>
      <c r="D45" s="55"/>
      <c r="E45" s="57">
        <v>6.3744000000000051E-2</v>
      </c>
      <c r="F45" s="57"/>
      <c r="G45" s="57"/>
      <c r="H45" s="57"/>
      <c r="I45" s="57">
        <v>0.04</v>
      </c>
      <c r="J45" s="57"/>
      <c r="K45" s="57"/>
      <c r="L45" s="55"/>
      <c r="M45" s="78">
        <v>5.1430128318229462E-3</v>
      </c>
      <c r="N45" s="78">
        <v>0.01</v>
      </c>
      <c r="Q45" s="57"/>
      <c r="S45" s="55"/>
      <c r="T45" s="79">
        <f ca="1">OFFSET('Loss Timing'!D$6,MATCH($A45,'Loss Timing'!$A$7:$A$36,1),0)/12/PmtFreqAdd</f>
        <v>2.7777777777777779E-3</v>
      </c>
      <c r="U45" s="79">
        <f ca="1">OFFSET('Loss Timing'!E$6,MATCH($A45,'Loss Timing'!$A$7:$A$36,1),0)/12/PmtFreqAdd</f>
        <v>4.1666666666666666E-3</v>
      </c>
      <c r="V45" s="79">
        <f ca="1">OFFSET('Loss Timing'!F$6,MATCH($A45,'Loss Timing'!$A$7:$A$36,1),0)/12/PmtFreqAdd</f>
        <v>1.6666666666666666E-2</v>
      </c>
      <c r="W45" s="79">
        <f ca="1">OFFSET('Loss Timing'!G$6,MATCH($A45,'Loss Timing'!$A$7:$A$36,1),0)/12/PmtFreqAdd</f>
        <v>8.3333333333333339E-4</v>
      </c>
      <c r="X45" s="79">
        <f ca="1">OFFSET('Loss Timing'!H$6,MATCH($A45,'Loss Timing'!$A$7:$A$36,1),0)/12/PmtFreqAdd</f>
        <v>0</v>
      </c>
      <c r="Y45" s="55"/>
      <c r="Z45" s="68">
        <f t="shared" ca="1" si="0"/>
        <v>2.7777777777777779E-5</v>
      </c>
      <c r="AA45" s="68">
        <f t="shared" ca="1" si="1"/>
        <v>4.1666666666666665E-5</v>
      </c>
      <c r="AB45" s="68">
        <f t="shared" ca="1" si="2"/>
        <v>1.6666666666666666E-4</v>
      </c>
      <c r="AC45" s="68">
        <f t="shared" ca="1" si="3"/>
        <v>8.3333333333333337E-6</v>
      </c>
      <c r="AD45" s="68">
        <f t="shared" ca="1" si="4"/>
        <v>0</v>
      </c>
      <c r="AE45" s="55"/>
      <c r="AF45" s="68">
        <v>2.5000343756298449E-4</v>
      </c>
      <c r="AG45" s="81">
        <v>5.000137505262181E-4</v>
      </c>
      <c r="AH45" s="68">
        <v>1.0000550042188472E-3</v>
      </c>
      <c r="AI45" s="55"/>
    </row>
    <row r="46" spans="1:35" x14ac:dyDescent="0.2">
      <c r="A46" s="27">
        <f>'Cash Flow'!A46</f>
        <v>40</v>
      </c>
      <c r="B46" s="49">
        <f>'Cash Flow'!B46</f>
        <v>40330</v>
      </c>
      <c r="C46" s="56">
        <f>'Cash Flow'!C46</f>
        <v>8.3333333333333329E-2</v>
      </c>
      <c r="D46" s="55"/>
      <c r="E46" s="57">
        <v>6.4369000000000051E-2</v>
      </c>
      <c r="F46" s="57"/>
      <c r="G46" s="57"/>
      <c r="H46" s="57"/>
      <c r="I46" s="57">
        <v>0.04</v>
      </c>
      <c r="J46" s="57"/>
      <c r="K46" s="57"/>
      <c r="L46" s="55"/>
      <c r="M46" s="78">
        <v>5.1430128318229462E-3</v>
      </c>
      <c r="N46" s="78">
        <v>0.01</v>
      </c>
      <c r="Q46" s="57"/>
      <c r="S46" s="55"/>
      <c r="T46" s="79">
        <f ca="1">OFFSET('Loss Timing'!D$6,MATCH($A46,'Loss Timing'!$A$7:$A$36,1),0)/12/PmtFreqAdd</f>
        <v>2.7777777777777779E-3</v>
      </c>
      <c r="U46" s="79">
        <f ca="1">OFFSET('Loss Timing'!E$6,MATCH($A46,'Loss Timing'!$A$7:$A$36,1),0)/12/PmtFreqAdd</f>
        <v>4.1666666666666666E-3</v>
      </c>
      <c r="V46" s="79">
        <f ca="1">OFFSET('Loss Timing'!F$6,MATCH($A46,'Loss Timing'!$A$7:$A$36,1),0)/12/PmtFreqAdd</f>
        <v>1.6666666666666666E-2</v>
      </c>
      <c r="W46" s="79">
        <f ca="1">OFFSET('Loss Timing'!G$6,MATCH($A46,'Loss Timing'!$A$7:$A$36,1),0)/12/PmtFreqAdd</f>
        <v>8.3333333333333339E-4</v>
      </c>
      <c r="X46" s="79">
        <f ca="1">OFFSET('Loss Timing'!H$6,MATCH($A46,'Loss Timing'!$A$7:$A$36,1),0)/12/PmtFreqAdd</f>
        <v>0</v>
      </c>
      <c r="Y46" s="55"/>
      <c r="Z46" s="68">
        <f t="shared" ca="1" si="0"/>
        <v>2.7777777777777779E-5</v>
      </c>
      <c r="AA46" s="68">
        <f t="shared" ca="1" si="1"/>
        <v>4.1666666666666665E-5</v>
      </c>
      <c r="AB46" s="68">
        <f t="shared" ca="1" si="2"/>
        <v>1.6666666666666666E-4</v>
      </c>
      <c r="AC46" s="68">
        <f t="shared" ca="1" si="3"/>
        <v>8.3333333333333337E-6</v>
      </c>
      <c r="AD46" s="68">
        <f t="shared" ca="1" si="4"/>
        <v>0</v>
      </c>
      <c r="AE46" s="55"/>
      <c r="AF46" s="68">
        <v>2.5000343756298449E-4</v>
      </c>
      <c r="AG46" s="81">
        <v>5.000137505262181E-4</v>
      </c>
      <c r="AH46" s="68">
        <v>1.0000550042188472E-3</v>
      </c>
      <c r="AI46" s="55"/>
    </row>
    <row r="47" spans="1:35" x14ac:dyDescent="0.2">
      <c r="A47" s="27">
        <f>'Cash Flow'!A47</f>
        <v>41</v>
      </c>
      <c r="B47" s="49">
        <f>'Cash Flow'!B47</f>
        <v>40360</v>
      </c>
      <c r="C47" s="56">
        <f>'Cash Flow'!C47</f>
        <v>8.3333333333333329E-2</v>
      </c>
      <c r="D47" s="55"/>
      <c r="E47" s="57">
        <v>6.4994000000000052E-2</v>
      </c>
      <c r="F47" s="57"/>
      <c r="G47" s="57"/>
      <c r="H47" s="57"/>
      <c r="I47" s="57">
        <v>0.04</v>
      </c>
      <c r="J47" s="57"/>
      <c r="K47" s="57"/>
      <c r="L47" s="55"/>
      <c r="M47" s="78">
        <v>5.1430128318229462E-3</v>
      </c>
      <c r="N47" s="78">
        <v>0.01</v>
      </c>
      <c r="Q47" s="57"/>
      <c r="S47" s="55"/>
      <c r="T47" s="79">
        <f ca="1">OFFSET('Loss Timing'!D$6,MATCH($A47,'Loss Timing'!$A$7:$A$36,1),0)/12/PmtFreqAdd</f>
        <v>2.7777777777777779E-3</v>
      </c>
      <c r="U47" s="79">
        <f ca="1">OFFSET('Loss Timing'!E$6,MATCH($A47,'Loss Timing'!$A$7:$A$36,1),0)/12/PmtFreqAdd</f>
        <v>4.1666666666666666E-3</v>
      </c>
      <c r="V47" s="79">
        <f ca="1">OFFSET('Loss Timing'!F$6,MATCH($A47,'Loss Timing'!$A$7:$A$36,1),0)/12/PmtFreqAdd</f>
        <v>1.6666666666666666E-2</v>
      </c>
      <c r="W47" s="79">
        <f ca="1">OFFSET('Loss Timing'!G$6,MATCH($A47,'Loss Timing'!$A$7:$A$36,1),0)/12/PmtFreqAdd</f>
        <v>8.3333333333333339E-4</v>
      </c>
      <c r="X47" s="79">
        <f ca="1">OFFSET('Loss Timing'!H$6,MATCH($A47,'Loss Timing'!$A$7:$A$36,1),0)/12/PmtFreqAdd</f>
        <v>0</v>
      </c>
      <c r="Y47" s="55"/>
      <c r="Z47" s="68">
        <f t="shared" ca="1" si="0"/>
        <v>2.7777777777777779E-5</v>
      </c>
      <c r="AA47" s="68">
        <f t="shared" ca="1" si="1"/>
        <v>4.1666666666666665E-5</v>
      </c>
      <c r="AB47" s="68">
        <f t="shared" ca="1" si="2"/>
        <v>1.6666666666666666E-4</v>
      </c>
      <c r="AC47" s="68">
        <f t="shared" ca="1" si="3"/>
        <v>8.3333333333333337E-6</v>
      </c>
      <c r="AD47" s="68">
        <f t="shared" ca="1" si="4"/>
        <v>0</v>
      </c>
      <c r="AE47" s="55"/>
      <c r="AF47" s="68">
        <v>2.5000343756298449E-4</v>
      </c>
      <c r="AG47" s="81">
        <v>5.000137505262181E-4</v>
      </c>
      <c r="AH47" s="68">
        <v>1.0000550042188472E-3</v>
      </c>
      <c r="AI47" s="55"/>
    </row>
    <row r="48" spans="1:35" x14ac:dyDescent="0.2">
      <c r="A48" s="27">
        <f>'Cash Flow'!A48</f>
        <v>42</v>
      </c>
      <c r="B48" s="49">
        <f>'Cash Flow'!B48</f>
        <v>40391</v>
      </c>
      <c r="C48" s="56">
        <f>'Cash Flow'!C48</f>
        <v>8.3333333333333329E-2</v>
      </c>
      <c r="D48" s="55"/>
      <c r="E48" s="57">
        <v>6.5619000000000052E-2</v>
      </c>
      <c r="F48" s="57"/>
      <c r="G48" s="57"/>
      <c r="H48" s="57"/>
      <c r="I48" s="57">
        <v>0.04</v>
      </c>
      <c r="J48" s="57"/>
      <c r="K48" s="57"/>
      <c r="L48" s="55"/>
      <c r="M48" s="78">
        <v>5.1430128318229462E-3</v>
      </c>
      <c r="N48" s="78">
        <v>0.01</v>
      </c>
      <c r="Q48" s="57"/>
      <c r="S48" s="55"/>
      <c r="T48" s="79">
        <f ca="1">OFFSET('Loss Timing'!D$6,MATCH($A48,'Loss Timing'!$A$7:$A$36,1),0)/12/PmtFreqAdd</f>
        <v>2.7777777777777779E-3</v>
      </c>
      <c r="U48" s="79">
        <f ca="1">OFFSET('Loss Timing'!E$6,MATCH($A48,'Loss Timing'!$A$7:$A$36,1),0)/12/PmtFreqAdd</f>
        <v>4.1666666666666666E-3</v>
      </c>
      <c r="V48" s="79">
        <f ca="1">OFFSET('Loss Timing'!F$6,MATCH($A48,'Loss Timing'!$A$7:$A$36,1),0)/12/PmtFreqAdd</f>
        <v>1.6666666666666666E-2</v>
      </c>
      <c r="W48" s="79">
        <f ca="1">OFFSET('Loss Timing'!G$6,MATCH($A48,'Loss Timing'!$A$7:$A$36,1),0)/12/PmtFreqAdd</f>
        <v>8.3333333333333339E-4</v>
      </c>
      <c r="X48" s="79">
        <f ca="1">OFFSET('Loss Timing'!H$6,MATCH($A48,'Loss Timing'!$A$7:$A$36,1),0)/12/PmtFreqAdd</f>
        <v>0</v>
      </c>
      <c r="Y48" s="55"/>
      <c r="Z48" s="68">
        <f t="shared" ca="1" si="0"/>
        <v>2.7777777777777779E-5</v>
      </c>
      <c r="AA48" s="68">
        <f t="shared" ca="1" si="1"/>
        <v>4.1666666666666665E-5</v>
      </c>
      <c r="AB48" s="68">
        <f t="shared" ca="1" si="2"/>
        <v>1.6666666666666666E-4</v>
      </c>
      <c r="AC48" s="68">
        <f t="shared" ca="1" si="3"/>
        <v>8.3333333333333337E-6</v>
      </c>
      <c r="AD48" s="68">
        <f t="shared" ca="1" si="4"/>
        <v>0</v>
      </c>
      <c r="AE48" s="55"/>
      <c r="AF48" s="68">
        <v>2.5000343756298449E-4</v>
      </c>
      <c r="AG48" s="81">
        <v>5.000137505262181E-4</v>
      </c>
      <c r="AH48" s="68">
        <v>1.0000550042188472E-3</v>
      </c>
      <c r="AI48" s="55"/>
    </row>
    <row r="49" spans="1:35" x14ac:dyDescent="0.2">
      <c r="A49" s="27">
        <f>'Cash Flow'!A49</f>
        <v>43</v>
      </c>
      <c r="B49" s="49">
        <f>'Cash Flow'!B49</f>
        <v>40422</v>
      </c>
      <c r="C49" s="56">
        <f>'Cash Flow'!C49</f>
        <v>8.3333333333333329E-2</v>
      </c>
      <c r="D49" s="55"/>
      <c r="E49" s="57">
        <v>6.6244000000000053E-2</v>
      </c>
      <c r="F49" s="57"/>
      <c r="G49" s="57"/>
      <c r="H49" s="57"/>
      <c r="I49" s="57">
        <v>0.04</v>
      </c>
      <c r="J49" s="57"/>
      <c r="K49" s="57"/>
      <c r="L49" s="55"/>
      <c r="M49" s="78">
        <v>5.1430128318229462E-3</v>
      </c>
      <c r="N49" s="78">
        <v>0.01</v>
      </c>
      <c r="Q49" s="57"/>
      <c r="S49" s="55"/>
      <c r="T49" s="79">
        <f ca="1">OFFSET('Loss Timing'!D$6,MATCH($A49,'Loss Timing'!$A$7:$A$36,1),0)/12/PmtFreqAdd</f>
        <v>2.7777777777777779E-3</v>
      </c>
      <c r="U49" s="79">
        <f ca="1">OFFSET('Loss Timing'!E$6,MATCH($A49,'Loss Timing'!$A$7:$A$36,1),0)/12/PmtFreqAdd</f>
        <v>4.1666666666666666E-3</v>
      </c>
      <c r="V49" s="79">
        <f ca="1">OFFSET('Loss Timing'!F$6,MATCH($A49,'Loss Timing'!$A$7:$A$36,1),0)/12/PmtFreqAdd</f>
        <v>1.6666666666666666E-2</v>
      </c>
      <c r="W49" s="79">
        <f ca="1">OFFSET('Loss Timing'!G$6,MATCH($A49,'Loss Timing'!$A$7:$A$36,1),0)/12/PmtFreqAdd</f>
        <v>8.3333333333333339E-4</v>
      </c>
      <c r="X49" s="79">
        <f ca="1">OFFSET('Loss Timing'!H$6,MATCH($A49,'Loss Timing'!$A$7:$A$36,1),0)/12/PmtFreqAdd</f>
        <v>0</v>
      </c>
      <c r="Y49" s="55"/>
      <c r="Z49" s="68">
        <f t="shared" ca="1" si="0"/>
        <v>2.7777777777777779E-5</v>
      </c>
      <c r="AA49" s="68">
        <f t="shared" ca="1" si="1"/>
        <v>4.1666666666666665E-5</v>
      </c>
      <c r="AB49" s="68">
        <f t="shared" ca="1" si="2"/>
        <v>1.6666666666666666E-4</v>
      </c>
      <c r="AC49" s="68">
        <f t="shared" ca="1" si="3"/>
        <v>8.3333333333333337E-6</v>
      </c>
      <c r="AD49" s="68">
        <f t="shared" ca="1" si="4"/>
        <v>0</v>
      </c>
      <c r="AE49" s="55"/>
      <c r="AF49" s="68">
        <v>2.5000343756298449E-4</v>
      </c>
      <c r="AG49" s="81">
        <v>5.000137505262181E-4</v>
      </c>
      <c r="AH49" s="68">
        <v>1.0000550042188472E-3</v>
      </c>
      <c r="AI49" s="55"/>
    </row>
    <row r="50" spans="1:35" x14ac:dyDescent="0.2">
      <c r="A50" s="27">
        <f>'Cash Flow'!A50</f>
        <v>44</v>
      </c>
      <c r="B50" s="49">
        <f>'Cash Flow'!B50</f>
        <v>40452</v>
      </c>
      <c r="C50" s="56">
        <f>'Cash Flow'!C50</f>
        <v>8.3333333333333329E-2</v>
      </c>
      <c r="D50" s="55"/>
      <c r="E50" s="57">
        <v>6.6869000000000053E-2</v>
      </c>
      <c r="F50" s="57"/>
      <c r="G50" s="57"/>
      <c r="H50" s="57"/>
      <c r="I50" s="57">
        <v>0.04</v>
      </c>
      <c r="J50" s="57"/>
      <c r="K50" s="57"/>
      <c r="L50" s="55"/>
      <c r="M50" s="78">
        <v>5.1430128318229462E-3</v>
      </c>
      <c r="N50" s="78">
        <v>0.01</v>
      </c>
      <c r="Q50" s="57"/>
      <c r="S50" s="55"/>
      <c r="T50" s="79">
        <f ca="1">OFFSET('Loss Timing'!D$6,MATCH($A50,'Loss Timing'!$A$7:$A$36,1),0)/12/PmtFreqAdd</f>
        <v>2.7777777777777779E-3</v>
      </c>
      <c r="U50" s="79">
        <f ca="1">OFFSET('Loss Timing'!E$6,MATCH($A50,'Loss Timing'!$A$7:$A$36,1),0)/12/PmtFreqAdd</f>
        <v>4.1666666666666666E-3</v>
      </c>
      <c r="V50" s="79">
        <f ca="1">OFFSET('Loss Timing'!F$6,MATCH($A50,'Loss Timing'!$A$7:$A$36,1),0)/12/PmtFreqAdd</f>
        <v>1.6666666666666666E-2</v>
      </c>
      <c r="W50" s="79">
        <f ca="1">OFFSET('Loss Timing'!G$6,MATCH($A50,'Loss Timing'!$A$7:$A$36,1),0)/12/PmtFreqAdd</f>
        <v>8.3333333333333339E-4</v>
      </c>
      <c r="X50" s="79">
        <f ca="1">OFFSET('Loss Timing'!H$6,MATCH($A50,'Loss Timing'!$A$7:$A$36,1),0)/12/PmtFreqAdd</f>
        <v>0</v>
      </c>
      <c r="Y50" s="55"/>
      <c r="Z50" s="68">
        <f t="shared" ca="1" si="0"/>
        <v>2.7777777777777779E-5</v>
      </c>
      <c r="AA50" s="68">
        <f t="shared" ca="1" si="1"/>
        <v>4.1666666666666665E-5</v>
      </c>
      <c r="AB50" s="68">
        <f t="shared" ca="1" si="2"/>
        <v>1.6666666666666666E-4</v>
      </c>
      <c r="AC50" s="68">
        <f t="shared" ca="1" si="3"/>
        <v>8.3333333333333337E-6</v>
      </c>
      <c r="AD50" s="68">
        <f t="shared" ca="1" si="4"/>
        <v>0</v>
      </c>
      <c r="AE50" s="55"/>
      <c r="AF50" s="68">
        <v>2.5000343756298449E-4</v>
      </c>
      <c r="AG50" s="81">
        <v>5.000137505262181E-4</v>
      </c>
      <c r="AH50" s="68">
        <v>1.0000550042188472E-3</v>
      </c>
      <c r="AI50" s="55"/>
    </row>
    <row r="51" spans="1:35" x14ac:dyDescent="0.2">
      <c r="A51" s="27">
        <f>'Cash Flow'!A51</f>
        <v>45</v>
      </c>
      <c r="B51" s="49">
        <f>'Cash Flow'!B51</f>
        <v>40483</v>
      </c>
      <c r="C51" s="56">
        <f>'Cash Flow'!C51</f>
        <v>8.3333333333333329E-2</v>
      </c>
      <c r="D51" s="55"/>
      <c r="E51" s="57">
        <v>6.7494000000000054E-2</v>
      </c>
      <c r="F51" s="57"/>
      <c r="G51" s="57"/>
      <c r="H51" s="57"/>
      <c r="I51" s="57">
        <v>0.04</v>
      </c>
      <c r="J51" s="57"/>
      <c r="K51" s="57"/>
      <c r="L51" s="55"/>
      <c r="M51" s="78">
        <v>5.1430128318229462E-3</v>
      </c>
      <c r="N51" s="78">
        <v>0.01</v>
      </c>
      <c r="Q51" s="57"/>
      <c r="S51" s="55"/>
      <c r="T51" s="79">
        <f ca="1">OFFSET('Loss Timing'!D$6,MATCH($A51,'Loss Timing'!$A$7:$A$36,1),0)/12/PmtFreqAdd</f>
        <v>2.7777777777777779E-3</v>
      </c>
      <c r="U51" s="79">
        <f ca="1">OFFSET('Loss Timing'!E$6,MATCH($A51,'Loss Timing'!$A$7:$A$36,1),0)/12/PmtFreqAdd</f>
        <v>4.1666666666666666E-3</v>
      </c>
      <c r="V51" s="79">
        <f ca="1">OFFSET('Loss Timing'!F$6,MATCH($A51,'Loss Timing'!$A$7:$A$36,1),0)/12/PmtFreqAdd</f>
        <v>1.6666666666666666E-2</v>
      </c>
      <c r="W51" s="79">
        <f ca="1">OFFSET('Loss Timing'!G$6,MATCH($A51,'Loss Timing'!$A$7:$A$36,1),0)/12/PmtFreqAdd</f>
        <v>8.3333333333333339E-4</v>
      </c>
      <c r="X51" s="79">
        <f ca="1">OFFSET('Loss Timing'!H$6,MATCH($A51,'Loss Timing'!$A$7:$A$36,1),0)/12/PmtFreqAdd</f>
        <v>0</v>
      </c>
      <c r="Y51" s="55"/>
      <c r="Z51" s="68">
        <f t="shared" ca="1" si="0"/>
        <v>2.7777777777777779E-5</v>
      </c>
      <c r="AA51" s="68">
        <f t="shared" ca="1" si="1"/>
        <v>4.1666666666666665E-5</v>
      </c>
      <c r="AB51" s="68">
        <f t="shared" ca="1" si="2"/>
        <v>1.6666666666666666E-4</v>
      </c>
      <c r="AC51" s="68">
        <f t="shared" ca="1" si="3"/>
        <v>8.3333333333333337E-6</v>
      </c>
      <c r="AD51" s="68">
        <f t="shared" ca="1" si="4"/>
        <v>0</v>
      </c>
      <c r="AE51" s="55"/>
      <c r="AF51" s="68">
        <v>2.5000343756298449E-4</v>
      </c>
      <c r="AG51" s="81">
        <v>5.000137505262181E-4</v>
      </c>
      <c r="AH51" s="68">
        <v>1.0000550042188472E-3</v>
      </c>
      <c r="AI51" s="55"/>
    </row>
    <row r="52" spans="1:35" x14ac:dyDescent="0.2">
      <c r="A52" s="27">
        <f>'Cash Flow'!A52</f>
        <v>46</v>
      </c>
      <c r="B52" s="49">
        <f>'Cash Flow'!B52</f>
        <v>40513</v>
      </c>
      <c r="C52" s="56">
        <f>'Cash Flow'!C52</f>
        <v>8.3333333333333329E-2</v>
      </c>
      <c r="D52" s="55"/>
      <c r="E52" s="57">
        <v>6.8119000000000055E-2</v>
      </c>
      <c r="F52" s="57"/>
      <c r="G52" s="57"/>
      <c r="H52" s="57"/>
      <c r="I52" s="57">
        <v>0.04</v>
      </c>
      <c r="J52" s="57"/>
      <c r="K52" s="57"/>
      <c r="L52" s="55"/>
      <c r="M52" s="78">
        <v>5.1430128318229462E-3</v>
      </c>
      <c r="N52" s="78">
        <v>0.01</v>
      </c>
      <c r="Q52" s="57"/>
      <c r="S52" s="55"/>
      <c r="T52" s="79">
        <f ca="1">OFFSET('Loss Timing'!D$6,MATCH($A52,'Loss Timing'!$A$7:$A$36,1),0)/12/PmtFreqAdd</f>
        <v>2.7777777777777779E-3</v>
      </c>
      <c r="U52" s="79">
        <f ca="1">OFFSET('Loss Timing'!E$6,MATCH($A52,'Loss Timing'!$A$7:$A$36,1),0)/12/PmtFreqAdd</f>
        <v>4.1666666666666666E-3</v>
      </c>
      <c r="V52" s="79">
        <f ca="1">OFFSET('Loss Timing'!F$6,MATCH($A52,'Loss Timing'!$A$7:$A$36,1),0)/12/PmtFreqAdd</f>
        <v>1.6666666666666666E-2</v>
      </c>
      <c r="W52" s="79">
        <f ca="1">OFFSET('Loss Timing'!G$6,MATCH($A52,'Loss Timing'!$A$7:$A$36,1),0)/12/PmtFreqAdd</f>
        <v>8.3333333333333339E-4</v>
      </c>
      <c r="X52" s="79">
        <f ca="1">OFFSET('Loss Timing'!H$6,MATCH($A52,'Loss Timing'!$A$7:$A$36,1),0)/12/PmtFreqAdd</f>
        <v>0</v>
      </c>
      <c r="Y52" s="55"/>
      <c r="Z52" s="68">
        <f t="shared" ca="1" si="0"/>
        <v>2.7777777777777779E-5</v>
      </c>
      <c r="AA52" s="68">
        <f t="shared" ca="1" si="1"/>
        <v>4.1666666666666665E-5</v>
      </c>
      <c r="AB52" s="68">
        <f t="shared" ca="1" si="2"/>
        <v>1.6666666666666666E-4</v>
      </c>
      <c r="AC52" s="68">
        <f t="shared" ca="1" si="3"/>
        <v>8.3333333333333337E-6</v>
      </c>
      <c r="AD52" s="68">
        <f t="shared" ca="1" si="4"/>
        <v>0</v>
      </c>
      <c r="AE52" s="55"/>
      <c r="AF52" s="68">
        <v>2.5000343756298449E-4</v>
      </c>
      <c r="AG52" s="81">
        <v>5.000137505262181E-4</v>
      </c>
      <c r="AH52" s="68">
        <v>1.0000550042188472E-3</v>
      </c>
      <c r="AI52" s="55"/>
    </row>
    <row r="53" spans="1:35" x14ac:dyDescent="0.2">
      <c r="A53" s="27">
        <f>'Cash Flow'!A53</f>
        <v>47</v>
      </c>
      <c r="B53" s="49">
        <f>'Cash Flow'!B53</f>
        <v>40544</v>
      </c>
      <c r="C53" s="56">
        <f>'Cash Flow'!C53</f>
        <v>8.3333333333333329E-2</v>
      </c>
      <c r="D53" s="55"/>
      <c r="E53" s="57">
        <v>6.8744000000000055E-2</v>
      </c>
      <c r="F53" s="57"/>
      <c r="G53" s="57"/>
      <c r="H53" s="57"/>
      <c r="I53" s="57">
        <v>0.04</v>
      </c>
      <c r="J53" s="57"/>
      <c r="K53" s="57"/>
      <c r="L53" s="55"/>
      <c r="M53" s="78">
        <v>5.1430128318229462E-3</v>
      </c>
      <c r="N53" s="78">
        <v>0.01</v>
      </c>
      <c r="Q53" s="57"/>
      <c r="S53" s="55"/>
      <c r="T53" s="79">
        <f ca="1">OFFSET('Loss Timing'!D$6,MATCH($A53,'Loss Timing'!$A$7:$A$36,1),0)/12/PmtFreqAdd</f>
        <v>2.7777777777777779E-3</v>
      </c>
      <c r="U53" s="79">
        <f ca="1">OFFSET('Loss Timing'!E$6,MATCH($A53,'Loss Timing'!$A$7:$A$36,1),0)/12/PmtFreqAdd</f>
        <v>4.1666666666666666E-3</v>
      </c>
      <c r="V53" s="79">
        <f ca="1">OFFSET('Loss Timing'!F$6,MATCH($A53,'Loss Timing'!$A$7:$A$36,1),0)/12/PmtFreqAdd</f>
        <v>1.6666666666666666E-2</v>
      </c>
      <c r="W53" s="79">
        <f ca="1">OFFSET('Loss Timing'!G$6,MATCH($A53,'Loss Timing'!$A$7:$A$36,1),0)/12/PmtFreqAdd</f>
        <v>8.3333333333333339E-4</v>
      </c>
      <c r="X53" s="79">
        <f ca="1">OFFSET('Loss Timing'!H$6,MATCH($A53,'Loss Timing'!$A$7:$A$36,1),0)/12/PmtFreqAdd</f>
        <v>0</v>
      </c>
      <c r="Y53" s="55"/>
      <c r="Z53" s="68">
        <f t="shared" ca="1" si="0"/>
        <v>2.7777777777777779E-5</v>
      </c>
      <c r="AA53" s="68">
        <f t="shared" ca="1" si="1"/>
        <v>4.1666666666666665E-5</v>
      </c>
      <c r="AB53" s="68">
        <f t="shared" ca="1" si="2"/>
        <v>1.6666666666666666E-4</v>
      </c>
      <c r="AC53" s="68">
        <f t="shared" ca="1" si="3"/>
        <v>8.3333333333333337E-6</v>
      </c>
      <c r="AD53" s="68">
        <f t="shared" ca="1" si="4"/>
        <v>0</v>
      </c>
      <c r="AE53" s="55"/>
      <c r="AF53" s="68">
        <v>2.5000343756298449E-4</v>
      </c>
      <c r="AG53" s="81">
        <v>5.000137505262181E-4</v>
      </c>
      <c r="AH53" s="68">
        <v>1.0000550042188472E-3</v>
      </c>
      <c r="AI53" s="55"/>
    </row>
    <row r="54" spans="1:35" x14ac:dyDescent="0.2">
      <c r="A54" s="27">
        <f>'Cash Flow'!A54</f>
        <v>48</v>
      </c>
      <c r="B54" s="49">
        <f>'Cash Flow'!B54</f>
        <v>40575</v>
      </c>
      <c r="C54" s="56">
        <f>'Cash Flow'!C54</f>
        <v>8.3333333333333329E-2</v>
      </c>
      <c r="D54" s="55"/>
      <c r="E54" s="57">
        <v>6.9369000000000056E-2</v>
      </c>
      <c r="F54" s="57"/>
      <c r="G54" s="57"/>
      <c r="H54" s="57"/>
      <c r="I54" s="57">
        <v>0.04</v>
      </c>
      <c r="J54" s="57"/>
      <c r="K54" s="57"/>
      <c r="L54" s="55"/>
      <c r="M54" s="78">
        <v>5.1430128318229462E-3</v>
      </c>
      <c r="N54" s="78">
        <v>0.01</v>
      </c>
      <c r="Q54" s="57"/>
      <c r="S54" s="55"/>
      <c r="T54" s="79">
        <f ca="1">OFFSET('Loss Timing'!D$6,MATCH($A54,'Loss Timing'!$A$7:$A$36,1),0)/12/PmtFreqAdd</f>
        <v>2.7777777777777779E-3</v>
      </c>
      <c r="U54" s="79">
        <f ca="1">OFFSET('Loss Timing'!E$6,MATCH($A54,'Loss Timing'!$A$7:$A$36,1),0)/12/PmtFreqAdd</f>
        <v>4.1666666666666666E-3</v>
      </c>
      <c r="V54" s="79">
        <f ca="1">OFFSET('Loss Timing'!F$6,MATCH($A54,'Loss Timing'!$A$7:$A$36,1),0)/12/PmtFreqAdd</f>
        <v>1.6666666666666666E-2</v>
      </c>
      <c r="W54" s="79">
        <f ca="1">OFFSET('Loss Timing'!G$6,MATCH($A54,'Loss Timing'!$A$7:$A$36,1),0)/12/PmtFreqAdd</f>
        <v>8.3333333333333339E-4</v>
      </c>
      <c r="X54" s="79">
        <f ca="1">OFFSET('Loss Timing'!H$6,MATCH($A54,'Loss Timing'!$A$7:$A$36,1),0)/12/PmtFreqAdd</f>
        <v>0</v>
      </c>
      <c r="Y54" s="55"/>
      <c r="Z54" s="68">
        <f t="shared" ca="1" si="0"/>
        <v>2.7777777777777779E-5</v>
      </c>
      <c r="AA54" s="68">
        <f t="shared" ca="1" si="1"/>
        <v>4.1666666666666665E-5</v>
      </c>
      <c r="AB54" s="68">
        <f t="shared" ca="1" si="2"/>
        <v>1.6666666666666666E-4</v>
      </c>
      <c r="AC54" s="68">
        <f t="shared" ca="1" si="3"/>
        <v>8.3333333333333337E-6</v>
      </c>
      <c r="AD54" s="68">
        <f t="shared" ca="1" si="4"/>
        <v>0</v>
      </c>
      <c r="AE54" s="55"/>
      <c r="AF54" s="68">
        <v>2.5000343756298449E-4</v>
      </c>
      <c r="AG54" s="81">
        <v>5.000137505262181E-4</v>
      </c>
      <c r="AH54" s="68">
        <v>1.0000550042188472E-3</v>
      </c>
      <c r="AI54" s="55"/>
    </row>
    <row r="55" spans="1:35" x14ac:dyDescent="0.2">
      <c r="A55" s="27">
        <f>'Cash Flow'!A55</f>
        <v>49</v>
      </c>
      <c r="B55" s="49">
        <f>'Cash Flow'!B55</f>
        <v>40603</v>
      </c>
      <c r="C55" s="56">
        <f>'Cash Flow'!C55</f>
        <v>8.3333333333333329E-2</v>
      </c>
      <c r="D55" s="55"/>
      <c r="E55" s="57">
        <v>6.9369000000000056E-2</v>
      </c>
      <c r="F55" s="57"/>
      <c r="G55" s="57"/>
      <c r="H55" s="57"/>
      <c r="I55" s="57">
        <v>0.04</v>
      </c>
      <c r="J55" s="57"/>
      <c r="K55" s="57"/>
      <c r="L55" s="55"/>
      <c r="M55" s="78">
        <v>5.1430128318229462E-3</v>
      </c>
      <c r="N55" s="78">
        <v>0.01</v>
      </c>
      <c r="Q55" s="57"/>
      <c r="S55" s="55"/>
      <c r="T55" s="79">
        <f ca="1">OFFSET('Loss Timing'!D$6,MATCH($A55,'Loss Timing'!$A$7:$A$36,1),0)/12/PmtFreqAdd</f>
        <v>2.7777777777777779E-3</v>
      </c>
      <c r="U55" s="79">
        <f ca="1">OFFSET('Loss Timing'!E$6,MATCH($A55,'Loss Timing'!$A$7:$A$36,1),0)/12/PmtFreqAdd</f>
        <v>4.1666666666666666E-3</v>
      </c>
      <c r="V55" s="79">
        <f ca="1">OFFSET('Loss Timing'!F$6,MATCH($A55,'Loss Timing'!$A$7:$A$36,1),0)/12/PmtFreqAdd</f>
        <v>1.6666666666666666E-2</v>
      </c>
      <c r="W55" s="79">
        <f ca="1">OFFSET('Loss Timing'!G$6,MATCH($A55,'Loss Timing'!$A$7:$A$36,1),0)/12/PmtFreqAdd</f>
        <v>8.3333333333333339E-4</v>
      </c>
      <c r="X55" s="79">
        <f ca="1">OFFSET('Loss Timing'!H$6,MATCH($A55,'Loss Timing'!$A$7:$A$36,1),0)/12/PmtFreqAdd</f>
        <v>0</v>
      </c>
      <c r="Y55" s="55"/>
      <c r="Z55" s="68">
        <f t="shared" ca="1" si="0"/>
        <v>2.7777777777777779E-5</v>
      </c>
      <c r="AA55" s="68">
        <f t="shared" ca="1" si="1"/>
        <v>4.1666666666666665E-5</v>
      </c>
      <c r="AB55" s="68">
        <f t="shared" ca="1" si="2"/>
        <v>1.6666666666666666E-4</v>
      </c>
      <c r="AC55" s="68">
        <f t="shared" ca="1" si="3"/>
        <v>8.3333333333333337E-6</v>
      </c>
      <c r="AD55" s="68">
        <f t="shared" ca="1" si="4"/>
        <v>0</v>
      </c>
      <c r="AE55" s="55"/>
      <c r="AF55" s="68">
        <v>2.5000343756298449E-4</v>
      </c>
      <c r="AG55" s="81">
        <v>5.000137505262181E-4</v>
      </c>
      <c r="AH55" s="68">
        <v>1.0000550042188472E-3</v>
      </c>
      <c r="AI55" s="55"/>
    </row>
    <row r="56" spans="1:35" x14ac:dyDescent="0.2">
      <c r="A56" s="27">
        <f>'Cash Flow'!A56</f>
        <v>50</v>
      </c>
      <c r="B56" s="49">
        <f>'Cash Flow'!B56</f>
        <v>40634</v>
      </c>
      <c r="C56" s="56">
        <f>'Cash Flow'!C56</f>
        <v>8.3333333333333329E-2</v>
      </c>
      <c r="D56" s="55"/>
      <c r="E56" s="57">
        <v>6.9369000000000056E-2</v>
      </c>
      <c r="F56" s="57"/>
      <c r="G56" s="57"/>
      <c r="H56" s="57"/>
      <c r="I56" s="57">
        <v>0.04</v>
      </c>
      <c r="J56" s="57"/>
      <c r="K56" s="57"/>
      <c r="L56" s="55"/>
      <c r="M56" s="78">
        <v>5.1430128318229462E-3</v>
      </c>
      <c r="N56" s="78">
        <v>0.01</v>
      </c>
      <c r="Q56" s="57"/>
      <c r="S56" s="55"/>
      <c r="T56" s="79">
        <f ca="1">OFFSET('Loss Timing'!D$6,MATCH($A56,'Loss Timing'!$A$7:$A$36,1),0)/12/PmtFreqAdd</f>
        <v>2.7777777777777779E-3</v>
      </c>
      <c r="U56" s="79">
        <f ca="1">OFFSET('Loss Timing'!E$6,MATCH($A56,'Loss Timing'!$A$7:$A$36,1),0)/12/PmtFreqAdd</f>
        <v>4.1666666666666666E-3</v>
      </c>
      <c r="V56" s="79">
        <f ca="1">OFFSET('Loss Timing'!F$6,MATCH($A56,'Loss Timing'!$A$7:$A$36,1),0)/12/PmtFreqAdd</f>
        <v>1.6666666666666666E-2</v>
      </c>
      <c r="W56" s="79">
        <f ca="1">OFFSET('Loss Timing'!G$6,MATCH($A56,'Loss Timing'!$A$7:$A$36,1),0)/12/PmtFreqAdd</f>
        <v>8.3333333333333339E-4</v>
      </c>
      <c r="X56" s="79">
        <f ca="1">OFFSET('Loss Timing'!H$6,MATCH($A56,'Loss Timing'!$A$7:$A$36,1),0)/12/PmtFreqAdd</f>
        <v>0</v>
      </c>
      <c r="Y56" s="55"/>
      <c r="Z56" s="68">
        <f t="shared" ca="1" si="0"/>
        <v>2.7777777777777779E-5</v>
      </c>
      <c r="AA56" s="68">
        <f t="shared" ca="1" si="1"/>
        <v>4.1666666666666665E-5</v>
      </c>
      <c r="AB56" s="68">
        <f t="shared" ca="1" si="2"/>
        <v>1.6666666666666666E-4</v>
      </c>
      <c r="AC56" s="68">
        <f t="shared" ca="1" si="3"/>
        <v>8.3333333333333337E-6</v>
      </c>
      <c r="AD56" s="68">
        <f t="shared" ca="1" si="4"/>
        <v>0</v>
      </c>
      <c r="AE56" s="55"/>
      <c r="AF56" s="68">
        <v>2.5000343756298449E-4</v>
      </c>
      <c r="AG56" s="81">
        <v>5.000137505262181E-4</v>
      </c>
      <c r="AH56" s="68">
        <v>1.0000550042188472E-3</v>
      </c>
      <c r="AI56" s="55"/>
    </row>
    <row r="57" spans="1:35" x14ac:dyDescent="0.2">
      <c r="A57" s="27">
        <f>'Cash Flow'!A57</f>
        <v>51</v>
      </c>
      <c r="B57" s="49">
        <f>'Cash Flow'!B57</f>
        <v>40664</v>
      </c>
      <c r="C57" s="56">
        <f>'Cash Flow'!C57</f>
        <v>8.3333333333333329E-2</v>
      </c>
      <c r="D57" s="55"/>
      <c r="E57" s="57">
        <v>6.9369000000000056E-2</v>
      </c>
      <c r="F57" s="57"/>
      <c r="G57" s="57"/>
      <c r="H57" s="57"/>
      <c r="I57" s="57">
        <v>0.04</v>
      </c>
      <c r="J57" s="57"/>
      <c r="K57" s="57"/>
      <c r="L57" s="55"/>
      <c r="M57" s="78">
        <v>5.1430128318229462E-3</v>
      </c>
      <c r="N57" s="78">
        <v>0.01</v>
      </c>
      <c r="Q57" s="57"/>
      <c r="S57" s="55"/>
      <c r="T57" s="79">
        <f ca="1">OFFSET('Loss Timing'!D$6,MATCH($A57,'Loss Timing'!$A$7:$A$36,1),0)/12/PmtFreqAdd</f>
        <v>2.7777777777777779E-3</v>
      </c>
      <c r="U57" s="79">
        <f ca="1">OFFSET('Loss Timing'!E$6,MATCH($A57,'Loss Timing'!$A$7:$A$36,1),0)/12/PmtFreqAdd</f>
        <v>4.1666666666666666E-3</v>
      </c>
      <c r="V57" s="79">
        <f ca="1">OFFSET('Loss Timing'!F$6,MATCH($A57,'Loss Timing'!$A$7:$A$36,1),0)/12/PmtFreqAdd</f>
        <v>1.6666666666666666E-2</v>
      </c>
      <c r="W57" s="79">
        <f ca="1">OFFSET('Loss Timing'!G$6,MATCH($A57,'Loss Timing'!$A$7:$A$36,1),0)/12/PmtFreqAdd</f>
        <v>8.3333333333333339E-4</v>
      </c>
      <c r="X57" s="79">
        <f ca="1">OFFSET('Loss Timing'!H$6,MATCH($A57,'Loss Timing'!$A$7:$A$36,1),0)/12/PmtFreqAdd</f>
        <v>0</v>
      </c>
      <c r="Y57" s="55"/>
      <c r="Z57" s="68">
        <f t="shared" ca="1" si="0"/>
        <v>2.7777777777777779E-5</v>
      </c>
      <c r="AA57" s="68">
        <f t="shared" ca="1" si="1"/>
        <v>4.1666666666666665E-5</v>
      </c>
      <c r="AB57" s="68">
        <f t="shared" ca="1" si="2"/>
        <v>1.6666666666666666E-4</v>
      </c>
      <c r="AC57" s="68">
        <f t="shared" ca="1" si="3"/>
        <v>8.3333333333333337E-6</v>
      </c>
      <c r="AD57" s="68">
        <f t="shared" ca="1" si="4"/>
        <v>0</v>
      </c>
      <c r="AE57" s="55"/>
      <c r="AF57" s="68">
        <v>2.5000343756298449E-4</v>
      </c>
      <c r="AG57" s="81">
        <v>5.000137505262181E-4</v>
      </c>
      <c r="AH57" s="68">
        <v>1.0000550042188472E-3</v>
      </c>
      <c r="AI57" s="55"/>
    </row>
    <row r="58" spans="1:35" x14ac:dyDescent="0.2">
      <c r="A58" s="27">
        <f>'Cash Flow'!A58</f>
        <v>52</v>
      </c>
      <c r="B58" s="49">
        <f>'Cash Flow'!B58</f>
        <v>40695</v>
      </c>
      <c r="C58" s="56">
        <f>'Cash Flow'!C58</f>
        <v>8.3333333333333329E-2</v>
      </c>
      <c r="D58" s="55"/>
      <c r="E58" s="57">
        <v>6.9369000000000056E-2</v>
      </c>
      <c r="F58" s="57"/>
      <c r="G58" s="57"/>
      <c r="H58" s="57"/>
      <c r="I58" s="57">
        <v>0.04</v>
      </c>
      <c r="J58" s="57"/>
      <c r="K58" s="57"/>
      <c r="L58" s="55"/>
      <c r="M58" s="78">
        <v>5.1430128318229462E-3</v>
      </c>
      <c r="N58" s="78">
        <v>0.01</v>
      </c>
      <c r="Q58" s="57"/>
      <c r="S58" s="55"/>
      <c r="T58" s="79">
        <f ca="1">OFFSET('Loss Timing'!D$6,MATCH($A58,'Loss Timing'!$A$7:$A$36,1),0)/12/PmtFreqAdd</f>
        <v>2.7777777777777779E-3</v>
      </c>
      <c r="U58" s="79">
        <f ca="1">OFFSET('Loss Timing'!E$6,MATCH($A58,'Loss Timing'!$A$7:$A$36,1),0)/12/PmtFreqAdd</f>
        <v>4.1666666666666666E-3</v>
      </c>
      <c r="V58" s="79">
        <f ca="1">OFFSET('Loss Timing'!F$6,MATCH($A58,'Loss Timing'!$A$7:$A$36,1),0)/12/PmtFreqAdd</f>
        <v>1.6666666666666666E-2</v>
      </c>
      <c r="W58" s="79">
        <f ca="1">OFFSET('Loss Timing'!G$6,MATCH($A58,'Loss Timing'!$A$7:$A$36,1),0)/12/PmtFreqAdd</f>
        <v>8.3333333333333339E-4</v>
      </c>
      <c r="X58" s="79">
        <f ca="1">OFFSET('Loss Timing'!H$6,MATCH($A58,'Loss Timing'!$A$7:$A$36,1),0)/12/PmtFreqAdd</f>
        <v>0</v>
      </c>
      <c r="Y58" s="55"/>
      <c r="Z58" s="68">
        <f t="shared" ca="1" si="0"/>
        <v>2.7777777777777779E-5</v>
      </c>
      <c r="AA58" s="68">
        <f t="shared" ca="1" si="1"/>
        <v>4.1666666666666665E-5</v>
      </c>
      <c r="AB58" s="68">
        <f t="shared" ca="1" si="2"/>
        <v>1.6666666666666666E-4</v>
      </c>
      <c r="AC58" s="68">
        <f t="shared" ca="1" si="3"/>
        <v>8.3333333333333337E-6</v>
      </c>
      <c r="AD58" s="68">
        <f t="shared" ca="1" si="4"/>
        <v>0</v>
      </c>
      <c r="AE58" s="55"/>
      <c r="AF58" s="68">
        <v>2.5000343756298449E-4</v>
      </c>
      <c r="AG58" s="81">
        <v>5.000137505262181E-4</v>
      </c>
      <c r="AH58" s="68">
        <v>1.0000550042188472E-3</v>
      </c>
      <c r="AI58" s="55"/>
    </row>
    <row r="59" spans="1:35" x14ac:dyDescent="0.2">
      <c r="A59" s="27">
        <f>'Cash Flow'!A59</f>
        <v>53</v>
      </c>
      <c r="B59" s="49">
        <f>'Cash Flow'!B59</f>
        <v>40725</v>
      </c>
      <c r="C59" s="56">
        <f>'Cash Flow'!C59</f>
        <v>8.3333333333333329E-2</v>
      </c>
      <c r="D59" s="55"/>
      <c r="E59" s="57">
        <v>6.9369000000000056E-2</v>
      </c>
      <c r="F59" s="57"/>
      <c r="G59" s="57"/>
      <c r="H59" s="57"/>
      <c r="I59" s="57">
        <v>0.04</v>
      </c>
      <c r="J59" s="57"/>
      <c r="K59" s="57"/>
      <c r="L59" s="55"/>
      <c r="M59" s="78">
        <v>5.1430128318229462E-3</v>
      </c>
      <c r="N59" s="78">
        <v>0.01</v>
      </c>
      <c r="Q59" s="57"/>
      <c r="S59" s="55"/>
      <c r="T59" s="79">
        <f ca="1">OFFSET('Loss Timing'!D$6,MATCH($A59,'Loss Timing'!$A$7:$A$36,1),0)/12/PmtFreqAdd</f>
        <v>2.7777777777777779E-3</v>
      </c>
      <c r="U59" s="79">
        <f ca="1">OFFSET('Loss Timing'!E$6,MATCH($A59,'Loss Timing'!$A$7:$A$36,1),0)/12/PmtFreqAdd</f>
        <v>4.1666666666666666E-3</v>
      </c>
      <c r="V59" s="79">
        <f ca="1">OFFSET('Loss Timing'!F$6,MATCH($A59,'Loss Timing'!$A$7:$A$36,1),0)/12/PmtFreqAdd</f>
        <v>1.6666666666666666E-2</v>
      </c>
      <c r="W59" s="79">
        <f ca="1">OFFSET('Loss Timing'!G$6,MATCH($A59,'Loss Timing'!$A$7:$A$36,1),0)/12/PmtFreqAdd</f>
        <v>8.3333333333333339E-4</v>
      </c>
      <c r="X59" s="79">
        <f ca="1">OFFSET('Loss Timing'!H$6,MATCH($A59,'Loss Timing'!$A$7:$A$36,1),0)/12/PmtFreqAdd</f>
        <v>0</v>
      </c>
      <c r="Y59" s="55"/>
      <c r="Z59" s="68">
        <f t="shared" ca="1" si="0"/>
        <v>2.7777777777777779E-5</v>
      </c>
      <c r="AA59" s="68">
        <f t="shared" ca="1" si="1"/>
        <v>4.1666666666666665E-5</v>
      </c>
      <c r="AB59" s="68">
        <f t="shared" ca="1" si="2"/>
        <v>1.6666666666666666E-4</v>
      </c>
      <c r="AC59" s="68">
        <f t="shared" ca="1" si="3"/>
        <v>8.3333333333333337E-6</v>
      </c>
      <c r="AD59" s="68">
        <f t="shared" ca="1" si="4"/>
        <v>0</v>
      </c>
      <c r="AE59" s="55"/>
      <c r="AF59" s="68">
        <v>2.5000343756298449E-4</v>
      </c>
      <c r="AG59" s="81">
        <v>5.000137505262181E-4</v>
      </c>
      <c r="AH59" s="68">
        <v>1.0000550042188472E-3</v>
      </c>
      <c r="AI59" s="55"/>
    </row>
    <row r="60" spans="1:35" x14ac:dyDescent="0.2">
      <c r="A60" s="27">
        <f>'Cash Flow'!A60</f>
        <v>54</v>
      </c>
      <c r="B60" s="49">
        <f>'Cash Flow'!B60</f>
        <v>40756</v>
      </c>
      <c r="C60" s="56">
        <f>'Cash Flow'!C60</f>
        <v>8.3333333333333329E-2</v>
      </c>
      <c r="D60" s="55"/>
      <c r="E60" s="57">
        <v>6.9369000000000056E-2</v>
      </c>
      <c r="F60" s="57"/>
      <c r="G60" s="57"/>
      <c r="H60" s="57"/>
      <c r="I60" s="57">
        <v>0.04</v>
      </c>
      <c r="J60" s="57"/>
      <c r="K60" s="57"/>
      <c r="L60" s="55"/>
      <c r="M60" s="78">
        <v>5.1430128318229462E-3</v>
      </c>
      <c r="N60" s="78">
        <v>0.01</v>
      </c>
      <c r="Q60" s="57"/>
      <c r="S60" s="55"/>
      <c r="T60" s="79">
        <f ca="1">OFFSET('Loss Timing'!D$6,MATCH($A60,'Loss Timing'!$A$7:$A$36,1),0)/12/PmtFreqAdd</f>
        <v>2.7777777777777779E-3</v>
      </c>
      <c r="U60" s="79">
        <f ca="1">OFFSET('Loss Timing'!E$6,MATCH($A60,'Loss Timing'!$A$7:$A$36,1),0)/12/PmtFreqAdd</f>
        <v>4.1666666666666666E-3</v>
      </c>
      <c r="V60" s="79">
        <f ca="1">OFFSET('Loss Timing'!F$6,MATCH($A60,'Loss Timing'!$A$7:$A$36,1),0)/12/PmtFreqAdd</f>
        <v>1.6666666666666666E-2</v>
      </c>
      <c r="W60" s="79">
        <f ca="1">OFFSET('Loss Timing'!G$6,MATCH($A60,'Loss Timing'!$A$7:$A$36,1),0)/12/PmtFreqAdd</f>
        <v>8.3333333333333339E-4</v>
      </c>
      <c r="X60" s="79">
        <f ca="1">OFFSET('Loss Timing'!H$6,MATCH($A60,'Loss Timing'!$A$7:$A$36,1),0)/12/PmtFreqAdd</f>
        <v>0</v>
      </c>
      <c r="Y60" s="55"/>
      <c r="Z60" s="68">
        <f t="shared" ca="1" si="0"/>
        <v>2.7777777777777779E-5</v>
      </c>
      <c r="AA60" s="68">
        <f t="shared" ca="1" si="1"/>
        <v>4.1666666666666665E-5</v>
      </c>
      <c r="AB60" s="68">
        <f t="shared" ca="1" si="2"/>
        <v>1.6666666666666666E-4</v>
      </c>
      <c r="AC60" s="68">
        <f t="shared" ca="1" si="3"/>
        <v>8.3333333333333337E-6</v>
      </c>
      <c r="AD60" s="68">
        <f t="shared" ca="1" si="4"/>
        <v>0</v>
      </c>
      <c r="AE60" s="55"/>
      <c r="AF60" s="68">
        <v>2.5000343756298449E-4</v>
      </c>
      <c r="AG60" s="81">
        <v>5.000137505262181E-4</v>
      </c>
      <c r="AH60" s="68">
        <v>1.0000550042188472E-3</v>
      </c>
      <c r="AI60" s="55"/>
    </row>
    <row r="61" spans="1:35" x14ac:dyDescent="0.2">
      <c r="A61" s="27">
        <f>'Cash Flow'!A61</f>
        <v>55</v>
      </c>
      <c r="B61" s="49">
        <f>'Cash Flow'!B61</f>
        <v>40787</v>
      </c>
      <c r="C61" s="56">
        <f>'Cash Flow'!C61</f>
        <v>8.3333333333333329E-2</v>
      </c>
      <c r="D61" s="55"/>
      <c r="E61" s="57">
        <v>6.9369000000000056E-2</v>
      </c>
      <c r="F61" s="57"/>
      <c r="G61" s="57"/>
      <c r="H61" s="57"/>
      <c r="I61" s="57">
        <v>0.04</v>
      </c>
      <c r="J61" s="57"/>
      <c r="K61" s="57"/>
      <c r="L61" s="55"/>
      <c r="M61" s="78">
        <v>5.1430128318229462E-3</v>
      </c>
      <c r="N61" s="78">
        <v>0.01</v>
      </c>
      <c r="Q61" s="57"/>
      <c r="S61" s="55"/>
      <c r="T61" s="79">
        <f ca="1">OFFSET('Loss Timing'!D$6,MATCH($A61,'Loss Timing'!$A$7:$A$36,1),0)/12/PmtFreqAdd</f>
        <v>2.7777777777777779E-3</v>
      </c>
      <c r="U61" s="79">
        <f ca="1">OFFSET('Loss Timing'!E$6,MATCH($A61,'Loss Timing'!$A$7:$A$36,1),0)/12/PmtFreqAdd</f>
        <v>4.1666666666666666E-3</v>
      </c>
      <c r="V61" s="79">
        <f ca="1">OFFSET('Loss Timing'!F$6,MATCH($A61,'Loss Timing'!$A$7:$A$36,1),0)/12/PmtFreqAdd</f>
        <v>1.6666666666666666E-2</v>
      </c>
      <c r="W61" s="79">
        <f ca="1">OFFSET('Loss Timing'!G$6,MATCH($A61,'Loss Timing'!$A$7:$A$36,1),0)/12/PmtFreqAdd</f>
        <v>8.3333333333333339E-4</v>
      </c>
      <c r="X61" s="79">
        <f ca="1">OFFSET('Loss Timing'!H$6,MATCH($A61,'Loss Timing'!$A$7:$A$36,1),0)/12/PmtFreqAdd</f>
        <v>0</v>
      </c>
      <c r="Y61" s="55"/>
      <c r="Z61" s="68">
        <f t="shared" ca="1" si="0"/>
        <v>2.7777777777777779E-5</v>
      </c>
      <c r="AA61" s="68">
        <f t="shared" ca="1" si="1"/>
        <v>4.1666666666666665E-5</v>
      </c>
      <c r="AB61" s="68">
        <f t="shared" ca="1" si="2"/>
        <v>1.6666666666666666E-4</v>
      </c>
      <c r="AC61" s="68">
        <f t="shared" ca="1" si="3"/>
        <v>8.3333333333333337E-6</v>
      </c>
      <c r="AD61" s="68">
        <f t="shared" ca="1" si="4"/>
        <v>0</v>
      </c>
      <c r="AE61" s="55"/>
      <c r="AF61" s="68">
        <v>2.5000343756298449E-4</v>
      </c>
      <c r="AG61" s="81">
        <v>5.000137505262181E-4</v>
      </c>
      <c r="AH61" s="68">
        <v>1.0000550042188472E-3</v>
      </c>
      <c r="AI61" s="55"/>
    </row>
    <row r="62" spans="1:35" x14ac:dyDescent="0.2">
      <c r="A62" s="27">
        <f>'Cash Flow'!A62</f>
        <v>56</v>
      </c>
      <c r="B62" s="49">
        <f>'Cash Flow'!B62</f>
        <v>40817</v>
      </c>
      <c r="C62" s="56">
        <f>'Cash Flow'!C62</f>
        <v>8.3333333333333329E-2</v>
      </c>
      <c r="D62" s="55"/>
      <c r="E62" s="57">
        <v>6.9369000000000056E-2</v>
      </c>
      <c r="F62" s="57"/>
      <c r="G62" s="57"/>
      <c r="H62" s="57"/>
      <c r="I62" s="57">
        <v>0.04</v>
      </c>
      <c r="J62" s="57"/>
      <c r="K62" s="57"/>
      <c r="L62" s="55"/>
      <c r="M62" s="78">
        <v>5.1430128318229462E-3</v>
      </c>
      <c r="N62" s="78">
        <v>0.01</v>
      </c>
      <c r="Q62" s="57"/>
      <c r="S62" s="55"/>
      <c r="T62" s="79">
        <f ca="1">OFFSET('Loss Timing'!D$6,MATCH($A62,'Loss Timing'!$A$7:$A$36,1),0)/12/PmtFreqAdd</f>
        <v>2.7777777777777779E-3</v>
      </c>
      <c r="U62" s="79">
        <f ca="1">OFFSET('Loss Timing'!E$6,MATCH($A62,'Loss Timing'!$A$7:$A$36,1),0)/12/PmtFreqAdd</f>
        <v>4.1666666666666666E-3</v>
      </c>
      <c r="V62" s="79">
        <f ca="1">OFFSET('Loss Timing'!F$6,MATCH($A62,'Loss Timing'!$A$7:$A$36,1),0)/12/PmtFreqAdd</f>
        <v>1.6666666666666666E-2</v>
      </c>
      <c r="W62" s="79">
        <f ca="1">OFFSET('Loss Timing'!G$6,MATCH($A62,'Loss Timing'!$A$7:$A$36,1),0)/12/PmtFreqAdd</f>
        <v>8.3333333333333339E-4</v>
      </c>
      <c r="X62" s="79">
        <f ca="1">OFFSET('Loss Timing'!H$6,MATCH($A62,'Loss Timing'!$A$7:$A$36,1),0)/12/PmtFreqAdd</f>
        <v>0</v>
      </c>
      <c r="Y62" s="55"/>
      <c r="Z62" s="68">
        <f t="shared" ca="1" si="0"/>
        <v>2.7777777777777779E-5</v>
      </c>
      <c r="AA62" s="68">
        <f t="shared" ca="1" si="1"/>
        <v>4.1666666666666665E-5</v>
      </c>
      <c r="AB62" s="68">
        <f t="shared" ca="1" si="2"/>
        <v>1.6666666666666666E-4</v>
      </c>
      <c r="AC62" s="68">
        <f t="shared" ca="1" si="3"/>
        <v>8.3333333333333337E-6</v>
      </c>
      <c r="AD62" s="68">
        <f t="shared" ca="1" si="4"/>
        <v>0</v>
      </c>
      <c r="AE62" s="55"/>
      <c r="AF62" s="68">
        <v>2.5000343756298449E-4</v>
      </c>
      <c r="AG62" s="81">
        <v>5.000137505262181E-4</v>
      </c>
      <c r="AH62" s="68">
        <v>1.0000550042188472E-3</v>
      </c>
      <c r="AI62" s="55"/>
    </row>
    <row r="63" spans="1:35" x14ac:dyDescent="0.2">
      <c r="A63" s="27">
        <f>'Cash Flow'!A63</f>
        <v>57</v>
      </c>
      <c r="B63" s="49">
        <f>'Cash Flow'!B63</f>
        <v>40848</v>
      </c>
      <c r="C63" s="56">
        <f>'Cash Flow'!C63</f>
        <v>8.3333333333333329E-2</v>
      </c>
      <c r="D63" s="55"/>
      <c r="E63" s="57">
        <v>6.9369000000000056E-2</v>
      </c>
      <c r="F63" s="57"/>
      <c r="G63" s="57"/>
      <c r="H63" s="57"/>
      <c r="I63" s="57">
        <v>0.04</v>
      </c>
      <c r="J63" s="57"/>
      <c r="K63" s="57"/>
      <c r="L63" s="55"/>
      <c r="M63" s="78">
        <v>5.1430128318229462E-3</v>
      </c>
      <c r="N63" s="78">
        <v>0.01</v>
      </c>
      <c r="Q63" s="57"/>
      <c r="S63" s="55"/>
      <c r="T63" s="79">
        <f ca="1">OFFSET('Loss Timing'!D$6,MATCH($A63,'Loss Timing'!$A$7:$A$36,1),0)/12/PmtFreqAdd</f>
        <v>2.7777777777777779E-3</v>
      </c>
      <c r="U63" s="79">
        <f ca="1">OFFSET('Loss Timing'!E$6,MATCH($A63,'Loss Timing'!$A$7:$A$36,1),0)/12/PmtFreqAdd</f>
        <v>4.1666666666666666E-3</v>
      </c>
      <c r="V63" s="79">
        <f ca="1">OFFSET('Loss Timing'!F$6,MATCH($A63,'Loss Timing'!$A$7:$A$36,1),0)/12/PmtFreqAdd</f>
        <v>1.6666666666666666E-2</v>
      </c>
      <c r="W63" s="79">
        <f ca="1">OFFSET('Loss Timing'!G$6,MATCH($A63,'Loss Timing'!$A$7:$A$36,1),0)/12/PmtFreqAdd</f>
        <v>8.3333333333333339E-4</v>
      </c>
      <c r="X63" s="79">
        <f ca="1">OFFSET('Loss Timing'!H$6,MATCH($A63,'Loss Timing'!$A$7:$A$36,1),0)/12/PmtFreqAdd</f>
        <v>0</v>
      </c>
      <c r="Y63" s="55"/>
      <c r="Z63" s="68">
        <f t="shared" ca="1" si="0"/>
        <v>2.7777777777777779E-5</v>
      </c>
      <c r="AA63" s="68">
        <f t="shared" ca="1" si="1"/>
        <v>4.1666666666666665E-5</v>
      </c>
      <c r="AB63" s="68">
        <f t="shared" ca="1" si="2"/>
        <v>1.6666666666666666E-4</v>
      </c>
      <c r="AC63" s="68">
        <f t="shared" ca="1" si="3"/>
        <v>8.3333333333333337E-6</v>
      </c>
      <c r="AD63" s="68">
        <f t="shared" ca="1" si="4"/>
        <v>0</v>
      </c>
      <c r="AE63" s="55"/>
      <c r="AF63" s="68">
        <v>2.5000343756298449E-4</v>
      </c>
      <c r="AG63" s="81">
        <v>5.000137505262181E-4</v>
      </c>
      <c r="AH63" s="68">
        <v>1.0000550042188472E-3</v>
      </c>
      <c r="AI63" s="55"/>
    </row>
    <row r="64" spans="1:35" x14ac:dyDescent="0.2">
      <c r="A64" s="27">
        <f>'Cash Flow'!A64</f>
        <v>58</v>
      </c>
      <c r="B64" s="49">
        <f>'Cash Flow'!B64</f>
        <v>40878</v>
      </c>
      <c r="C64" s="56">
        <f>'Cash Flow'!C64</f>
        <v>8.3333333333333329E-2</v>
      </c>
      <c r="D64" s="55"/>
      <c r="E64" s="57">
        <v>6.9369000000000056E-2</v>
      </c>
      <c r="F64" s="57"/>
      <c r="G64" s="57"/>
      <c r="H64" s="57"/>
      <c r="I64" s="57">
        <v>0.04</v>
      </c>
      <c r="J64" s="57"/>
      <c r="K64" s="57"/>
      <c r="L64" s="55"/>
      <c r="M64" s="78">
        <v>5.1430128318229462E-3</v>
      </c>
      <c r="N64" s="78">
        <v>0.01</v>
      </c>
      <c r="Q64" s="57"/>
      <c r="S64" s="55"/>
      <c r="T64" s="79">
        <f ca="1">OFFSET('Loss Timing'!D$6,MATCH($A64,'Loss Timing'!$A$7:$A$36,1),0)/12/PmtFreqAdd</f>
        <v>2.7777777777777779E-3</v>
      </c>
      <c r="U64" s="79">
        <f ca="1">OFFSET('Loss Timing'!E$6,MATCH($A64,'Loss Timing'!$A$7:$A$36,1),0)/12/PmtFreqAdd</f>
        <v>4.1666666666666666E-3</v>
      </c>
      <c r="V64" s="79">
        <f ca="1">OFFSET('Loss Timing'!F$6,MATCH($A64,'Loss Timing'!$A$7:$A$36,1),0)/12/PmtFreqAdd</f>
        <v>1.6666666666666666E-2</v>
      </c>
      <c r="W64" s="79">
        <f ca="1">OFFSET('Loss Timing'!G$6,MATCH($A64,'Loss Timing'!$A$7:$A$36,1),0)/12/PmtFreqAdd</f>
        <v>8.3333333333333339E-4</v>
      </c>
      <c r="X64" s="79">
        <f ca="1">OFFSET('Loss Timing'!H$6,MATCH($A64,'Loss Timing'!$A$7:$A$36,1),0)/12/PmtFreqAdd</f>
        <v>0</v>
      </c>
      <c r="Y64" s="55"/>
      <c r="Z64" s="68">
        <f t="shared" ca="1" si="0"/>
        <v>2.7777777777777779E-5</v>
      </c>
      <c r="AA64" s="68">
        <f t="shared" ca="1" si="1"/>
        <v>4.1666666666666665E-5</v>
      </c>
      <c r="AB64" s="68">
        <f t="shared" ca="1" si="2"/>
        <v>1.6666666666666666E-4</v>
      </c>
      <c r="AC64" s="68">
        <f t="shared" ca="1" si="3"/>
        <v>8.3333333333333337E-6</v>
      </c>
      <c r="AD64" s="68">
        <f t="shared" ca="1" si="4"/>
        <v>0</v>
      </c>
      <c r="AE64" s="55"/>
      <c r="AF64" s="68">
        <v>2.5000343756298449E-4</v>
      </c>
      <c r="AG64" s="81">
        <v>5.000137505262181E-4</v>
      </c>
      <c r="AH64" s="68">
        <v>1.0000550042188472E-3</v>
      </c>
      <c r="AI64" s="55"/>
    </row>
    <row r="65" spans="1:35" x14ac:dyDescent="0.2">
      <c r="A65" s="27">
        <f>'Cash Flow'!A65</f>
        <v>59</v>
      </c>
      <c r="B65" s="49">
        <f>'Cash Flow'!B65</f>
        <v>40909</v>
      </c>
      <c r="C65" s="56">
        <f>'Cash Flow'!C65</f>
        <v>8.3333333333333329E-2</v>
      </c>
      <c r="D65" s="55"/>
      <c r="E65" s="57">
        <v>6.9369000000000056E-2</v>
      </c>
      <c r="F65" s="57"/>
      <c r="G65" s="57"/>
      <c r="H65" s="57"/>
      <c r="I65" s="57">
        <v>0.04</v>
      </c>
      <c r="J65" s="57"/>
      <c r="K65" s="57"/>
      <c r="L65" s="55"/>
      <c r="M65" s="78">
        <v>5.1430128318229462E-3</v>
      </c>
      <c r="N65" s="78">
        <v>0.01</v>
      </c>
      <c r="Q65" s="57"/>
      <c r="S65" s="55"/>
      <c r="T65" s="79">
        <f ca="1">OFFSET('Loss Timing'!D$6,MATCH($A65,'Loss Timing'!$A$7:$A$36,1),0)/12/PmtFreqAdd</f>
        <v>2.7777777777777779E-3</v>
      </c>
      <c r="U65" s="79">
        <f ca="1">OFFSET('Loss Timing'!E$6,MATCH($A65,'Loss Timing'!$A$7:$A$36,1),0)/12/PmtFreqAdd</f>
        <v>4.1666666666666666E-3</v>
      </c>
      <c r="V65" s="79">
        <f ca="1">OFFSET('Loss Timing'!F$6,MATCH($A65,'Loss Timing'!$A$7:$A$36,1),0)/12/PmtFreqAdd</f>
        <v>1.6666666666666666E-2</v>
      </c>
      <c r="W65" s="79">
        <f ca="1">OFFSET('Loss Timing'!G$6,MATCH($A65,'Loss Timing'!$A$7:$A$36,1),0)/12/PmtFreqAdd</f>
        <v>8.3333333333333339E-4</v>
      </c>
      <c r="X65" s="79">
        <f ca="1">OFFSET('Loss Timing'!H$6,MATCH($A65,'Loss Timing'!$A$7:$A$36,1),0)/12/PmtFreqAdd</f>
        <v>0</v>
      </c>
      <c r="Y65" s="55"/>
      <c r="Z65" s="68">
        <f t="shared" ca="1" si="0"/>
        <v>2.7777777777777779E-5</v>
      </c>
      <c r="AA65" s="68">
        <f t="shared" ca="1" si="1"/>
        <v>4.1666666666666665E-5</v>
      </c>
      <c r="AB65" s="68">
        <f t="shared" ca="1" si="2"/>
        <v>1.6666666666666666E-4</v>
      </c>
      <c r="AC65" s="68">
        <f t="shared" ca="1" si="3"/>
        <v>8.3333333333333337E-6</v>
      </c>
      <c r="AD65" s="68">
        <f t="shared" ca="1" si="4"/>
        <v>0</v>
      </c>
      <c r="AE65" s="55"/>
      <c r="AF65" s="68">
        <v>2.5000343756298449E-4</v>
      </c>
      <c r="AG65" s="81">
        <v>5.000137505262181E-4</v>
      </c>
      <c r="AH65" s="68">
        <v>1.0000550042188472E-3</v>
      </c>
      <c r="AI65" s="55"/>
    </row>
    <row r="66" spans="1:35" x14ac:dyDescent="0.2">
      <c r="A66" s="27">
        <f>'Cash Flow'!A66</f>
        <v>60</v>
      </c>
      <c r="B66" s="49">
        <f>'Cash Flow'!B66</f>
        <v>40940</v>
      </c>
      <c r="C66" s="56">
        <f>'Cash Flow'!C66</f>
        <v>8.3333333333333329E-2</v>
      </c>
      <c r="D66" s="55"/>
      <c r="E66" s="57">
        <v>6.9369000000000056E-2</v>
      </c>
      <c r="F66" s="57"/>
      <c r="G66" s="57"/>
      <c r="H66" s="57"/>
      <c r="I66" s="57">
        <v>0.04</v>
      </c>
      <c r="J66" s="57"/>
      <c r="K66" s="57"/>
      <c r="L66" s="55"/>
      <c r="M66" s="78">
        <v>5.1430128318229462E-3</v>
      </c>
      <c r="N66" s="78">
        <v>0.01</v>
      </c>
      <c r="Q66" s="57"/>
      <c r="S66" s="55"/>
      <c r="T66" s="79">
        <f ca="1">OFFSET('Loss Timing'!D$6,MATCH($A66,'Loss Timing'!$A$7:$A$36,1),0)/12/PmtFreqAdd</f>
        <v>2.7777777777777779E-3</v>
      </c>
      <c r="U66" s="79">
        <f ca="1">OFFSET('Loss Timing'!E$6,MATCH($A66,'Loss Timing'!$A$7:$A$36,1),0)/12/PmtFreqAdd</f>
        <v>4.1666666666666666E-3</v>
      </c>
      <c r="V66" s="79">
        <f ca="1">OFFSET('Loss Timing'!F$6,MATCH($A66,'Loss Timing'!$A$7:$A$36,1),0)/12/PmtFreqAdd</f>
        <v>1.6666666666666666E-2</v>
      </c>
      <c r="W66" s="79">
        <f ca="1">OFFSET('Loss Timing'!G$6,MATCH($A66,'Loss Timing'!$A$7:$A$36,1),0)/12/PmtFreqAdd</f>
        <v>8.3333333333333339E-4</v>
      </c>
      <c r="X66" s="79">
        <f ca="1">OFFSET('Loss Timing'!H$6,MATCH($A66,'Loss Timing'!$A$7:$A$36,1),0)/12/PmtFreqAdd</f>
        <v>0</v>
      </c>
      <c r="Y66" s="55"/>
      <c r="Z66" s="68">
        <f t="shared" ca="1" si="0"/>
        <v>2.7777777777777779E-5</v>
      </c>
      <c r="AA66" s="68">
        <f t="shared" ca="1" si="1"/>
        <v>4.1666666666666665E-5</v>
      </c>
      <c r="AB66" s="68">
        <f t="shared" ca="1" si="2"/>
        <v>1.6666666666666666E-4</v>
      </c>
      <c r="AC66" s="68">
        <f t="shared" ca="1" si="3"/>
        <v>8.3333333333333337E-6</v>
      </c>
      <c r="AD66" s="68">
        <f t="shared" ca="1" si="4"/>
        <v>0</v>
      </c>
      <c r="AE66" s="55"/>
      <c r="AF66" s="68">
        <v>2.5000343756298449E-4</v>
      </c>
      <c r="AG66" s="81">
        <v>5.000137505262181E-4</v>
      </c>
      <c r="AH66" s="68">
        <v>1.0000550042188472E-3</v>
      </c>
      <c r="AI66" s="55"/>
    </row>
    <row r="67" spans="1:35" x14ac:dyDescent="0.2">
      <c r="A67" s="27">
        <f>'Cash Flow'!A67</f>
        <v>61</v>
      </c>
      <c r="B67" s="49">
        <f>'Cash Flow'!B67</f>
        <v>40969</v>
      </c>
      <c r="C67" s="56">
        <f>'Cash Flow'!C67</f>
        <v>8.3333333333333329E-2</v>
      </c>
      <c r="D67" s="55"/>
      <c r="E67" s="57">
        <v>6.9369000000000056E-2</v>
      </c>
      <c r="F67" s="57"/>
      <c r="G67" s="57"/>
      <c r="H67" s="57"/>
      <c r="I67" s="57">
        <v>0.04</v>
      </c>
      <c r="J67" s="57"/>
      <c r="K67" s="57"/>
      <c r="L67" s="55"/>
      <c r="M67" s="78">
        <v>5.1430128318229462E-3</v>
      </c>
      <c r="N67" s="78">
        <v>0.01</v>
      </c>
      <c r="Q67" s="57"/>
      <c r="S67" s="55"/>
      <c r="T67" s="79">
        <f ca="1">OFFSET('Loss Timing'!D$6,MATCH($A67,'Loss Timing'!$A$7:$A$36,1),0)/12/PmtFreqAdd</f>
        <v>2.7777777777777779E-3</v>
      </c>
      <c r="U67" s="79">
        <f ca="1">OFFSET('Loss Timing'!E$6,MATCH($A67,'Loss Timing'!$A$7:$A$36,1),0)/12/PmtFreqAdd</f>
        <v>6.2499999999999995E-3</v>
      </c>
      <c r="V67" s="79">
        <f ca="1">OFFSET('Loss Timing'!F$6,MATCH($A67,'Loss Timing'!$A$7:$A$36,1),0)/12/PmtFreqAdd</f>
        <v>0</v>
      </c>
      <c r="W67" s="79">
        <f ca="1">OFFSET('Loss Timing'!G$6,MATCH($A67,'Loss Timing'!$A$7:$A$36,1),0)/12/PmtFreqAdd</f>
        <v>2.0833333333333333E-3</v>
      </c>
      <c r="X67" s="79">
        <f ca="1">OFFSET('Loss Timing'!H$6,MATCH($A67,'Loss Timing'!$A$7:$A$36,1),0)/12/PmtFreqAdd</f>
        <v>0</v>
      </c>
      <c r="Y67" s="55"/>
      <c r="Z67" s="68">
        <f t="shared" ca="1" si="0"/>
        <v>2.7777777777777779E-5</v>
      </c>
      <c r="AA67" s="68">
        <f t="shared" ca="1" si="1"/>
        <v>6.2500000000000001E-5</v>
      </c>
      <c r="AB67" s="68">
        <f t="shared" ca="1" si="2"/>
        <v>0</v>
      </c>
      <c r="AC67" s="68">
        <f t="shared" ca="1" si="3"/>
        <v>2.0833333333333333E-5</v>
      </c>
      <c r="AD67" s="68">
        <f t="shared" ca="1" si="4"/>
        <v>0</v>
      </c>
      <c r="AE67" s="55"/>
      <c r="AF67" s="68">
        <v>2.4604499623270826E-4</v>
      </c>
      <c r="AG67" s="81">
        <v>4.9209665186067397E-4</v>
      </c>
      <c r="AH67" s="68">
        <v>9.8421994281228109E-4</v>
      </c>
      <c r="AI67" s="55"/>
    </row>
    <row r="68" spans="1:35" x14ac:dyDescent="0.2">
      <c r="A68" s="27">
        <f>'Cash Flow'!A68</f>
        <v>62</v>
      </c>
      <c r="B68" s="49">
        <f>'Cash Flow'!B68</f>
        <v>41000</v>
      </c>
      <c r="C68" s="56">
        <f>'Cash Flow'!C68</f>
        <v>8.3333333333333329E-2</v>
      </c>
      <c r="D68" s="55"/>
      <c r="E68" s="57">
        <v>6.9369000000000056E-2</v>
      </c>
      <c r="F68" s="57"/>
      <c r="G68" s="57"/>
      <c r="H68" s="57"/>
      <c r="I68" s="57">
        <v>0.04</v>
      </c>
      <c r="J68" s="57"/>
      <c r="K68" s="57"/>
      <c r="L68" s="55"/>
      <c r="M68" s="78">
        <v>5.1430128318229462E-3</v>
      </c>
      <c r="N68" s="78">
        <v>0.01</v>
      </c>
      <c r="Q68" s="57"/>
      <c r="S68" s="55"/>
      <c r="T68" s="79">
        <f ca="1">OFFSET('Loss Timing'!D$6,MATCH($A68,'Loss Timing'!$A$7:$A$36,1),0)/12/PmtFreqAdd</f>
        <v>2.7777777777777779E-3</v>
      </c>
      <c r="U68" s="79">
        <f ca="1">OFFSET('Loss Timing'!E$6,MATCH($A68,'Loss Timing'!$A$7:$A$36,1),0)/12/PmtFreqAdd</f>
        <v>6.2499999999999995E-3</v>
      </c>
      <c r="V68" s="79">
        <f ca="1">OFFSET('Loss Timing'!F$6,MATCH($A68,'Loss Timing'!$A$7:$A$36,1),0)/12/PmtFreqAdd</f>
        <v>0</v>
      </c>
      <c r="W68" s="79">
        <f ca="1">OFFSET('Loss Timing'!G$6,MATCH($A68,'Loss Timing'!$A$7:$A$36,1),0)/12/PmtFreqAdd</f>
        <v>2.0833333333333333E-3</v>
      </c>
      <c r="X68" s="79">
        <f ca="1">OFFSET('Loss Timing'!H$6,MATCH($A68,'Loss Timing'!$A$7:$A$36,1),0)/12/PmtFreqAdd</f>
        <v>0</v>
      </c>
      <c r="Y68" s="55"/>
      <c r="Z68" s="68">
        <f t="shared" ca="1" si="0"/>
        <v>2.7777777777777779E-5</v>
      </c>
      <c r="AA68" s="68">
        <f t="shared" ca="1" si="1"/>
        <v>6.2500000000000001E-5</v>
      </c>
      <c r="AB68" s="68">
        <f t="shared" ca="1" si="2"/>
        <v>0</v>
      </c>
      <c r="AC68" s="68">
        <f t="shared" ca="1" si="3"/>
        <v>2.0833333333333333E-5</v>
      </c>
      <c r="AD68" s="68">
        <f t="shared" ca="1" si="4"/>
        <v>0</v>
      </c>
      <c r="AE68" s="55"/>
      <c r="AF68" s="68">
        <v>2.4208655663437995E-4</v>
      </c>
      <c r="AG68" s="81">
        <v>4.8417956010071705E-4</v>
      </c>
      <c r="AH68" s="68">
        <v>9.6838490898365492E-4</v>
      </c>
      <c r="AI68" s="55"/>
    </row>
    <row r="69" spans="1:35" x14ac:dyDescent="0.2">
      <c r="A69" s="27">
        <f>'Cash Flow'!A69</f>
        <v>63</v>
      </c>
      <c r="B69" s="49">
        <f>'Cash Flow'!B69</f>
        <v>41030</v>
      </c>
      <c r="C69" s="56">
        <f>'Cash Flow'!C69</f>
        <v>8.3333333333333329E-2</v>
      </c>
      <c r="D69" s="55"/>
      <c r="E69" s="57">
        <v>6.9369000000000056E-2</v>
      </c>
      <c r="F69" s="57"/>
      <c r="G69" s="57"/>
      <c r="H69" s="57"/>
      <c r="I69" s="57">
        <v>0.04</v>
      </c>
      <c r="J69" s="57"/>
      <c r="K69" s="57"/>
      <c r="L69" s="55"/>
      <c r="M69" s="78">
        <v>5.1430128318229462E-3</v>
      </c>
      <c r="N69" s="78">
        <v>0.01</v>
      </c>
      <c r="Q69" s="57"/>
      <c r="S69" s="55"/>
      <c r="T69" s="79">
        <f ca="1">OFFSET('Loss Timing'!D$6,MATCH($A69,'Loss Timing'!$A$7:$A$36,1),0)/12/PmtFreqAdd</f>
        <v>2.7777777777777779E-3</v>
      </c>
      <c r="U69" s="79">
        <f ca="1">OFFSET('Loss Timing'!E$6,MATCH($A69,'Loss Timing'!$A$7:$A$36,1),0)/12/PmtFreqAdd</f>
        <v>6.2499999999999995E-3</v>
      </c>
      <c r="V69" s="79">
        <f ca="1">OFFSET('Loss Timing'!F$6,MATCH($A69,'Loss Timing'!$A$7:$A$36,1),0)/12/PmtFreqAdd</f>
        <v>0</v>
      </c>
      <c r="W69" s="79">
        <f ca="1">OFFSET('Loss Timing'!G$6,MATCH($A69,'Loss Timing'!$A$7:$A$36,1),0)/12/PmtFreqAdd</f>
        <v>2.0833333333333333E-3</v>
      </c>
      <c r="X69" s="79">
        <f ca="1">OFFSET('Loss Timing'!H$6,MATCH($A69,'Loss Timing'!$A$7:$A$36,1),0)/12/PmtFreqAdd</f>
        <v>0</v>
      </c>
      <c r="Y69" s="55"/>
      <c r="Z69" s="68">
        <f t="shared" ca="1" si="0"/>
        <v>2.7777777777777779E-5</v>
      </c>
      <c r="AA69" s="68">
        <f t="shared" ca="1" si="1"/>
        <v>6.2500000000000001E-5</v>
      </c>
      <c r="AB69" s="68">
        <f t="shared" ca="1" si="2"/>
        <v>0</v>
      </c>
      <c r="AC69" s="68">
        <f t="shared" ca="1" si="3"/>
        <v>2.0833333333333333E-5</v>
      </c>
      <c r="AD69" s="68">
        <f t="shared" ca="1" si="4"/>
        <v>0</v>
      </c>
      <c r="AE69" s="55"/>
      <c r="AF69" s="68">
        <v>2.3812811874579509E-4</v>
      </c>
      <c r="AG69" s="81">
        <v>4.7626247522414289E-4</v>
      </c>
      <c r="AH69" s="68">
        <v>9.5254990273296869E-4</v>
      </c>
      <c r="AI69" s="55"/>
    </row>
    <row r="70" spans="1:35" x14ac:dyDescent="0.2">
      <c r="A70" s="27">
        <f>'Cash Flow'!A70</f>
        <v>64</v>
      </c>
      <c r="B70" s="49">
        <f>'Cash Flow'!B70</f>
        <v>41061</v>
      </c>
      <c r="C70" s="56">
        <f>'Cash Flow'!C70</f>
        <v>8.3333333333333329E-2</v>
      </c>
      <c r="D70" s="55"/>
      <c r="E70" s="57">
        <v>6.9369000000000056E-2</v>
      </c>
      <c r="F70" s="57"/>
      <c r="G70" s="57"/>
      <c r="H70" s="57"/>
      <c r="I70" s="57">
        <v>0.04</v>
      </c>
      <c r="J70" s="57"/>
      <c r="K70" s="57"/>
      <c r="L70" s="55"/>
      <c r="M70" s="78">
        <v>5.1430128318229462E-3</v>
      </c>
      <c r="N70" s="78">
        <v>0.01</v>
      </c>
      <c r="Q70" s="57"/>
      <c r="S70" s="55"/>
      <c r="T70" s="79">
        <f ca="1">OFFSET('Loss Timing'!D$6,MATCH($A70,'Loss Timing'!$A$7:$A$36,1),0)/12/PmtFreqAdd</f>
        <v>2.7777777777777779E-3</v>
      </c>
      <c r="U70" s="79">
        <f ca="1">OFFSET('Loss Timing'!E$6,MATCH($A70,'Loss Timing'!$A$7:$A$36,1),0)/12/PmtFreqAdd</f>
        <v>6.2499999999999995E-3</v>
      </c>
      <c r="V70" s="79">
        <f ca="1">OFFSET('Loss Timing'!F$6,MATCH($A70,'Loss Timing'!$A$7:$A$36,1),0)/12/PmtFreqAdd</f>
        <v>0</v>
      </c>
      <c r="W70" s="79">
        <f ca="1">OFFSET('Loss Timing'!G$6,MATCH($A70,'Loss Timing'!$A$7:$A$36,1),0)/12/PmtFreqAdd</f>
        <v>2.0833333333333333E-3</v>
      </c>
      <c r="X70" s="79">
        <f ca="1">OFFSET('Loss Timing'!H$6,MATCH($A70,'Loss Timing'!$A$7:$A$36,1),0)/12/PmtFreqAdd</f>
        <v>0</v>
      </c>
      <c r="Y70" s="55"/>
      <c r="Z70" s="68">
        <f t="shared" ca="1" si="0"/>
        <v>2.7777777777777779E-5</v>
      </c>
      <c r="AA70" s="68">
        <f t="shared" ca="1" si="1"/>
        <v>6.2500000000000001E-5</v>
      </c>
      <c r="AB70" s="68">
        <f t="shared" ca="1" si="2"/>
        <v>0</v>
      </c>
      <c r="AC70" s="68">
        <f t="shared" ca="1" si="3"/>
        <v>2.0833333333333333E-5</v>
      </c>
      <c r="AD70" s="68">
        <f t="shared" ca="1" si="4"/>
        <v>0</v>
      </c>
      <c r="AE70" s="55"/>
      <c r="AF70" s="68">
        <v>2.3416968258915816E-4</v>
      </c>
      <c r="AG70" s="81">
        <v>4.6834539725315594E-4</v>
      </c>
      <c r="AH70" s="68">
        <v>9.3671492407132462E-4</v>
      </c>
      <c r="AI70" s="55"/>
    </row>
    <row r="71" spans="1:35" x14ac:dyDescent="0.2">
      <c r="A71" s="27">
        <f>'Cash Flow'!A71</f>
        <v>65</v>
      </c>
      <c r="B71" s="49">
        <f>'Cash Flow'!B71</f>
        <v>41091</v>
      </c>
      <c r="C71" s="56">
        <f>'Cash Flow'!C71</f>
        <v>8.3333333333333329E-2</v>
      </c>
      <c r="D71" s="55"/>
      <c r="E71" s="57">
        <v>6.9369000000000056E-2</v>
      </c>
      <c r="F71" s="57"/>
      <c r="G71" s="57"/>
      <c r="H71" s="57"/>
      <c r="I71" s="57">
        <v>0.04</v>
      </c>
      <c r="J71" s="57"/>
      <c r="K71" s="57"/>
      <c r="L71" s="55"/>
      <c r="M71" s="78">
        <v>5.1430128318229462E-3</v>
      </c>
      <c r="N71" s="78">
        <v>0.01</v>
      </c>
      <c r="Q71" s="57"/>
      <c r="S71" s="55"/>
      <c r="T71" s="79">
        <f ca="1">OFFSET('Loss Timing'!D$6,MATCH($A71,'Loss Timing'!$A$7:$A$36,1),0)/12/PmtFreqAdd</f>
        <v>2.7777777777777779E-3</v>
      </c>
      <c r="U71" s="79">
        <f ca="1">OFFSET('Loss Timing'!E$6,MATCH($A71,'Loss Timing'!$A$7:$A$36,1),0)/12/PmtFreqAdd</f>
        <v>6.2499999999999995E-3</v>
      </c>
      <c r="V71" s="79">
        <f ca="1">OFFSET('Loss Timing'!F$6,MATCH($A71,'Loss Timing'!$A$7:$A$36,1),0)/12/PmtFreqAdd</f>
        <v>0</v>
      </c>
      <c r="W71" s="79">
        <f ca="1">OFFSET('Loss Timing'!G$6,MATCH($A71,'Loss Timing'!$A$7:$A$36,1),0)/12/PmtFreqAdd</f>
        <v>2.0833333333333333E-3</v>
      </c>
      <c r="X71" s="79">
        <f ca="1">OFFSET('Loss Timing'!H$6,MATCH($A71,'Loss Timing'!$A$7:$A$36,1),0)/12/PmtFreqAdd</f>
        <v>0</v>
      </c>
      <c r="Y71" s="55"/>
      <c r="Z71" s="68">
        <f t="shared" ref="Z71:Z134" ca="1" si="5">(pdrCumLoss1*pdrLossStress1)*T71</f>
        <v>2.7777777777777779E-5</v>
      </c>
      <c r="AA71" s="68">
        <f t="shared" ref="AA71:AA134" ca="1" si="6">(pdrCumLoss1*pdrLossStress1)*U71</f>
        <v>6.2500000000000001E-5</v>
      </c>
      <c r="AB71" s="68">
        <f t="shared" ref="AB71:AB134" ca="1" si="7">(pdrCumLoss1*pdrLossStress1)*V71</f>
        <v>0</v>
      </c>
      <c r="AC71" s="68">
        <f t="shared" ref="AC71:AC134" ca="1" si="8">(pdrCumLoss1*pdrLossStress1)*W71</f>
        <v>2.0833333333333333E-5</v>
      </c>
      <c r="AD71" s="68">
        <f t="shared" ref="AD71:AD134" ca="1" si="9">(pdrCumLoss1*pdrLossStress1)*X71</f>
        <v>0</v>
      </c>
      <c r="AE71" s="55"/>
      <c r="AF71" s="68">
        <v>2.3021124815336691E-4</v>
      </c>
      <c r="AG71" s="81">
        <v>4.6042832616555174E-4</v>
      </c>
      <c r="AH71" s="68">
        <v>9.2087997299872271E-4</v>
      </c>
      <c r="AI71" s="55"/>
    </row>
    <row r="72" spans="1:35" x14ac:dyDescent="0.2">
      <c r="A72" s="27">
        <f>'Cash Flow'!A72</f>
        <v>66</v>
      </c>
      <c r="B72" s="49">
        <f>'Cash Flow'!B72</f>
        <v>41122</v>
      </c>
      <c r="C72" s="56">
        <f>'Cash Flow'!C72</f>
        <v>8.3333333333333329E-2</v>
      </c>
      <c r="D72" s="55"/>
      <c r="E72" s="57">
        <v>6.9369000000000056E-2</v>
      </c>
      <c r="F72" s="57"/>
      <c r="G72" s="57"/>
      <c r="H72" s="57"/>
      <c r="I72" s="57">
        <v>0.04</v>
      </c>
      <c r="J72" s="57"/>
      <c r="K72" s="57"/>
      <c r="L72" s="55"/>
      <c r="M72" s="78">
        <v>5.1430128318229462E-3</v>
      </c>
      <c r="N72" s="78">
        <v>0.01</v>
      </c>
      <c r="Q72" s="57"/>
      <c r="S72" s="55"/>
      <c r="T72" s="79">
        <f ca="1">OFFSET('Loss Timing'!D$6,MATCH($A72,'Loss Timing'!$A$7:$A$36,1),0)/12/PmtFreqAdd</f>
        <v>2.7777777777777779E-3</v>
      </c>
      <c r="U72" s="79">
        <f ca="1">OFFSET('Loss Timing'!E$6,MATCH($A72,'Loss Timing'!$A$7:$A$36,1),0)/12/PmtFreqAdd</f>
        <v>6.2499999999999995E-3</v>
      </c>
      <c r="V72" s="79">
        <f ca="1">OFFSET('Loss Timing'!F$6,MATCH($A72,'Loss Timing'!$A$7:$A$36,1),0)/12/PmtFreqAdd</f>
        <v>0</v>
      </c>
      <c r="W72" s="79">
        <f ca="1">OFFSET('Loss Timing'!G$6,MATCH($A72,'Loss Timing'!$A$7:$A$36,1),0)/12/PmtFreqAdd</f>
        <v>2.0833333333333333E-3</v>
      </c>
      <c r="X72" s="79">
        <f ca="1">OFFSET('Loss Timing'!H$6,MATCH($A72,'Loss Timing'!$A$7:$A$36,1),0)/12/PmtFreqAdd</f>
        <v>0</v>
      </c>
      <c r="Y72" s="55"/>
      <c r="Z72" s="68">
        <f t="shared" ca="1" si="5"/>
        <v>2.7777777777777779E-5</v>
      </c>
      <c r="AA72" s="68">
        <f t="shared" ca="1" si="6"/>
        <v>6.2500000000000001E-5</v>
      </c>
      <c r="AB72" s="68">
        <f t="shared" ca="1" si="7"/>
        <v>0</v>
      </c>
      <c r="AC72" s="68">
        <f t="shared" ca="1" si="8"/>
        <v>2.0833333333333333E-5</v>
      </c>
      <c r="AD72" s="68">
        <f t="shared" ca="1" si="9"/>
        <v>0</v>
      </c>
      <c r="AE72" s="55"/>
      <c r="AF72" s="68">
        <v>2.2625281544952358E-4</v>
      </c>
      <c r="AG72" s="81">
        <v>4.5251126198353475E-4</v>
      </c>
      <c r="AH72" s="68">
        <v>9.0504504950406073E-4</v>
      </c>
      <c r="AI72" s="55"/>
    </row>
    <row r="73" spans="1:35" x14ac:dyDescent="0.2">
      <c r="A73" s="27">
        <f>'Cash Flow'!A73</f>
        <v>67</v>
      </c>
      <c r="B73" s="49">
        <f>'Cash Flow'!B73</f>
        <v>41153</v>
      </c>
      <c r="C73" s="56">
        <f>'Cash Flow'!C73</f>
        <v>8.3333333333333329E-2</v>
      </c>
      <c r="D73" s="55"/>
      <c r="E73" s="57">
        <v>6.9369000000000056E-2</v>
      </c>
      <c r="F73" s="57"/>
      <c r="G73" s="57"/>
      <c r="H73" s="57"/>
      <c r="I73" s="57">
        <v>0.04</v>
      </c>
      <c r="J73" s="57"/>
      <c r="K73" s="57"/>
      <c r="L73" s="55"/>
      <c r="M73" s="78">
        <v>5.1430128318229462E-3</v>
      </c>
      <c r="N73" s="78">
        <v>0.01</v>
      </c>
      <c r="Q73" s="57"/>
      <c r="S73" s="55"/>
      <c r="T73" s="79">
        <f ca="1">OFFSET('Loss Timing'!D$6,MATCH($A73,'Loss Timing'!$A$7:$A$36,1),0)/12/PmtFreqAdd</f>
        <v>2.7777777777777779E-3</v>
      </c>
      <c r="U73" s="79">
        <f ca="1">OFFSET('Loss Timing'!E$6,MATCH($A73,'Loss Timing'!$A$7:$A$36,1),0)/12/PmtFreqAdd</f>
        <v>6.2499999999999995E-3</v>
      </c>
      <c r="V73" s="79">
        <f ca="1">OFFSET('Loss Timing'!F$6,MATCH($A73,'Loss Timing'!$A$7:$A$36,1),0)/12/PmtFreqAdd</f>
        <v>0</v>
      </c>
      <c r="W73" s="79">
        <f ca="1">OFFSET('Loss Timing'!G$6,MATCH($A73,'Loss Timing'!$A$7:$A$36,1),0)/12/PmtFreqAdd</f>
        <v>2.0833333333333333E-3</v>
      </c>
      <c r="X73" s="79">
        <f ca="1">OFFSET('Loss Timing'!H$6,MATCH($A73,'Loss Timing'!$A$7:$A$36,1),0)/12/PmtFreqAdd</f>
        <v>0</v>
      </c>
      <c r="Y73" s="55"/>
      <c r="Z73" s="68">
        <f t="shared" ca="1" si="5"/>
        <v>2.7777777777777779E-5</v>
      </c>
      <c r="AA73" s="68">
        <f t="shared" ca="1" si="6"/>
        <v>6.2500000000000001E-5</v>
      </c>
      <c r="AB73" s="68">
        <f t="shared" ca="1" si="7"/>
        <v>0</v>
      </c>
      <c r="AC73" s="68">
        <f t="shared" ca="1" si="8"/>
        <v>2.0833333333333333E-5</v>
      </c>
      <c r="AD73" s="68">
        <f t="shared" ca="1" si="9"/>
        <v>0</v>
      </c>
      <c r="AE73" s="55"/>
      <c r="AF73" s="68">
        <v>2.2229438445542371E-4</v>
      </c>
      <c r="AG73" s="81">
        <v>4.4459420469600275E-4</v>
      </c>
      <c r="AH73" s="68">
        <v>8.8921015358733868E-4</v>
      </c>
      <c r="AI73" s="55"/>
    </row>
    <row r="74" spans="1:35" x14ac:dyDescent="0.2">
      <c r="A74" s="27">
        <f>'Cash Flow'!A74</f>
        <v>68</v>
      </c>
      <c r="B74" s="49">
        <f>'Cash Flow'!B74</f>
        <v>41183</v>
      </c>
      <c r="C74" s="56">
        <f>'Cash Flow'!C74</f>
        <v>8.3333333333333329E-2</v>
      </c>
      <c r="D74" s="55"/>
      <c r="E74" s="57">
        <v>6.9369000000000056E-2</v>
      </c>
      <c r="F74" s="57"/>
      <c r="G74" s="57"/>
      <c r="H74" s="57"/>
      <c r="I74" s="57">
        <v>0.04</v>
      </c>
      <c r="J74" s="57"/>
      <c r="K74" s="57"/>
      <c r="L74" s="55"/>
      <c r="M74" s="78">
        <v>5.1430128318229462E-3</v>
      </c>
      <c r="N74" s="78">
        <v>0.01</v>
      </c>
      <c r="Q74" s="57"/>
      <c r="S74" s="55"/>
      <c r="T74" s="79">
        <f ca="1">OFFSET('Loss Timing'!D$6,MATCH($A74,'Loss Timing'!$A$7:$A$36,1),0)/12/PmtFreqAdd</f>
        <v>2.7777777777777779E-3</v>
      </c>
      <c r="U74" s="79">
        <f ca="1">OFFSET('Loss Timing'!E$6,MATCH($A74,'Loss Timing'!$A$7:$A$36,1),0)/12/PmtFreqAdd</f>
        <v>6.2499999999999995E-3</v>
      </c>
      <c r="V74" s="79">
        <f ca="1">OFFSET('Loss Timing'!F$6,MATCH($A74,'Loss Timing'!$A$7:$A$36,1),0)/12/PmtFreqAdd</f>
        <v>0</v>
      </c>
      <c r="W74" s="79">
        <f ca="1">OFFSET('Loss Timing'!G$6,MATCH($A74,'Loss Timing'!$A$7:$A$36,1),0)/12/PmtFreqAdd</f>
        <v>2.0833333333333333E-3</v>
      </c>
      <c r="X74" s="79">
        <f ca="1">OFFSET('Loss Timing'!H$6,MATCH($A74,'Loss Timing'!$A$7:$A$36,1),0)/12/PmtFreqAdd</f>
        <v>0</v>
      </c>
      <c r="Y74" s="55"/>
      <c r="Z74" s="68">
        <f t="shared" ca="1" si="5"/>
        <v>2.7777777777777779E-5</v>
      </c>
      <c r="AA74" s="68">
        <f t="shared" ca="1" si="6"/>
        <v>6.2500000000000001E-5</v>
      </c>
      <c r="AB74" s="68">
        <f t="shared" ca="1" si="7"/>
        <v>0</v>
      </c>
      <c r="AC74" s="68">
        <f t="shared" ca="1" si="8"/>
        <v>2.0833333333333333E-5</v>
      </c>
      <c r="AD74" s="68">
        <f t="shared" ca="1" si="9"/>
        <v>0</v>
      </c>
      <c r="AE74" s="55"/>
      <c r="AF74" s="68">
        <v>2.1833595519327176E-4</v>
      </c>
      <c r="AG74" s="81">
        <v>4.366771542918535E-4</v>
      </c>
      <c r="AH74" s="68">
        <v>8.7337528524855657E-4</v>
      </c>
      <c r="AI74" s="55"/>
    </row>
    <row r="75" spans="1:35" x14ac:dyDescent="0.2">
      <c r="A75" s="27">
        <f>'Cash Flow'!A75</f>
        <v>69</v>
      </c>
      <c r="B75" s="49">
        <f>'Cash Flow'!B75</f>
        <v>41214</v>
      </c>
      <c r="C75" s="56">
        <f>'Cash Flow'!C75</f>
        <v>8.3333333333333329E-2</v>
      </c>
      <c r="D75" s="55"/>
      <c r="E75" s="57">
        <v>6.9369000000000056E-2</v>
      </c>
      <c r="F75" s="57"/>
      <c r="G75" s="57"/>
      <c r="H75" s="57"/>
      <c r="I75" s="57">
        <v>0.04</v>
      </c>
      <c r="J75" s="57"/>
      <c r="K75" s="57"/>
      <c r="L75" s="55"/>
      <c r="M75" s="78">
        <v>5.1430128318229462E-3</v>
      </c>
      <c r="N75" s="78">
        <v>0.01</v>
      </c>
      <c r="Q75" s="57"/>
      <c r="S75" s="55"/>
      <c r="T75" s="79">
        <f ca="1">OFFSET('Loss Timing'!D$6,MATCH($A75,'Loss Timing'!$A$7:$A$36,1),0)/12/PmtFreqAdd</f>
        <v>2.7777777777777779E-3</v>
      </c>
      <c r="U75" s="79">
        <f ca="1">OFFSET('Loss Timing'!E$6,MATCH($A75,'Loss Timing'!$A$7:$A$36,1),0)/12/PmtFreqAdd</f>
        <v>6.2499999999999995E-3</v>
      </c>
      <c r="V75" s="79">
        <f ca="1">OFFSET('Loss Timing'!F$6,MATCH($A75,'Loss Timing'!$A$7:$A$36,1),0)/12/PmtFreqAdd</f>
        <v>0</v>
      </c>
      <c r="W75" s="79">
        <f ca="1">OFFSET('Loss Timing'!G$6,MATCH($A75,'Loss Timing'!$A$7:$A$36,1),0)/12/PmtFreqAdd</f>
        <v>2.0833333333333333E-3</v>
      </c>
      <c r="X75" s="79">
        <f ca="1">OFFSET('Loss Timing'!H$6,MATCH($A75,'Loss Timing'!$A$7:$A$36,1),0)/12/PmtFreqAdd</f>
        <v>0</v>
      </c>
      <c r="Y75" s="55"/>
      <c r="Z75" s="68">
        <f t="shared" ca="1" si="5"/>
        <v>2.7777777777777779E-5</v>
      </c>
      <c r="AA75" s="68">
        <f t="shared" ca="1" si="6"/>
        <v>6.2500000000000001E-5</v>
      </c>
      <c r="AB75" s="68">
        <f t="shared" ca="1" si="7"/>
        <v>0</v>
      </c>
      <c r="AC75" s="68">
        <f t="shared" ca="1" si="8"/>
        <v>2.0833333333333333E-5</v>
      </c>
      <c r="AD75" s="68">
        <f t="shared" ca="1" si="9"/>
        <v>0</v>
      </c>
      <c r="AE75" s="55"/>
      <c r="AF75" s="68">
        <v>2.1437752765196549E-4</v>
      </c>
      <c r="AG75" s="81">
        <v>4.2876011079329146E-4</v>
      </c>
      <c r="AH75" s="68">
        <v>8.5754044449881661E-4</v>
      </c>
      <c r="AI75" s="55"/>
    </row>
    <row r="76" spans="1:35" x14ac:dyDescent="0.2">
      <c r="A76" s="27">
        <f>'Cash Flow'!A76</f>
        <v>70</v>
      </c>
      <c r="B76" s="49">
        <f>'Cash Flow'!B76</f>
        <v>41244</v>
      </c>
      <c r="C76" s="56">
        <f>'Cash Flow'!C76</f>
        <v>8.3333333333333329E-2</v>
      </c>
      <c r="D76" s="55"/>
      <c r="E76" s="57">
        <v>6.9369000000000056E-2</v>
      </c>
      <c r="F76" s="57"/>
      <c r="G76" s="57"/>
      <c r="H76" s="57"/>
      <c r="I76" s="57">
        <v>0.04</v>
      </c>
      <c r="J76" s="57"/>
      <c r="K76" s="57"/>
      <c r="L76" s="55"/>
      <c r="M76" s="78">
        <v>5.1430128318229462E-3</v>
      </c>
      <c r="N76" s="78">
        <v>0.01</v>
      </c>
      <c r="Q76" s="57"/>
      <c r="S76" s="55"/>
      <c r="T76" s="79">
        <f ca="1">OFFSET('Loss Timing'!D$6,MATCH($A76,'Loss Timing'!$A$7:$A$36,1),0)/12/PmtFreqAdd</f>
        <v>2.7777777777777779E-3</v>
      </c>
      <c r="U76" s="79">
        <f ca="1">OFFSET('Loss Timing'!E$6,MATCH($A76,'Loss Timing'!$A$7:$A$36,1),0)/12/PmtFreqAdd</f>
        <v>6.2499999999999995E-3</v>
      </c>
      <c r="V76" s="79">
        <f ca="1">OFFSET('Loss Timing'!F$6,MATCH($A76,'Loss Timing'!$A$7:$A$36,1),0)/12/PmtFreqAdd</f>
        <v>0</v>
      </c>
      <c r="W76" s="79">
        <f ca="1">OFFSET('Loss Timing'!G$6,MATCH($A76,'Loss Timing'!$A$7:$A$36,1),0)/12/PmtFreqAdd</f>
        <v>2.0833333333333333E-3</v>
      </c>
      <c r="X76" s="79">
        <f ca="1">OFFSET('Loss Timing'!H$6,MATCH($A76,'Loss Timing'!$A$7:$A$36,1),0)/12/PmtFreqAdd</f>
        <v>0</v>
      </c>
      <c r="Y76" s="55"/>
      <c r="Z76" s="68">
        <f t="shared" ca="1" si="5"/>
        <v>2.7777777777777779E-5</v>
      </c>
      <c r="AA76" s="68">
        <f t="shared" ca="1" si="6"/>
        <v>6.2500000000000001E-5</v>
      </c>
      <c r="AB76" s="68">
        <f t="shared" ca="1" si="7"/>
        <v>0</v>
      </c>
      <c r="AC76" s="68">
        <f t="shared" ca="1" si="8"/>
        <v>2.0833333333333333E-5</v>
      </c>
      <c r="AD76" s="68">
        <f t="shared" ca="1" si="9"/>
        <v>0</v>
      </c>
      <c r="AE76" s="55"/>
      <c r="AF76" s="68">
        <v>2.1041910184260715E-4</v>
      </c>
      <c r="AG76" s="81">
        <v>4.2084307418921441E-4</v>
      </c>
      <c r="AH76" s="68">
        <v>8.4170563133811882E-4</v>
      </c>
      <c r="AI76" s="55"/>
    </row>
    <row r="77" spans="1:35" x14ac:dyDescent="0.2">
      <c r="A77" s="27">
        <f>'Cash Flow'!A77</f>
        <v>71</v>
      </c>
      <c r="B77" s="49">
        <f>'Cash Flow'!B77</f>
        <v>41275</v>
      </c>
      <c r="C77" s="56">
        <f>'Cash Flow'!C77</f>
        <v>8.3333333333333329E-2</v>
      </c>
      <c r="D77" s="55"/>
      <c r="E77" s="57">
        <v>6.9369000000000056E-2</v>
      </c>
      <c r="F77" s="57"/>
      <c r="G77" s="57"/>
      <c r="H77" s="57"/>
      <c r="I77" s="57">
        <v>0.04</v>
      </c>
      <c r="J77" s="57"/>
      <c r="K77" s="57"/>
      <c r="L77" s="55"/>
      <c r="M77" s="78">
        <v>5.1430128318229462E-3</v>
      </c>
      <c r="N77" s="78">
        <v>0.01</v>
      </c>
      <c r="Q77" s="57"/>
      <c r="S77" s="55"/>
      <c r="T77" s="79">
        <f ca="1">OFFSET('Loss Timing'!D$6,MATCH($A77,'Loss Timing'!$A$7:$A$36,1),0)/12/PmtFreqAdd</f>
        <v>2.7777777777777779E-3</v>
      </c>
      <c r="U77" s="79">
        <f ca="1">OFFSET('Loss Timing'!E$6,MATCH($A77,'Loss Timing'!$A$7:$A$36,1),0)/12/PmtFreqAdd</f>
        <v>6.2499999999999995E-3</v>
      </c>
      <c r="V77" s="79">
        <f ca="1">OFFSET('Loss Timing'!F$6,MATCH($A77,'Loss Timing'!$A$7:$A$36,1),0)/12/PmtFreqAdd</f>
        <v>0</v>
      </c>
      <c r="W77" s="79">
        <f ca="1">OFFSET('Loss Timing'!G$6,MATCH($A77,'Loss Timing'!$A$7:$A$36,1),0)/12/PmtFreqAdd</f>
        <v>2.0833333333333333E-3</v>
      </c>
      <c r="X77" s="79">
        <f ca="1">OFFSET('Loss Timing'!H$6,MATCH($A77,'Loss Timing'!$A$7:$A$36,1),0)/12/PmtFreqAdd</f>
        <v>0</v>
      </c>
      <c r="Y77" s="55"/>
      <c r="Z77" s="68">
        <f t="shared" ca="1" si="5"/>
        <v>2.7777777777777779E-5</v>
      </c>
      <c r="AA77" s="68">
        <f t="shared" ca="1" si="6"/>
        <v>6.2500000000000001E-5</v>
      </c>
      <c r="AB77" s="68">
        <f t="shared" ca="1" si="7"/>
        <v>0</v>
      </c>
      <c r="AC77" s="68">
        <f t="shared" ca="1" si="8"/>
        <v>2.0833333333333333E-5</v>
      </c>
      <c r="AD77" s="68">
        <f t="shared" ca="1" si="9"/>
        <v>0</v>
      </c>
      <c r="AE77" s="55"/>
      <c r="AF77" s="68">
        <v>2.0646067774299226E-4</v>
      </c>
      <c r="AG77" s="81">
        <v>4.129260444685201E-4</v>
      </c>
      <c r="AH77" s="68">
        <v>8.2587084574425873E-4</v>
      </c>
      <c r="AI77" s="55"/>
    </row>
    <row r="78" spans="1:35" x14ac:dyDescent="0.2">
      <c r="A78" s="27">
        <f>'Cash Flow'!A78</f>
        <v>72</v>
      </c>
      <c r="B78" s="49">
        <f>'Cash Flow'!B78</f>
        <v>41306</v>
      </c>
      <c r="C78" s="56">
        <f>'Cash Flow'!C78</f>
        <v>8.3333333333333329E-2</v>
      </c>
      <c r="D78" s="55"/>
      <c r="E78" s="57">
        <v>6.9369000000000056E-2</v>
      </c>
      <c r="F78" s="57"/>
      <c r="G78" s="57"/>
      <c r="H78" s="57"/>
      <c r="I78" s="57">
        <v>0.04</v>
      </c>
      <c r="J78" s="57"/>
      <c r="K78" s="57"/>
      <c r="L78" s="55"/>
      <c r="M78" s="78">
        <v>5.1430128318229462E-3</v>
      </c>
      <c r="N78" s="78">
        <v>0.01</v>
      </c>
      <c r="Q78" s="57"/>
      <c r="S78" s="55"/>
      <c r="T78" s="79">
        <f ca="1">OFFSET('Loss Timing'!D$6,MATCH($A78,'Loss Timing'!$A$7:$A$36,1),0)/12/PmtFreqAdd</f>
        <v>2.7777777777777779E-3</v>
      </c>
      <c r="U78" s="79">
        <f ca="1">OFFSET('Loss Timing'!E$6,MATCH($A78,'Loss Timing'!$A$7:$A$36,1),0)/12/PmtFreqAdd</f>
        <v>6.2499999999999995E-3</v>
      </c>
      <c r="V78" s="79">
        <f ca="1">OFFSET('Loss Timing'!F$6,MATCH($A78,'Loss Timing'!$A$7:$A$36,1),0)/12/PmtFreqAdd</f>
        <v>0</v>
      </c>
      <c r="W78" s="79">
        <f ca="1">OFFSET('Loss Timing'!G$6,MATCH($A78,'Loss Timing'!$A$7:$A$36,1),0)/12/PmtFreqAdd</f>
        <v>2.0833333333333333E-3</v>
      </c>
      <c r="X78" s="79">
        <f ca="1">OFFSET('Loss Timing'!H$6,MATCH($A78,'Loss Timing'!$A$7:$A$36,1),0)/12/PmtFreqAdd</f>
        <v>0</v>
      </c>
      <c r="Y78" s="55"/>
      <c r="Z78" s="68">
        <f t="shared" ca="1" si="5"/>
        <v>2.7777777777777779E-5</v>
      </c>
      <c r="AA78" s="68">
        <f t="shared" ca="1" si="6"/>
        <v>6.2500000000000001E-5</v>
      </c>
      <c r="AB78" s="68">
        <f t="shared" ca="1" si="7"/>
        <v>0</v>
      </c>
      <c r="AC78" s="68">
        <f t="shared" ca="1" si="8"/>
        <v>2.0833333333333333E-5</v>
      </c>
      <c r="AD78" s="68">
        <f t="shared" ca="1" si="9"/>
        <v>0</v>
      </c>
      <c r="AE78" s="55"/>
      <c r="AF78" s="68">
        <v>2.0250225537532529E-4</v>
      </c>
      <c r="AG78" s="81">
        <v>4.0500902165341301E-4</v>
      </c>
      <c r="AH78" s="68">
        <v>8.100360877394408E-4</v>
      </c>
      <c r="AI78" s="55"/>
    </row>
    <row r="79" spans="1:35" x14ac:dyDescent="0.2">
      <c r="A79" s="27">
        <f>'Cash Flow'!A79</f>
        <v>73</v>
      </c>
      <c r="B79" s="49">
        <f>'Cash Flow'!B79</f>
        <v>41334</v>
      </c>
      <c r="C79" s="56">
        <f>'Cash Flow'!C79</f>
        <v>8.3333333333333329E-2</v>
      </c>
      <c r="D79" s="55"/>
      <c r="E79" s="57">
        <v>6.9369000000000056E-2</v>
      </c>
      <c r="F79" s="57"/>
      <c r="G79" s="57"/>
      <c r="H79" s="57"/>
      <c r="I79" s="57">
        <v>0.04</v>
      </c>
      <c r="J79" s="57"/>
      <c r="K79" s="57"/>
      <c r="L79" s="55"/>
      <c r="M79" s="78">
        <v>5.1430128318229462E-3</v>
      </c>
      <c r="N79" s="78">
        <v>0.01</v>
      </c>
      <c r="Q79" s="57"/>
      <c r="S79" s="55"/>
      <c r="T79" s="79">
        <f ca="1">OFFSET('Loss Timing'!D$6,MATCH($A79,'Loss Timing'!$A$7:$A$36,1),0)/12/PmtFreqAdd</f>
        <v>2.7777777777777779E-3</v>
      </c>
      <c r="U79" s="79">
        <f ca="1">OFFSET('Loss Timing'!E$6,MATCH($A79,'Loss Timing'!$A$7:$A$36,1),0)/12/PmtFreqAdd</f>
        <v>6.2499999999999995E-3</v>
      </c>
      <c r="V79" s="79">
        <f ca="1">OFFSET('Loss Timing'!F$6,MATCH($A79,'Loss Timing'!$A$7:$A$36,1),0)/12/PmtFreqAdd</f>
        <v>0</v>
      </c>
      <c r="W79" s="79">
        <f ca="1">OFFSET('Loss Timing'!G$6,MATCH($A79,'Loss Timing'!$A$7:$A$36,1),0)/12/PmtFreqAdd</f>
        <v>2.0833333333333333E-3</v>
      </c>
      <c r="X79" s="79">
        <f ca="1">OFFSET('Loss Timing'!H$6,MATCH($A79,'Loss Timing'!$A$7:$A$36,1),0)/12/PmtFreqAdd</f>
        <v>0</v>
      </c>
      <c r="Y79" s="55"/>
      <c r="Z79" s="68">
        <f t="shared" ca="1" si="5"/>
        <v>2.7777777777777779E-5</v>
      </c>
      <c r="AA79" s="68">
        <f t="shared" ca="1" si="6"/>
        <v>6.2500000000000001E-5</v>
      </c>
      <c r="AB79" s="68">
        <f t="shared" ca="1" si="7"/>
        <v>0</v>
      </c>
      <c r="AC79" s="68">
        <f t="shared" ca="1" si="8"/>
        <v>2.0833333333333333E-5</v>
      </c>
      <c r="AD79" s="68">
        <f t="shared" ca="1" si="9"/>
        <v>0</v>
      </c>
      <c r="AE79" s="55"/>
      <c r="AF79" s="68">
        <v>1.9854383472850401E-4</v>
      </c>
      <c r="AG79" s="81">
        <v>3.9709200573279091E-4</v>
      </c>
      <c r="AH79" s="68">
        <v>7.9420135731256281E-4</v>
      </c>
      <c r="AI79" s="55"/>
    </row>
    <row r="80" spans="1:35" x14ac:dyDescent="0.2">
      <c r="A80" s="27">
        <f>'Cash Flow'!A80</f>
        <v>74</v>
      </c>
      <c r="B80" s="49">
        <f>'Cash Flow'!B80</f>
        <v>41365</v>
      </c>
      <c r="C80" s="56">
        <f>'Cash Flow'!C80</f>
        <v>8.3333333333333329E-2</v>
      </c>
      <c r="D80" s="55"/>
      <c r="E80" s="57">
        <v>6.9369000000000056E-2</v>
      </c>
      <c r="F80" s="57"/>
      <c r="G80" s="57"/>
      <c r="H80" s="57"/>
      <c r="I80" s="57">
        <v>0.04</v>
      </c>
      <c r="J80" s="57"/>
      <c r="K80" s="57"/>
      <c r="L80" s="55"/>
      <c r="M80" s="78">
        <v>5.1430128318229462E-3</v>
      </c>
      <c r="N80" s="78">
        <v>0.01</v>
      </c>
      <c r="Q80" s="57"/>
      <c r="S80" s="55"/>
      <c r="T80" s="79">
        <f ca="1">OFFSET('Loss Timing'!D$6,MATCH($A80,'Loss Timing'!$A$7:$A$36,1),0)/12/PmtFreqAdd</f>
        <v>2.7777777777777779E-3</v>
      </c>
      <c r="U80" s="79">
        <f ca="1">OFFSET('Loss Timing'!E$6,MATCH($A80,'Loss Timing'!$A$7:$A$36,1),0)/12/PmtFreqAdd</f>
        <v>6.2499999999999995E-3</v>
      </c>
      <c r="V80" s="79">
        <f ca="1">OFFSET('Loss Timing'!F$6,MATCH($A80,'Loss Timing'!$A$7:$A$36,1),0)/12/PmtFreqAdd</f>
        <v>0</v>
      </c>
      <c r="W80" s="79">
        <f ca="1">OFFSET('Loss Timing'!G$6,MATCH($A80,'Loss Timing'!$A$7:$A$36,1),0)/12/PmtFreqAdd</f>
        <v>2.0833333333333333E-3</v>
      </c>
      <c r="X80" s="79">
        <f ca="1">OFFSET('Loss Timing'!H$6,MATCH($A80,'Loss Timing'!$A$7:$A$36,1),0)/12/PmtFreqAdd</f>
        <v>0</v>
      </c>
      <c r="Y80" s="55"/>
      <c r="Z80" s="68">
        <f t="shared" ca="1" si="5"/>
        <v>2.7777777777777779E-5</v>
      </c>
      <c r="AA80" s="68">
        <f t="shared" ca="1" si="6"/>
        <v>6.2500000000000001E-5</v>
      </c>
      <c r="AB80" s="68">
        <f t="shared" ca="1" si="7"/>
        <v>0</v>
      </c>
      <c r="AC80" s="68">
        <f t="shared" ca="1" si="8"/>
        <v>2.0833333333333333E-5</v>
      </c>
      <c r="AD80" s="68">
        <f t="shared" ca="1" si="9"/>
        <v>0</v>
      </c>
      <c r="AE80" s="55"/>
      <c r="AF80" s="68">
        <v>1.9458541581363065E-4</v>
      </c>
      <c r="AG80" s="81">
        <v>3.8917499670665379E-4</v>
      </c>
      <c r="AH80" s="68">
        <v>7.7836665447472697E-4</v>
      </c>
      <c r="AI80" s="55"/>
    </row>
    <row r="81" spans="1:35" x14ac:dyDescent="0.2">
      <c r="A81" s="27">
        <f>'Cash Flow'!A81</f>
        <v>75</v>
      </c>
      <c r="B81" s="49">
        <f>'Cash Flow'!B81</f>
        <v>41395</v>
      </c>
      <c r="C81" s="56">
        <f>'Cash Flow'!C81</f>
        <v>8.3333333333333329E-2</v>
      </c>
      <c r="D81" s="55"/>
      <c r="E81" s="57">
        <v>6.9369000000000056E-2</v>
      </c>
      <c r="F81" s="57"/>
      <c r="G81" s="57"/>
      <c r="H81" s="57"/>
      <c r="I81" s="57">
        <v>0.04</v>
      </c>
      <c r="J81" s="57"/>
      <c r="K81" s="57"/>
      <c r="L81" s="55"/>
      <c r="M81" s="78">
        <v>5.1430128318229462E-3</v>
      </c>
      <c r="N81" s="78">
        <v>0.01</v>
      </c>
      <c r="Q81" s="57"/>
      <c r="S81" s="55"/>
      <c r="T81" s="79">
        <f ca="1">OFFSET('Loss Timing'!D$6,MATCH($A81,'Loss Timing'!$A$7:$A$36,1),0)/12/PmtFreqAdd</f>
        <v>2.7777777777777779E-3</v>
      </c>
      <c r="U81" s="79">
        <f ca="1">OFFSET('Loss Timing'!E$6,MATCH($A81,'Loss Timing'!$A$7:$A$36,1),0)/12/PmtFreqAdd</f>
        <v>6.2499999999999995E-3</v>
      </c>
      <c r="V81" s="79">
        <f ca="1">OFFSET('Loss Timing'!F$6,MATCH($A81,'Loss Timing'!$A$7:$A$36,1),0)/12/PmtFreqAdd</f>
        <v>0</v>
      </c>
      <c r="W81" s="79">
        <f ca="1">OFFSET('Loss Timing'!G$6,MATCH($A81,'Loss Timing'!$A$7:$A$36,1),0)/12/PmtFreqAdd</f>
        <v>2.0833333333333333E-3</v>
      </c>
      <c r="X81" s="79">
        <f ca="1">OFFSET('Loss Timing'!H$6,MATCH($A81,'Loss Timing'!$A$7:$A$36,1),0)/12/PmtFreqAdd</f>
        <v>0</v>
      </c>
      <c r="Y81" s="55"/>
      <c r="Z81" s="68">
        <f t="shared" ca="1" si="5"/>
        <v>2.7777777777777779E-5</v>
      </c>
      <c r="AA81" s="68">
        <f t="shared" ca="1" si="6"/>
        <v>6.2500000000000001E-5</v>
      </c>
      <c r="AB81" s="68">
        <f t="shared" ca="1" si="7"/>
        <v>0</v>
      </c>
      <c r="AC81" s="68">
        <f t="shared" ca="1" si="8"/>
        <v>2.0833333333333333E-5</v>
      </c>
      <c r="AD81" s="68">
        <f t="shared" ca="1" si="9"/>
        <v>0</v>
      </c>
      <c r="AE81" s="55"/>
      <c r="AF81" s="68">
        <v>1.9062699860850074E-4</v>
      </c>
      <c r="AG81" s="81">
        <v>3.8125799456389942E-4</v>
      </c>
      <c r="AH81" s="68">
        <v>7.6253197921483107E-4</v>
      </c>
      <c r="AI81" s="55"/>
    </row>
    <row r="82" spans="1:35" x14ac:dyDescent="0.2">
      <c r="A82" s="27">
        <f>'Cash Flow'!A82</f>
        <v>76</v>
      </c>
      <c r="B82" s="49">
        <f>'Cash Flow'!B82</f>
        <v>41426</v>
      </c>
      <c r="C82" s="56">
        <f>'Cash Flow'!C82</f>
        <v>8.3333333333333329E-2</v>
      </c>
      <c r="D82" s="55"/>
      <c r="E82" s="57">
        <v>6.9369000000000056E-2</v>
      </c>
      <c r="F82" s="57"/>
      <c r="G82" s="57"/>
      <c r="H82" s="57"/>
      <c r="I82" s="57">
        <v>0.04</v>
      </c>
      <c r="J82" s="57"/>
      <c r="K82" s="57"/>
      <c r="L82" s="55"/>
      <c r="M82" s="78">
        <v>5.1430128318229462E-3</v>
      </c>
      <c r="N82" s="78">
        <v>0.01</v>
      </c>
      <c r="Q82" s="57"/>
      <c r="S82" s="55"/>
      <c r="T82" s="79">
        <f ca="1">OFFSET('Loss Timing'!D$6,MATCH($A82,'Loss Timing'!$A$7:$A$36,1),0)/12/PmtFreqAdd</f>
        <v>2.7777777777777779E-3</v>
      </c>
      <c r="U82" s="79">
        <f ca="1">OFFSET('Loss Timing'!E$6,MATCH($A82,'Loss Timing'!$A$7:$A$36,1),0)/12/PmtFreqAdd</f>
        <v>6.2499999999999995E-3</v>
      </c>
      <c r="V82" s="79">
        <f ca="1">OFFSET('Loss Timing'!F$6,MATCH($A82,'Loss Timing'!$A$7:$A$36,1),0)/12/PmtFreqAdd</f>
        <v>0</v>
      </c>
      <c r="W82" s="79">
        <f ca="1">OFFSET('Loss Timing'!G$6,MATCH($A82,'Loss Timing'!$A$7:$A$36,1),0)/12/PmtFreqAdd</f>
        <v>2.0833333333333333E-3</v>
      </c>
      <c r="X82" s="79">
        <f ca="1">OFFSET('Loss Timing'!H$6,MATCH($A82,'Loss Timing'!$A$7:$A$36,1),0)/12/PmtFreqAdd</f>
        <v>0</v>
      </c>
      <c r="Y82" s="55"/>
      <c r="Z82" s="68">
        <f t="shared" ca="1" si="5"/>
        <v>2.7777777777777779E-5</v>
      </c>
      <c r="AA82" s="68">
        <f t="shared" ca="1" si="6"/>
        <v>6.2500000000000001E-5</v>
      </c>
      <c r="AB82" s="68">
        <f t="shared" ca="1" si="7"/>
        <v>0</v>
      </c>
      <c r="AC82" s="68">
        <f t="shared" ca="1" si="8"/>
        <v>2.0833333333333333E-5</v>
      </c>
      <c r="AD82" s="68">
        <f t="shared" ca="1" si="9"/>
        <v>0</v>
      </c>
      <c r="AE82" s="55"/>
      <c r="AF82" s="68">
        <v>1.8666858313531876E-4</v>
      </c>
      <c r="AG82" s="81">
        <v>3.7334099932673226E-4</v>
      </c>
      <c r="AH82" s="68">
        <v>7.466973315328751E-4</v>
      </c>
      <c r="AI82" s="55"/>
    </row>
    <row r="83" spans="1:35" x14ac:dyDescent="0.2">
      <c r="A83" s="27">
        <f>'Cash Flow'!A83</f>
        <v>77</v>
      </c>
      <c r="B83" s="49">
        <f>'Cash Flow'!B83</f>
        <v>41456</v>
      </c>
      <c r="C83" s="56">
        <f>'Cash Flow'!C83</f>
        <v>8.3333333333333329E-2</v>
      </c>
      <c r="D83" s="55"/>
      <c r="E83" s="57">
        <v>6.9369000000000056E-2</v>
      </c>
      <c r="F83" s="57"/>
      <c r="G83" s="57"/>
      <c r="H83" s="57"/>
      <c r="I83" s="57">
        <v>0.04</v>
      </c>
      <c r="J83" s="57"/>
      <c r="K83" s="57"/>
      <c r="L83" s="55"/>
      <c r="M83" s="78">
        <v>5.1430128318229462E-3</v>
      </c>
      <c r="N83" s="78">
        <v>0.01</v>
      </c>
      <c r="Q83" s="57"/>
      <c r="S83" s="55"/>
      <c r="T83" s="79">
        <f ca="1">OFFSET('Loss Timing'!D$6,MATCH($A83,'Loss Timing'!$A$7:$A$36,1),0)/12/PmtFreqAdd</f>
        <v>2.7777777777777779E-3</v>
      </c>
      <c r="U83" s="79">
        <f ca="1">OFFSET('Loss Timing'!E$6,MATCH($A83,'Loss Timing'!$A$7:$A$36,1),0)/12/PmtFreqAdd</f>
        <v>6.2499999999999995E-3</v>
      </c>
      <c r="V83" s="79">
        <f ca="1">OFFSET('Loss Timing'!F$6,MATCH($A83,'Loss Timing'!$A$7:$A$36,1),0)/12/PmtFreqAdd</f>
        <v>0</v>
      </c>
      <c r="W83" s="79">
        <f ca="1">OFFSET('Loss Timing'!G$6,MATCH($A83,'Loss Timing'!$A$7:$A$36,1),0)/12/PmtFreqAdd</f>
        <v>2.0833333333333333E-3</v>
      </c>
      <c r="X83" s="79">
        <f ca="1">OFFSET('Loss Timing'!H$6,MATCH($A83,'Loss Timing'!$A$7:$A$36,1),0)/12/PmtFreqAdd</f>
        <v>0</v>
      </c>
      <c r="Y83" s="55"/>
      <c r="Z83" s="68">
        <f t="shared" ca="1" si="5"/>
        <v>2.7777777777777779E-5</v>
      </c>
      <c r="AA83" s="68">
        <f t="shared" ca="1" si="6"/>
        <v>6.2500000000000001E-5</v>
      </c>
      <c r="AB83" s="68">
        <f t="shared" ca="1" si="7"/>
        <v>0</v>
      </c>
      <c r="AC83" s="68">
        <f t="shared" ca="1" si="8"/>
        <v>2.0833333333333333E-5</v>
      </c>
      <c r="AD83" s="68">
        <f t="shared" ca="1" si="9"/>
        <v>0</v>
      </c>
      <c r="AE83" s="55"/>
      <c r="AF83" s="68">
        <v>1.8271016938298246E-4</v>
      </c>
      <c r="AG83" s="81">
        <v>3.6542401098405008E-4</v>
      </c>
      <c r="AH83" s="68">
        <v>7.3086271143996129E-4</v>
      </c>
      <c r="AI83" s="55"/>
    </row>
    <row r="84" spans="1:35" x14ac:dyDescent="0.2">
      <c r="A84" s="27">
        <f>'Cash Flow'!A84</f>
        <v>78</v>
      </c>
      <c r="B84" s="49">
        <f>'Cash Flow'!B84</f>
        <v>41487</v>
      </c>
      <c r="C84" s="56">
        <f>'Cash Flow'!C84</f>
        <v>8.3333333333333329E-2</v>
      </c>
      <c r="D84" s="55"/>
      <c r="E84" s="57">
        <v>6.9369000000000056E-2</v>
      </c>
      <c r="F84" s="57"/>
      <c r="G84" s="57"/>
      <c r="H84" s="57"/>
      <c r="I84" s="57">
        <v>0.04</v>
      </c>
      <c r="J84" s="57"/>
      <c r="K84" s="57"/>
      <c r="L84" s="55"/>
      <c r="M84" s="78">
        <v>5.1430128318229462E-3</v>
      </c>
      <c r="N84" s="78">
        <v>0.01</v>
      </c>
      <c r="Q84" s="57"/>
      <c r="S84" s="55"/>
      <c r="T84" s="79">
        <f ca="1">OFFSET('Loss Timing'!D$6,MATCH($A84,'Loss Timing'!$A$7:$A$36,1),0)/12/PmtFreqAdd</f>
        <v>2.7777777777777779E-3</v>
      </c>
      <c r="U84" s="79">
        <f ca="1">OFFSET('Loss Timing'!E$6,MATCH($A84,'Loss Timing'!$A$7:$A$36,1),0)/12/PmtFreqAdd</f>
        <v>6.2499999999999995E-3</v>
      </c>
      <c r="V84" s="79">
        <f ca="1">OFFSET('Loss Timing'!F$6,MATCH($A84,'Loss Timing'!$A$7:$A$36,1),0)/12/PmtFreqAdd</f>
        <v>0</v>
      </c>
      <c r="W84" s="79">
        <f ca="1">OFFSET('Loss Timing'!G$6,MATCH($A84,'Loss Timing'!$A$7:$A$36,1),0)/12/PmtFreqAdd</f>
        <v>2.0833333333333333E-3</v>
      </c>
      <c r="X84" s="79">
        <f ca="1">OFFSET('Loss Timing'!H$6,MATCH($A84,'Loss Timing'!$A$7:$A$36,1),0)/12/PmtFreqAdd</f>
        <v>0</v>
      </c>
      <c r="Y84" s="55"/>
      <c r="Z84" s="68">
        <f t="shared" ca="1" si="5"/>
        <v>2.7777777777777779E-5</v>
      </c>
      <c r="AA84" s="68">
        <f t="shared" ca="1" si="6"/>
        <v>6.2500000000000001E-5</v>
      </c>
      <c r="AB84" s="68">
        <f t="shared" ca="1" si="7"/>
        <v>0</v>
      </c>
      <c r="AC84" s="68">
        <f t="shared" ca="1" si="8"/>
        <v>2.0833333333333333E-5</v>
      </c>
      <c r="AD84" s="68">
        <f t="shared" ca="1" si="9"/>
        <v>0</v>
      </c>
      <c r="AE84" s="55"/>
      <c r="AF84" s="68">
        <v>1.7875175736259408E-4</v>
      </c>
      <c r="AG84" s="81">
        <v>3.5750702953585289E-4</v>
      </c>
      <c r="AH84" s="68">
        <v>7.1502811891388518E-4</v>
      </c>
      <c r="AI84" s="55"/>
    </row>
    <row r="85" spans="1:35" x14ac:dyDescent="0.2">
      <c r="A85" s="27">
        <f>'Cash Flow'!A85</f>
        <v>79</v>
      </c>
      <c r="B85" s="49">
        <f>'Cash Flow'!B85</f>
        <v>41518</v>
      </c>
      <c r="C85" s="56">
        <f>'Cash Flow'!C85</f>
        <v>8.3333333333333329E-2</v>
      </c>
      <c r="D85" s="55"/>
      <c r="E85" s="57">
        <v>6.9369000000000056E-2</v>
      </c>
      <c r="F85" s="57"/>
      <c r="G85" s="57"/>
      <c r="H85" s="57"/>
      <c r="I85" s="57">
        <v>0.04</v>
      </c>
      <c r="J85" s="57"/>
      <c r="K85" s="57"/>
      <c r="L85" s="55"/>
      <c r="M85" s="78">
        <v>5.1430128318229462E-3</v>
      </c>
      <c r="N85" s="78">
        <v>0.01</v>
      </c>
      <c r="Q85" s="57"/>
      <c r="S85" s="55"/>
      <c r="T85" s="79">
        <f ca="1">OFFSET('Loss Timing'!D$6,MATCH($A85,'Loss Timing'!$A$7:$A$36,1),0)/12/PmtFreqAdd</f>
        <v>2.7777777777777779E-3</v>
      </c>
      <c r="U85" s="79">
        <f ca="1">OFFSET('Loss Timing'!E$6,MATCH($A85,'Loss Timing'!$A$7:$A$36,1),0)/12/PmtFreqAdd</f>
        <v>6.2499999999999995E-3</v>
      </c>
      <c r="V85" s="79">
        <f ca="1">OFFSET('Loss Timing'!F$6,MATCH($A85,'Loss Timing'!$A$7:$A$36,1),0)/12/PmtFreqAdd</f>
        <v>0</v>
      </c>
      <c r="W85" s="79">
        <f ca="1">OFFSET('Loss Timing'!G$6,MATCH($A85,'Loss Timing'!$A$7:$A$36,1),0)/12/PmtFreqAdd</f>
        <v>2.0833333333333333E-3</v>
      </c>
      <c r="X85" s="79">
        <f ca="1">OFFSET('Loss Timing'!H$6,MATCH($A85,'Loss Timing'!$A$7:$A$36,1),0)/12/PmtFreqAdd</f>
        <v>0</v>
      </c>
      <c r="Y85" s="55"/>
      <c r="Z85" s="68">
        <f t="shared" ca="1" si="5"/>
        <v>2.7777777777777779E-5</v>
      </c>
      <c r="AA85" s="68">
        <f t="shared" ca="1" si="6"/>
        <v>6.2500000000000001E-5</v>
      </c>
      <c r="AB85" s="68">
        <f t="shared" ca="1" si="7"/>
        <v>0</v>
      </c>
      <c r="AC85" s="68">
        <f t="shared" ca="1" si="8"/>
        <v>2.0833333333333333E-5</v>
      </c>
      <c r="AD85" s="68">
        <f t="shared" ca="1" si="9"/>
        <v>0</v>
      </c>
      <c r="AE85" s="55"/>
      <c r="AF85" s="68">
        <v>1.7479334705194916E-4</v>
      </c>
      <c r="AG85" s="81">
        <v>3.4959005498214069E-4</v>
      </c>
      <c r="AH85" s="68">
        <v>6.9919355397685123E-4</v>
      </c>
      <c r="AI85" s="55"/>
    </row>
    <row r="86" spans="1:35" x14ac:dyDescent="0.2">
      <c r="A86" s="27">
        <f>'Cash Flow'!A86</f>
        <v>80</v>
      </c>
      <c r="B86" s="49">
        <f>'Cash Flow'!B86</f>
        <v>41548</v>
      </c>
      <c r="C86" s="56">
        <f>'Cash Flow'!C86</f>
        <v>8.3333333333333329E-2</v>
      </c>
      <c r="D86" s="55"/>
      <c r="E86" s="57">
        <v>6.9369000000000056E-2</v>
      </c>
      <c r="F86" s="57"/>
      <c r="G86" s="57"/>
      <c r="H86" s="57"/>
      <c r="I86" s="57">
        <v>0.04</v>
      </c>
      <c r="J86" s="57"/>
      <c r="K86" s="57"/>
      <c r="L86" s="55"/>
      <c r="M86" s="78">
        <v>5.1430128318229462E-3</v>
      </c>
      <c r="N86" s="78">
        <v>0.01</v>
      </c>
      <c r="Q86" s="57"/>
      <c r="S86" s="55"/>
      <c r="T86" s="79">
        <f ca="1">OFFSET('Loss Timing'!D$6,MATCH($A86,'Loss Timing'!$A$7:$A$36,1),0)/12/PmtFreqAdd</f>
        <v>2.7777777777777779E-3</v>
      </c>
      <c r="U86" s="79">
        <f ca="1">OFFSET('Loss Timing'!E$6,MATCH($A86,'Loss Timing'!$A$7:$A$36,1),0)/12/PmtFreqAdd</f>
        <v>6.2499999999999995E-3</v>
      </c>
      <c r="V86" s="79">
        <f ca="1">OFFSET('Loss Timing'!F$6,MATCH($A86,'Loss Timing'!$A$7:$A$36,1),0)/12/PmtFreqAdd</f>
        <v>0</v>
      </c>
      <c r="W86" s="79">
        <f ca="1">OFFSET('Loss Timing'!G$6,MATCH($A86,'Loss Timing'!$A$7:$A$36,1),0)/12/PmtFreqAdd</f>
        <v>2.0833333333333333E-3</v>
      </c>
      <c r="X86" s="79">
        <f ca="1">OFFSET('Loss Timing'!H$6,MATCH($A86,'Loss Timing'!$A$7:$A$36,1),0)/12/PmtFreqAdd</f>
        <v>0</v>
      </c>
      <c r="Y86" s="55"/>
      <c r="Z86" s="68">
        <f t="shared" ca="1" si="5"/>
        <v>2.7777777777777779E-5</v>
      </c>
      <c r="AA86" s="68">
        <f t="shared" ca="1" si="6"/>
        <v>6.2500000000000001E-5</v>
      </c>
      <c r="AB86" s="68">
        <f t="shared" ca="1" si="7"/>
        <v>0</v>
      </c>
      <c r="AC86" s="68">
        <f t="shared" ca="1" si="8"/>
        <v>2.0833333333333333E-5</v>
      </c>
      <c r="AD86" s="68">
        <f t="shared" ca="1" si="9"/>
        <v>0</v>
      </c>
      <c r="AE86" s="55"/>
      <c r="AF86" s="68">
        <v>1.7083493847325215E-4</v>
      </c>
      <c r="AG86" s="81">
        <v>3.4167308732291346E-4</v>
      </c>
      <c r="AH86" s="68">
        <v>6.8335901662885945E-4</v>
      </c>
      <c r="AI86" s="55"/>
    </row>
    <row r="87" spans="1:35" x14ac:dyDescent="0.2">
      <c r="A87" s="27">
        <f>'Cash Flow'!A87</f>
        <v>81</v>
      </c>
      <c r="B87" s="49">
        <f>'Cash Flow'!B87</f>
        <v>41579</v>
      </c>
      <c r="C87" s="56">
        <f>'Cash Flow'!C87</f>
        <v>8.3333333333333329E-2</v>
      </c>
      <c r="D87" s="55"/>
      <c r="E87" s="57">
        <v>6.9369000000000056E-2</v>
      </c>
      <c r="F87" s="57"/>
      <c r="G87" s="57"/>
      <c r="H87" s="57"/>
      <c r="I87" s="57">
        <v>0.04</v>
      </c>
      <c r="J87" s="57"/>
      <c r="K87" s="57"/>
      <c r="L87" s="55"/>
      <c r="M87" s="78">
        <v>5.1430128318229462E-3</v>
      </c>
      <c r="N87" s="78">
        <v>0.01</v>
      </c>
      <c r="Q87" s="57"/>
      <c r="S87" s="55"/>
      <c r="T87" s="79">
        <f ca="1">OFFSET('Loss Timing'!D$6,MATCH($A87,'Loss Timing'!$A$7:$A$36,1),0)/12/PmtFreqAdd</f>
        <v>2.7777777777777779E-3</v>
      </c>
      <c r="U87" s="79">
        <f ca="1">OFFSET('Loss Timing'!E$6,MATCH($A87,'Loss Timing'!$A$7:$A$36,1),0)/12/PmtFreqAdd</f>
        <v>6.2499999999999995E-3</v>
      </c>
      <c r="V87" s="79">
        <f ca="1">OFFSET('Loss Timing'!F$6,MATCH($A87,'Loss Timing'!$A$7:$A$36,1),0)/12/PmtFreqAdd</f>
        <v>0</v>
      </c>
      <c r="W87" s="79">
        <f ca="1">OFFSET('Loss Timing'!G$6,MATCH($A87,'Loss Timing'!$A$7:$A$36,1),0)/12/PmtFreqAdd</f>
        <v>2.0833333333333333E-3</v>
      </c>
      <c r="X87" s="79">
        <f ca="1">OFFSET('Loss Timing'!H$6,MATCH($A87,'Loss Timing'!$A$7:$A$36,1),0)/12/PmtFreqAdd</f>
        <v>0</v>
      </c>
      <c r="Y87" s="55"/>
      <c r="Z87" s="68">
        <f t="shared" ca="1" si="5"/>
        <v>2.7777777777777779E-5</v>
      </c>
      <c r="AA87" s="68">
        <f t="shared" ca="1" si="6"/>
        <v>6.2500000000000001E-5</v>
      </c>
      <c r="AB87" s="68">
        <f t="shared" ca="1" si="7"/>
        <v>0</v>
      </c>
      <c r="AC87" s="68">
        <f t="shared" ca="1" si="8"/>
        <v>2.0833333333333333E-5</v>
      </c>
      <c r="AD87" s="68">
        <f t="shared" ca="1" si="9"/>
        <v>0</v>
      </c>
      <c r="AE87" s="55"/>
      <c r="AF87" s="68">
        <v>1.6687653161540084E-4</v>
      </c>
      <c r="AG87" s="81">
        <v>3.3375612655817122E-4</v>
      </c>
      <c r="AH87" s="68">
        <v>6.6752450684770537E-4</v>
      </c>
      <c r="AI87" s="55"/>
    </row>
    <row r="88" spans="1:35" x14ac:dyDescent="0.2">
      <c r="A88" s="27">
        <f>'Cash Flow'!A88</f>
        <v>82</v>
      </c>
      <c r="B88" s="49">
        <f>'Cash Flow'!B88</f>
        <v>41609</v>
      </c>
      <c r="C88" s="56">
        <f>'Cash Flow'!C88</f>
        <v>8.3333333333333329E-2</v>
      </c>
      <c r="D88" s="55"/>
      <c r="E88" s="57">
        <v>6.9369000000000056E-2</v>
      </c>
      <c r="F88" s="57"/>
      <c r="G88" s="57"/>
      <c r="H88" s="57"/>
      <c r="I88" s="57">
        <v>0.04</v>
      </c>
      <c r="J88" s="57"/>
      <c r="K88" s="57"/>
      <c r="L88" s="55"/>
      <c r="M88" s="78">
        <v>5.1430128318229462E-3</v>
      </c>
      <c r="N88" s="78">
        <v>0.01</v>
      </c>
      <c r="Q88" s="57"/>
      <c r="S88" s="55"/>
      <c r="T88" s="79">
        <f ca="1">OFFSET('Loss Timing'!D$6,MATCH($A88,'Loss Timing'!$A$7:$A$36,1),0)/12/PmtFreqAdd</f>
        <v>2.7777777777777779E-3</v>
      </c>
      <c r="U88" s="79">
        <f ca="1">OFFSET('Loss Timing'!E$6,MATCH($A88,'Loss Timing'!$A$7:$A$36,1),0)/12/PmtFreqAdd</f>
        <v>6.2499999999999995E-3</v>
      </c>
      <c r="V88" s="79">
        <f ca="1">OFFSET('Loss Timing'!F$6,MATCH($A88,'Loss Timing'!$A$7:$A$36,1),0)/12/PmtFreqAdd</f>
        <v>0</v>
      </c>
      <c r="W88" s="79">
        <f ca="1">OFFSET('Loss Timing'!G$6,MATCH($A88,'Loss Timing'!$A$7:$A$36,1),0)/12/PmtFreqAdd</f>
        <v>2.0833333333333333E-3</v>
      </c>
      <c r="X88" s="79">
        <f ca="1">OFFSET('Loss Timing'!H$6,MATCH($A88,'Loss Timing'!$A$7:$A$36,1),0)/12/PmtFreqAdd</f>
        <v>0</v>
      </c>
      <c r="Y88" s="55"/>
      <c r="Z88" s="68">
        <f t="shared" ca="1" si="5"/>
        <v>2.7777777777777779E-5</v>
      </c>
      <c r="AA88" s="68">
        <f t="shared" ca="1" si="6"/>
        <v>6.2500000000000001E-5</v>
      </c>
      <c r="AB88" s="68">
        <f t="shared" ca="1" si="7"/>
        <v>0</v>
      </c>
      <c r="AC88" s="68">
        <f t="shared" ca="1" si="8"/>
        <v>2.0833333333333333E-5</v>
      </c>
      <c r="AD88" s="68">
        <f t="shared" ca="1" si="9"/>
        <v>0</v>
      </c>
      <c r="AE88" s="55"/>
      <c r="AF88" s="68">
        <v>1.6291812648949744E-4</v>
      </c>
      <c r="AG88" s="81">
        <v>3.2583917268791396E-4</v>
      </c>
      <c r="AH88" s="68">
        <v>6.5169002465559345E-4</v>
      </c>
      <c r="AI88" s="55"/>
    </row>
    <row r="89" spans="1:35" x14ac:dyDescent="0.2">
      <c r="A89" s="27">
        <f>'Cash Flow'!A89</f>
        <v>83</v>
      </c>
      <c r="B89" s="49">
        <f>'Cash Flow'!B89</f>
        <v>41640</v>
      </c>
      <c r="C89" s="56">
        <f>'Cash Flow'!C89</f>
        <v>8.3333333333333329E-2</v>
      </c>
      <c r="D89" s="55"/>
      <c r="E89" s="57">
        <v>6.9369000000000056E-2</v>
      </c>
      <c r="F89" s="57"/>
      <c r="G89" s="57"/>
      <c r="H89" s="57"/>
      <c r="I89" s="57">
        <v>0.04</v>
      </c>
      <c r="J89" s="57"/>
      <c r="K89" s="57"/>
      <c r="L89" s="55"/>
      <c r="M89" s="78">
        <v>5.1430128318229462E-3</v>
      </c>
      <c r="N89" s="78">
        <v>0.01</v>
      </c>
      <c r="Q89" s="57"/>
      <c r="S89" s="55"/>
      <c r="T89" s="79">
        <f ca="1">OFFSET('Loss Timing'!D$6,MATCH($A89,'Loss Timing'!$A$7:$A$36,1),0)/12/PmtFreqAdd</f>
        <v>2.7777777777777779E-3</v>
      </c>
      <c r="U89" s="79">
        <f ca="1">OFFSET('Loss Timing'!E$6,MATCH($A89,'Loss Timing'!$A$7:$A$36,1),0)/12/PmtFreqAdd</f>
        <v>6.2499999999999995E-3</v>
      </c>
      <c r="V89" s="79">
        <f ca="1">OFFSET('Loss Timing'!F$6,MATCH($A89,'Loss Timing'!$A$7:$A$36,1),0)/12/PmtFreqAdd</f>
        <v>0</v>
      </c>
      <c r="W89" s="79">
        <f ca="1">OFFSET('Loss Timing'!G$6,MATCH($A89,'Loss Timing'!$A$7:$A$36,1),0)/12/PmtFreqAdd</f>
        <v>2.0833333333333333E-3</v>
      </c>
      <c r="X89" s="79">
        <f ca="1">OFFSET('Loss Timing'!H$6,MATCH($A89,'Loss Timing'!$A$7:$A$36,1),0)/12/PmtFreqAdd</f>
        <v>0</v>
      </c>
      <c r="Y89" s="55"/>
      <c r="Z89" s="68">
        <f t="shared" ca="1" si="5"/>
        <v>2.7777777777777779E-5</v>
      </c>
      <c r="AA89" s="68">
        <f t="shared" ca="1" si="6"/>
        <v>6.2500000000000001E-5</v>
      </c>
      <c r="AB89" s="68">
        <f t="shared" ca="1" si="7"/>
        <v>0</v>
      </c>
      <c r="AC89" s="68">
        <f t="shared" ca="1" si="8"/>
        <v>2.0833333333333333E-5</v>
      </c>
      <c r="AD89" s="68">
        <f t="shared" ca="1" si="9"/>
        <v>0</v>
      </c>
      <c r="AE89" s="55"/>
      <c r="AF89" s="68">
        <v>1.589597230733375E-4</v>
      </c>
      <c r="AG89" s="81">
        <v>3.1792222571214168E-4</v>
      </c>
      <c r="AH89" s="68">
        <v>6.3585557004142146E-4</v>
      </c>
      <c r="AI89" s="55"/>
    </row>
    <row r="90" spans="1:35" x14ac:dyDescent="0.2">
      <c r="A90" s="27">
        <f>'Cash Flow'!A90</f>
        <v>84</v>
      </c>
      <c r="B90" s="49">
        <f>'Cash Flow'!B90</f>
        <v>41671</v>
      </c>
      <c r="C90" s="56">
        <f>'Cash Flow'!C90</f>
        <v>8.3333333333333329E-2</v>
      </c>
      <c r="D90" s="55"/>
      <c r="E90" s="57">
        <v>6.9369000000000056E-2</v>
      </c>
      <c r="F90" s="57"/>
      <c r="G90" s="57"/>
      <c r="H90" s="57"/>
      <c r="I90" s="57">
        <v>0.04</v>
      </c>
      <c r="J90" s="57"/>
      <c r="K90" s="57"/>
      <c r="L90" s="55"/>
      <c r="M90" s="78">
        <v>5.1430128318229462E-3</v>
      </c>
      <c r="N90" s="78">
        <v>0.01</v>
      </c>
      <c r="Q90" s="57"/>
      <c r="S90" s="55"/>
      <c r="T90" s="79">
        <f ca="1">OFFSET('Loss Timing'!D$6,MATCH($A90,'Loss Timing'!$A$7:$A$36,1),0)/12/PmtFreqAdd</f>
        <v>2.7777777777777779E-3</v>
      </c>
      <c r="U90" s="79">
        <f ca="1">OFFSET('Loss Timing'!E$6,MATCH($A90,'Loss Timing'!$A$7:$A$36,1),0)/12/PmtFreqAdd</f>
        <v>6.2499999999999995E-3</v>
      </c>
      <c r="V90" s="79">
        <f ca="1">OFFSET('Loss Timing'!F$6,MATCH($A90,'Loss Timing'!$A$7:$A$36,1),0)/12/PmtFreqAdd</f>
        <v>0</v>
      </c>
      <c r="W90" s="79">
        <f ca="1">OFFSET('Loss Timing'!G$6,MATCH($A90,'Loss Timing'!$A$7:$A$36,1),0)/12/PmtFreqAdd</f>
        <v>2.0833333333333333E-3</v>
      </c>
      <c r="X90" s="79">
        <f ca="1">OFFSET('Loss Timing'!H$6,MATCH($A90,'Loss Timing'!$A$7:$A$36,1),0)/12/PmtFreqAdd</f>
        <v>0</v>
      </c>
      <c r="Y90" s="55"/>
      <c r="Z90" s="68">
        <f t="shared" ca="1" si="5"/>
        <v>2.7777777777777779E-5</v>
      </c>
      <c r="AA90" s="68">
        <f t="shared" ca="1" si="6"/>
        <v>6.2500000000000001E-5</v>
      </c>
      <c r="AB90" s="68">
        <f t="shared" ca="1" si="7"/>
        <v>0</v>
      </c>
      <c r="AC90" s="68">
        <f t="shared" ca="1" si="8"/>
        <v>2.0833333333333333E-5</v>
      </c>
      <c r="AD90" s="68">
        <f t="shared" ca="1" si="9"/>
        <v>0</v>
      </c>
      <c r="AE90" s="55"/>
      <c r="AF90" s="68">
        <v>1.5500132138912548E-4</v>
      </c>
      <c r="AG90" s="81">
        <v>3.1000528561975216E-4</v>
      </c>
      <c r="AH90" s="68">
        <v>6.200211430051894E-4</v>
      </c>
      <c r="AI90" s="55"/>
    </row>
    <row r="91" spans="1:35" x14ac:dyDescent="0.2">
      <c r="A91" s="27">
        <f>'Cash Flow'!A91</f>
        <v>85</v>
      </c>
      <c r="B91" s="49">
        <f>'Cash Flow'!B91</f>
        <v>41699</v>
      </c>
      <c r="C91" s="56">
        <f>'Cash Flow'!C91</f>
        <v>8.3333333333333329E-2</v>
      </c>
      <c r="D91" s="55"/>
      <c r="E91" s="57">
        <v>6.9369000000000056E-2</v>
      </c>
      <c r="F91" s="57"/>
      <c r="G91" s="57"/>
      <c r="H91" s="57"/>
      <c r="I91" s="57">
        <v>0.04</v>
      </c>
      <c r="J91" s="57"/>
      <c r="K91" s="57"/>
      <c r="L91" s="55"/>
      <c r="M91" s="78">
        <v>5.1430128318229462E-3</v>
      </c>
      <c r="N91" s="78">
        <v>0.01</v>
      </c>
      <c r="Q91" s="57"/>
      <c r="S91" s="55"/>
      <c r="T91" s="79">
        <f ca="1">OFFSET('Loss Timing'!D$6,MATCH($A91,'Loss Timing'!$A$7:$A$36,1),0)/12/PmtFreqAdd</f>
        <v>2.7777777777777779E-3</v>
      </c>
      <c r="U91" s="79">
        <f ca="1">OFFSET('Loss Timing'!E$6,MATCH($A91,'Loss Timing'!$A$7:$A$36,1),0)/12/PmtFreqAdd</f>
        <v>6.2499999999999995E-3</v>
      </c>
      <c r="V91" s="79">
        <f ca="1">OFFSET('Loss Timing'!F$6,MATCH($A91,'Loss Timing'!$A$7:$A$36,1),0)/12/PmtFreqAdd</f>
        <v>0</v>
      </c>
      <c r="W91" s="79">
        <f ca="1">OFFSET('Loss Timing'!G$6,MATCH($A91,'Loss Timing'!$A$7:$A$36,1),0)/12/PmtFreqAdd</f>
        <v>2.0833333333333333E-3</v>
      </c>
      <c r="X91" s="79">
        <f ca="1">OFFSET('Loss Timing'!H$6,MATCH($A91,'Loss Timing'!$A$7:$A$36,1),0)/12/PmtFreqAdd</f>
        <v>0</v>
      </c>
      <c r="Y91" s="55"/>
      <c r="Z91" s="68">
        <f t="shared" ca="1" si="5"/>
        <v>2.7777777777777779E-5</v>
      </c>
      <c r="AA91" s="68">
        <f t="shared" ca="1" si="6"/>
        <v>6.2500000000000001E-5</v>
      </c>
      <c r="AB91" s="68">
        <f t="shared" ca="1" si="7"/>
        <v>0</v>
      </c>
      <c r="AC91" s="68">
        <f t="shared" ca="1" si="8"/>
        <v>2.0833333333333333E-5</v>
      </c>
      <c r="AD91" s="68">
        <f t="shared" ca="1" si="9"/>
        <v>0</v>
      </c>
      <c r="AE91" s="55"/>
      <c r="AF91" s="68">
        <v>1.5104292142575915E-4</v>
      </c>
      <c r="AG91" s="81">
        <v>3.0208835243294985E-4</v>
      </c>
      <c r="AH91" s="68">
        <v>6.0418674354689728E-4</v>
      </c>
      <c r="AI91" s="55"/>
    </row>
    <row r="92" spans="1:35" x14ac:dyDescent="0.2">
      <c r="A92" s="27">
        <f>'Cash Flow'!A92</f>
        <v>86</v>
      </c>
      <c r="B92" s="49">
        <f>'Cash Flow'!B92</f>
        <v>41730</v>
      </c>
      <c r="C92" s="56">
        <f>'Cash Flow'!C92</f>
        <v>8.3333333333333329E-2</v>
      </c>
      <c r="D92" s="55"/>
      <c r="E92" s="57">
        <v>6.9369000000000056E-2</v>
      </c>
      <c r="F92" s="57"/>
      <c r="G92" s="57"/>
      <c r="H92" s="57"/>
      <c r="I92" s="57">
        <v>0.04</v>
      </c>
      <c r="J92" s="57"/>
      <c r="K92" s="57"/>
      <c r="L92" s="55"/>
      <c r="M92" s="78">
        <v>5.1430128318229462E-3</v>
      </c>
      <c r="N92" s="78">
        <v>0.01</v>
      </c>
      <c r="Q92" s="57"/>
      <c r="S92" s="55"/>
      <c r="T92" s="79">
        <f ca="1">OFFSET('Loss Timing'!D$6,MATCH($A92,'Loss Timing'!$A$7:$A$36,1),0)/12/PmtFreqAdd</f>
        <v>2.7777777777777779E-3</v>
      </c>
      <c r="U92" s="79">
        <f ca="1">OFFSET('Loss Timing'!E$6,MATCH($A92,'Loss Timing'!$A$7:$A$36,1),0)/12/PmtFreqAdd</f>
        <v>6.2499999999999995E-3</v>
      </c>
      <c r="V92" s="79">
        <f ca="1">OFFSET('Loss Timing'!F$6,MATCH($A92,'Loss Timing'!$A$7:$A$36,1),0)/12/PmtFreqAdd</f>
        <v>0</v>
      </c>
      <c r="W92" s="79">
        <f ca="1">OFFSET('Loss Timing'!G$6,MATCH($A92,'Loss Timing'!$A$7:$A$36,1),0)/12/PmtFreqAdd</f>
        <v>2.0833333333333333E-3</v>
      </c>
      <c r="X92" s="79">
        <f ca="1">OFFSET('Loss Timing'!H$6,MATCH($A92,'Loss Timing'!$A$7:$A$36,1),0)/12/PmtFreqAdd</f>
        <v>0</v>
      </c>
      <c r="Y92" s="55"/>
      <c r="Z92" s="68">
        <f t="shared" ca="1" si="5"/>
        <v>2.7777777777777779E-5</v>
      </c>
      <c r="AA92" s="68">
        <f t="shared" ca="1" si="6"/>
        <v>6.2500000000000001E-5</v>
      </c>
      <c r="AB92" s="68">
        <f t="shared" ca="1" si="7"/>
        <v>0</v>
      </c>
      <c r="AC92" s="68">
        <f t="shared" ca="1" si="8"/>
        <v>2.0833333333333333E-5</v>
      </c>
      <c r="AD92" s="68">
        <f t="shared" ca="1" si="9"/>
        <v>0</v>
      </c>
      <c r="AE92" s="55"/>
      <c r="AF92" s="68">
        <v>1.4708452319434073E-4</v>
      </c>
      <c r="AG92" s="81">
        <v>2.9417142614063252E-4</v>
      </c>
      <c r="AH92" s="68">
        <v>5.8835237167764731E-4</v>
      </c>
      <c r="AI92" s="55"/>
    </row>
    <row r="93" spans="1:35" x14ac:dyDescent="0.2">
      <c r="A93" s="27">
        <f>'Cash Flow'!A93</f>
        <v>87</v>
      </c>
      <c r="B93" s="49">
        <f>'Cash Flow'!B93</f>
        <v>41760</v>
      </c>
      <c r="C93" s="56">
        <f>'Cash Flow'!C93</f>
        <v>8.3333333333333329E-2</v>
      </c>
      <c r="D93" s="55"/>
      <c r="E93" s="57">
        <v>6.9369000000000056E-2</v>
      </c>
      <c r="F93" s="57"/>
      <c r="G93" s="57"/>
      <c r="H93" s="57"/>
      <c r="I93" s="57">
        <v>0.04</v>
      </c>
      <c r="J93" s="57"/>
      <c r="K93" s="57"/>
      <c r="L93" s="55"/>
      <c r="M93" s="78">
        <v>5.1430128318229462E-3</v>
      </c>
      <c r="N93" s="78">
        <v>0.01</v>
      </c>
      <c r="Q93" s="57"/>
      <c r="S93" s="55"/>
      <c r="T93" s="79">
        <f ca="1">OFFSET('Loss Timing'!D$6,MATCH($A93,'Loss Timing'!$A$7:$A$36,1),0)/12/PmtFreqAdd</f>
        <v>2.7777777777777779E-3</v>
      </c>
      <c r="U93" s="79">
        <f ca="1">OFFSET('Loss Timing'!E$6,MATCH($A93,'Loss Timing'!$A$7:$A$36,1),0)/12/PmtFreqAdd</f>
        <v>6.2499999999999995E-3</v>
      </c>
      <c r="V93" s="79">
        <f ca="1">OFFSET('Loss Timing'!F$6,MATCH($A93,'Loss Timing'!$A$7:$A$36,1),0)/12/PmtFreqAdd</f>
        <v>0</v>
      </c>
      <c r="W93" s="79">
        <f ca="1">OFFSET('Loss Timing'!G$6,MATCH($A93,'Loss Timing'!$A$7:$A$36,1),0)/12/PmtFreqAdd</f>
        <v>2.0833333333333333E-3</v>
      </c>
      <c r="X93" s="79">
        <f ca="1">OFFSET('Loss Timing'!H$6,MATCH($A93,'Loss Timing'!$A$7:$A$36,1),0)/12/PmtFreqAdd</f>
        <v>0</v>
      </c>
      <c r="Y93" s="55"/>
      <c r="Z93" s="68">
        <f t="shared" ca="1" si="5"/>
        <v>2.7777777777777779E-5</v>
      </c>
      <c r="AA93" s="68">
        <f t="shared" ca="1" si="6"/>
        <v>6.2500000000000001E-5</v>
      </c>
      <c r="AB93" s="68">
        <f t="shared" ca="1" si="7"/>
        <v>0</v>
      </c>
      <c r="AC93" s="68">
        <f t="shared" ca="1" si="8"/>
        <v>2.0833333333333333E-5</v>
      </c>
      <c r="AD93" s="68">
        <f t="shared" ca="1" si="9"/>
        <v>0</v>
      </c>
      <c r="AE93" s="55"/>
      <c r="AF93" s="68">
        <v>1.4312612667266578E-4</v>
      </c>
      <c r="AG93" s="81">
        <v>2.8625450674280017E-4</v>
      </c>
      <c r="AH93" s="68">
        <v>5.7251802738633728E-4</v>
      </c>
      <c r="AI93" s="55"/>
    </row>
    <row r="94" spans="1:35" x14ac:dyDescent="0.2">
      <c r="A94" s="27">
        <f>'Cash Flow'!A94</f>
        <v>88</v>
      </c>
      <c r="B94" s="49">
        <f>'Cash Flow'!B94</f>
        <v>41791</v>
      </c>
      <c r="C94" s="56">
        <f>'Cash Flow'!C94</f>
        <v>8.3333333333333329E-2</v>
      </c>
      <c r="D94" s="55"/>
      <c r="E94" s="57">
        <v>6.9369000000000056E-2</v>
      </c>
      <c r="F94" s="57"/>
      <c r="G94" s="57"/>
      <c r="H94" s="57"/>
      <c r="I94" s="57">
        <v>0.04</v>
      </c>
      <c r="J94" s="57"/>
      <c r="K94" s="57"/>
      <c r="L94" s="55"/>
      <c r="M94" s="78">
        <v>5.1430128318229462E-3</v>
      </c>
      <c r="N94" s="78">
        <v>0.01</v>
      </c>
      <c r="Q94" s="57"/>
      <c r="S94" s="55"/>
      <c r="T94" s="79">
        <f ca="1">OFFSET('Loss Timing'!D$6,MATCH($A94,'Loss Timing'!$A$7:$A$36,1),0)/12/PmtFreqAdd</f>
        <v>2.7777777777777779E-3</v>
      </c>
      <c r="U94" s="79">
        <f ca="1">OFFSET('Loss Timing'!E$6,MATCH($A94,'Loss Timing'!$A$7:$A$36,1),0)/12/PmtFreqAdd</f>
        <v>6.2499999999999995E-3</v>
      </c>
      <c r="V94" s="79">
        <f ca="1">OFFSET('Loss Timing'!F$6,MATCH($A94,'Loss Timing'!$A$7:$A$36,1),0)/12/PmtFreqAdd</f>
        <v>0</v>
      </c>
      <c r="W94" s="79">
        <f ca="1">OFFSET('Loss Timing'!G$6,MATCH($A94,'Loss Timing'!$A$7:$A$36,1),0)/12/PmtFreqAdd</f>
        <v>2.0833333333333333E-3</v>
      </c>
      <c r="X94" s="79">
        <f ca="1">OFFSET('Loss Timing'!H$6,MATCH($A94,'Loss Timing'!$A$7:$A$36,1),0)/12/PmtFreqAdd</f>
        <v>0</v>
      </c>
      <c r="Y94" s="55"/>
      <c r="Z94" s="68">
        <f t="shared" ca="1" si="5"/>
        <v>2.7777777777777779E-5</v>
      </c>
      <c r="AA94" s="68">
        <f t="shared" ca="1" si="6"/>
        <v>6.2500000000000001E-5</v>
      </c>
      <c r="AB94" s="68">
        <f t="shared" ca="1" si="7"/>
        <v>0</v>
      </c>
      <c r="AC94" s="68">
        <f t="shared" ca="1" si="8"/>
        <v>2.0833333333333333E-5</v>
      </c>
      <c r="AD94" s="68">
        <f t="shared" ca="1" si="9"/>
        <v>0</v>
      </c>
      <c r="AE94" s="55"/>
      <c r="AF94" s="68">
        <v>1.3916773188293874E-4</v>
      </c>
      <c r="AG94" s="81">
        <v>2.7833759423945281E-4</v>
      </c>
      <c r="AH94" s="68">
        <v>5.5668371067296718E-4</v>
      </c>
      <c r="AI94" s="55"/>
    </row>
    <row r="95" spans="1:35" x14ac:dyDescent="0.2">
      <c r="A95" s="27">
        <f>'Cash Flow'!A95</f>
        <v>89</v>
      </c>
      <c r="B95" s="49">
        <f>'Cash Flow'!B95</f>
        <v>41821</v>
      </c>
      <c r="C95" s="56">
        <f>'Cash Flow'!C95</f>
        <v>8.3333333333333329E-2</v>
      </c>
      <c r="D95" s="55"/>
      <c r="E95" s="57">
        <v>6.9369000000000056E-2</v>
      </c>
      <c r="F95" s="57"/>
      <c r="G95" s="57"/>
      <c r="H95" s="57"/>
      <c r="I95" s="57">
        <v>0.04</v>
      </c>
      <c r="J95" s="57"/>
      <c r="K95" s="57"/>
      <c r="L95" s="55"/>
      <c r="M95" s="78">
        <v>5.1430128318229462E-3</v>
      </c>
      <c r="N95" s="78">
        <v>0.01</v>
      </c>
      <c r="Q95" s="57"/>
      <c r="S95" s="55"/>
      <c r="T95" s="79">
        <f ca="1">OFFSET('Loss Timing'!D$6,MATCH($A95,'Loss Timing'!$A$7:$A$36,1),0)/12/PmtFreqAdd</f>
        <v>2.7777777777777779E-3</v>
      </c>
      <c r="U95" s="79">
        <f ca="1">OFFSET('Loss Timing'!E$6,MATCH($A95,'Loss Timing'!$A$7:$A$36,1),0)/12/PmtFreqAdd</f>
        <v>6.2499999999999995E-3</v>
      </c>
      <c r="V95" s="79">
        <f ca="1">OFFSET('Loss Timing'!F$6,MATCH($A95,'Loss Timing'!$A$7:$A$36,1),0)/12/PmtFreqAdd</f>
        <v>0</v>
      </c>
      <c r="W95" s="79">
        <f ca="1">OFFSET('Loss Timing'!G$6,MATCH($A95,'Loss Timing'!$A$7:$A$36,1),0)/12/PmtFreqAdd</f>
        <v>2.0833333333333333E-3</v>
      </c>
      <c r="X95" s="79">
        <f ca="1">OFFSET('Loss Timing'!H$6,MATCH($A95,'Loss Timing'!$A$7:$A$36,1),0)/12/PmtFreqAdd</f>
        <v>0</v>
      </c>
      <c r="Y95" s="55"/>
      <c r="Z95" s="68">
        <f t="shared" ca="1" si="5"/>
        <v>2.7777777777777779E-5</v>
      </c>
      <c r="AA95" s="68">
        <f t="shared" ca="1" si="6"/>
        <v>6.2500000000000001E-5</v>
      </c>
      <c r="AB95" s="68">
        <f t="shared" ca="1" si="7"/>
        <v>0</v>
      </c>
      <c r="AC95" s="68">
        <f t="shared" ca="1" si="8"/>
        <v>2.0833333333333333E-5</v>
      </c>
      <c r="AD95" s="68">
        <f t="shared" ca="1" si="9"/>
        <v>0</v>
      </c>
      <c r="AE95" s="55"/>
      <c r="AF95" s="68">
        <v>1.3520933881405739E-4</v>
      </c>
      <c r="AG95" s="81">
        <v>2.7042068863059043E-4</v>
      </c>
      <c r="AH95" s="68">
        <v>5.4084942153753701E-4</v>
      </c>
      <c r="AI95" s="55"/>
    </row>
    <row r="96" spans="1:35" x14ac:dyDescent="0.2">
      <c r="A96" s="27">
        <f>'Cash Flow'!A96</f>
        <v>90</v>
      </c>
      <c r="B96" s="49">
        <f>'Cash Flow'!B96</f>
        <v>41852</v>
      </c>
      <c r="C96" s="56">
        <f>'Cash Flow'!C96</f>
        <v>8.3333333333333329E-2</v>
      </c>
      <c r="D96" s="55"/>
      <c r="E96" s="57">
        <v>6.9369000000000056E-2</v>
      </c>
      <c r="F96" s="57"/>
      <c r="G96" s="57"/>
      <c r="H96" s="57"/>
      <c r="I96" s="57">
        <v>0.04</v>
      </c>
      <c r="J96" s="57"/>
      <c r="K96" s="57"/>
      <c r="L96" s="55"/>
      <c r="M96" s="78">
        <v>5.1430128318229462E-3</v>
      </c>
      <c r="N96" s="78">
        <v>0.01</v>
      </c>
      <c r="Q96" s="57"/>
      <c r="S96" s="55"/>
      <c r="T96" s="79">
        <f ca="1">OFFSET('Loss Timing'!D$6,MATCH($A96,'Loss Timing'!$A$7:$A$36,1),0)/12/PmtFreqAdd</f>
        <v>2.7777777777777779E-3</v>
      </c>
      <c r="U96" s="79">
        <f ca="1">OFFSET('Loss Timing'!E$6,MATCH($A96,'Loss Timing'!$A$7:$A$36,1),0)/12/PmtFreqAdd</f>
        <v>6.2499999999999995E-3</v>
      </c>
      <c r="V96" s="79">
        <f ca="1">OFFSET('Loss Timing'!F$6,MATCH($A96,'Loss Timing'!$A$7:$A$36,1),0)/12/PmtFreqAdd</f>
        <v>0</v>
      </c>
      <c r="W96" s="79">
        <f ca="1">OFFSET('Loss Timing'!G$6,MATCH($A96,'Loss Timing'!$A$7:$A$36,1),0)/12/PmtFreqAdd</f>
        <v>2.0833333333333333E-3</v>
      </c>
      <c r="X96" s="79">
        <f ca="1">OFFSET('Loss Timing'!H$6,MATCH($A96,'Loss Timing'!$A$7:$A$36,1),0)/12/PmtFreqAdd</f>
        <v>0</v>
      </c>
      <c r="Y96" s="55"/>
      <c r="Z96" s="68">
        <f t="shared" ca="1" si="5"/>
        <v>2.7777777777777779E-5</v>
      </c>
      <c r="AA96" s="68">
        <f t="shared" ca="1" si="6"/>
        <v>6.2500000000000001E-5</v>
      </c>
      <c r="AB96" s="68">
        <f t="shared" ca="1" si="7"/>
        <v>0</v>
      </c>
      <c r="AC96" s="68">
        <f t="shared" ca="1" si="8"/>
        <v>2.0833333333333333E-5</v>
      </c>
      <c r="AD96" s="68">
        <f t="shared" ca="1" si="9"/>
        <v>0</v>
      </c>
      <c r="AE96" s="55"/>
      <c r="AF96" s="68">
        <v>1.3125094746602173E-4</v>
      </c>
      <c r="AG96" s="81">
        <v>2.6250378991621304E-4</v>
      </c>
      <c r="AH96" s="68">
        <v>5.2501515998004677E-4</v>
      </c>
      <c r="AI96" s="55"/>
    </row>
    <row r="97" spans="1:35" x14ac:dyDescent="0.2">
      <c r="A97" s="27">
        <f>'Cash Flow'!A97</f>
        <v>91</v>
      </c>
      <c r="B97" s="49">
        <f>'Cash Flow'!B97</f>
        <v>41883</v>
      </c>
      <c r="C97" s="56">
        <f>'Cash Flow'!C97</f>
        <v>8.3333333333333329E-2</v>
      </c>
      <c r="D97" s="55"/>
      <c r="E97" s="57">
        <v>6.9369000000000056E-2</v>
      </c>
      <c r="F97" s="57"/>
      <c r="G97" s="57"/>
      <c r="H97" s="57"/>
      <c r="I97" s="57">
        <v>0.04</v>
      </c>
      <c r="J97" s="57"/>
      <c r="K97" s="57"/>
      <c r="L97" s="55"/>
      <c r="M97" s="78">
        <v>5.1430128318229462E-3</v>
      </c>
      <c r="N97" s="78">
        <v>0.01</v>
      </c>
      <c r="Q97" s="57"/>
      <c r="S97" s="55"/>
      <c r="T97" s="79">
        <f ca="1">OFFSET('Loss Timing'!D$6,MATCH($A97,'Loss Timing'!$A$7:$A$36,1),0)/12/PmtFreqAdd</f>
        <v>2.7777777777777779E-3</v>
      </c>
      <c r="U97" s="79">
        <f ca="1">OFFSET('Loss Timing'!E$6,MATCH($A97,'Loss Timing'!$A$7:$A$36,1),0)/12/PmtFreqAdd</f>
        <v>6.2499999999999995E-3</v>
      </c>
      <c r="V97" s="79">
        <f ca="1">OFFSET('Loss Timing'!F$6,MATCH($A97,'Loss Timing'!$A$7:$A$36,1),0)/12/PmtFreqAdd</f>
        <v>0</v>
      </c>
      <c r="W97" s="79">
        <f ca="1">OFFSET('Loss Timing'!G$6,MATCH($A97,'Loss Timing'!$A$7:$A$36,1),0)/12/PmtFreqAdd</f>
        <v>2.0833333333333333E-3</v>
      </c>
      <c r="X97" s="79">
        <f ca="1">OFFSET('Loss Timing'!H$6,MATCH($A97,'Loss Timing'!$A$7:$A$36,1),0)/12/PmtFreqAdd</f>
        <v>0</v>
      </c>
      <c r="Y97" s="55"/>
      <c r="Z97" s="68">
        <f t="shared" ca="1" si="5"/>
        <v>2.7777777777777779E-5</v>
      </c>
      <c r="AA97" s="68">
        <f t="shared" ca="1" si="6"/>
        <v>6.2500000000000001E-5</v>
      </c>
      <c r="AB97" s="68">
        <f t="shared" ca="1" si="7"/>
        <v>0</v>
      </c>
      <c r="AC97" s="68">
        <f t="shared" ca="1" si="8"/>
        <v>2.0833333333333333E-5</v>
      </c>
      <c r="AD97" s="68">
        <f t="shared" ca="1" si="9"/>
        <v>0</v>
      </c>
      <c r="AE97" s="55"/>
      <c r="AF97" s="68">
        <v>1.2729255784993398E-4</v>
      </c>
      <c r="AG97" s="81">
        <v>2.5458689809632062E-4</v>
      </c>
      <c r="AH97" s="68">
        <v>5.091809260115987E-4</v>
      </c>
      <c r="AI97" s="55"/>
    </row>
    <row r="98" spans="1:35" x14ac:dyDescent="0.2">
      <c r="A98" s="27">
        <f>'Cash Flow'!A98</f>
        <v>92</v>
      </c>
      <c r="B98" s="49">
        <f>'Cash Flow'!B98</f>
        <v>41913</v>
      </c>
      <c r="C98" s="56">
        <f>'Cash Flow'!C98</f>
        <v>8.3333333333333329E-2</v>
      </c>
      <c r="D98" s="55"/>
      <c r="E98" s="57">
        <v>6.9369000000000056E-2</v>
      </c>
      <c r="F98" s="57"/>
      <c r="G98" s="57"/>
      <c r="H98" s="57"/>
      <c r="I98" s="57">
        <v>0.04</v>
      </c>
      <c r="J98" s="57"/>
      <c r="K98" s="57"/>
      <c r="L98" s="55"/>
      <c r="M98" s="78">
        <v>5.1430128318229462E-3</v>
      </c>
      <c r="N98" s="78">
        <v>0.01</v>
      </c>
      <c r="Q98" s="57"/>
      <c r="S98" s="55"/>
      <c r="T98" s="79">
        <f ca="1">OFFSET('Loss Timing'!D$6,MATCH($A98,'Loss Timing'!$A$7:$A$36,1),0)/12/PmtFreqAdd</f>
        <v>2.7777777777777779E-3</v>
      </c>
      <c r="U98" s="79">
        <f ca="1">OFFSET('Loss Timing'!E$6,MATCH($A98,'Loss Timing'!$A$7:$A$36,1),0)/12/PmtFreqAdd</f>
        <v>6.2499999999999995E-3</v>
      </c>
      <c r="V98" s="79">
        <f ca="1">OFFSET('Loss Timing'!F$6,MATCH($A98,'Loss Timing'!$A$7:$A$36,1),0)/12/PmtFreqAdd</f>
        <v>0</v>
      </c>
      <c r="W98" s="79">
        <f ca="1">OFFSET('Loss Timing'!G$6,MATCH($A98,'Loss Timing'!$A$7:$A$36,1),0)/12/PmtFreqAdd</f>
        <v>2.0833333333333333E-3</v>
      </c>
      <c r="X98" s="79">
        <f ca="1">OFFSET('Loss Timing'!H$6,MATCH($A98,'Loss Timing'!$A$7:$A$36,1),0)/12/PmtFreqAdd</f>
        <v>0</v>
      </c>
      <c r="Y98" s="55"/>
      <c r="Z98" s="68">
        <f t="shared" ca="1" si="5"/>
        <v>2.7777777777777779E-5</v>
      </c>
      <c r="AA98" s="68">
        <f t="shared" ca="1" si="6"/>
        <v>6.2500000000000001E-5</v>
      </c>
      <c r="AB98" s="68">
        <f t="shared" ca="1" si="7"/>
        <v>0</v>
      </c>
      <c r="AC98" s="68">
        <f t="shared" ca="1" si="8"/>
        <v>2.0833333333333333E-5</v>
      </c>
      <c r="AD98" s="68">
        <f t="shared" ca="1" si="9"/>
        <v>0</v>
      </c>
      <c r="AE98" s="55"/>
      <c r="AF98" s="68">
        <v>1.2333416995469193E-4</v>
      </c>
      <c r="AG98" s="81">
        <v>2.4667001317091319E-4</v>
      </c>
      <c r="AH98" s="68">
        <v>4.9334671962109056E-4</v>
      </c>
      <c r="AI98" s="55"/>
    </row>
    <row r="99" spans="1:35" x14ac:dyDescent="0.2">
      <c r="A99" s="27">
        <f>'Cash Flow'!A99</f>
        <v>93</v>
      </c>
      <c r="B99" s="49">
        <f>'Cash Flow'!B99</f>
        <v>41944</v>
      </c>
      <c r="C99" s="56">
        <f>'Cash Flow'!C99</f>
        <v>8.3333333333333329E-2</v>
      </c>
      <c r="D99" s="55"/>
      <c r="E99" s="57">
        <v>6.9369000000000056E-2</v>
      </c>
      <c r="F99" s="57"/>
      <c r="G99" s="57"/>
      <c r="H99" s="57"/>
      <c r="I99" s="57">
        <v>0.04</v>
      </c>
      <c r="J99" s="57"/>
      <c r="K99" s="57"/>
      <c r="L99" s="55"/>
      <c r="M99" s="78">
        <v>5.1430128318229462E-3</v>
      </c>
      <c r="N99" s="78">
        <v>0.01</v>
      </c>
      <c r="Q99" s="57"/>
      <c r="S99" s="55"/>
      <c r="T99" s="79">
        <f ca="1">OFFSET('Loss Timing'!D$6,MATCH($A99,'Loss Timing'!$A$7:$A$36,1),0)/12/PmtFreqAdd</f>
        <v>2.7777777777777779E-3</v>
      </c>
      <c r="U99" s="79">
        <f ca="1">OFFSET('Loss Timing'!E$6,MATCH($A99,'Loss Timing'!$A$7:$A$36,1),0)/12/PmtFreqAdd</f>
        <v>6.2499999999999995E-3</v>
      </c>
      <c r="V99" s="79">
        <f ca="1">OFFSET('Loss Timing'!F$6,MATCH($A99,'Loss Timing'!$A$7:$A$36,1),0)/12/PmtFreqAdd</f>
        <v>0</v>
      </c>
      <c r="W99" s="79">
        <f ca="1">OFFSET('Loss Timing'!G$6,MATCH($A99,'Loss Timing'!$A$7:$A$36,1),0)/12/PmtFreqAdd</f>
        <v>2.0833333333333333E-3</v>
      </c>
      <c r="X99" s="79">
        <f ca="1">OFFSET('Loss Timing'!H$6,MATCH($A99,'Loss Timing'!$A$7:$A$36,1),0)/12/PmtFreqAdd</f>
        <v>0</v>
      </c>
      <c r="Y99" s="55"/>
      <c r="Z99" s="68">
        <f t="shared" ca="1" si="5"/>
        <v>2.7777777777777779E-5</v>
      </c>
      <c r="AA99" s="68">
        <f t="shared" ca="1" si="6"/>
        <v>6.2500000000000001E-5</v>
      </c>
      <c r="AB99" s="68">
        <f t="shared" ca="1" si="7"/>
        <v>0</v>
      </c>
      <c r="AC99" s="68">
        <f t="shared" ca="1" si="8"/>
        <v>2.0833333333333333E-5</v>
      </c>
      <c r="AD99" s="68">
        <f t="shared" ca="1" si="9"/>
        <v>0</v>
      </c>
      <c r="AE99" s="55"/>
      <c r="AF99" s="68">
        <v>1.1937578378029556E-4</v>
      </c>
      <c r="AG99" s="81">
        <v>2.3875313513999075E-4</v>
      </c>
      <c r="AH99" s="68">
        <v>4.7751254080852235E-4</v>
      </c>
      <c r="AI99" s="55"/>
    </row>
    <row r="100" spans="1:35" x14ac:dyDescent="0.2">
      <c r="A100" s="27">
        <f>'Cash Flow'!A100</f>
        <v>94</v>
      </c>
      <c r="B100" s="49">
        <f>'Cash Flow'!B100</f>
        <v>41974</v>
      </c>
      <c r="C100" s="56">
        <f>'Cash Flow'!C100</f>
        <v>8.3333333333333329E-2</v>
      </c>
      <c r="D100" s="55"/>
      <c r="E100" s="57">
        <v>6.9369000000000056E-2</v>
      </c>
      <c r="F100" s="57"/>
      <c r="G100" s="57"/>
      <c r="H100" s="57"/>
      <c r="I100" s="57">
        <v>0.04</v>
      </c>
      <c r="J100" s="57"/>
      <c r="K100" s="57"/>
      <c r="L100" s="55"/>
      <c r="M100" s="78">
        <v>5.1430128318229462E-3</v>
      </c>
      <c r="N100" s="78">
        <v>0.01</v>
      </c>
      <c r="Q100" s="57"/>
      <c r="S100" s="55"/>
      <c r="T100" s="79">
        <f ca="1">OFFSET('Loss Timing'!D$6,MATCH($A100,'Loss Timing'!$A$7:$A$36,1),0)/12/PmtFreqAdd</f>
        <v>2.7777777777777779E-3</v>
      </c>
      <c r="U100" s="79">
        <f ca="1">OFFSET('Loss Timing'!E$6,MATCH($A100,'Loss Timing'!$A$7:$A$36,1),0)/12/PmtFreqAdd</f>
        <v>6.2499999999999995E-3</v>
      </c>
      <c r="V100" s="79">
        <f ca="1">OFFSET('Loss Timing'!F$6,MATCH($A100,'Loss Timing'!$A$7:$A$36,1),0)/12/PmtFreqAdd</f>
        <v>0</v>
      </c>
      <c r="W100" s="79">
        <f ca="1">OFFSET('Loss Timing'!G$6,MATCH($A100,'Loss Timing'!$A$7:$A$36,1),0)/12/PmtFreqAdd</f>
        <v>2.0833333333333333E-3</v>
      </c>
      <c r="X100" s="79">
        <f ca="1">OFFSET('Loss Timing'!H$6,MATCH($A100,'Loss Timing'!$A$7:$A$36,1),0)/12/PmtFreqAdd</f>
        <v>0</v>
      </c>
      <c r="Y100" s="55"/>
      <c r="Z100" s="68">
        <f t="shared" ca="1" si="5"/>
        <v>2.7777777777777779E-5</v>
      </c>
      <c r="AA100" s="68">
        <f t="shared" ca="1" si="6"/>
        <v>6.2500000000000001E-5</v>
      </c>
      <c r="AB100" s="68">
        <f t="shared" ca="1" si="7"/>
        <v>0</v>
      </c>
      <c r="AC100" s="68">
        <f t="shared" ca="1" si="8"/>
        <v>2.0833333333333333E-5</v>
      </c>
      <c r="AD100" s="68">
        <f t="shared" ca="1" si="9"/>
        <v>0</v>
      </c>
      <c r="AE100" s="55"/>
      <c r="AF100" s="68">
        <v>1.1541739932674489E-4</v>
      </c>
      <c r="AG100" s="81">
        <v>2.3083626400355328E-4</v>
      </c>
      <c r="AH100" s="68">
        <v>4.6167838956279184E-4</v>
      </c>
      <c r="AI100" s="55"/>
    </row>
    <row r="101" spans="1:35" x14ac:dyDescent="0.2">
      <c r="A101" s="27">
        <f>'Cash Flow'!A101</f>
        <v>95</v>
      </c>
      <c r="B101" s="49">
        <f>'Cash Flow'!B101</f>
        <v>42005</v>
      </c>
      <c r="C101" s="56">
        <f>'Cash Flow'!C101</f>
        <v>8.3333333333333329E-2</v>
      </c>
      <c r="D101" s="55"/>
      <c r="E101" s="57">
        <v>6.9369000000000056E-2</v>
      </c>
      <c r="F101" s="57"/>
      <c r="G101" s="57"/>
      <c r="H101" s="57"/>
      <c r="I101" s="57">
        <v>0.04</v>
      </c>
      <c r="J101" s="57"/>
      <c r="K101" s="57"/>
      <c r="L101" s="55"/>
      <c r="M101" s="78">
        <v>5.1430128318229462E-3</v>
      </c>
      <c r="N101" s="78">
        <v>0.01</v>
      </c>
      <c r="Q101" s="57"/>
      <c r="S101" s="55"/>
      <c r="T101" s="79">
        <f ca="1">OFFSET('Loss Timing'!D$6,MATCH($A101,'Loss Timing'!$A$7:$A$36,1),0)/12/PmtFreqAdd</f>
        <v>2.7777777777777779E-3</v>
      </c>
      <c r="U101" s="79">
        <f ca="1">OFFSET('Loss Timing'!E$6,MATCH($A101,'Loss Timing'!$A$7:$A$36,1),0)/12/PmtFreqAdd</f>
        <v>6.2499999999999995E-3</v>
      </c>
      <c r="V101" s="79">
        <f ca="1">OFFSET('Loss Timing'!F$6,MATCH($A101,'Loss Timing'!$A$7:$A$36,1),0)/12/PmtFreqAdd</f>
        <v>0</v>
      </c>
      <c r="W101" s="79">
        <f ca="1">OFFSET('Loss Timing'!G$6,MATCH($A101,'Loss Timing'!$A$7:$A$36,1),0)/12/PmtFreqAdd</f>
        <v>2.0833333333333333E-3</v>
      </c>
      <c r="X101" s="79">
        <f ca="1">OFFSET('Loss Timing'!H$6,MATCH($A101,'Loss Timing'!$A$7:$A$36,1),0)/12/PmtFreqAdd</f>
        <v>0</v>
      </c>
      <c r="Y101" s="55"/>
      <c r="Z101" s="68">
        <f t="shared" ca="1" si="5"/>
        <v>2.7777777777777779E-5</v>
      </c>
      <c r="AA101" s="68">
        <f t="shared" ca="1" si="6"/>
        <v>6.2500000000000001E-5</v>
      </c>
      <c r="AB101" s="68">
        <f t="shared" ca="1" si="7"/>
        <v>0</v>
      </c>
      <c r="AC101" s="68">
        <f t="shared" ca="1" si="8"/>
        <v>2.0833333333333333E-5</v>
      </c>
      <c r="AD101" s="68">
        <f t="shared" ca="1" si="9"/>
        <v>0</v>
      </c>
      <c r="AE101" s="55"/>
      <c r="AF101" s="68">
        <v>1.1145901660514212E-4</v>
      </c>
      <c r="AG101" s="81">
        <v>2.229193997616008E-4</v>
      </c>
      <c r="AH101" s="68">
        <v>4.4584426591720572E-4</v>
      </c>
      <c r="AI101" s="55"/>
    </row>
    <row r="102" spans="1:35" x14ac:dyDescent="0.2">
      <c r="A102" s="27">
        <f>'Cash Flow'!A102</f>
        <v>96</v>
      </c>
      <c r="B102" s="49">
        <f>'Cash Flow'!B102</f>
        <v>42036</v>
      </c>
      <c r="C102" s="56">
        <f>'Cash Flow'!C102</f>
        <v>8.3333333333333329E-2</v>
      </c>
      <c r="D102" s="55"/>
      <c r="E102" s="57">
        <v>6.9369000000000056E-2</v>
      </c>
      <c r="F102" s="57"/>
      <c r="G102" s="57"/>
      <c r="H102" s="57"/>
      <c r="I102" s="57">
        <v>0.04</v>
      </c>
      <c r="J102" s="57"/>
      <c r="K102" s="57"/>
      <c r="L102" s="55"/>
      <c r="M102" s="78">
        <v>5.1430128318229462E-3</v>
      </c>
      <c r="N102" s="78">
        <v>0.01</v>
      </c>
      <c r="Q102" s="57"/>
      <c r="S102" s="55"/>
      <c r="T102" s="79">
        <f ca="1">OFFSET('Loss Timing'!D$6,MATCH($A102,'Loss Timing'!$A$7:$A$36,1),0)/12/PmtFreqAdd</f>
        <v>2.7777777777777779E-3</v>
      </c>
      <c r="U102" s="79">
        <f ca="1">OFFSET('Loss Timing'!E$6,MATCH($A102,'Loss Timing'!$A$7:$A$36,1),0)/12/PmtFreqAdd</f>
        <v>6.2499999999999995E-3</v>
      </c>
      <c r="V102" s="79">
        <f ca="1">OFFSET('Loss Timing'!F$6,MATCH($A102,'Loss Timing'!$A$7:$A$36,1),0)/12/PmtFreqAdd</f>
        <v>0</v>
      </c>
      <c r="W102" s="79">
        <f ca="1">OFFSET('Loss Timing'!G$6,MATCH($A102,'Loss Timing'!$A$7:$A$36,1),0)/12/PmtFreqAdd</f>
        <v>2.0833333333333333E-3</v>
      </c>
      <c r="X102" s="79">
        <f ca="1">OFFSET('Loss Timing'!H$6,MATCH($A102,'Loss Timing'!$A$7:$A$36,1),0)/12/PmtFreqAdd</f>
        <v>0</v>
      </c>
      <c r="Y102" s="55"/>
      <c r="Z102" s="68">
        <f t="shared" ca="1" si="5"/>
        <v>2.7777777777777779E-5</v>
      </c>
      <c r="AA102" s="68">
        <f t="shared" ca="1" si="6"/>
        <v>6.2500000000000001E-5</v>
      </c>
      <c r="AB102" s="68">
        <f t="shared" ca="1" si="7"/>
        <v>0</v>
      </c>
      <c r="AC102" s="68">
        <f t="shared" ca="1" si="8"/>
        <v>2.0833333333333333E-5</v>
      </c>
      <c r="AD102" s="68">
        <f t="shared" ca="1" si="9"/>
        <v>0</v>
      </c>
      <c r="AE102" s="55"/>
      <c r="AF102" s="68">
        <v>1.0750063560438505E-4</v>
      </c>
      <c r="AG102" s="81">
        <v>2.150025424141333E-4</v>
      </c>
      <c r="AH102" s="68">
        <v>4.300101698384573E-4</v>
      </c>
      <c r="AI102" s="55"/>
    </row>
    <row r="103" spans="1:35" x14ac:dyDescent="0.2">
      <c r="A103" s="27">
        <f>'Cash Flow'!A103</f>
        <v>97</v>
      </c>
      <c r="B103" s="49">
        <f>'Cash Flow'!B103</f>
        <v>42064</v>
      </c>
      <c r="C103" s="56">
        <f>'Cash Flow'!C103</f>
        <v>8.3333333333333329E-2</v>
      </c>
      <c r="D103" s="55"/>
      <c r="E103" s="57">
        <v>6.9369000000000056E-2</v>
      </c>
      <c r="F103" s="57"/>
      <c r="G103" s="57"/>
      <c r="H103" s="57"/>
      <c r="I103" s="57">
        <v>0.04</v>
      </c>
      <c r="J103" s="57"/>
      <c r="K103" s="57"/>
      <c r="L103" s="55"/>
      <c r="M103" s="78">
        <v>5.1430128318229462E-3</v>
      </c>
      <c r="N103" s="78">
        <v>0.01</v>
      </c>
      <c r="Q103" s="57"/>
      <c r="S103" s="55"/>
      <c r="T103" s="79">
        <f ca="1">OFFSET('Loss Timing'!D$6,MATCH($A103,'Loss Timing'!$A$7:$A$36,1),0)/12/PmtFreqAdd</f>
        <v>2.7777777777777779E-3</v>
      </c>
      <c r="U103" s="79">
        <f ca="1">OFFSET('Loss Timing'!E$6,MATCH($A103,'Loss Timing'!$A$7:$A$36,1),0)/12/PmtFreqAdd</f>
        <v>6.2499999999999995E-3</v>
      </c>
      <c r="V103" s="79">
        <f ca="1">OFFSET('Loss Timing'!F$6,MATCH($A103,'Loss Timing'!$A$7:$A$36,1),0)/12/PmtFreqAdd</f>
        <v>0</v>
      </c>
      <c r="W103" s="79">
        <f ca="1">OFFSET('Loss Timing'!G$6,MATCH($A103,'Loss Timing'!$A$7:$A$36,1),0)/12/PmtFreqAdd</f>
        <v>2.0833333333333333E-3</v>
      </c>
      <c r="X103" s="79">
        <f ca="1">OFFSET('Loss Timing'!H$6,MATCH($A103,'Loss Timing'!$A$7:$A$36,1),0)/12/PmtFreqAdd</f>
        <v>0</v>
      </c>
      <c r="Y103" s="55"/>
      <c r="Z103" s="68">
        <f t="shared" ca="1" si="5"/>
        <v>2.7777777777777779E-5</v>
      </c>
      <c r="AA103" s="68">
        <f t="shared" ca="1" si="6"/>
        <v>6.2500000000000001E-5</v>
      </c>
      <c r="AB103" s="68">
        <f t="shared" ca="1" si="7"/>
        <v>0</v>
      </c>
      <c r="AC103" s="68">
        <f t="shared" ca="1" si="8"/>
        <v>2.0833333333333333E-5</v>
      </c>
      <c r="AD103" s="68">
        <f t="shared" ca="1" si="9"/>
        <v>0</v>
      </c>
      <c r="AE103" s="55"/>
      <c r="AF103" s="68">
        <v>1.0354225632447367E-4</v>
      </c>
      <c r="AG103" s="81">
        <v>2.0708569196115079E-4</v>
      </c>
      <c r="AH103" s="68">
        <v>4.1417610133764882E-4</v>
      </c>
      <c r="AI103" s="55"/>
    </row>
    <row r="104" spans="1:35" x14ac:dyDescent="0.2">
      <c r="A104" s="27">
        <f>'Cash Flow'!A104</f>
        <v>98</v>
      </c>
      <c r="B104" s="49">
        <f>'Cash Flow'!B104</f>
        <v>42095</v>
      </c>
      <c r="C104" s="56">
        <f>'Cash Flow'!C104</f>
        <v>8.3333333333333329E-2</v>
      </c>
      <c r="D104" s="55"/>
      <c r="E104" s="57">
        <v>6.9369000000000056E-2</v>
      </c>
      <c r="F104" s="57"/>
      <c r="G104" s="57"/>
      <c r="H104" s="57"/>
      <c r="I104" s="57">
        <v>0.04</v>
      </c>
      <c r="J104" s="57"/>
      <c r="K104" s="57"/>
      <c r="L104" s="55"/>
      <c r="M104" s="78">
        <v>5.1430128318229462E-3</v>
      </c>
      <c r="N104" s="78">
        <v>0.01</v>
      </c>
      <c r="Q104" s="57"/>
      <c r="S104" s="55"/>
      <c r="T104" s="79">
        <f ca="1">OFFSET('Loss Timing'!D$6,MATCH($A104,'Loss Timing'!$A$7:$A$36,1),0)/12/PmtFreqAdd</f>
        <v>2.7777777777777779E-3</v>
      </c>
      <c r="U104" s="79">
        <f ca="1">OFFSET('Loss Timing'!E$6,MATCH($A104,'Loss Timing'!$A$7:$A$36,1),0)/12/PmtFreqAdd</f>
        <v>6.2499999999999995E-3</v>
      </c>
      <c r="V104" s="79">
        <f ca="1">OFFSET('Loss Timing'!F$6,MATCH($A104,'Loss Timing'!$A$7:$A$36,1),0)/12/PmtFreqAdd</f>
        <v>0</v>
      </c>
      <c r="W104" s="79">
        <f ca="1">OFFSET('Loss Timing'!G$6,MATCH($A104,'Loss Timing'!$A$7:$A$36,1),0)/12/PmtFreqAdd</f>
        <v>2.0833333333333333E-3</v>
      </c>
      <c r="X104" s="79">
        <f ca="1">OFFSET('Loss Timing'!H$6,MATCH($A104,'Loss Timing'!$A$7:$A$36,1),0)/12/PmtFreqAdd</f>
        <v>0</v>
      </c>
      <c r="Y104" s="55"/>
      <c r="Z104" s="68">
        <f t="shared" ca="1" si="5"/>
        <v>2.7777777777777779E-5</v>
      </c>
      <c r="AA104" s="68">
        <f t="shared" ca="1" si="6"/>
        <v>6.2500000000000001E-5</v>
      </c>
      <c r="AB104" s="68">
        <f t="shared" ca="1" si="7"/>
        <v>0</v>
      </c>
      <c r="AC104" s="68">
        <f t="shared" ca="1" si="8"/>
        <v>2.0833333333333333E-5</v>
      </c>
      <c r="AD104" s="68">
        <f t="shared" ca="1" si="9"/>
        <v>0</v>
      </c>
      <c r="AE104" s="55"/>
      <c r="AF104" s="68">
        <v>9.9583878765407974E-5</v>
      </c>
      <c r="AG104" s="81">
        <v>1.9916884840265325E-4</v>
      </c>
      <c r="AH104" s="68">
        <v>3.9834206041478026E-4</v>
      </c>
      <c r="AI104" s="55"/>
    </row>
    <row r="105" spans="1:35" x14ac:dyDescent="0.2">
      <c r="A105" s="27">
        <f>'Cash Flow'!A105</f>
        <v>99</v>
      </c>
      <c r="B105" s="49">
        <f>'Cash Flow'!B105</f>
        <v>42125</v>
      </c>
      <c r="C105" s="56">
        <f>'Cash Flow'!C105</f>
        <v>8.3333333333333329E-2</v>
      </c>
      <c r="D105" s="55"/>
      <c r="E105" s="57">
        <v>6.9369000000000056E-2</v>
      </c>
      <c r="F105" s="57"/>
      <c r="G105" s="57"/>
      <c r="H105" s="57"/>
      <c r="I105" s="57">
        <v>0.04</v>
      </c>
      <c r="J105" s="57"/>
      <c r="K105" s="57"/>
      <c r="L105" s="55"/>
      <c r="M105" s="78">
        <v>5.1430128318229462E-3</v>
      </c>
      <c r="N105" s="78">
        <v>0.01</v>
      </c>
      <c r="Q105" s="57"/>
      <c r="S105" s="55"/>
      <c r="T105" s="79">
        <f ca="1">OFFSET('Loss Timing'!D$6,MATCH($A105,'Loss Timing'!$A$7:$A$36,1),0)/12/PmtFreqAdd</f>
        <v>2.7777777777777779E-3</v>
      </c>
      <c r="U105" s="79">
        <f ca="1">OFFSET('Loss Timing'!E$6,MATCH($A105,'Loss Timing'!$A$7:$A$36,1),0)/12/PmtFreqAdd</f>
        <v>6.2499999999999995E-3</v>
      </c>
      <c r="V105" s="79">
        <f ca="1">OFFSET('Loss Timing'!F$6,MATCH($A105,'Loss Timing'!$A$7:$A$36,1),0)/12/PmtFreqAdd</f>
        <v>0</v>
      </c>
      <c r="W105" s="79">
        <f ca="1">OFFSET('Loss Timing'!G$6,MATCH($A105,'Loss Timing'!$A$7:$A$36,1),0)/12/PmtFreqAdd</f>
        <v>2.0833333333333333E-3</v>
      </c>
      <c r="X105" s="79">
        <f ca="1">OFFSET('Loss Timing'!H$6,MATCH($A105,'Loss Timing'!$A$7:$A$36,1),0)/12/PmtFreqAdd</f>
        <v>0</v>
      </c>
      <c r="Y105" s="55"/>
      <c r="Z105" s="68">
        <f t="shared" ca="1" si="5"/>
        <v>2.7777777777777779E-5</v>
      </c>
      <c r="AA105" s="68">
        <f t="shared" ca="1" si="6"/>
        <v>6.2500000000000001E-5</v>
      </c>
      <c r="AB105" s="68">
        <f t="shared" ca="1" si="7"/>
        <v>0</v>
      </c>
      <c r="AC105" s="68">
        <f t="shared" ca="1" si="8"/>
        <v>2.0833333333333333E-5</v>
      </c>
      <c r="AD105" s="68">
        <f t="shared" ca="1" si="9"/>
        <v>0</v>
      </c>
      <c r="AE105" s="55"/>
      <c r="AF105" s="68">
        <v>9.5625502927187966E-5</v>
      </c>
      <c r="AG105" s="81">
        <v>1.912520117386407E-4</v>
      </c>
      <c r="AH105" s="68">
        <v>3.8250804708095387E-4</v>
      </c>
      <c r="AI105" s="55"/>
    </row>
    <row r="106" spans="1:35" x14ac:dyDescent="0.2">
      <c r="A106" s="27">
        <f>'Cash Flow'!A106</f>
        <v>100</v>
      </c>
      <c r="B106" s="49">
        <f>'Cash Flow'!B106</f>
        <v>42156</v>
      </c>
      <c r="C106" s="56">
        <f>'Cash Flow'!C106</f>
        <v>8.3333333333333329E-2</v>
      </c>
      <c r="D106" s="55"/>
      <c r="E106" s="57">
        <v>6.9369000000000056E-2</v>
      </c>
      <c r="F106" s="57"/>
      <c r="G106" s="57"/>
      <c r="H106" s="57"/>
      <c r="I106" s="57">
        <v>0.04</v>
      </c>
      <c r="J106" s="57"/>
      <c r="K106" s="57"/>
      <c r="L106" s="55"/>
      <c r="M106" s="78">
        <v>5.1430128318229462E-3</v>
      </c>
      <c r="N106" s="78">
        <v>0.01</v>
      </c>
      <c r="Q106" s="57"/>
      <c r="S106" s="55"/>
      <c r="T106" s="79">
        <f ca="1">OFFSET('Loss Timing'!D$6,MATCH($A106,'Loss Timing'!$A$7:$A$36,1),0)/12/PmtFreqAdd</f>
        <v>2.7777777777777779E-3</v>
      </c>
      <c r="U106" s="79">
        <f ca="1">OFFSET('Loss Timing'!E$6,MATCH($A106,'Loss Timing'!$A$7:$A$36,1),0)/12/PmtFreqAdd</f>
        <v>6.2499999999999995E-3</v>
      </c>
      <c r="V106" s="79">
        <f ca="1">OFFSET('Loss Timing'!F$6,MATCH($A106,'Loss Timing'!$A$7:$A$36,1),0)/12/PmtFreqAdd</f>
        <v>0</v>
      </c>
      <c r="W106" s="79">
        <f ca="1">OFFSET('Loss Timing'!G$6,MATCH($A106,'Loss Timing'!$A$7:$A$36,1),0)/12/PmtFreqAdd</f>
        <v>2.0833333333333333E-3</v>
      </c>
      <c r="X106" s="79">
        <f ca="1">OFFSET('Loss Timing'!H$6,MATCH($A106,'Loss Timing'!$A$7:$A$36,1),0)/12/PmtFreqAdd</f>
        <v>0</v>
      </c>
      <c r="Y106" s="55"/>
      <c r="Z106" s="68">
        <f t="shared" ca="1" si="5"/>
        <v>2.7777777777777779E-5</v>
      </c>
      <c r="AA106" s="68">
        <f t="shared" ca="1" si="6"/>
        <v>6.2500000000000001E-5</v>
      </c>
      <c r="AB106" s="68">
        <f t="shared" ca="1" si="7"/>
        <v>0</v>
      </c>
      <c r="AC106" s="68">
        <f t="shared" ca="1" si="8"/>
        <v>2.0833333333333333E-5</v>
      </c>
      <c r="AD106" s="68">
        <f t="shared" ca="1" si="9"/>
        <v>0</v>
      </c>
      <c r="AE106" s="55"/>
      <c r="AF106" s="68">
        <v>9.1667128820915877E-5</v>
      </c>
      <c r="AG106" s="81">
        <v>1.8333518196911314E-4</v>
      </c>
      <c r="AH106" s="68">
        <v>3.6667406131396518E-4</v>
      </c>
      <c r="AI106" s="55"/>
    </row>
    <row r="107" spans="1:35" x14ac:dyDescent="0.2">
      <c r="A107" s="27">
        <f>'Cash Flow'!A107</f>
        <v>101</v>
      </c>
      <c r="B107" s="49">
        <f>'Cash Flow'!B107</f>
        <v>42186</v>
      </c>
      <c r="C107" s="56">
        <f>'Cash Flow'!C107</f>
        <v>8.3333333333333329E-2</v>
      </c>
      <c r="D107" s="55"/>
      <c r="E107" s="57">
        <v>6.9369000000000056E-2</v>
      </c>
      <c r="F107" s="57"/>
      <c r="G107" s="57"/>
      <c r="H107" s="57"/>
      <c r="I107" s="57">
        <v>0.04</v>
      </c>
      <c r="J107" s="57"/>
      <c r="K107" s="57"/>
      <c r="L107" s="55"/>
      <c r="M107" s="78">
        <v>5.1430128318229462E-3</v>
      </c>
      <c r="N107" s="78">
        <v>0.01</v>
      </c>
      <c r="Q107" s="57"/>
      <c r="S107" s="55"/>
      <c r="T107" s="79">
        <f ca="1">OFFSET('Loss Timing'!D$6,MATCH($A107,'Loss Timing'!$A$7:$A$36,1),0)/12/PmtFreqAdd</f>
        <v>2.7777777777777779E-3</v>
      </c>
      <c r="U107" s="79">
        <f ca="1">OFFSET('Loss Timing'!E$6,MATCH($A107,'Loss Timing'!$A$7:$A$36,1),0)/12/PmtFreqAdd</f>
        <v>6.2499999999999995E-3</v>
      </c>
      <c r="V107" s="79">
        <f ca="1">OFFSET('Loss Timing'!F$6,MATCH($A107,'Loss Timing'!$A$7:$A$36,1),0)/12/PmtFreqAdd</f>
        <v>0</v>
      </c>
      <c r="W107" s="79">
        <f ca="1">OFFSET('Loss Timing'!G$6,MATCH($A107,'Loss Timing'!$A$7:$A$36,1),0)/12/PmtFreqAdd</f>
        <v>2.0833333333333333E-3</v>
      </c>
      <c r="X107" s="79">
        <f ca="1">OFFSET('Loss Timing'!H$6,MATCH($A107,'Loss Timing'!$A$7:$A$36,1),0)/12/PmtFreqAdd</f>
        <v>0</v>
      </c>
      <c r="Y107" s="55"/>
      <c r="Z107" s="68">
        <f t="shared" ca="1" si="5"/>
        <v>2.7777777777777779E-5</v>
      </c>
      <c r="AA107" s="68">
        <f t="shared" ca="1" si="6"/>
        <v>6.2500000000000001E-5</v>
      </c>
      <c r="AB107" s="68">
        <f t="shared" ca="1" si="7"/>
        <v>0</v>
      </c>
      <c r="AC107" s="68">
        <f t="shared" ca="1" si="8"/>
        <v>2.0833333333333333E-5</v>
      </c>
      <c r="AD107" s="68">
        <f t="shared" ca="1" si="9"/>
        <v>0</v>
      </c>
      <c r="AE107" s="55"/>
      <c r="AF107" s="68">
        <v>8.7708756435489477E-5</v>
      </c>
      <c r="AG107" s="81">
        <v>1.7541835909407055E-4</v>
      </c>
      <c r="AH107" s="68">
        <v>3.5084010313601866E-4</v>
      </c>
      <c r="AI107" s="55"/>
    </row>
    <row r="108" spans="1:35" x14ac:dyDescent="0.2">
      <c r="A108" s="27">
        <f>'Cash Flow'!A108</f>
        <v>102</v>
      </c>
      <c r="B108" s="49">
        <f>'Cash Flow'!B108</f>
        <v>42217</v>
      </c>
      <c r="C108" s="56">
        <f>'Cash Flow'!C108</f>
        <v>8.3333333333333329E-2</v>
      </c>
      <c r="D108" s="55"/>
      <c r="E108" s="57">
        <v>6.9369000000000056E-2</v>
      </c>
      <c r="F108" s="57"/>
      <c r="G108" s="57"/>
      <c r="H108" s="57"/>
      <c r="I108" s="57">
        <v>0.04</v>
      </c>
      <c r="J108" s="57"/>
      <c r="K108" s="57"/>
      <c r="L108" s="55"/>
      <c r="M108" s="78">
        <v>5.1430128318229462E-3</v>
      </c>
      <c r="N108" s="78">
        <v>0.01</v>
      </c>
      <c r="Q108" s="57"/>
      <c r="S108" s="55"/>
      <c r="T108" s="79">
        <f ca="1">OFFSET('Loss Timing'!D$6,MATCH($A108,'Loss Timing'!$A$7:$A$36,1),0)/12/PmtFreqAdd</f>
        <v>2.7777777777777779E-3</v>
      </c>
      <c r="U108" s="79">
        <f ca="1">OFFSET('Loss Timing'!E$6,MATCH($A108,'Loss Timing'!$A$7:$A$36,1),0)/12/PmtFreqAdd</f>
        <v>6.2499999999999995E-3</v>
      </c>
      <c r="V108" s="79">
        <f ca="1">OFFSET('Loss Timing'!F$6,MATCH($A108,'Loss Timing'!$A$7:$A$36,1),0)/12/PmtFreqAdd</f>
        <v>0</v>
      </c>
      <c r="W108" s="79">
        <f ca="1">OFFSET('Loss Timing'!G$6,MATCH($A108,'Loss Timing'!$A$7:$A$36,1),0)/12/PmtFreqAdd</f>
        <v>2.0833333333333333E-3</v>
      </c>
      <c r="X108" s="79">
        <f ca="1">OFFSET('Loss Timing'!H$6,MATCH($A108,'Loss Timing'!$A$7:$A$36,1),0)/12/PmtFreqAdd</f>
        <v>0</v>
      </c>
      <c r="Y108" s="55"/>
      <c r="Z108" s="68">
        <f t="shared" ca="1" si="5"/>
        <v>2.7777777777777779E-5</v>
      </c>
      <c r="AA108" s="68">
        <f t="shared" ca="1" si="6"/>
        <v>6.2500000000000001E-5</v>
      </c>
      <c r="AB108" s="68">
        <f t="shared" ca="1" si="7"/>
        <v>0</v>
      </c>
      <c r="AC108" s="68">
        <f t="shared" ca="1" si="8"/>
        <v>2.0833333333333333E-5</v>
      </c>
      <c r="AD108" s="68">
        <f t="shared" ca="1" si="9"/>
        <v>0</v>
      </c>
      <c r="AE108" s="55"/>
      <c r="AF108" s="68">
        <v>8.3750385770908764E-5</v>
      </c>
      <c r="AG108" s="81">
        <v>1.6750154311351295E-4</v>
      </c>
      <c r="AH108" s="68">
        <v>3.3500617253601206E-4</v>
      </c>
      <c r="AI108" s="55"/>
    </row>
    <row r="109" spans="1:35" x14ac:dyDescent="0.2">
      <c r="A109" s="27">
        <f>'Cash Flow'!A109</f>
        <v>103</v>
      </c>
      <c r="B109" s="49">
        <f>'Cash Flow'!B109</f>
        <v>42248</v>
      </c>
      <c r="C109" s="56">
        <f>'Cash Flow'!C109</f>
        <v>8.3333333333333329E-2</v>
      </c>
      <c r="D109" s="55"/>
      <c r="E109" s="57">
        <v>6.9369000000000056E-2</v>
      </c>
      <c r="F109" s="57"/>
      <c r="G109" s="57"/>
      <c r="H109" s="57"/>
      <c r="I109" s="57">
        <v>0.04</v>
      </c>
      <c r="J109" s="57"/>
      <c r="K109" s="57"/>
      <c r="L109" s="55"/>
      <c r="M109" s="78">
        <v>5.1430128318229462E-3</v>
      </c>
      <c r="N109" s="78">
        <v>0.01</v>
      </c>
      <c r="Q109" s="57"/>
      <c r="S109" s="55"/>
      <c r="T109" s="79">
        <f ca="1">OFFSET('Loss Timing'!D$6,MATCH($A109,'Loss Timing'!$A$7:$A$36,1),0)/12/PmtFreqAdd</f>
        <v>2.7777777777777779E-3</v>
      </c>
      <c r="U109" s="79">
        <f ca="1">OFFSET('Loss Timing'!E$6,MATCH($A109,'Loss Timing'!$A$7:$A$36,1),0)/12/PmtFreqAdd</f>
        <v>6.2499999999999995E-3</v>
      </c>
      <c r="V109" s="79">
        <f ca="1">OFFSET('Loss Timing'!F$6,MATCH($A109,'Loss Timing'!$A$7:$A$36,1),0)/12/PmtFreqAdd</f>
        <v>0</v>
      </c>
      <c r="W109" s="79">
        <f ca="1">OFFSET('Loss Timing'!G$6,MATCH($A109,'Loss Timing'!$A$7:$A$36,1),0)/12/PmtFreqAdd</f>
        <v>2.0833333333333333E-3</v>
      </c>
      <c r="X109" s="79">
        <f ca="1">OFFSET('Loss Timing'!H$6,MATCH($A109,'Loss Timing'!$A$7:$A$36,1),0)/12/PmtFreqAdd</f>
        <v>0</v>
      </c>
      <c r="Y109" s="55"/>
      <c r="Z109" s="68">
        <f t="shared" ca="1" si="5"/>
        <v>2.7777777777777779E-5</v>
      </c>
      <c r="AA109" s="68">
        <f t="shared" ca="1" si="6"/>
        <v>6.2500000000000001E-5</v>
      </c>
      <c r="AB109" s="68">
        <f t="shared" ca="1" si="7"/>
        <v>0</v>
      </c>
      <c r="AC109" s="68">
        <f t="shared" ca="1" si="8"/>
        <v>2.0833333333333333E-5</v>
      </c>
      <c r="AD109" s="68">
        <f t="shared" ca="1" si="9"/>
        <v>0</v>
      </c>
      <c r="AE109" s="55"/>
      <c r="AF109" s="68">
        <v>7.979201683827597E-5</v>
      </c>
      <c r="AG109" s="81">
        <v>1.5958473402744033E-4</v>
      </c>
      <c r="AH109" s="68">
        <v>3.1917226951394539E-4</v>
      </c>
      <c r="AI109" s="55"/>
    </row>
    <row r="110" spans="1:35" x14ac:dyDescent="0.2">
      <c r="A110" s="27">
        <f>'Cash Flow'!A110</f>
        <v>104</v>
      </c>
      <c r="B110" s="49">
        <f>'Cash Flow'!B110</f>
        <v>42278</v>
      </c>
      <c r="C110" s="56">
        <f>'Cash Flow'!C110</f>
        <v>8.3333333333333329E-2</v>
      </c>
      <c r="D110" s="55"/>
      <c r="E110" s="57">
        <v>6.9369000000000056E-2</v>
      </c>
      <c r="F110" s="57"/>
      <c r="G110" s="57"/>
      <c r="H110" s="57"/>
      <c r="I110" s="57">
        <v>0.04</v>
      </c>
      <c r="J110" s="57"/>
      <c r="K110" s="57"/>
      <c r="L110" s="55"/>
      <c r="M110" s="78">
        <v>5.1430128318229462E-3</v>
      </c>
      <c r="N110" s="78">
        <v>0.01</v>
      </c>
      <c r="Q110" s="57"/>
      <c r="S110" s="55"/>
      <c r="T110" s="79">
        <f ca="1">OFFSET('Loss Timing'!D$6,MATCH($A110,'Loss Timing'!$A$7:$A$36,1),0)/12/PmtFreqAdd</f>
        <v>2.7777777777777779E-3</v>
      </c>
      <c r="U110" s="79">
        <f ca="1">OFFSET('Loss Timing'!E$6,MATCH($A110,'Loss Timing'!$A$7:$A$36,1),0)/12/PmtFreqAdd</f>
        <v>6.2499999999999995E-3</v>
      </c>
      <c r="V110" s="79">
        <f ca="1">OFFSET('Loss Timing'!F$6,MATCH($A110,'Loss Timing'!$A$7:$A$36,1),0)/12/PmtFreqAdd</f>
        <v>0</v>
      </c>
      <c r="W110" s="79">
        <f ca="1">OFFSET('Loss Timing'!G$6,MATCH($A110,'Loss Timing'!$A$7:$A$36,1),0)/12/PmtFreqAdd</f>
        <v>2.0833333333333333E-3</v>
      </c>
      <c r="X110" s="79">
        <f ca="1">OFFSET('Loss Timing'!H$6,MATCH($A110,'Loss Timing'!$A$7:$A$36,1),0)/12/PmtFreqAdd</f>
        <v>0</v>
      </c>
      <c r="Y110" s="55"/>
      <c r="Z110" s="68">
        <f t="shared" ca="1" si="5"/>
        <v>2.7777777777777779E-5</v>
      </c>
      <c r="AA110" s="68">
        <f t="shared" ca="1" si="6"/>
        <v>6.2500000000000001E-5</v>
      </c>
      <c r="AB110" s="68">
        <f t="shared" ca="1" si="7"/>
        <v>0</v>
      </c>
      <c r="AC110" s="68">
        <f t="shared" ca="1" si="8"/>
        <v>2.0833333333333333E-5</v>
      </c>
      <c r="AD110" s="68">
        <f t="shared" ca="1" si="9"/>
        <v>0</v>
      </c>
      <c r="AE110" s="55"/>
      <c r="AF110" s="68">
        <v>7.5833649626488864E-5</v>
      </c>
      <c r="AG110" s="81">
        <v>1.516679318358527E-4</v>
      </c>
      <c r="AH110" s="68">
        <v>3.0333839405871643E-4</v>
      </c>
      <c r="AI110" s="55"/>
    </row>
    <row r="111" spans="1:35" x14ac:dyDescent="0.2">
      <c r="A111" s="27">
        <f>'Cash Flow'!A111</f>
        <v>105</v>
      </c>
      <c r="B111" s="49">
        <f>'Cash Flow'!B111</f>
        <v>42309</v>
      </c>
      <c r="C111" s="56">
        <f>'Cash Flow'!C111</f>
        <v>8.3333333333333329E-2</v>
      </c>
      <c r="D111" s="55"/>
      <c r="E111" s="57">
        <v>6.9369000000000056E-2</v>
      </c>
      <c r="F111" s="57"/>
      <c r="G111" s="57"/>
      <c r="H111" s="57"/>
      <c r="I111" s="57">
        <v>0.04</v>
      </c>
      <c r="J111" s="57"/>
      <c r="K111" s="57"/>
      <c r="L111" s="55"/>
      <c r="M111" s="78">
        <v>5.1430128318229462E-3</v>
      </c>
      <c r="N111" s="78">
        <v>0.01</v>
      </c>
      <c r="Q111" s="57"/>
      <c r="S111" s="55"/>
      <c r="T111" s="79">
        <f ca="1">OFFSET('Loss Timing'!D$6,MATCH($A111,'Loss Timing'!$A$7:$A$36,1),0)/12/PmtFreqAdd</f>
        <v>2.7777777777777779E-3</v>
      </c>
      <c r="U111" s="79">
        <f ca="1">OFFSET('Loss Timing'!E$6,MATCH($A111,'Loss Timing'!$A$7:$A$36,1),0)/12/PmtFreqAdd</f>
        <v>6.2499999999999995E-3</v>
      </c>
      <c r="V111" s="79">
        <f ca="1">OFFSET('Loss Timing'!F$6,MATCH($A111,'Loss Timing'!$A$7:$A$36,1),0)/12/PmtFreqAdd</f>
        <v>0</v>
      </c>
      <c r="W111" s="79">
        <f ca="1">OFFSET('Loss Timing'!G$6,MATCH($A111,'Loss Timing'!$A$7:$A$36,1),0)/12/PmtFreqAdd</f>
        <v>2.0833333333333333E-3</v>
      </c>
      <c r="X111" s="79">
        <f ca="1">OFFSET('Loss Timing'!H$6,MATCH($A111,'Loss Timing'!$A$7:$A$36,1),0)/12/PmtFreqAdd</f>
        <v>0</v>
      </c>
      <c r="Y111" s="55"/>
      <c r="Z111" s="68">
        <f t="shared" ca="1" si="5"/>
        <v>2.7777777777777779E-5</v>
      </c>
      <c r="AA111" s="68">
        <f t="shared" ca="1" si="6"/>
        <v>6.2500000000000001E-5</v>
      </c>
      <c r="AB111" s="68">
        <f t="shared" ca="1" si="7"/>
        <v>0</v>
      </c>
      <c r="AC111" s="68">
        <f t="shared" ca="1" si="8"/>
        <v>2.0833333333333333E-5</v>
      </c>
      <c r="AD111" s="68">
        <f t="shared" ca="1" si="9"/>
        <v>0</v>
      </c>
      <c r="AE111" s="55"/>
      <c r="AF111" s="68">
        <v>7.1875284135547446E-5</v>
      </c>
      <c r="AG111" s="81">
        <v>1.4375113653875005E-4</v>
      </c>
      <c r="AH111" s="68">
        <v>2.8750454619252963E-4</v>
      </c>
      <c r="AI111" s="55"/>
    </row>
    <row r="112" spans="1:35" x14ac:dyDescent="0.2">
      <c r="A112" s="27">
        <f>'Cash Flow'!A112</f>
        <v>106</v>
      </c>
      <c r="B112" s="49">
        <f>'Cash Flow'!B112</f>
        <v>42339</v>
      </c>
      <c r="C112" s="56">
        <f>'Cash Flow'!C112</f>
        <v>8.3333333333333329E-2</v>
      </c>
      <c r="D112" s="55"/>
      <c r="E112" s="57">
        <v>6.9369000000000056E-2</v>
      </c>
      <c r="F112" s="57"/>
      <c r="G112" s="57"/>
      <c r="H112" s="57"/>
      <c r="I112" s="57">
        <v>0.04</v>
      </c>
      <c r="J112" s="57"/>
      <c r="K112" s="57"/>
      <c r="L112" s="55"/>
      <c r="M112" s="78">
        <v>5.1430128318229462E-3</v>
      </c>
      <c r="N112" s="78">
        <v>0.01</v>
      </c>
      <c r="Q112" s="57"/>
      <c r="S112" s="55"/>
      <c r="T112" s="79">
        <f ca="1">OFFSET('Loss Timing'!D$6,MATCH($A112,'Loss Timing'!$A$7:$A$36,1),0)/12/PmtFreqAdd</f>
        <v>2.7777777777777779E-3</v>
      </c>
      <c r="U112" s="79">
        <f ca="1">OFFSET('Loss Timing'!E$6,MATCH($A112,'Loss Timing'!$A$7:$A$36,1),0)/12/PmtFreqAdd</f>
        <v>6.2499999999999995E-3</v>
      </c>
      <c r="V112" s="79">
        <f ca="1">OFFSET('Loss Timing'!F$6,MATCH($A112,'Loss Timing'!$A$7:$A$36,1),0)/12/PmtFreqAdd</f>
        <v>0</v>
      </c>
      <c r="W112" s="79">
        <f ca="1">OFFSET('Loss Timing'!G$6,MATCH($A112,'Loss Timing'!$A$7:$A$36,1),0)/12/PmtFreqAdd</f>
        <v>2.0833333333333333E-3</v>
      </c>
      <c r="X112" s="79">
        <f ca="1">OFFSET('Loss Timing'!H$6,MATCH($A112,'Loss Timing'!$A$7:$A$36,1),0)/12/PmtFreqAdd</f>
        <v>0</v>
      </c>
      <c r="Y112" s="55"/>
      <c r="Z112" s="68">
        <f t="shared" ca="1" si="5"/>
        <v>2.7777777777777779E-5</v>
      </c>
      <c r="AA112" s="68">
        <f t="shared" ca="1" si="6"/>
        <v>6.2500000000000001E-5</v>
      </c>
      <c r="AB112" s="68">
        <f t="shared" ca="1" si="7"/>
        <v>0</v>
      </c>
      <c r="AC112" s="68">
        <f t="shared" ca="1" si="8"/>
        <v>2.0833333333333333E-5</v>
      </c>
      <c r="AD112" s="68">
        <f t="shared" ca="1" si="9"/>
        <v>0</v>
      </c>
      <c r="AE112" s="55"/>
      <c r="AF112" s="68">
        <v>6.7916920365451716E-5</v>
      </c>
      <c r="AG112" s="81">
        <v>1.3583434813613238E-4</v>
      </c>
      <c r="AH112" s="68">
        <v>2.7167072590428276E-4</v>
      </c>
      <c r="AI112" s="55"/>
    </row>
    <row r="113" spans="1:35" x14ac:dyDescent="0.2">
      <c r="A113" s="27">
        <f>'Cash Flow'!A113</f>
        <v>107</v>
      </c>
      <c r="B113" s="49">
        <f>'Cash Flow'!B113</f>
        <v>42370</v>
      </c>
      <c r="C113" s="56">
        <f>'Cash Flow'!C113</f>
        <v>8.3333333333333329E-2</v>
      </c>
      <c r="D113" s="55"/>
      <c r="E113" s="57">
        <v>6.9369000000000056E-2</v>
      </c>
      <c r="F113" s="57"/>
      <c r="G113" s="57"/>
      <c r="H113" s="57"/>
      <c r="I113" s="57">
        <v>0.04</v>
      </c>
      <c r="J113" s="57"/>
      <c r="K113" s="57"/>
      <c r="L113" s="55"/>
      <c r="M113" s="78">
        <v>5.1430128318229462E-3</v>
      </c>
      <c r="N113" s="78">
        <v>0.01</v>
      </c>
      <c r="Q113" s="57"/>
      <c r="S113" s="55"/>
      <c r="T113" s="79">
        <f ca="1">OFFSET('Loss Timing'!D$6,MATCH($A113,'Loss Timing'!$A$7:$A$36,1),0)/12/PmtFreqAdd</f>
        <v>2.7777777777777779E-3</v>
      </c>
      <c r="U113" s="79">
        <f ca="1">OFFSET('Loss Timing'!E$6,MATCH($A113,'Loss Timing'!$A$7:$A$36,1),0)/12/PmtFreqAdd</f>
        <v>6.2499999999999995E-3</v>
      </c>
      <c r="V113" s="79">
        <f ca="1">OFFSET('Loss Timing'!F$6,MATCH($A113,'Loss Timing'!$A$7:$A$36,1),0)/12/PmtFreqAdd</f>
        <v>0</v>
      </c>
      <c r="W113" s="79">
        <f ca="1">OFFSET('Loss Timing'!G$6,MATCH($A113,'Loss Timing'!$A$7:$A$36,1),0)/12/PmtFreqAdd</f>
        <v>2.0833333333333333E-3</v>
      </c>
      <c r="X113" s="79">
        <f ca="1">OFFSET('Loss Timing'!H$6,MATCH($A113,'Loss Timing'!$A$7:$A$36,1),0)/12/PmtFreqAdd</f>
        <v>0</v>
      </c>
      <c r="Y113" s="55"/>
      <c r="Z113" s="68">
        <f t="shared" ca="1" si="5"/>
        <v>2.7777777777777779E-5</v>
      </c>
      <c r="AA113" s="68">
        <f t="shared" ca="1" si="6"/>
        <v>6.2500000000000001E-5</v>
      </c>
      <c r="AB113" s="68">
        <f t="shared" ca="1" si="7"/>
        <v>0</v>
      </c>
      <c r="AC113" s="68">
        <f t="shared" ca="1" si="8"/>
        <v>2.0833333333333333E-5</v>
      </c>
      <c r="AD113" s="68">
        <f t="shared" ca="1" si="9"/>
        <v>0</v>
      </c>
      <c r="AE113" s="55"/>
      <c r="AF113" s="68">
        <v>6.3958558316201675E-5</v>
      </c>
      <c r="AG113" s="81">
        <v>1.2791756661689746E-4</v>
      </c>
      <c r="AH113" s="68">
        <v>2.5583693319397582E-4</v>
      </c>
      <c r="AI113" s="55"/>
    </row>
    <row r="114" spans="1:35" x14ac:dyDescent="0.2">
      <c r="A114" s="27">
        <f>'Cash Flow'!A114</f>
        <v>108</v>
      </c>
      <c r="B114" s="49">
        <f>'Cash Flow'!B114</f>
        <v>42401</v>
      </c>
      <c r="C114" s="56">
        <f>'Cash Flow'!C114</f>
        <v>8.3333333333333329E-2</v>
      </c>
      <c r="D114" s="55"/>
      <c r="E114" s="57">
        <v>6.9369000000000056E-2</v>
      </c>
      <c r="F114" s="57"/>
      <c r="G114" s="57"/>
      <c r="H114" s="57"/>
      <c r="I114" s="57">
        <v>0.04</v>
      </c>
      <c r="J114" s="57"/>
      <c r="K114" s="57"/>
      <c r="L114" s="55"/>
      <c r="M114" s="78">
        <v>5.1430128318229462E-3</v>
      </c>
      <c r="N114" s="78">
        <v>0.01</v>
      </c>
      <c r="Q114" s="57"/>
      <c r="S114" s="55"/>
      <c r="T114" s="79">
        <f ca="1">OFFSET('Loss Timing'!D$6,MATCH($A114,'Loss Timing'!$A$7:$A$36,1),0)/12/PmtFreqAdd</f>
        <v>2.7777777777777779E-3</v>
      </c>
      <c r="U114" s="79">
        <f ca="1">OFFSET('Loss Timing'!E$6,MATCH($A114,'Loss Timing'!$A$7:$A$36,1),0)/12/PmtFreqAdd</f>
        <v>6.2499999999999995E-3</v>
      </c>
      <c r="V114" s="79">
        <f ca="1">OFFSET('Loss Timing'!F$6,MATCH($A114,'Loss Timing'!$A$7:$A$36,1),0)/12/PmtFreqAdd</f>
        <v>0</v>
      </c>
      <c r="W114" s="79">
        <f ca="1">OFFSET('Loss Timing'!G$6,MATCH($A114,'Loss Timing'!$A$7:$A$36,1),0)/12/PmtFreqAdd</f>
        <v>2.0833333333333333E-3</v>
      </c>
      <c r="X114" s="79">
        <f ca="1">OFFSET('Loss Timing'!H$6,MATCH($A114,'Loss Timing'!$A$7:$A$36,1),0)/12/PmtFreqAdd</f>
        <v>0</v>
      </c>
      <c r="Y114" s="55"/>
      <c r="Z114" s="68">
        <f t="shared" ca="1" si="5"/>
        <v>2.7777777777777779E-5</v>
      </c>
      <c r="AA114" s="68">
        <f t="shared" ca="1" si="6"/>
        <v>6.2500000000000001E-5</v>
      </c>
      <c r="AB114" s="68">
        <f t="shared" ca="1" si="7"/>
        <v>0</v>
      </c>
      <c r="AC114" s="68">
        <f t="shared" ca="1" si="8"/>
        <v>2.0833333333333333E-5</v>
      </c>
      <c r="AD114" s="68">
        <f t="shared" ca="1" si="9"/>
        <v>0</v>
      </c>
      <c r="AE114" s="55"/>
      <c r="AF114" s="68">
        <v>6.0000197998899552E-5</v>
      </c>
      <c r="AG114" s="81">
        <v>1.2000079200324976E-4</v>
      </c>
      <c r="AH114" s="68">
        <v>2.4000316806160882E-4</v>
      </c>
      <c r="AI114" s="55"/>
    </row>
    <row r="115" spans="1:35" x14ac:dyDescent="0.2">
      <c r="A115" s="27">
        <f>'Cash Flow'!A115</f>
        <v>109</v>
      </c>
      <c r="B115" s="49">
        <f>'Cash Flow'!B115</f>
        <v>42430</v>
      </c>
      <c r="C115" s="56">
        <f>'Cash Flow'!C115</f>
        <v>8.3333333333333329E-2</v>
      </c>
      <c r="D115" s="55"/>
      <c r="E115" s="57">
        <v>6.9369000000000056E-2</v>
      </c>
      <c r="F115" s="57"/>
      <c r="G115" s="57"/>
      <c r="H115" s="57"/>
      <c r="I115" s="57">
        <v>0.04</v>
      </c>
      <c r="J115" s="57"/>
      <c r="K115" s="57"/>
      <c r="L115" s="55"/>
      <c r="M115" s="78">
        <v>5.1430128318229462E-3</v>
      </c>
      <c r="N115" s="78">
        <v>0.01</v>
      </c>
      <c r="Q115" s="57"/>
      <c r="S115" s="55"/>
      <c r="T115" s="79">
        <f ca="1">OFFSET('Loss Timing'!D$6,MATCH($A115,'Loss Timing'!$A$7:$A$36,1),0)/12/PmtFreqAdd</f>
        <v>2.7777777777777779E-3</v>
      </c>
      <c r="U115" s="79">
        <f ca="1">OFFSET('Loss Timing'!E$6,MATCH($A115,'Loss Timing'!$A$7:$A$36,1),0)/12/PmtFreqAdd</f>
        <v>8.3333333333333332E-3</v>
      </c>
      <c r="V115" s="79">
        <f ca="1">OFFSET('Loss Timing'!F$6,MATCH($A115,'Loss Timing'!$A$7:$A$36,1),0)/12/PmtFreqAdd</f>
        <v>0</v>
      </c>
      <c r="W115" s="79">
        <f ca="1">OFFSET('Loss Timing'!G$6,MATCH($A115,'Loss Timing'!$A$7:$A$36,1),0)/12/PmtFreqAdd</f>
        <v>4.1666666666666666E-3</v>
      </c>
      <c r="X115" s="79">
        <f ca="1">OFFSET('Loss Timing'!H$6,MATCH($A115,'Loss Timing'!$A$7:$A$36,1),0)/12/PmtFreqAdd</f>
        <v>0</v>
      </c>
      <c r="Y115" s="55"/>
      <c r="Z115" s="68">
        <f t="shared" ca="1" si="5"/>
        <v>2.7777777777777779E-5</v>
      </c>
      <c r="AA115" s="68">
        <f t="shared" ca="1" si="6"/>
        <v>8.3333333333333331E-5</v>
      </c>
      <c r="AB115" s="68">
        <f t="shared" ca="1" si="7"/>
        <v>0</v>
      </c>
      <c r="AC115" s="68">
        <f t="shared" ca="1" si="8"/>
        <v>4.1666666666666665E-5</v>
      </c>
      <c r="AD115" s="68">
        <f t="shared" ca="1" si="9"/>
        <v>0</v>
      </c>
      <c r="AE115" s="55"/>
      <c r="AF115" s="68">
        <v>5.6041839402443117E-5</v>
      </c>
      <c r="AG115" s="81">
        <v>1.1208402428408704E-4</v>
      </c>
      <c r="AH115" s="68">
        <v>2.2416943050718174E-4</v>
      </c>
      <c r="AI115" s="55"/>
    </row>
    <row r="116" spans="1:35" x14ac:dyDescent="0.2">
      <c r="A116" s="27">
        <f>'Cash Flow'!A116</f>
        <v>110</v>
      </c>
      <c r="B116" s="49">
        <f>'Cash Flow'!B116</f>
        <v>42461</v>
      </c>
      <c r="C116" s="56">
        <f>'Cash Flow'!C116</f>
        <v>8.3333333333333329E-2</v>
      </c>
      <c r="D116" s="55"/>
      <c r="E116" s="57">
        <v>6.9369000000000056E-2</v>
      </c>
      <c r="F116" s="57"/>
      <c r="G116" s="57"/>
      <c r="H116" s="57"/>
      <c r="I116" s="57">
        <v>0.04</v>
      </c>
      <c r="J116" s="57"/>
      <c r="K116" s="57"/>
      <c r="L116" s="55"/>
      <c r="M116" s="78">
        <v>5.1430128318229462E-3</v>
      </c>
      <c r="N116" s="78">
        <v>0.01</v>
      </c>
      <c r="Q116" s="57"/>
      <c r="S116" s="55"/>
      <c r="T116" s="79">
        <f ca="1">OFFSET('Loss Timing'!D$6,MATCH($A116,'Loss Timing'!$A$7:$A$36,1),0)/12/PmtFreqAdd</f>
        <v>2.7777777777777779E-3</v>
      </c>
      <c r="U116" s="79">
        <f ca="1">OFFSET('Loss Timing'!E$6,MATCH($A116,'Loss Timing'!$A$7:$A$36,1),0)/12/PmtFreqAdd</f>
        <v>8.3333333333333332E-3</v>
      </c>
      <c r="V116" s="79">
        <f ca="1">OFFSET('Loss Timing'!F$6,MATCH($A116,'Loss Timing'!$A$7:$A$36,1),0)/12/PmtFreqAdd</f>
        <v>0</v>
      </c>
      <c r="W116" s="79">
        <f ca="1">OFFSET('Loss Timing'!G$6,MATCH($A116,'Loss Timing'!$A$7:$A$36,1),0)/12/PmtFreqAdd</f>
        <v>4.1666666666666666E-3</v>
      </c>
      <c r="X116" s="79">
        <f ca="1">OFFSET('Loss Timing'!H$6,MATCH($A116,'Loss Timing'!$A$7:$A$36,1),0)/12/PmtFreqAdd</f>
        <v>0</v>
      </c>
      <c r="Y116" s="55"/>
      <c r="Z116" s="68">
        <f t="shared" ca="1" si="5"/>
        <v>2.7777777777777779E-5</v>
      </c>
      <c r="AA116" s="68">
        <f t="shared" ca="1" si="6"/>
        <v>8.3333333333333331E-5</v>
      </c>
      <c r="AB116" s="68">
        <f t="shared" ca="1" si="7"/>
        <v>0</v>
      </c>
      <c r="AC116" s="68">
        <f t="shared" ca="1" si="8"/>
        <v>4.1666666666666665E-5</v>
      </c>
      <c r="AD116" s="68">
        <f t="shared" ca="1" si="9"/>
        <v>0</v>
      </c>
      <c r="AE116" s="55"/>
      <c r="AF116" s="68">
        <v>5.208348252683237E-5</v>
      </c>
      <c r="AG116" s="81">
        <v>1.041672634594093E-4</v>
      </c>
      <c r="AH116" s="68">
        <v>2.0833572051959237E-4</v>
      </c>
      <c r="AI116" s="55"/>
    </row>
    <row r="117" spans="1:35" x14ac:dyDescent="0.2">
      <c r="A117" s="27">
        <f>'Cash Flow'!A117</f>
        <v>111</v>
      </c>
      <c r="B117" s="49">
        <f>'Cash Flow'!B117</f>
        <v>42491</v>
      </c>
      <c r="C117" s="56">
        <f>'Cash Flow'!C117</f>
        <v>8.3333333333333329E-2</v>
      </c>
      <c r="D117" s="55"/>
      <c r="E117" s="57">
        <v>6.9369000000000056E-2</v>
      </c>
      <c r="F117" s="57"/>
      <c r="G117" s="57"/>
      <c r="H117" s="57"/>
      <c r="I117" s="57">
        <v>0.04</v>
      </c>
      <c r="J117" s="57"/>
      <c r="K117" s="57"/>
      <c r="L117" s="55"/>
      <c r="M117" s="78">
        <v>5.1430128318229462E-3</v>
      </c>
      <c r="N117" s="78">
        <v>0.01</v>
      </c>
      <c r="Q117" s="57"/>
      <c r="S117" s="55"/>
      <c r="T117" s="79">
        <f ca="1">OFFSET('Loss Timing'!D$6,MATCH($A117,'Loss Timing'!$A$7:$A$36,1),0)/12/PmtFreqAdd</f>
        <v>2.7777777777777779E-3</v>
      </c>
      <c r="U117" s="79">
        <f ca="1">OFFSET('Loss Timing'!E$6,MATCH($A117,'Loss Timing'!$A$7:$A$36,1),0)/12/PmtFreqAdd</f>
        <v>8.3333333333333332E-3</v>
      </c>
      <c r="V117" s="79">
        <f ca="1">OFFSET('Loss Timing'!F$6,MATCH($A117,'Loss Timing'!$A$7:$A$36,1),0)/12/PmtFreqAdd</f>
        <v>0</v>
      </c>
      <c r="W117" s="79">
        <f ca="1">OFFSET('Loss Timing'!G$6,MATCH($A117,'Loss Timing'!$A$7:$A$36,1),0)/12/PmtFreqAdd</f>
        <v>4.1666666666666666E-3</v>
      </c>
      <c r="X117" s="79">
        <f ca="1">OFFSET('Loss Timing'!H$6,MATCH($A117,'Loss Timing'!$A$7:$A$36,1),0)/12/PmtFreqAdd</f>
        <v>0</v>
      </c>
      <c r="Y117" s="55"/>
      <c r="Z117" s="68">
        <f t="shared" ca="1" si="5"/>
        <v>2.7777777777777779E-5</v>
      </c>
      <c r="AA117" s="68">
        <f t="shared" ca="1" si="6"/>
        <v>8.3333333333333331E-5</v>
      </c>
      <c r="AB117" s="68">
        <f t="shared" ca="1" si="7"/>
        <v>0</v>
      </c>
      <c r="AC117" s="68">
        <f t="shared" ca="1" si="8"/>
        <v>4.1666666666666665E-5</v>
      </c>
      <c r="AD117" s="68">
        <f t="shared" ca="1" si="9"/>
        <v>0</v>
      </c>
      <c r="AE117" s="55"/>
      <c r="AF117" s="68">
        <v>4.8125127383169541E-5</v>
      </c>
      <c r="AG117" s="81">
        <v>9.6250509529216544E-5</v>
      </c>
      <c r="AH117" s="68">
        <v>1.9250203812104516E-4</v>
      </c>
      <c r="AI117" s="55"/>
    </row>
    <row r="118" spans="1:35" x14ac:dyDescent="0.2">
      <c r="A118" s="27">
        <f>'Cash Flow'!A118</f>
        <v>112</v>
      </c>
      <c r="B118" s="49">
        <f>'Cash Flow'!B118</f>
        <v>42522</v>
      </c>
      <c r="C118" s="56">
        <f>'Cash Flow'!C118</f>
        <v>8.3333333333333329E-2</v>
      </c>
      <c r="D118" s="55"/>
      <c r="E118" s="57">
        <v>6.9369000000000056E-2</v>
      </c>
      <c r="F118" s="57"/>
      <c r="G118" s="57"/>
      <c r="H118" s="57"/>
      <c r="I118" s="57">
        <v>0.04</v>
      </c>
      <c r="J118" s="57"/>
      <c r="K118" s="57"/>
      <c r="L118" s="55"/>
      <c r="M118" s="78">
        <v>5.1430128318229462E-3</v>
      </c>
      <c r="N118" s="78">
        <v>0.01</v>
      </c>
      <c r="Q118" s="57"/>
      <c r="S118" s="55"/>
      <c r="T118" s="79">
        <f ca="1">OFFSET('Loss Timing'!D$6,MATCH($A118,'Loss Timing'!$A$7:$A$36,1),0)/12/PmtFreqAdd</f>
        <v>2.7777777777777779E-3</v>
      </c>
      <c r="U118" s="79">
        <f ca="1">OFFSET('Loss Timing'!E$6,MATCH($A118,'Loss Timing'!$A$7:$A$36,1),0)/12/PmtFreqAdd</f>
        <v>8.3333333333333332E-3</v>
      </c>
      <c r="V118" s="79">
        <f ca="1">OFFSET('Loss Timing'!F$6,MATCH($A118,'Loss Timing'!$A$7:$A$36,1),0)/12/PmtFreqAdd</f>
        <v>0</v>
      </c>
      <c r="W118" s="79">
        <f ca="1">OFFSET('Loss Timing'!G$6,MATCH($A118,'Loss Timing'!$A$7:$A$36,1),0)/12/PmtFreqAdd</f>
        <v>4.1666666666666666E-3</v>
      </c>
      <c r="X118" s="79">
        <f ca="1">OFFSET('Loss Timing'!H$6,MATCH($A118,'Loss Timing'!$A$7:$A$36,1),0)/12/PmtFreqAdd</f>
        <v>0</v>
      </c>
      <c r="Y118" s="55"/>
      <c r="Z118" s="68">
        <f t="shared" ca="1" si="5"/>
        <v>2.7777777777777779E-5</v>
      </c>
      <c r="AA118" s="68">
        <f t="shared" ca="1" si="6"/>
        <v>8.3333333333333331E-5</v>
      </c>
      <c r="AB118" s="68">
        <f t="shared" ca="1" si="7"/>
        <v>0</v>
      </c>
      <c r="AC118" s="68">
        <f t="shared" ca="1" si="8"/>
        <v>4.1666666666666665E-5</v>
      </c>
      <c r="AD118" s="68">
        <f t="shared" ca="1" si="9"/>
        <v>0</v>
      </c>
      <c r="AE118" s="55"/>
      <c r="AF118" s="68">
        <v>4.4166773960352401E-5</v>
      </c>
      <c r="AG118" s="81">
        <v>8.8333762493508772E-5</v>
      </c>
      <c r="AH118" s="68">
        <v>1.7666838330043788E-4</v>
      </c>
      <c r="AI118" s="55"/>
    </row>
    <row r="119" spans="1:35" x14ac:dyDescent="0.2">
      <c r="A119" s="27">
        <f>'Cash Flow'!A119</f>
        <v>113</v>
      </c>
      <c r="B119" s="49">
        <f>'Cash Flow'!B119</f>
        <v>42552</v>
      </c>
      <c r="C119" s="56">
        <f>'Cash Flow'!C119</f>
        <v>8.3333333333333329E-2</v>
      </c>
      <c r="D119" s="55"/>
      <c r="E119" s="57">
        <v>6.9369000000000056E-2</v>
      </c>
      <c r="F119" s="57"/>
      <c r="G119" s="57"/>
      <c r="H119" s="57"/>
      <c r="I119" s="57">
        <v>0.04</v>
      </c>
      <c r="J119" s="57"/>
      <c r="K119" s="57"/>
      <c r="L119" s="55"/>
      <c r="M119" s="78">
        <v>5.1430128318229462E-3</v>
      </c>
      <c r="N119" s="78">
        <v>0.01</v>
      </c>
      <c r="Q119" s="57"/>
      <c r="S119" s="55"/>
      <c r="T119" s="79">
        <f ca="1">OFFSET('Loss Timing'!D$6,MATCH($A119,'Loss Timing'!$A$7:$A$36,1),0)/12/PmtFreqAdd</f>
        <v>2.7777777777777779E-3</v>
      </c>
      <c r="U119" s="79">
        <f ca="1">OFFSET('Loss Timing'!E$6,MATCH($A119,'Loss Timing'!$A$7:$A$36,1),0)/12/PmtFreqAdd</f>
        <v>8.3333333333333332E-3</v>
      </c>
      <c r="V119" s="79">
        <f ca="1">OFFSET('Loss Timing'!F$6,MATCH($A119,'Loss Timing'!$A$7:$A$36,1),0)/12/PmtFreqAdd</f>
        <v>0</v>
      </c>
      <c r="W119" s="79">
        <f ca="1">OFFSET('Loss Timing'!G$6,MATCH($A119,'Loss Timing'!$A$7:$A$36,1),0)/12/PmtFreqAdd</f>
        <v>4.1666666666666666E-3</v>
      </c>
      <c r="X119" s="79">
        <f ca="1">OFFSET('Loss Timing'!H$6,MATCH($A119,'Loss Timing'!$A$7:$A$36,1),0)/12/PmtFreqAdd</f>
        <v>0</v>
      </c>
      <c r="Y119" s="55"/>
      <c r="Z119" s="68">
        <f t="shared" ca="1" si="5"/>
        <v>2.7777777777777779E-5</v>
      </c>
      <c r="AA119" s="68">
        <f t="shared" ca="1" si="6"/>
        <v>8.3333333333333331E-5</v>
      </c>
      <c r="AB119" s="68">
        <f t="shared" ca="1" si="7"/>
        <v>0</v>
      </c>
      <c r="AC119" s="68">
        <f t="shared" ca="1" si="8"/>
        <v>4.1666666666666665E-5</v>
      </c>
      <c r="AD119" s="68">
        <f t="shared" ca="1" si="9"/>
        <v>0</v>
      </c>
      <c r="AE119" s="55"/>
      <c r="AF119" s="68">
        <v>4.0208422247278719E-5</v>
      </c>
      <c r="AG119" s="81">
        <v>8.0417022341183753E-5</v>
      </c>
      <c r="AH119" s="68">
        <v>1.6083475605777053E-4</v>
      </c>
      <c r="AI119" s="55"/>
    </row>
    <row r="120" spans="1:35" x14ac:dyDescent="0.2">
      <c r="A120" s="27">
        <f>'Cash Flow'!A120</f>
        <v>114</v>
      </c>
      <c r="B120" s="49">
        <f>'Cash Flow'!B120</f>
        <v>42583</v>
      </c>
      <c r="C120" s="56">
        <f>'Cash Flow'!C120</f>
        <v>8.3333333333333329E-2</v>
      </c>
      <c r="D120" s="55"/>
      <c r="E120" s="57">
        <v>6.9369000000000056E-2</v>
      </c>
      <c r="F120" s="57"/>
      <c r="G120" s="57"/>
      <c r="H120" s="57"/>
      <c r="I120" s="57">
        <v>0.04</v>
      </c>
      <c r="J120" s="57"/>
      <c r="K120" s="57"/>
      <c r="L120" s="55"/>
      <c r="M120" s="78">
        <v>5.1430128318229462E-3</v>
      </c>
      <c r="N120" s="78">
        <v>0.01</v>
      </c>
      <c r="Q120" s="57"/>
      <c r="S120" s="55"/>
      <c r="T120" s="79">
        <f ca="1">OFFSET('Loss Timing'!D$6,MATCH($A120,'Loss Timing'!$A$7:$A$36,1),0)/12/PmtFreqAdd</f>
        <v>2.7777777777777779E-3</v>
      </c>
      <c r="U120" s="79">
        <f ca="1">OFFSET('Loss Timing'!E$6,MATCH($A120,'Loss Timing'!$A$7:$A$36,1),0)/12/PmtFreqAdd</f>
        <v>8.3333333333333332E-3</v>
      </c>
      <c r="V120" s="79">
        <f ca="1">OFFSET('Loss Timing'!F$6,MATCH($A120,'Loss Timing'!$A$7:$A$36,1),0)/12/PmtFreqAdd</f>
        <v>0</v>
      </c>
      <c r="W120" s="79">
        <f ca="1">OFFSET('Loss Timing'!G$6,MATCH($A120,'Loss Timing'!$A$7:$A$36,1),0)/12/PmtFreqAdd</f>
        <v>4.1666666666666666E-3</v>
      </c>
      <c r="X120" s="79">
        <f ca="1">OFFSET('Loss Timing'!H$6,MATCH($A120,'Loss Timing'!$A$7:$A$36,1),0)/12/PmtFreqAdd</f>
        <v>0</v>
      </c>
      <c r="Y120" s="55"/>
      <c r="Z120" s="68">
        <f t="shared" ca="1" si="5"/>
        <v>2.7777777777777779E-5</v>
      </c>
      <c r="AA120" s="68">
        <f t="shared" ca="1" si="6"/>
        <v>8.3333333333333331E-5</v>
      </c>
      <c r="AB120" s="68">
        <f t="shared" ca="1" si="7"/>
        <v>0</v>
      </c>
      <c r="AC120" s="68">
        <f t="shared" ca="1" si="8"/>
        <v>4.1666666666666665E-5</v>
      </c>
      <c r="AD120" s="68">
        <f t="shared" ca="1" si="9"/>
        <v>0</v>
      </c>
      <c r="AE120" s="55"/>
      <c r="AF120" s="68">
        <v>3.6250072277255185E-5</v>
      </c>
      <c r="AG120" s="81">
        <v>7.2500289094445947E-5</v>
      </c>
      <c r="AH120" s="68">
        <v>1.4500115638194089E-4</v>
      </c>
      <c r="AI120" s="55"/>
    </row>
    <row r="121" spans="1:35" x14ac:dyDescent="0.2">
      <c r="A121" s="27">
        <f>'Cash Flow'!A121</f>
        <v>115</v>
      </c>
      <c r="B121" s="49">
        <f>'Cash Flow'!B121</f>
        <v>42614</v>
      </c>
      <c r="C121" s="56">
        <f>'Cash Flow'!C121</f>
        <v>8.3333333333333329E-2</v>
      </c>
      <c r="D121" s="55"/>
      <c r="E121" s="57">
        <v>6.9369000000000056E-2</v>
      </c>
      <c r="F121" s="57"/>
      <c r="G121" s="57"/>
      <c r="H121" s="57"/>
      <c r="I121" s="57">
        <v>0.04</v>
      </c>
      <c r="J121" s="57"/>
      <c r="K121" s="57"/>
      <c r="L121" s="55"/>
      <c r="M121" s="78">
        <v>5.1430128318229462E-3</v>
      </c>
      <c r="N121" s="78">
        <v>0.01</v>
      </c>
      <c r="Q121" s="57"/>
      <c r="S121" s="55"/>
      <c r="T121" s="79">
        <f ca="1">OFFSET('Loss Timing'!D$6,MATCH($A121,'Loss Timing'!$A$7:$A$36,1),0)/12/PmtFreqAdd</f>
        <v>2.7777777777777779E-3</v>
      </c>
      <c r="U121" s="79">
        <f ca="1">OFFSET('Loss Timing'!E$6,MATCH($A121,'Loss Timing'!$A$7:$A$36,1),0)/12/PmtFreqAdd</f>
        <v>8.3333333333333332E-3</v>
      </c>
      <c r="V121" s="79">
        <f ca="1">OFFSET('Loss Timing'!F$6,MATCH($A121,'Loss Timing'!$A$7:$A$36,1),0)/12/PmtFreqAdd</f>
        <v>0</v>
      </c>
      <c r="W121" s="79">
        <f ca="1">OFFSET('Loss Timing'!G$6,MATCH($A121,'Loss Timing'!$A$7:$A$36,1),0)/12/PmtFreqAdd</f>
        <v>4.1666666666666666E-3</v>
      </c>
      <c r="X121" s="79">
        <f ca="1">OFFSET('Loss Timing'!H$6,MATCH($A121,'Loss Timing'!$A$7:$A$36,1),0)/12/PmtFreqAdd</f>
        <v>0</v>
      </c>
      <c r="Y121" s="55"/>
      <c r="Z121" s="68">
        <f t="shared" ca="1" si="5"/>
        <v>2.7777777777777779E-5</v>
      </c>
      <c r="AA121" s="68">
        <f t="shared" ca="1" si="6"/>
        <v>8.3333333333333331E-5</v>
      </c>
      <c r="AB121" s="68">
        <f t="shared" ca="1" si="7"/>
        <v>0</v>
      </c>
      <c r="AC121" s="68">
        <f t="shared" ca="1" si="8"/>
        <v>4.1666666666666665E-5</v>
      </c>
      <c r="AD121" s="68">
        <f t="shared" ca="1" si="9"/>
        <v>0</v>
      </c>
      <c r="AE121" s="55"/>
      <c r="AF121" s="68">
        <v>3.229172401697511E-5</v>
      </c>
      <c r="AG121" s="81">
        <v>6.4583562742193124E-5</v>
      </c>
      <c r="AH121" s="68">
        <v>1.291675842951534E-4</v>
      </c>
      <c r="AI121" s="55"/>
    </row>
    <row r="122" spans="1:35" x14ac:dyDescent="0.2">
      <c r="A122" s="27">
        <f>'Cash Flow'!A122</f>
        <v>116</v>
      </c>
      <c r="B122" s="49">
        <f>'Cash Flow'!B122</f>
        <v>42644</v>
      </c>
      <c r="C122" s="56">
        <f>'Cash Flow'!C122</f>
        <v>8.3333333333333329E-2</v>
      </c>
      <c r="D122" s="55"/>
      <c r="E122" s="57">
        <v>6.9369000000000056E-2</v>
      </c>
      <c r="F122" s="57"/>
      <c r="G122" s="57"/>
      <c r="H122" s="57"/>
      <c r="I122" s="57">
        <v>0.04</v>
      </c>
      <c r="J122" s="57"/>
      <c r="K122" s="57"/>
      <c r="L122" s="55"/>
      <c r="M122" s="78">
        <v>5.1430128318229462E-3</v>
      </c>
      <c r="N122" s="78">
        <v>0.01</v>
      </c>
      <c r="Q122" s="57"/>
      <c r="S122" s="55"/>
      <c r="T122" s="79">
        <f ca="1">OFFSET('Loss Timing'!D$6,MATCH($A122,'Loss Timing'!$A$7:$A$36,1),0)/12/PmtFreqAdd</f>
        <v>2.7777777777777779E-3</v>
      </c>
      <c r="U122" s="79">
        <f ca="1">OFFSET('Loss Timing'!E$6,MATCH($A122,'Loss Timing'!$A$7:$A$36,1),0)/12/PmtFreqAdd</f>
        <v>8.3333333333333332E-3</v>
      </c>
      <c r="V122" s="79">
        <f ca="1">OFFSET('Loss Timing'!F$6,MATCH($A122,'Loss Timing'!$A$7:$A$36,1),0)/12/PmtFreqAdd</f>
        <v>0</v>
      </c>
      <c r="W122" s="79">
        <f ca="1">OFFSET('Loss Timing'!G$6,MATCH($A122,'Loss Timing'!$A$7:$A$36,1),0)/12/PmtFreqAdd</f>
        <v>4.1666666666666666E-3</v>
      </c>
      <c r="X122" s="79">
        <f ca="1">OFFSET('Loss Timing'!H$6,MATCH($A122,'Loss Timing'!$A$7:$A$36,1),0)/12/PmtFreqAdd</f>
        <v>0</v>
      </c>
      <c r="Y122" s="55"/>
      <c r="Z122" s="68">
        <f t="shared" ca="1" si="5"/>
        <v>2.7777777777777779E-5</v>
      </c>
      <c r="AA122" s="68">
        <f t="shared" ca="1" si="6"/>
        <v>8.3333333333333331E-5</v>
      </c>
      <c r="AB122" s="68">
        <f t="shared" ca="1" si="7"/>
        <v>0</v>
      </c>
      <c r="AC122" s="68">
        <f t="shared" ca="1" si="8"/>
        <v>4.1666666666666665E-5</v>
      </c>
      <c r="AD122" s="68">
        <f t="shared" ca="1" si="9"/>
        <v>0</v>
      </c>
      <c r="AE122" s="55"/>
      <c r="AF122" s="68">
        <v>2.8333377488642952E-5</v>
      </c>
      <c r="AG122" s="81">
        <v>5.6666843273323053E-5</v>
      </c>
      <c r="AH122" s="68">
        <v>1.1333403978630585E-4</v>
      </c>
      <c r="AI122" s="55"/>
    </row>
    <row r="123" spans="1:35" x14ac:dyDescent="0.2">
      <c r="A123" s="27">
        <f>'Cash Flow'!A123</f>
        <v>117</v>
      </c>
      <c r="B123" s="49">
        <f>'Cash Flow'!B123</f>
        <v>42675</v>
      </c>
      <c r="C123" s="56">
        <f>'Cash Flow'!C123</f>
        <v>8.3333333333333329E-2</v>
      </c>
      <c r="D123" s="55"/>
      <c r="E123" s="57">
        <v>6.9369000000000056E-2</v>
      </c>
      <c r="F123" s="57"/>
      <c r="G123" s="57"/>
      <c r="H123" s="57"/>
      <c r="I123" s="57">
        <v>0.04</v>
      </c>
      <c r="J123" s="57"/>
      <c r="K123" s="57"/>
      <c r="L123" s="55"/>
      <c r="M123" s="78">
        <v>5.1430128318229462E-3</v>
      </c>
      <c r="N123" s="78">
        <v>0.01</v>
      </c>
      <c r="Q123" s="57"/>
      <c r="S123" s="55"/>
      <c r="T123" s="79">
        <f ca="1">OFFSET('Loss Timing'!D$6,MATCH($A123,'Loss Timing'!$A$7:$A$36,1),0)/12/PmtFreqAdd</f>
        <v>2.7777777777777779E-3</v>
      </c>
      <c r="U123" s="79">
        <f ca="1">OFFSET('Loss Timing'!E$6,MATCH($A123,'Loss Timing'!$A$7:$A$36,1),0)/12/PmtFreqAdd</f>
        <v>8.3333333333333332E-3</v>
      </c>
      <c r="V123" s="79">
        <f ca="1">OFFSET('Loss Timing'!F$6,MATCH($A123,'Loss Timing'!$A$7:$A$36,1),0)/12/PmtFreqAdd</f>
        <v>0</v>
      </c>
      <c r="W123" s="79">
        <f ca="1">OFFSET('Loss Timing'!G$6,MATCH($A123,'Loss Timing'!$A$7:$A$36,1),0)/12/PmtFreqAdd</f>
        <v>4.1666666666666666E-3</v>
      </c>
      <c r="X123" s="79">
        <f ca="1">OFFSET('Loss Timing'!H$6,MATCH($A123,'Loss Timing'!$A$7:$A$36,1),0)/12/PmtFreqAdd</f>
        <v>0</v>
      </c>
      <c r="Y123" s="55"/>
      <c r="Z123" s="68">
        <f t="shared" ca="1" si="5"/>
        <v>2.7777777777777779E-5</v>
      </c>
      <c r="AA123" s="68">
        <f t="shared" ca="1" si="6"/>
        <v>8.3333333333333331E-5</v>
      </c>
      <c r="AB123" s="68">
        <f t="shared" ca="1" si="7"/>
        <v>0</v>
      </c>
      <c r="AC123" s="68">
        <f t="shared" ca="1" si="8"/>
        <v>4.1666666666666665E-5</v>
      </c>
      <c r="AD123" s="68">
        <f t="shared" ca="1" si="9"/>
        <v>0</v>
      </c>
      <c r="AE123" s="55"/>
      <c r="AF123" s="68">
        <v>2.4375032681156483E-5</v>
      </c>
      <c r="AG123" s="81">
        <v>4.8750130710040196E-5</v>
      </c>
      <c r="AH123" s="68">
        <v>9.7500522844296E-5</v>
      </c>
      <c r="AI123" s="55"/>
    </row>
    <row r="124" spans="1:35" x14ac:dyDescent="0.2">
      <c r="A124" s="27">
        <f>'Cash Flow'!A124</f>
        <v>118</v>
      </c>
      <c r="B124" s="49">
        <f>'Cash Flow'!B124</f>
        <v>42705</v>
      </c>
      <c r="C124" s="56">
        <f>'Cash Flow'!C124</f>
        <v>8.3333333333333329E-2</v>
      </c>
      <c r="D124" s="55"/>
      <c r="E124" s="57">
        <v>6.9369000000000056E-2</v>
      </c>
      <c r="F124" s="57"/>
      <c r="G124" s="57"/>
      <c r="H124" s="57"/>
      <c r="I124" s="57">
        <v>0.04</v>
      </c>
      <c r="J124" s="57"/>
      <c r="K124" s="57"/>
      <c r="L124" s="55"/>
      <c r="M124" s="78">
        <v>5.1430128318229462E-3</v>
      </c>
      <c r="N124" s="78">
        <v>0.01</v>
      </c>
      <c r="Q124" s="57"/>
      <c r="S124" s="55"/>
      <c r="T124" s="79">
        <f ca="1">OFFSET('Loss Timing'!D$6,MATCH($A124,'Loss Timing'!$A$7:$A$36,1),0)/12/PmtFreqAdd</f>
        <v>2.7777777777777779E-3</v>
      </c>
      <c r="U124" s="79">
        <f ca="1">OFFSET('Loss Timing'!E$6,MATCH($A124,'Loss Timing'!$A$7:$A$36,1),0)/12/PmtFreqAdd</f>
        <v>8.3333333333333332E-3</v>
      </c>
      <c r="V124" s="79">
        <f ca="1">OFFSET('Loss Timing'!F$6,MATCH($A124,'Loss Timing'!$A$7:$A$36,1),0)/12/PmtFreqAdd</f>
        <v>0</v>
      </c>
      <c r="W124" s="79">
        <f ca="1">OFFSET('Loss Timing'!G$6,MATCH($A124,'Loss Timing'!$A$7:$A$36,1),0)/12/PmtFreqAdd</f>
        <v>4.1666666666666666E-3</v>
      </c>
      <c r="X124" s="79">
        <f ca="1">OFFSET('Loss Timing'!H$6,MATCH($A124,'Loss Timing'!$A$7:$A$36,1),0)/12/PmtFreqAdd</f>
        <v>0</v>
      </c>
      <c r="Y124" s="55"/>
      <c r="Z124" s="68">
        <f t="shared" ca="1" si="5"/>
        <v>2.7777777777777779E-5</v>
      </c>
      <c r="AA124" s="68">
        <f t="shared" ca="1" si="6"/>
        <v>8.3333333333333331E-5</v>
      </c>
      <c r="AB124" s="68">
        <f t="shared" ca="1" si="7"/>
        <v>0</v>
      </c>
      <c r="AC124" s="68">
        <f t="shared" ca="1" si="8"/>
        <v>4.1666666666666665E-5</v>
      </c>
      <c r="AD124" s="68">
        <f t="shared" ca="1" si="9"/>
        <v>0</v>
      </c>
      <c r="AE124" s="55"/>
      <c r="AF124" s="68">
        <v>2.0416689594515702E-5</v>
      </c>
      <c r="AG124" s="81">
        <v>4.0833425041242322E-5</v>
      </c>
      <c r="AH124" s="68">
        <v>8.1667033491328311E-5</v>
      </c>
      <c r="AI124" s="55"/>
    </row>
    <row r="125" spans="1:35" x14ac:dyDescent="0.2">
      <c r="A125" s="27">
        <f>'Cash Flow'!A125</f>
        <v>119</v>
      </c>
      <c r="B125" s="49">
        <f>'Cash Flow'!B125</f>
        <v>42736</v>
      </c>
      <c r="C125" s="56">
        <f>'Cash Flow'!C125</f>
        <v>8.3333333333333329E-2</v>
      </c>
      <c r="D125" s="55"/>
      <c r="E125" s="57">
        <v>6.9369000000000056E-2</v>
      </c>
      <c r="F125" s="57"/>
      <c r="G125" s="57"/>
      <c r="H125" s="57"/>
      <c r="I125" s="57">
        <v>0.04</v>
      </c>
      <c r="J125" s="57"/>
      <c r="K125" s="57"/>
      <c r="L125" s="55"/>
      <c r="M125" s="78">
        <v>5.1430128318229462E-3</v>
      </c>
      <c r="N125" s="78">
        <v>0.01</v>
      </c>
      <c r="Q125" s="57"/>
      <c r="S125" s="55"/>
      <c r="T125" s="79">
        <f ca="1">OFFSET('Loss Timing'!D$6,MATCH($A125,'Loss Timing'!$A$7:$A$36,1),0)/12/PmtFreqAdd</f>
        <v>2.7777777777777779E-3</v>
      </c>
      <c r="U125" s="79">
        <f ca="1">OFFSET('Loss Timing'!E$6,MATCH($A125,'Loss Timing'!$A$7:$A$36,1),0)/12/PmtFreqAdd</f>
        <v>8.3333333333333332E-3</v>
      </c>
      <c r="V125" s="79">
        <f ca="1">OFFSET('Loss Timing'!F$6,MATCH($A125,'Loss Timing'!$A$7:$A$36,1),0)/12/PmtFreqAdd</f>
        <v>0</v>
      </c>
      <c r="W125" s="79">
        <f ca="1">OFFSET('Loss Timing'!G$6,MATCH($A125,'Loss Timing'!$A$7:$A$36,1),0)/12/PmtFreqAdd</f>
        <v>4.1666666666666666E-3</v>
      </c>
      <c r="X125" s="79">
        <f ca="1">OFFSET('Loss Timing'!H$6,MATCH($A125,'Loss Timing'!$A$7:$A$36,1),0)/12/PmtFreqAdd</f>
        <v>0</v>
      </c>
      <c r="Y125" s="55"/>
      <c r="Z125" s="68">
        <f t="shared" ca="1" si="5"/>
        <v>2.7777777777777779E-5</v>
      </c>
      <c r="AA125" s="68">
        <f t="shared" ca="1" si="6"/>
        <v>8.3333333333333331E-5</v>
      </c>
      <c r="AB125" s="68">
        <f t="shared" ca="1" si="7"/>
        <v>0</v>
      </c>
      <c r="AC125" s="68">
        <f t="shared" ca="1" si="8"/>
        <v>4.1666666666666665E-5</v>
      </c>
      <c r="AD125" s="68">
        <f t="shared" ca="1" si="9"/>
        <v>0</v>
      </c>
      <c r="AE125" s="55"/>
      <c r="AF125" s="68">
        <v>1.645834822872061E-5</v>
      </c>
      <c r="AG125" s="81">
        <v>3.29167262558272E-5</v>
      </c>
      <c r="AH125" s="68">
        <v>6.5833571705198324E-5</v>
      </c>
      <c r="AI125" s="55"/>
    </row>
    <row r="126" spans="1:35" x14ac:dyDescent="0.2">
      <c r="A126" s="27">
        <f>'Cash Flow'!A126</f>
        <v>120</v>
      </c>
      <c r="B126" s="49">
        <f>'Cash Flow'!B126</f>
        <v>42767</v>
      </c>
      <c r="C126" s="56">
        <f>'Cash Flow'!C126</f>
        <v>8.3333333333333329E-2</v>
      </c>
      <c r="D126" s="55"/>
      <c r="E126" s="57">
        <v>6.9369000000000056E-2</v>
      </c>
      <c r="F126" s="57"/>
      <c r="G126" s="57"/>
      <c r="H126" s="57"/>
      <c r="I126" s="57">
        <v>0.04</v>
      </c>
      <c r="J126" s="57"/>
      <c r="K126" s="57"/>
      <c r="L126" s="55"/>
      <c r="M126" s="78">
        <v>5.1430128318229462E-3</v>
      </c>
      <c r="N126" s="78">
        <v>0.01</v>
      </c>
      <c r="Q126" s="57"/>
      <c r="S126" s="55"/>
      <c r="T126" s="79">
        <f ca="1">OFFSET('Loss Timing'!D$6,MATCH($A126,'Loss Timing'!$A$7:$A$36,1),0)/12/PmtFreqAdd</f>
        <v>2.7777777777777779E-3</v>
      </c>
      <c r="U126" s="79">
        <f ca="1">OFFSET('Loss Timing'!E$6,MATCH($A126,'Loss Timing'!$A$7:$A$36,1),0)/12/PmtFreqAdd</f>
        <v>8.3333333333333332E-3</v>
      </c>
      <c r="V126" s="79">
        <f ca="1">OFFSET('Loss Timing'!F$6,MATCH($A126,'Loss Timing'!$A$7:$A$36,1),0)/12/PmtFreqAdd</f>
        <v>0</v>
      </c>
      <c r="W126" s="79">
        <f ca="1">OFFSET('Loss Timing'!G$6,MATCH($A126,'Loss Timing'!$A$7:$A$36,1),0)/12/PmtFreqAdd</f>
        <v>4.1666666666666666E-3</v>
      </c>
      <c r="X126" s="79">
        <f ca="1">OFFSET('Loss Timing'!H$6,MATCH($A126,'Loss Timing'!$A$7:$A$36,1),0)/12/PmtFreqAdd</f>
        <v>0</v>
      </c>
      <c r="Y126" s="55"/>
      <c r="Z126" s="68">
        <f t="shared" ca="1" si="5"/>
        <v>2.7777777777777779E-5</v>
      </c>
      <c r="AA126" s="68">
        <f t="shared" ca="1" si="6"/>
        <v>8.3333333333333331E-5</v>
      </c>
      <c r="AB126" s="68">
        <f t="shared" ca="1" si="7"/>
        <v>0</v>
      </c>
      <c r="AC126" s="68">
        <f t="shared" ca="1" si="8"/>
        <v>4.1666666666666665E-5</v>
      </c>
      <c r="AD126" s="68">
        <f t="shared" ca="1" si="9"/>
        <v>0</v>
      </c>
      <c r="AE126" s="55"/>
      <c r="AF126" s="68">
        <v>1.2500008594873435E-5</v>
      </c>
      <c r="AG126" s="81">
        <v>2.5000034375999292E-5</v>
      </c>
      <c r="AH126" s="68">
        <v>5.0000137497008268E-5</v>
      </c>
      <c r="AI126" s="55"/>
    </row>
    <row r="127" spans="1:35" x14ac:dyDescent="0.2">
      <c r="A127" s="27">
        <f>'Cash Flow'!A127</f>
        <v>121</v>
      </c>
      <c r="B127" s="49">
        <f>'Cash Flow'!B127</f>
        <v>42795</v>
      </c>
      <c r="C127" s="56">
        <f>'Cash Flow'!C127</f>
        <v>8.3333333333333329E-2</v>
      </c>
      <c r="D127" s="55"/>
      <c r="E127" s="57">
        <v>6.9369000000000056E-2</v>
      </c>
      <c r="F127" s="57"/>
      <c r="G127" s="57"/>
      <c r="H127" s="57"/>
      <c r="I127" s="57">
        <v>0.04</v>
      </c>
      <c r="J127" s="57"/>
      <c r="K127" s="57"/>
      <c r="L127" s="55"/>
      <c r="M127" s="78">
        <v>5.1430128318229462E-3</v>
      </c>
      <c r="N127" s="78">
        <v>0.01</v>
      </c>
      <c r="Q127" s="57"/>
      <c r="S127" s="55"/>
      <c r="T127" s="79">
        <f ca="1">OFFSET('Loss Timing'!D$6,MATCH($A127,'Loss Timing'!$A$7:$A$36,1),0)/12/PmtFreqAdd</f>
        <v>2.7777777777777779E-3</v>
      </c>
      <c r="U127" s="79">
        <f ca="1">OFFSET('Loss Timing'!E$6,MATCH($A127,'Loss Timing'!$A$7:$A$36,1),0)/12/PmtFreqAdd</f>
        <v>8.3333333333333332E-3</v>
      </c>
      <c r="V127" s="79">
        <f ca="1">OFFSET('Loss Timing'!F$6,MATCH($A127,'Loss Timing'!$A$7:$A$36,1),0)/12/PmtFreqAdd</f>
        <v>0</v>
      </c>
      <c r="W127" s="79">
        <f ca="1">OFFSET('Loss Timing'!G$6,MATCH($A127,'Loss Timing'!$A$7:$A$36,1),0)/12/PmtFreqAdd</f>
        <v>4.1666666666666666E-3</v>
      </c>
      <c r="X127" s="79">
        <f ca="1">OFFSET('Loss Timing'!H$6,MATCH($A127,'Loss Timing'!$A$7:$A$36,1),0)/12/PmtFreqAdd</f>
        <v>0</v>
      </c>
      <c r="Y127" s="55"/>
      <c r="Z127" s="68">
        <f t="shared" ca="1" si="5"/>
        <v>2.7777777777777779E-5</v>
      </c>
      <c r="AA127" s="68">
        <f t="shared" ca="1" si="6"/>
        <v>8.3333333333333331E-5</v>
      </c>
      <c r="AB127" s="68">
        <f t="shared" ca="1" si="7"/>
        <v>0</v>
      </c>
      <c r="AC127" s="68">
        <f t="shared" ca="1" si="8"/>
        <v>4.1666666666666665E-5</v>
      </c>
      <c r="AD127" s="68">
        <f t="shared" ca="1" si="9"/>
        <v>0</v>
      </c>
      <c r="AE127" s="55"/>
      <c r="AF127" s="68">
        <v>1.2500008594873435E-5</v>
      </c>
      <c r="AG127" s="81">
        <v>2.5000034375999292E-5</v>
      </c>
      <c r="AH127" s="68">
        <v>5.0000137497008268E-5</v>
      </c>
      <c r="AI127" s="55"/>
    </row>
    <row r="128" spans="1:35" x14ac:dyDescent="0.2">
      <c r="A128" s="27">
        <f>'Cash Flow'!A128</f>
        <v>122</v>
      </c>
      <c r="B128" s="49">
        <f>'Cash Flow'!B128</f>
        <v>42826</v>
      </c>
      <c r="C128" s="56">
        <f>'Cash Flow'!C128</f>
        <v>8.3333333333333329E-2</v>
      </c>
      <c r="D128" s="55"/>
      <c r="E128" s="57">
        <v>6.9369000000000056E-2</v>
      </c>
      <c r="F128" s="57"/>
      <c r="G128" s="57"/>
      <c r="H128" s="57"/>
      <c r="I128" s="57">
        <v>0.04</v>
      </c>
      <c r="J128" s="57"/>
      <c r="K128" s="57"/>
      <c r="L128" s="55"/>
      <c r="M128" s="78">
        <v>5.1430128318229462E-3</v>
      </c>
      <c r="N128" s="78">
        <v>0.01</v>
      </c>
      <c r="Q128" s="57"/>
      <c r="S128" s="55"/>
      <c r="T128" s="79">
        <f ca="1">OFFSET('Loss Timing'!D$6,MATCH($A128,'Loss Timing'!$A$7:$A$36,1),0)/12/PmtFreqAdd</f>
        <v>2.7777777777777779E-3</v>
      </c>
      <c r="U128" s="79">
        <f ca="1">OFFSET('Loss Timing'!E$6,MATCH($A128,'Loss Timing'!$A$7:$A$36,1),0)/12/PmtFreqAdd</f>
        <v>8.3333333333333332E-3</v>
      </c>
      <c r="V128" s="79">
        <f ca="1">OFFSET('Loss Timing'!F$6,MATCH($A128,'Loss Timing'!$A$7:$A$36,1),0)/12/PmtFreqAdd</f>
        <v>0</v>
      </c>
      <c r="W128" s="79">
        <f ca="1">OFFSET('Loss Timing'!G$6,MATCH($A128,'Loss Timing'!$A$7:$A$36,1),0)/12/PmtFreqAdd</f>
        <v>4.1666666666666666E-3</v>
      </c>
      <c r="X128" s="79">
        <f ca="1">OFFSET('Loss Timing'!H$6,MATCH($A128,'Loss Timing'!$A$7:$A$36,1),0)/12/PmtFreqAdd</f>
        <v>0</v>
      </c>
      <c r="Y128" s="55"/>
      <c r="Z128" s="68">
        <f t="shared" ca="1" si="5"/>
        <v>2.7777777777777779E-5</v>
      </c>
      <c r="AA128" s="68">
        <f t="shared" ca="1" si="6"/>
        <v>8.3333333333333331E-5</v>
      </c>
      <c r="AB128" s="68">
        <f t="shared" ca="1" si="7"/>
        <v>0</v>
      </c>
      <c r="AC128" s="68">
        <f t="shared" ca="1" si="8"/>
        <v>4.1666666666666665E-5</v>
      </c>
      <c r="AD128" s="68">
        <f t="shared" ca="1" si="9"/>
        <v>0</v>
      </c>
      <c r="AE128" s="55"/>
      <c r="AF128" s="68">
        <v>1.2500008594873435E-5</v>
      </c>
      <c r="AG128" s="81">
        <v>2.5000034375999292E-5</v>
      </c>
      <c r="AH128" s="68">
        <v>5.0000137497008268E-5</v>
      </c>
      <c r="AI128" s="55"/>
    </row>
    <row r="129" spans="1:35" x14ac:dyDescent="0.2">
      <c r="A129" s="27">
        <f>'Cash Flow'!A129</f>
        <v>123</v>
      </c>
      <c r="B129" s="49">
        <f>'Cash Flow'!B129</f>
        <v>42856</v>
      </c>
      <c r="C129" s="56">
        <f>'Cash Flow'!C129</f>
        <v>8.3333333333333329E-2</v>
      </c>
      <c r="D129" s="55"/>
      <c r="E129" s="57">
        <v>6.9369000000000056E-2</v>
      </c>
      <c r="F129" s="57"/>
      <c r="G129" s="57"/>
      <c r="H129" s="57"/>
      <c r="I129" s="57">
        <v>0.04</v>
      </c>
      <c r="J129" s="57"/>
      <c r="K129" s="57"/>
      <c r="L129" s="55"/>
      <c r="M129" s="78">
        <v>5.1430128318229462E-3</v>
      </c>
      <c r="N129" s="78">
        <v>0.01</v>
      </c>
      <c r="Q129" s="57"/>
      <c r="S129" s="55"/>
      <c r="T129" s="79">
        <f ca="1">OFFSET('Loss Timing'!D$6,MATCH($A129,'Loss Timing'!$A$7:$A$36,1),0)/12/PmtFreqAdd</f>
        <v>2.7777777777777779E-3</v>
      </c>
      <c r="U129" s="79">
        <f ca="1">OFFSET('Loss Timing'!E$6,MATCH($A129,'Loss Timing'!$A$7:$A$36,1),0)/12/PmtFreqAdd</f>
        <v>8.3333333333333332E-3</v>
      </c>
      <c r="V129" s="79">
        <f ca="1">OFFSET('Loss Timing'!F$6,MATCH($A129,'Loss Timing'!$A$7:$A$36,1),0)/12/PmtFreqAdd</f>
        <v>0</v>
      </c>
      <c r="W129" s="79">
        <f ca="1">OFFSET('Loss Timing'!G$6,MATCH($A129,'Loss Timing'!$A$7:$A$36,1),0)/12/PmtFreqAdd</f>
        <v>4.1666666666666666E-3</v>
      </c>
      <c r="X129" s="79">
        <f ca="1">OFFSET('Loss Timing'!H$6,MATCH($A129,'Loss Timing'!$A$7:$A$36,1),0)/12/PmtFreqAdd</f>
        <v>0</v>
      </c>
      <c r="Y129" s="55"/>
      <c r="Z129" s="68">
        <f t="shared" ca="1" si="5"/>
        <v>2.7777777777777779E-5</v>
      </c>
      <c r="AA129" s="68">
        <f t="shared" ca="1" si="6"/>
        <v>8.3333333333333331E-5</v>
      </c>
      <c r="AB129" s="68">
        <f t="shared" ca="1" si="7"/>
        <v>0</v>
      </c>
      <c r="AC129" s="68">
        <f t="shared" ca="1" si="8"/>
        <v>4.1666666666666665E-5</v>
      </c>
      <c r="AD129" s="68">
        <f t="shared" ca="1" si="9"/>
        <v>0</v>
      </c>
      <c r="AE129" s="55"/>
      <c r="AF129" s="68">
        <v>1.2500008594873435E-5</v>
      </c>
      <c r="AG129" s="81">
        <v>2.5000034375999292E-5</v>
      </c>
      <c r="AH129" s="68">
        <v>5.0000137497008268E-5</v>
      </c>
      <c r="AI129" s="55"/>
    </row>
    <row r="130" spans="1:35" x14ac:dyDescent="0.2">
      <c r="A130" s="27">
        <f>'Cash Flow'!A130</f>
        <v>124</v>
      </c>
      <c r="B130" s="49">
        <f>'Cash Flow'!B130</f>
        <v>42887</v>
      </c>
      <c r="C130" s="56">
        <f>'Cash Flow'!C130</f>
        <v>8.3333333333333329E-2</v>
      </c>
      <c r="D130" s="55"/>
      <c r="E130" s="57">
        <v>6.9369000000000056E-2</v>
      </c>
      <c r="F130" s="57"/>
      <c r="G130" s="57"/>
      <c r="H130" s="57"/>
      <c r="I130" s="57">
        <v>0.04</v>
      </c>
      <c r="J130" s="57"/>
      <c r="K130" s="57"/>
      <c r="L130" s="55"/>
      <c r="M130" s="78">
        <v>5.1430128318229462E-3</v>
      </c>
      <c r="N130" s="78">
        <v>0.01</v>
      </c>
      <c r="Q130" s="57"/>
      <c r="S130" s="55"/>
      <c r="T130" s="79">
        <f ca="1">OFFSET('Loss Timing'!D$6,MATCH($A130,'Loss Timing'!$A$7:$A$36,1),0)/12/PmtFreqAdd</f>
        <v>2.7777777777777779E-3</v>
      </c>
      <c r="U130" s="79">
        <f ca="1">OFFSET('Loss Timing'!E$6,MATCH($A130,'Loss Timing'!$A$7:$A$36,1),0)/12/PmtFreqAdd</f>
        <v>8.3333333333333332E-3</v>
      </c>
      <c r="V130" s="79">
        <f ca="1">OFFSET('Loss Timing'!F$6,MATCH($A130,'Loss Timing'!$A$7:$A$36,1),0)/12/PmtFreqAdd</f>
        <v>0</v>
      </c>
      <c r="W130" s="79">
        <f ca="1">OFFSET('Loss Timing'!G$6,MATCH($A130,'Loss Timing'!$A$7:$A$36,1),0)/12/PmtFreqAdd</f>
        <v>4.1666666666666666E-3</v>
      </c>
      <c r="X130" s="79">
        <f ca="1">OFFSET('Loss Timing'!H$6,MATCH($A130,'Loss Timing'!$A$7:$A$36,1),0)/12/PmtFreqAdd</f>
        <v>0</v>
      </c>
      <c r="Y130" s="55"/>
      <c r="Z130" s="68">
        <f t="shared" ca="1" si="5"/>
        <v>2.7777777777777779E-5</v>
      </c>
      <c r="AA130" s="68">
        <f t="shared" ca="1" si="6"/>
        <v>8.3333333333333331E-5</v>
      </c>
      <c r="AB130" s="68">
        <f t="shared" ca="1" si="7"/>
        <v>0</v>
      </c>
      <c r="AC130" s="68">
        <f t="shared" ca="1" si="8"/>
        <v>4.1666666666666665E-5</v>
      </c>
      <c r="AD130" s="68">
        <f t="shared" ca="1" si="9"/>
        <v>0</v>
      </c>
      <c r="AE130" s="55"/>
      <c r="AF130" s="68">
        <v>1.2500008594873435E-5</v>
      </c>
      <c r="AG130" s="81">
        <v>2.5000034375999292E-5</v>
      </c>
      <c r="AH130" s="68">
        <v>5.0000137497008268E-5</v>
      </c>
      <c r="AI130" s="55"/>
    </row>
    <row r="131" spans="1:35" x14ac:dyDescent="0.2">
      <c r="A131" s="27">
        <f>'Cash Flow'!A131</f>
        <v>125</v>
      </c>
      <c r="B131" s="49">
        <f>'Cash Flow'!B131</f>
        <v>42917</v>
      </c>
      <c r="C131" s="56">
        <f>'Cash Flow'!C131</f>
        <v>8.3333333333333329E-2</v>
      </c>
      <c r="D131" s="55"/>
      <c r="E131" s="57">
        <v>6.9369000000000056E-2</v>
      </c>
      <c r="F131" s="57"/>
      <c r="G131" s="57"/>
      <c r="H131" s="57"/>
      <c r="I131" s="57">
        <v>0.04</v>
      </c>
      <c r="J131" s="57"/>
      <c r="K131" s="57"/>
      <c r="L131" s="55"/>
      <c r="M131" s="78">
        <v>5.1430128318229462E-3</v>
      </c>
      <c r="N131" s="78">
        <v>0.01</v>
      </c>
      <c r="Q131" s="57"/>
      <c r="S131" s="55"/>
      <c r="T131" s="79">
        <f ca="1">OFFSET('Loss Timing'!D$6,MATCH($A131,'Loss Timing'!$A$7:$A$36,1),0)/12/PmtFreqAdd</f>
        <v>2.7777777777777779E-3</v>
      </c>
      <c r="U131" s="79">
        <f ca="1">OFFSET('Loss Timing'!E$6,MATCH($A131,'Loss Timing'!$A$7:$A$36,1),0)/12/PmtFreqAdd</f>
        <v>8.3333333333333332E-3</v>
      </c>
      <c r="V131" s="79">
        <f ca="1">OFFSET('Loss Timing'!F$6,MATCH($A131,'Loss Timing'!$A$7:$A$36,1),0)/12/PmtFreqAdd</f>
        <v>0</v>
      </c>
      <c r="W131" s="79">
        <f ca="1">OFFSET('Loss Timing'!G$6,MATCH($A131,'Loss Timing'!$A$7:$A$36,1),0)/12/PmtFreqAdd</f>
        <v>4.1666666666666666E-3</v>
      </c>
      <c r="X131" s="79">
        <f ca="1">OFFSET('Loss Timing'!H$6,MATCH($A131,'Loss Timing'!$A$7:$A$36,1),0)/12/PmtFreqAdd</f>
        <v>0</v>
      </c>
      <c r="Y131" s="55"/>
      <c r="Z131" s="68">
        <f t="shared" ca="1" si="5"/>
        <v>2.7777777777777779E-5</v>
      </c>
      <c r="AA131" s="68">
        <f t="shared" ca="1" si="6"/>
        <v>8.3333333333333331E-5</v>
      </c>
      <c r="AB131" s="68">
        <f t="shared" ca="1" si="7"/>
        <v>0</v>
      </c>
      <c r="AC131" s="68">
        <f t="shared" ca="1" si="8"/>
        <v>4.1666666666666665E-5</v>
      </c>
      <c r="AD131" s="68">
        <f t="shared" ca="1" si="9"/>
        <v>0</v>
      </c>
      <c r="AE131" s="55"/>
      <c r="AF131" s="68">
        <v>1.2500008594873435E-5</v>
      </c>
      <c r="AG131" s="81">
        <v>2.5000034375999292E-5</v>
      </c>
      <c r="AH131" s="68">
        <v>5.0000137497008268E-5</v>
      </c>
      <c r="AI131" s="55"/>
    </row>
    <row r="132" spans="1:35" x14ac:dyDescent="0.2">
      <c r="A132" s="27">
        <f>'Cash Flow'!A132</f>
        <v>126</v>
      </c>
      <c r="B132" s="49">
        <f>'Cash Flow'!B132</f>
        <v>42948</v>
      </c>
      <c r="C132" s="56">
        <f>'Cash Flow'!C132</f>
        <v>8.3333333333333329E-2</v>
      </c>
      <c r="D132" s="55"/>
      <c r="E132" s="57">
        <v>6.9369000000000056E-2</v>
      </c>
      <c r="F132" s="57"/>
      <c r="G132" s="57"/>
      <c r="H132" s="57"/>
      <c r="I132" s="57">
        <v>0.04</v>
      </c>
      <c r="J132" s="57"/>
      <c r="K132" s="57"/>
      <c r="L132" s="55"/>
      <c r="M132" s="78">
        <v>5.1430128318229462E-3</v>
      </c>
      <c r="N132" s="78">
        <v>0.01</v>
      </c>
      <c r="Q132" s="57"/>
      <c r="S132" s="55"/>
      <c r="T132" s="79">
        <f ca="1">OFFSET('Loss Timing'!D$6,MATCH($A132,'Loss Timing'!$A$7:$A$36,1),0)/12/PmtFreqAdd</f>
        <v>2.7777777777777779E-3</v>
      </c>
      <c r="U132" s="79">
        <f ca="1">OFFSET('Loss Timing'!E$6,MATCH($A132,'Loss Timing'!$A$7:$A$36,1),0)/12/PmtFreqAdd</f>
        <v>8.3333333333333332E-3</v>
      </c>
      <c r="V132" s="79">
        <f ca="1">OFFSET('Loss Timing'!F$6,MATCH($A132,'Loss Timing'!$A$7:$A$36,1),0)/12/PmtFreqAdd</f>
        <v>0</v>
      </c>
      <c r="W132" s="79">
        <f ca="1">OFFSET('Loss Timing'!G$6,MATCH($A132,'Loss Timing'!$A$7:$A$36,1),0)/12/PmtFreqAdd</f>
        <v>4.1666666666666666E-3</v>
      </c>
      <c r="X132" s="79">
        <f ca="1">OFFSET('Loss Timing'!H$6,MATCH($A132,'Loss Timing'!$A$7:$A$36,1),0)/12/PmtFreqAdd</f>
        <v>0</v>
      </c>
      <c r="Y132" s="55"/>
      <c r="Z132" s="68">
        <f t="shared" ca="1" si="5"/>
        <v>2.7777777777777779E-5</v>
      </c>
      <c r="AA132" s="68">
        <f t="shared" ca="1" si="6"/>
        <v>8.3333333333333331E-5</v>
      </c>
      <c r="AB132" s="68">
        <f t="shared" ca="1" si="7"/>
        <v>0</v>
      </c>
      <c r="AC132" s="68">
        <f t="shared" ca="1" si="8"/>
        <v>4.1666666666666665E-5</v>
      </c>
      <c r="AD132" s="68">
        <f t="shared" ca="1" si="9"/>
        <v>0</v>
      </c>
      <c r="AE132" s="55"/>
      <c r="AF132" s="68">
        <v>1.2500008594873435E-5</v>
      </c>
      <c r="AG132" s="81">
        <v>2.5000034375999292E-5</v>
      </c>
      <c r="AH132" s="68">
        <v>5.0000137497008268E-5</v>
      </c>
      <c r="AI132" s="55"/>
    </row>
    <row r="133" spans="1:35" x14ac:dyDescent="0.2">
      <c r="A133" s="27">
        <f>'Cash Flow'!A133</f>
        <v>127</v>
      </c>
      <c r="B133" s="49">
        <f>'Cash Flow'!B133</f>
        <v>42979</v>
      </c>
      <c r="C133" s="56">
        <f>'Cash Flow'!C133</f>
        <v>8.3333333333333329E-2</v>
      </c>
      <c r="D133" s="55"/>
      <c r="E133" s="57">
        <v>6.9369000000000056E-2</v>
      </c>
      <c r="F133" s="57"/>
      <c r="G133" s="57"/>
      <c r="H133" s="57"/>
      <c r="I133" s="57">
        <v>0.04</v>
      </c>
      <c r="J133" s="57"/>
      <c r="K133" s="57"/>
      <c r="L133" s="55"/>
      <c r="M133" s="78">
        <v>5.1430128318229462E-3</v>
      </c>
      <c r="N133" s="78">
        <v>0.01</v>
      </c>
      <c r="Q133" s="57"/>
      <c r="S133" s="55"/>
      <c r="T133" s="79">
        <f ca="1">OFFSET('Loss Timing'!D$6,MATCH($A133,'Loss Timing'!$A$7:$A$36,1),0)/12/PmtFreqAdd</f>
        <v>2.7777777777777779E-3</v>
      </c>
      <c r="U133" s="79">
        <f ca="1">OFFSET('Loss Timing'!E$6,MATCH($A133,'Loss Timing'!$A$7:$A$36,1),0)/12/PmtFreqAdd</f>
        <v>8.3333333333333332E-3</v>
      </c>
      <c r="V133" s="79">
        <f ca="1">OFFSET('Loss Timing'!F$6,MATCH($A133,'Loss Timing'!$A$7:$A$36,1),0)/12/PmtFreqAdd</f>
        <v>0</v>
      </c>
      <c r="W133" s="79">
        <f ca="1">OFFSET('Loss Timing'!G$6,MATCH($A133,'Loss Timing'!$A$7:$A$36,1),0)/12/PmtFreqAdd</f>
        <v>4.1666666666666666E-3</v>
      </c>
      <c r="X133" s="79">
        <f ca="1">OFFSET('Loss Timing'!H$6,MATCH($A133,'Loss Timing'!$A$7:$A$36,1),0)/12/PmtFreqAdd</f>
        <v>0</v>
      </c>
      <c r="Y133" s="55"/>
      <c r="Z133" s="68">
        <f t="shared" ca="1" si="5"/>
        <v>2.7777777777777779E-5</v>
      </c>
      <c r="AA133" s="68">
        <f t="shared" ca="1" si="6"/>
        <v>8.3333333333333331E-5</v>
      </c>
      <c r="AB133" s="68">
        <f t="shared" ca="1" si="7"/>
        <v>0</v>
      </c>
      <c r="AC133" s="68">
        <f t="shared" ca="1" si="8"/>
        <v>4.1666666666666665E-5</v>
      </c>
      <c r="AD133" s="68">
        <f t="shared" ca="1" si="9"/>
        <v>0</v>
      </c>
      <c r="AE133" s="55"/>
      <c r="AF133" s="68">
        <v>1.2500008594873435E-5</v>
      </c>
      <c r="AG133" s="81">
        <v>2.5000034375999292E-5</v>
      </c>
      <c r="AH133" s="68">
        <v>5.0000137497008268E-5</v>
      </c>
      <c r="AI133" s="55"/>
    </row>
    <row r="134" spans="1:35" x14ac:dyDescent="0.2">
      <c r="A134" s="27">
        <f>'Cash Flow'!A134</f>
        <v>128</v>
      </c>
      <c r="B134" s="49">
        <f>'Cash Flow'!B134</f>
        <v>43009</v>
      </c>
      <c r="C134" s="56">
        <f>'Cash Flow'!C134</f>
        <v>8.3333333333333329E-2</v>
      </c>
      <c r="D134" s="55"/>
      <c r="E134" s="57">
        <v>6.9369000000000056E-2</v>
      </c>
      <c r="F134" s="57"/>
      <c r="G134" s="57"/>
      <c r="H134" s="57"/>
      <c r="I134" s="57">
        <v>0.04</v>
      </c>
      <c r="J134" s="57"/>
      <c r="K134" s="57"/>
      <c r="L134" s="55"/>
      <c r="M134" s="78">
        <v>5.1430128318229462E-3</v>
      </c>
      <c r="N134" s="78">
        <v>0.01</v>
      </c>
      <c r="Q134" s="57"/>
      <c r="S134" s="55"/>
      <c r="T134" s="79">
        <f ca="1">OFFSET('Loss Timing'!D$6,MATCH($A134,'Loss Timing'!$A$7:$A$36,1),0)/12/PmtFreqAdd</f>
        <v>2.7777777777777779E-3</v>
      </c>
      <c r="U134" s="79">
        <f ca="1">OFFSET('Loss Timing'!E$6,MATCH($A134,'Loss Timing'!$A$7:$A$36,1),0)/12/PmtFreqAdd</f>
        <v>8.3333333333333332E-3</v>
      </c>
      <c r="V134" s="79">
        <f ca="1">OFFSET('Loss Timing'!F$6,MATCH($A134,'Loss Timing'!$A$7:$A$36,1),0)/12/PmtFreqAdd</f>
        <v>0</v>
      </c>
      <c r="W134" s="79">
        <f ca="1">OFFSET('Loss Timing'!G$6,MATCH($A134,'Loss Timing'!$A$7:$A$36,1),0)/12/PmtFreqAdd</f>
        <v>4.1666666666666666E-3</v>
      </c>
      <c r="X134" s="79">
        <f ca="1">OFFSET('Loss Timing'!H$6,MATCH($A134,'Loss Timing'!$A$7:$A$36,1),0)/12/PmtFreqAdd</f>
        <v>0</v>
      </c>
      <c r="Y134" s="55"/>
      <c r="Z134" s="68">
        <f t="shared" ca="1" si="5"/>
        <v>2.7777777777777779E-5</v>
      </c>
      <c r="AA134" s="68">
        <f t="shared" ca="1" si="6"/>
        <v>8.3333333333333331E-5</v>
      </c>
      <c r="AB134" s="68">
        <f t="shared" ca="1" si="7"/>
        <v>0</v>
      </c>
      <c r="AC134" s="68">
        <f t="shared" ca="1" si="8"/>
        <v>4.1666666666666665E-5</v>
      </c>
      <c r="AD134" s="68">
        <f t="shared" ca="1" si="9"/>
        <v>0</v>
      </c>
      <c r="AE134" s="55"/>
      <c r="AF134" s="68">
        <v>1.2500008594873435E-5</v>
      </c>
      <c r="AG134" s="81">
        <v>2.5000034375999292E-5</v>
      </c>
      <c r="AH134" s="68">
        <v>5.0000137497008268E-5</v>
      </c>
      <c r="AI134" s="55"/>
    </row>
    <row r="135" spans="1:35" x14ac:dyDescent="0.2">
      <c r="A135" s="27">
        <f>'Cash Flow'!A135</f>
        <v>129</v>
      </c>
      <c r="B135" s="49">
        <f>'Cash Flow'!B135</f>
        <v>43040</v>
      </c>
      <c r="C135" s="56">
        <f>'Cash Flow'!C135</f>
        <v>8.3333333333333329E-2</v>
      </c>
      <c r="D135" s="55"/>
      <c r="E135" s="57">
        <v>6.9369000000000056E-2</v>
      </c>
      <c r="F135" s="57"/>
      <c r="G135" s="57"/>
      <c r="H135" s="57"/>
      <c r="I135" s="57">
        <v>0.04</v>
      </c>
      <c r="J135" s="57"/>
      <c r="K135" s="57"/>
      <c r="L135" s="55"/>
      <c r="M135" s="78">
        <v>5.1430128318229462E-3</v>
      </c>
      <c r="N135" s="78">
        <v>0.01</v>
      </c>
      <c r="Q135" s="57"/>
      <c r="S135" s="55"/>
      <c r="T135" s="79">
        <f ca="1">OFFSET('Loss Timing'!D$6,MATCH($A135,'Loss Timing'!$A$7:$A$36,1),0)/12/PmtFreqAdd</f>
        <v>2.7777777777777779E-3</v>
      </c>
      <c r="U135" s="79">
        <f ca="1">OFFSET('Loss Timing'!E$6,MATCH($A135,'Loss Timing'!$A$7:$A$36,1),0)/12/PmtFreqAdd</f>
        <v>8.3333333333333332E-3</v>
      </c>
      <c r="V135" s="79">
        <f ca="1">OFFSET('Loss Timing'!F$6,MATCH($A135,'Loss Timing'!$A$7:$A$36,1),0)/12/PmtFreqAdd</f>
        <v>0</v>
      </c>
      <c r="W135" s="79">
        <f ca="1">OFFSET('Loss Timing'!G$6,MATCH($A135,'Loss Timing'!$A$7:$A$36,1),0)/12/PmtFreqAdd</f>
        <v>4.1666666666666666E-3</v>
      </c>
      <c r="X135" s="79">
        <f ca="1">OFFSET('Loss Timing'!H$6,MATCH($A135,'Loss Timing'!$A$7:$A$36,1),0)/12/PmtFreqAdd</f>
        <v>0</v>
      </c>
      <c r="Y135" s="55"/>
      <c r="Z135" s="68">
        <f t="shared" ref="Z135:Z198" ca="1" si="10">(pdrCumLoss1*pdrLossStress1)*T135</f>
        <v>2.7777777777777779E-5</v>
      </c>
      <c r="AA135" s="68">
        <f t="shared" ref="AA135:AA198" ca="1" si="11">(pdrCumLoss1*pdrLossStress1)*U135</f>
        <v>8.3333333333333331E-5</v>
      </c>
      <c r="AB135" s="68">
        <f t="shared" ref="AB135:AB198" ca="1" si="12">(pdrCumLoss1*pdrLossStress1)*V135</f>
        <v>0</v>
      </c>
      <c r="AC135" s="68">
        <f t="shared" ref="AC135:AC198" ca="1" si="13">(pdrCumLoss1*pdrLossStress1)*W135</f>
        <v>4.1666666666666665E-5</v>
      </c>
      <c r="AD135" s="68">
        <f t="shared" ref="AD135:AD198" ca="1" si="14">(pdrCumLoss1*pdrLossStress1)*X135</f>
        <v>0</v>
      </c>
      <c r="AE135" s="55"/>
      <c r="AF135" s="68">
        <v>1.2500008594873435E-5</v>
      </c>
      <c r="AG135" s="81">
        <v>2.5000034375999292E-5</v>
      </c>
      <c r="AH135" s="68">
        <v>5.0000137497008268E-5</v>
      </c>
      <c r="AI135" s="55"/>
    </row>
    <row r="136" spans="1:35" x14ac:dyDescent="0.2">
      <c r="A136" s="27">
        <f>'Cash Flow'!A136</f>
        <v>130</v>
      </c>
      <c r="B136" s="49">
        <f>'Cash Flow'!B136</f>
        <v>43070</v>
      </c>
      <c r="C136" s="56">
        <f>'Cash Flow'!C136</f>
        <v>8.3333333333333329E-2</v>
      </c>
      <c r="D136" s="55"/>
      <c r="E136" s="57">
        <v>6.9369000000000056E-2</v>
      </c>
      <c r="F136" s="57"/>
      <c r="G136" s="57"/>
      <c r="H136" s="57"/>
      <c r="I136" s="57">
        <v>0.04</v>
      </c>
      <c r="J136" s="57"/>
      <c r="K136" s="57"/>
      <c r="L136" s="55"/>
      <c r="M136" s="78">
        <v>5.1430128318229462E-3</v>
      </c>
      <c r="N136" s="78">
        <v>0.01</v>
      </c>
      <c r="Q136" s="57"/>
      <c r="S136" s="55"/>
      <c r="T136" s="79">
        <f ca="1">OFFSET('Loss Timing'!D$6,MATCH($A136,'Loss Timing'!$A$7:$A$36,1),0)/12/PmtFreqAdd</f>
        <v>2.7777777777777779E-3</v>
      </c>
      <c r="U136" s="79">
        <f ca="1">OFFSET('Loss Timing'!E$6,MATCH($A136,'Loss Timing'!$A$7:$A$36,1),0)/12/PmtFreqAdd</f>
        <v>8.3333333333333332E-3</v>
      </c>
      <c r="V136" s="79">
        <f ca="1">OFFSET('Loss Timing'!F$6,MATCH($A136,'Loss Timing'!$A$7:$A$36,1),0)/12/PmtFreqAdd</f>
        <v>0</v>
      </c>
      <c r="W136" s="79">
        <f ca="1">OFFSET('Loss Timing'!G$6,MATCH($A136,'Loss Timing'!$A$7:$A$36,1),0)/12/PmtFreqAdd</f>
        <v>4.1666666666666666E-3</v>
      </c>
      <c r="X136" s="79">
        <f ca="1">OFFSET('Loss Timing'!H$6,MATCH($A136,'Loss Timing'!$A$7:$A$36,1),0)/12/PmtFreqAdd</f>
        <v>0</v>
      </c>
      <c r="Y136" s="55"/>
      <c r="Z136" s="68">
        <f t="shared" ca="1" si="10"/>
        <v>2.7777777777777779E-5</v>
      </c>
      <c r="AA136" s="68">
        <f t="shared" ca="1" si="11"/>
        <v>8.3333333333333331E-5</v>
      </c>
      <c r="AB136" s="68">
        <f t="shared" ca="1" si="12"/>
        <v>0</v>
      </c>
      <c r="AC136" s="68">
        <f t="shared" ca="1" si="13"/>
        <v>4.1666666666666665E-5</v>
      </c>
      <c r="AD136" s="68">
        <f t="shared" ca="1" si="14"/>
        <v>0</v>
      </c>
      <c r="AE136" s="55"/>
      <c r="AF136" s="68">
        <v>1.2500008594873435E-5</v>
      </c>
      <c r="AG136" s="81">
        <v>2.5000034375999292E-5</v>
      </c>
      <c r="AH136" s="68">
        <v>5.0000137497008268E-5</v>
      </c>
      <c r="AI136" s="55"/>
    </row>
    <row r="137" spans="1:35" x14ac:dyDescent="0.2">
      <c r="A137" s="27">
        <f>'Cash Flow'!A137</f>
        <v>131</v>
      </c>
      <c r="B137" s="49">
        <f>'Cash Flow'!B137</f>
        <v>43101</v>
      </c>
      <c r="C137" s="56">
        <f>'Cash Flow'!C137</f>
        <v>8.3333333333333329E-2</v>
      </c>
      <c r="D137" s="55"/>
      <c r="E137" s="57">
        <v>6.9369000000000056E-2</v>
      </c>
      <c r="F137" s="57"/>
      <c r="G137" s="57"/>
      <c r="H137" s="57"/>
      <c r="I137" s="57">
        <v>0.04</v>
      </c>
      <c r="J137" s="57"/>
      <c r="K137" s="57"/>
      <c r="L137" s="55"/>
      <c r="M137" s="78">
        <v>5.1430128318229462E-3</v>
      </c>
      <c r="N137" s="78">
        <v>0.01</v>
      </c>
      <c r="Q137" s="57"/>
      <c r="S137" s="55"/>
      <c r="T137" s="79">
        <f ca="1">OFFSET('Loss Timing'!D$6,MATCH($A137,'Loss Timing'!$A$7:$A$36,1),0)/12/PmtFreqAdd</f>
        <v>2.7777777777777779E-3</v>
      </c>
      <c r="U137" s="79">
        <f ca="1">OFFSET('Loss Timing'!E$6,MATCH($A137,'Loss Timing'!$A$7:$A$36,1),0)/12/PmtFreqAdd</f>
        <v>8.3333333333333332E-3</v>
      </c>
      <c r="V137" s="79">
        <f ca="1">OFFSET('Loss Timing'!F$6,MATCH($A137,'Loss Timing'!$A$7:$A$36,1),0)/12/PmtFreqAdd</f>
        <v>0</v>
      </c>
      <c r="W137" s="79">
        <f ca="1">OFFSET('Loss Timing'!G$6,MATCH($A137,'Loss Timing'!$A$7:$A$36,1),0)/12/PmtFreqAdd</f>
        <v>4.1666666666666666E-3</v>
      </c>
      <c r="X137" s="79">
        <f ca="1">OFFSET('Loss Timing'!H$6,MATCH($A137,'Loss Timing'!$A$7:$A$36,1),0)/12/PmtFreqAdd</f>
        <v>0</v>
      </c>
      <c r="Y137" s="55"/>
      <c r="Z137" s="68">
        <f t="shared" ca="1" si="10"/>
        <v>2.7777777777777779E-5</v>
      </c>
      <c r="AA137" s="68">
        <f t="shared" ca="1" si="11"/>
        <v>8.3333333333333331E-5</v>
      </c>
      <c r="AB137" s="68">
        <f t="shared" ca="1" si="12"/>
        <v>0</v>
      </c>
      <c r="AC137" s="68">
        <f t="shared" ca="1" si="13"/>
        <v>4.1666666666666665E-5</v>
      </c>
      <c r="AD137" s="68">
        <f t="shared" ca="1" si="14"/>
        <v>0</v>
      </c>
      <c r="AE137" s="55"/>
      <c r="AF137" s="68">
        <v>1.2500008594873435E-5</v>
      </c>
      <c r="AG137" s="81">
        <v>2.5000034375999292E-5</v>
      </c>
      <c r="AH137" s="68">
        <v>5.0000137497008268E-5</v>
      </c>
      <c r="AI137" s="55"/>
    </row>
    <row r="138" spans="1:35" x14ac:dyDescent="0.2">
      <c r="A138" s="27">
        <f>'Cash Flow'!A138</f>
        <v>132</v>
      </c>
      <c r="B138" s="49">
        <f>'Cash Flow'!B138</f>
        <v>43132</v>
      </c>
      <c r="C138" s="56">
        <f>'Cash Flow'!C138</f>
        <v>8.3333333333333329E-2</v>
      </c>
      <c r="D138" s="55"/>
      <c r="E138" s="57">
        <v>6.9369000000000056E-2</v>
      </c>
      <c r="F138" s="57"/>
      <c r="G138" s="57"/>
      <c r="H138" s="57"/>
      <c r="I138" s="57">
        <v>0.04</v>
      </c>
      <c r="J138" s="57"/>
      <c r="K138" s="57"/>
      <c r="L138" s="55"/>
      <c r="M138" s="78">
        <v>5.1430128318229462E-3</v>
      </c>
      <c r="N138" s="78">
        <v>0.01</v>
      </c>
      <c r="Q138" s="57"/>
      <c r="S138" s="55"/>
      <c r="T138" s="79">
        <f ca="1">OFFSET('Loss Timing'!D$6,MATCH($A138,'Loss Timing'!$A$7:$A$36,1),0)/12/PmtFreqAdd</f>
        <v>2.7777777777777779E-3</v>
      </c>
      <c r="U138" s="79">
        <f ca="1">OFFSET('Loss Timing'!E$6,MATCH($A138,'Loss Timing'!$A$7:$A$36,1),0)/12/PmtFreqAdd</f>
        <v>8.3333333333333332E-3</v>
      </c>
      <c r="V138" s="79">
        <f ca="1">OFFSET('Loss Timing'!F$6,MATCH($A138,'Loss Timing'!$A$7:$A$36,1),0)/12/PmtFreqAdd</f>
        <v>0</v>
      </c>
      <c r="W138" s="79">
        <f ca="1">OFFSET('Loss Timing'!G$6,MATCH($A138,'Loss Timing'!$A$7:$A$36,1),0)/12/PmtFreqAdd</f>
        <v>4.1666666666666666E-3</v>
      </c>
      <c r="X138" s="79">
        <f ca="1">OFFSET('Loss Timing'!H$6,MATCH($A138,'Loss Timing'!$A$7:$A$36,1),0)/12/PmtFreqAdd</f>
        <v>0</v>
      </c>
      <c r="Y138" s="55"/>
      <c r="Z138" s="68">
        <f t="shared" ca="1" si="10"/>
        <v>2.7777777777777779E-5</v>
      </c>
      <c r="AA138" s="68">
        <f t="shared" ca="1" si="11"/>
        <v>8.3333333333333331E-5</v>
      </c>
      <c r="AB138" s="68">
        <f t="shared" ca="1" si="12"/>
        <v>0</v>
      </c>
      <c r="AC138" s="68">
        <f t="shared" ca="1" si="13"/>
        <v>4.1666666666666665E-5</v>
      </c>
      <c r="AD138" s="68">
        <f t="shared" ca="1" si="14"/>
        <v>0</v>
      </c>
      <c r="AE138" s="55"/>
      <c r="AF138" s="68">
        <v>1.2500008594873435E-5</v>
      </c>
      <c r="AG138" s="81">
        <v>2.5000034375999292E-5</v>
      </c>
      <c r="AH138" s="68">
        <v>5.0000137497008268E-5</v>
      </c>
      <c r="AI138" s="55"/>
    </row>
    <row r="139" spans="1:35" x14ac:dyDescent="0.2">
      <c r="A139" s="27">
        <f>'Cash Flow'!A139</f>
        <v>133</v>
      </c>
      <c r="B139" s="49">
        <f>'Cash Flow'!B139</f>
        <v>43160</v>
      </c>
      <c r="C139" s="56">
        <f>'Cash Flow'!C139</f>
        <v>8.3333333333333329E-2</v>
      </c>
      <c r="D139" s="55"/>
      <c r="E139" s="57">
        <v>6.9369000000000056E-2</v>
      </c>
      <c r="F139" s="57"/>
      <c r="G139" s="57"/>
      <c r="H139" s="57"/>
      <c r="I139" s="57">
        <v>0.04</v>
      </c>
      <c r="J139" s="57"/>
      <c r="K139" s="57"/>
      <c r="L139" s="55"/>
      <c r="M139" s="78">
        <v>5.1430128318229462E-3</v>
      </c>
      <c r="N139" s="78">
        <v>0.01</v>
      </c>
      <c r="Q139" s="57"/>
      <c r="S139" s="55"/>
      <c r="T139" s="79">
        <f ca="1">OFFSET('Loss Timing'!D$6,MATCH($A139,'Loss Timing'!$A$7:$A$36,1),0)/12/PmtFreqAdd</f>
        <v>2.7777777777777779E-3</v>
      </c>
      <c r="U139" s="79">
        <f ca="1">OFFSET('Loss Timing'!E$6,MATCH($A139,'Loss Timing'!$A$7:$A$36,1),0)/12/PmtFreqAdd</f>
        <v>8.3333333333333332E-3</v>
      </c>
      <c r="V139" s="79">
        <f ca="1">OFFSET('Loss Timing'!F$6,MATCH($A139,'Loss Timing'!$A$7:$A$36,1),0)/12/PmtFreqAdd</f>
        <v>0</v>
      </c>
      <c r="W139" s="79">
        <f ca="1">OFFSET('Loss Timing'!G$6,MATCH($A139,'Loss Timing'!$A$7:$A$36,1),0)/12/PmtFreqAdd</f>
        <v>4.1666666666666666E-3</v>
      </c>
      <c r="X139" s="79">
        <f ca="1">OFFSET('Loss Timing'!H$6,MATCH($A139,'Loss Timing'!$A$7:$A$36,1),0)/12/PmtFreqAdd</f>
        <v>0</v>
      </c>
      <c r="Y139" s="55"/>
      <c r="Z139" s="68">
        <f t="shared" ca="1" si="10"/>
        <v>2.7777777777777779E-5</v>
      </c>
      <c r="AA139" s="68">
        <f t="shared" ca="1" si="11"/>
        <v>8.3333333333333331E-5</v>
      </c>
      <c r="AB139" s="68">
        <f t="shared" ca="1" si="12"/>
        <v>0</v>
      </c>
      <c r="AC139" s="68">
        <f t="shared" ca="1" si="13"/>
        <v>4.1666666666666665E-5</v>
      </c>
      <c r="AD139" s="68">
        <f t="shared" ca="1" si="14"/>
        <v>0</v>
      </c>
      <c r="AE139" s="55"/>
      <c r="AF139" s="68">
        <v>1.2500008594873435E-5</v>
      </c>
      <c r="AG139" s="81">
        <v>2.5000034375999292E-5</v>
      </c>
      <c r="AH139" s="68">
        <v>5.0000137497008268E-5</v>
      </c>
      <c r="AI139" s="55"/>
    </row>
    <row r="140" spans="1:35" x14ac:dyDescent="0.2">
      <c r="A140" s="27">
        <f>'Cash Flow'!A140</f>
        <v>134</v>
      </c>
      <c r="B140" s="49">
        <f>'Cash Flow'!B140</f>
        <v>43191</v>
      </c>
      <c r="C140" s="56">
        <f>'Cash Flow'!C140</f>
        <v>8.3333333333333329E-2</v>
      </c>
      <c r="D140" s="55"/>
      <c r="E140" s="57">
        <v>6.9369000000000056E-2</v>
      </c>
      <c r="F140" s="57"/>
      <c r="G140" s="57"/>
      <c r="H140" s="57"/>
      <c r="I140" s="57">
        <v>0.04</v>
      </c>
      <c r="J140" s="57"/>
      <c r="K140" s="57"/>
      <c r="L140" s="55"/>
      <c r="M140" s="78">
        <v>5.1430128318229462E-3</v>
      </c>
      <c r="N140" s="78">
        <v>0.01</v>
      </c>
      <c r="Q140" s="57"/>
      <c r="S140" s="55"/>
      <c r="T140" s="79">
        <f ca="1">OFFSET('Loss Timing'!D$6,MATCH($A140,'Loss Timing'!$A$7:$A$36,1),0)/12/PmtFreqAdd</f>
        <v>2.7777777777777779E-3</v>
      </c>
      <c r="U140" s="79">
        <f ca="1">OFFSET('Loss Timing'!E$6,MATCH($A140,'Loss Timing'!$A$7:$A$36,1),0)/12/PmtFreqAdd</f>
        <v>8.3333333333333332E-3</v>
      </c>
      <c r="V140" s="79">
        <f ca="1">OFFSET('Loss Timing'!F$6,MATCH($A140,'Loss Timing'!$A$7:$A$36,1),0)/12/PmtFreqAdd</f>
        <v>0</v>
      </c>
      <c r="W140" s="79">
        <f ca="1">OFFSET('Loss Timing'!G$6,MATCH($A140,'Loss Timing'!$A$7:$A$36,1),0)/12/PmtFreqAdd</f>
        <v>4.1666666666666666E-3</v>
      </c>
      <c r="X140" s="79">
        <f ca="1">OFFSET('Loss Timing'!H$6,MATCH($A140,'Loss Timing'!$A$7:$A$36,1),0)/12/PmtFreqAdd</f>
        <v>0</v>
      </c>
      <c r="Y140" s="55"/>
      <c r="Z140" s="68">
        <f t="shared" ca="1" si="10"/>
        <v>2.7777777777777779E-5</v>
      </c>
      <c r="AA140" s="68">
        <f t="shared" ca="1" si="11"/>
        <v>8.3333333333333331E-5</v>
      </c>
      <c r="AB140" s="68">
        <f t="shared" ca="1" si="12"/>
        <v>0</v>
      </c>
      <c r="AC140" s="68">
        <f t="shared" ca="1" si="13"/>
        <v>4.1666666666666665E-5</v>
      </c>
      <c r="AD140" s="68">
        <f t="shared" ca="1" si="14"/>
        <v>0</v>
      </c>
      <c r="AE140" s="55"/>
      <c r="AF140" s="68">
        <v>1.2500008594873435E-5</v>
      </c>
      <c r="AG140" s="81">
        <v>2.5000034375999292E-5</v>
      </c>
      <c r="AH140" s="68">
        <v>5.0000137497008268E-5</v>
      </c>
      <c r="AI140" s="55"/>
    </row>
    <row r="141" spans="1:35" x14ac:dyDescent="0.2">
      <c r="A141" s="27">
        <f>'Cash Flow'!A141</f>
        <v>135</v>
      </c>
      <c r="B141" s="49">
        <f>'Cash Flow'!B141</f>
        <v>43221</v>
      </c>
      <c r="C141" s="56">
        <f>'Cash Flow'!C141</f>
        <v>8.3333333333333329E-2</v>
      </c>
      <c r="D141" s="55"/>
      <c r="E141" s="57">
        <v>6.9369000000000056E-2</v>
      </c>
      <c r="F141" s="57"/>
      <c r="G141" s="57"/>
      <c r="H141" s="57"/>
      <c r="I141" s="57">
        <v>0.04</v>
      </c>
      <c r="J141" s="57"/>
      <c r="K141" s="57"/>
      <c r="L141" s="55"/>
      <c r="M141" s="78">
        <v>5.1430128318229462E-3</v>
      </c>
      <c r="N141" s="78">
        <v>0.01</v>
      </c>
      <c r="Q141" s="57"/>
      <c r="S141" s="55"/>
      <c r="T141" s="79">
        <f ca="1">OFFSET('Loss Timing'!D$6,MATCH($A141,'Loss Timing'!$A$7:$A$36,1),0)/12/PmtFreqAdd</f>
        <v>2.7777777777777779E-3</v>
      </c>
      <c r="U141" s="79">
        <f ca="1">OFFSET('Loss Timing'!E$6,MATCH($A141,'Loss Timing'!$A$7:$A$36,1),0)/12/PmtFreqAdd</f>
        <v>8.3333333333333332E-3</v>
      </c>
      <c r="V141" s="79">
        <f ca="1">OFFSET('Loss Timing'!F$6,MATCH($A141,'Loss Timing'!$A$7:$A$36,1),0)/12/PmtFreqAdd</f>
        <v>0</v>
      </c>
      <c r="W141" s="79">
        <f ca="1">OFFSET('Loss Timing'!G$6,MATCH($A141,'Loss Timing'!$A$7:$A$36,1),0)/12/PmtFreqAdd</f>
        <v>4.1666666666666666E-3</v>
      </c>
      <c r="X141" s="79">
        <f ca="1">OFFSET('Loss Timing'!H$6,MATCH($A141,'Loss Timing'!$A$7:$A$36,1),0)/12/PmtFreqAdd</f>
        <v>0</v>
      </c>
      <c r="Y141" s="55"/>
      <c r="Z141" s="68">
        <f t="shared" ca="1" si="10"/>
        <v>2.7777777777777779E-5</v>
      </c>
      <c r="AA141" s="68">
        <f t="shared" ca="1" si="11"/>
        <v>8.3333333333333331E-5</v>
      </c>
      <c r="AB141" s="68">
        <f t="shared" ca="1" si="12"/>
        <v>0</v>
      </c>
      <c r="AC141" s="68">
        <f t="shared" ca="1" si="13"/>
        <v>4.1666666666666665E-5</v>
      </c>
      <c r="AD141" s="68">
        <f t="shared" ca="1" si="14"/>
        <v>0</v>
      </c>
      <c r="AE141" s="55"/>
      <c r="AF141" s="68">
        <v>1.2500008594873435E-5</v>
      </c>
      <c r="AG141" s="81">
        <v>2.5000034375999292E-5</v>
      </c>
      <c r="AH141" s="68">
        <v>5.0000137497008268E-5</v>
      </c>
      <c r="AI141" s="55"/>
    </row>
    <row r="142" spans="1:35" x14ac:dyDescent="0.2">
      <c r="A142" s="27">
        <f>'Cash Flow'!A142</f>
        <v>136</v>
      </c>
      <c r="B142" s="49">
        <f>'Cash Flow'!B142</f>
        <v>43252</v>
      </c>
      <c r="C142" s="56">
        <f>'Cash Flow'!C142</f>
        <v>8.3333333333333329E-2</v>
      </c>
      <c r="D142" s="55"/>
      <c r="E142" s="57">
        <v>6.9369000000000056E-2</v>
      </c>
      <c r="F142" s="57"/>
      <c r="G142" s="57"/>
      <c r="H142" s="57"/>
      <c r="I142" s="57">
        <v>0.04</v>
      </c>
      <c r="J142" s="57"/>
      <c r="K142" s="57"/>
      <c r="L142" s="55"/>
      <c r="M142" s="78">
        <v>5.1430128318229462E-3</v>
      </c>
      <c r="N142" s="78">
        <v>0.01</v>
      </c>
      <c r="Q142" s="57"/>
      <c r="S142" s="55"/>
      <c r="T142" s="79">
        <f ca="1">OFFSET('Loss Timing'!D$6,MATCH($A142,'Loss Timing'!$A$7:$A$36,1),0)/12/PmtFreqAdd</f>
        <v>2.7777777777777779E-3</v>
      </c>
      <c r="U142" s="79">
        <f ca="1">OFFSET('Loss Timing'!E$6,MATCH($A142,'Loss Timing'!$A$7:$A$36,1),0)/12/PmtFreqAdd</f>
        <v>8.3333333333333332E-3</v>
      </c>
      <c r="V142" s="79">
        <f ca="1">OFFSET('Loss Timing'!F$6,MATCH($A142,'Loss Timing'!$A$7:$A$36,1),0)/12/PmtFreqAdd</f>
        <v>0</v>
      </c>
      <c r="W142" s="79">
        <f ca="1">OFFSET('Loss Timing'!G$6,MATCH($A142,'Loss Timing'!$A$7:$A$36,1),0)/12/PmtFreqAdd</f>
        <v>4.1666666666666666E-3</v>
      </c>
      <c r="X142" s="79">
        <f ca="1">OFFSET('Loss Timing'!H$6,MATCH($A142,'Loss Timing'!$A$7:$A$36,1),0)/12/PmtFreqAdd</f>
        <v>0</v>
      </c>
      <c r="Y142" s="55"/>
      <c r="Z142" s="68">
        <f t="shared" ca="1" si="10"/>
        <v>2.7777777777777779E-5</v>
      </c>
      <c r="AA142" s="68">
        <f t="shared" ca="1" si="11"/>
        <v>8.3333333333333331E-5</v>
      </c>
      <c r="AB142" s="68">
        <f t="shared" ca="1" si="12"/>
        <v>0</v>
      </c>
      <c r="AC142" s="68">
        <f t="shared" ca="1" si="13"/>
        <v>4.1666666666666665E-5</v>
      </c>
      <c r="AD142" s="68">
        <f t="shared" ca="1" si="14"/>
        <v>0</v>
      </c>
      <c r="AE142" s="55"/>
      <c r="AF142" s="68">
        <v>1.2500008594873435E-5</v>
      </c>
      <c r="AG142" s="81">
        <v>2.5000034375999292E-5</v>
      </c>
      <c r="AH142" s="68">
        <v>5.0000137497008268E-5</v>
      </c>
      <c r="AI142" s="55"/>
    </row>
    <row r="143" spans="1:35" x14ac:dyDescent="0.2">
      <c r="A143" s="27">
        <f>'Cash Flow'!A143</f>
        <v>137</v>
      </c>
      <c r="B143" s="49">
        <f>'Cash Flow'!B143</f>
        <v>43282</v>
      </c>
      <c r="C143" s="56">
        <f>'Cash Flow'!C143</f>
        <v>8.3333333333333329E-2</v>
      </c>
      <c r="D143" s="55"/>
      <c r="E143" s="57">
        <v>6.9369000000000056E-2</v>
      </c>
      <c r="F143" s="57"/>
      <c r="G143" s="57"/>
      <c r="H143" s="57"/>
      <c r="I143" s="57">
        <v>0.04</v>
      </c>
      <c r="J143" s="57"/>
      <c r="K143" s="57"/>
      <c r="L143" s="55"/>
      <c r="M143" s="78">
        <v>5.1430128318229462E-3</v>
      </c>
      <c r="N143" s="78">
        <v>0.01</v>
      </c>
      <c r="Q143" s="57"/>
      <c r="S143" s="55"/>
      <c r="T143" s="79">
        <f ca="1">OFFSET('Loss Timing'!D$6,MATCH($A143,'Loss Timing'!$A$7:$A$36,1),0)/12/PmtFreqAdd</f>
        <v>2.7777777777777779E-3</v>
      </c>
      <c r="U143" s="79">
        <f ca="1">OFFSET('Loss Timing'!E$6,MATCH($A143,'Loss Timing'!$A$7:$A$36,1),0)/12/PmtFreqAdd</f>
        <v>8.3333333333333332E-3</v>
      </c>
      <c r="V143" s="79">
        <f ca="1">OFFSET('Loss Timing'!F$6,MATCH($A143,'Loss Timing'!$A$7:$A$36,1),0)/12/PmtFreqAdd</f>
        <v>0</v>
      </c>
      <c r="W143" s="79">
        <f ca="1">OFFSET('Loss Timing'!G$6,MATCH($A143,'Loss Timing'!$A$7:$A$36,1),0)/12/PmtFreqAdd</f>
        <v>4.1666666666666666E-3</v>
      </c>
      <c r="X143" s="79">
        <f ca="1">OFFSET('Loss Timing'!H$6,MATCH($A143,'Loss Timing'!$A$7:$A$36,1),0)/12/PmtFreqAdd</f>
        <v>0</v>
      </c>
      <c r="Y143" s="55"/>
      <c r="Z143" s="68">
        <f t="shared" ca="1" si="10"/>
        <v>2.7777777777777779E-5</v>
      </c>
      <c r="AA143" s="68">
        <f t="shared" ca="1" si="11"/>
        <v>8.3333333333333331E-5</v>
      </c>
      <c r="AB143" s="68">
        <f t="shared" ca="1" si="12"/>
        <v>0</v>
      </c>
      <c r="AC143" s="68">
        <f t="shared" ca="1" si="13"/>
        <v>4.1666666666666665E-5</v>
      </c>
      <c r="AD143" s="68">
        <f t="shared" ca="1" si="14"/>
        <v>0</v>
      </c>
      <c r="AE143" s="55"/>
      <c r="AF143" s="68">
        <v>1.2500008594873435E-5</v>
      </c>
      <c r="AG143" s="81">
        <v>2.5000034375999292E-5</v>
      </c>
      <c r="AH143" s="68">
        <v>5.0000137497008268E-5</v>
      </c>
      <c r="AI143" s="55"/>
    </row>
    <row r="144" spans="1:35" x14ac:dyDescent="0.2">
      <c r="A144" s="27">
        <f>'Cash Flow'!A144</f>
        <v>138</v>
      </c>
      <c r="B144" s="49">
        <f>'Cash Flow'!B144</f>
        <v>43313</v>
      </c>
      <c r="C144" s="56">
        <f>'Cash Flow'!C144</f>
        <v>8.3333333333333329E-2</v>
      </c>
      <c r="D144" s="55"/>
      <c r="E144" s="57">
        <v>6.9369000000000056E-2</v>
      </c>
      <c r="F144" s="57"/>
      <c r="G144" s="57"/>
      <c r="H144" s="57"/>
      <c r="I144" s="57">
        <v>0.04</v>
      </c>
      <c r="J144" s="57"/>
      <c r="K144" s="57"/>
      <c r="L144" s="55"/>
      <c r="M144" s="78">
        <v>5.1430128318229462E-3</v>
      </c>
      <c r="N144" s="78">
        <v>0.01</v>
      </c>
      <c r="Q144" s="57"/>
      <c r="S144" s="55"/>
      <c r="T144" s="79">
        <f ca="1">OFFSET('Loss Timing'!D$6,MATCH($A144,'Loss Timing'!$A$7:$A$36,1),0)/12/PmtFreqAdd</f>
        <v>2.7777777777777779E-3</v>
      </c>
      <c r="U144" s="79">
        <f ca="1">OFFSET('Loss Timing'!E$6,MATCH($A144,'Loss Timing'!$A$7:$A$36,1),0)/12/PmtFreqAdd</f>
        <v>8.3333333333333332E-3</v>
      </c>
      <c r="V144" s="79">
        <f ca="1">OFFSET('Loss Timing'!F$6,MATCH($A144,'Loss Timing'!$A$7:$A$36,1),0)/12/PmtFreqAdd</f>
        <v>0</v>
      </c>
      <c r="W144" s="79">
        <f ca="1">OFFSET('Loss Timing'!G$6,MATCH($A144,'Loss Timing'!$A$7:$A$36,1),0)/12/PmtFreqAdd</f>
        <v>4.1666666666666666E-3</v>
      </c>
      <c r="X144" s="79">
        <f ca="1">OFFSET('Loss Timing'!H$6,MATCH($A144,'Loss Timing'!$A$7:$A$36,1),0)/12/PmtFreqAdd</f>
        <v>0</v>
      </c>
      <c r="Y144" s="55"/>
      <c r="Z144" s="68">
        <f t="shared" ca="1" si="10"/>
        <v>2.7777777777777779E-5</v>
      </c>
      <c r="AA144" s="68">
        <f t="shared" ca="1" si="11"/>
        <v>8.3333333333333331E-5</v>
      </c>
      <c r="AB144" s="68">
        <f t="shared" ca="1" si="12"/>
        <v>0</v>
      </c>
      <c r="AC144" s="68">
        <f t="shared" ca="1" si="13"/>
        <v>4.1666666666666665E-5</v>
      </c>
      <c r="AD144" s="68">
        <f t="shared" ca="1" si="14"/>
        <v>0</v>
      </c>
      <c r="AE144" s="55"/>
      <c r="AF144" s="68">
        <v>1.2500008594873435E-5</v>
      </c>
      <c r="AG144" s="81">
        <v>2.5000034375999292E-5</v>
      </c>
      <c r="AH144" s="68">
        <v>5.0000137497008268E-5</v>
      </c>
      <c r="AI144" s="55"/>
    </row>
    <row r="145" spans="1:35" x14ac:dyDescent="0.2">
      <c r="A145" s="27">
        <f>'Cash Flow'!A145</f>
        <v>139</v>
      </c>
      <c r="B145" s="49">
        <f>'Cash Flow'!B145</f>
        <v>43344</v>
      </c>
      <c r="C145" s="56">
        <f>'Cash Flow'!C145</f>
        <v>8.3333333333333329E-2</v>
      </c>
      <c r="D145" s="55"/>
      <c r="E145" s="57">
        <v>6.9369000000000056E-2</v>
      </c>
      <c r="F145" s="57"/>
      <c r="G145" s="57"/>
      <c r="H145" s="57"/>
      <c r="I145" s="57">
        <v>0.04</v>
      </c>
      <c r="J145" s="57"/>
      <c r="K145" s="57"/>
      <c r="L145" s="55"/>
      <c r="M145" s="78">
        <v>5.1430128318229462E-3</v>
      </c>
      <c r="N145" s="78">
        <v>0.01</v>
      </c>
      <c r="Q145" s="57"/>
      <c r="S145" s="55"/>
      <c r="T145" s="79">
        <f ca="1">OFFSET('Loss Timing'!D$6,MATCH($A145,'Loss Timing'!$A$7:$A$36,1),0)/12/PmtFreqAdd</f>
        <v>2.7777777777777779E-3</v>
      </c>
      <c r="U145" s="79">
        <f ca="1">OFFSET('Loss Timing'!E$6,MATCH($A145,'Loss Timing'!$A$7:$A$36,1),0)/12/PmtFreqAdd</f>
        <v>8.3333333333333332E-3</v>
      </c>
      <c r="V145" s="79">
        <f ca="1">OFFSET('Loss Timing'!F$6,MATCH($A145,'Loss Timing'!$A$7:$A$36,1),0)/12/PmtFreqAdd</f>
        <v>0</v>
      </c>
      <c r="W145" s="79">
        <f ca="1">OFFSET('Loss Timing'!G$6,MATCH($A145,'Loss Timing'!$A$7:$A$36,1),0)/12/PmtFreqAdd</f>
        <v>4.1666666666666666E-3</v>
      </c>
      <c r="X145" s="79">
        <f ca="1">OFFSET('Loss Timing'!H$6,MATCH($A145,'Loss Timing'!$A$7:$A$36,1),0)/12/PmtFreqAdd</f>
        <v>0</v>
      </c>
      <c r="Y145" s="55"/>
      <c r="Z145" s="68">
        <f t="shared" ca="1" si="10"/>
        <v>2.7777777777777779E-5</v>
      </c>
      <c r="AA145" s="68">
        <f t="shared" ca="1" si="11"/>
        <v>8.3333333333333331E-5</v>
      </c>
      <c r="AB145" s="68">
        <f t="shared" ca="1" si="12"/>
        <v>0</v>
      </c>
      <c r="AC145" s="68">
        <f t="shared" ca="1" si="13"/>
        <v>4.1666666666666665E-5</v>
      </c>
      <c r="AD145" s="68">
        <f t="shared" ca="1" si="14"/>
        <v>0</v>
      </c>
      <c r="AE145" s="55"/>
      <c r="AF145" s="68">
        <v>1.2500008594873435E-5</v>
      </c>
      <c r="AG145" s="81">
        <v>2.5000034375999292E-5</v>
      </c>
      <c r="AH145" s="68">
        <v>5.0000137497008268E-5</v>
      </c>
      <c r="AI145" s="55"/>
    </row>
    <row r="146" spans="1:35" x14ac:dyDescent="0.2">
      <c r="A146" s="27">
        <f>'Cash Flow'!A146</f>
        <v>140</v>
      </c>
      <c r="B146" s="49">
        <f>'Cash Flow'!B146</f>
        <v>43374</v>
      </c>
      <c r="C146" s="56">
        <f>'Cash Flow'!C146</f>
        <v>8.3333333333333329E-2</v>
      </c>
      <c r="D146" s="55"/>
      <c r="E146" s="57">
        <v>6.9369000000000056E-2</v>
      </c>
      <c r="F146" s="57"/>
      <c r="G146" s="57"/>
      <c r="H146" s="57"/>
      <c r="I146" s="57">
        <v>0.04</v>
      </c>
      <c r="J146" s="57"/>
      <c r="K146" s="57"/>
      <c r="L146" s="55"/>
      <c r="M146" s="78">
        <v>5.1430128318229462E-3</v>
      </c>
      <c r="N146" s="78">
        <v>0.01</v>
      </c>
      <c r="Q146" s="57"/>
      <c r="S146" s="55"/>
      <c r="T146" s="79">
        <f ca="1">OFFSET('Loss Timing'!D$6,MATCH($A146,'Loss Timing'!$A$7:$A$36,1),0)/12/PmtFreqAdd</f>
        <v>2.7777777777777779E-3</v>
      </c>
      <c r="U146" s="79">
        <f ca="1">OFFSET('Loss Timing'!E$6,MATCH($A146,'Loss Timing'!$A$7:$A$36,1),0)/12/PmtFreqAdd</f>
        <v>8.3333333333333332E-3</v>
      </c>
      <c r="V146" s="79">
        <f ca="1">OFFSET('Loss Timing'!F$6,MATCH($A146,'Loss Timing'!$A$7:$A$36,1),0)/12/PmtFreqAdd</f>
        <v>0</v>
      </c>
      <c r="W146" s="79">
        <f ca="1">OFFSET('Loss Timing'!G$6,MATCH($A146,'Loss Timing'!$A$7:$A$36,1),0)/12/PmtFreqAdd</f>
        <v>4.1666666666666666E-3</v>
      </c>
      <c r="X146" s="79">
        <f ca="1">OFFSET('Loss Timing'!H$6,MATCH($A146,'Loss Timing'!$A$7:$A$36,1),0)/12/PmtFreqAdd</f>
        <v>0</v>
      </c>
      <c r="Y146" s="55"/>
      <c r="Z146" s="68">
        <f t="shared" ca="1" si="10"/>
        <v>2.7777777777777779E-5</v>
      </c>
      <c r="AA146" s="68">
        <f t="shared" ca="1" si="11"/>
        <v>8.3333333333333331E-5</v>
      </c>
      <c r="AB146" s="68">
        <f t="shared" ca="1" si="12"/>
        <v>0</v>
      </c>
      <c r="AC146" s="68">
        <f t="shared" ca="1" si="13"/>
        <v>4.1666666666666665E-5</v>
      </c>
      <c r="AD146" s="68">
        <f t="shared" ca="1" si="14"/>
        <v>0</v>
      </c>
      <c r="AE146" s="55"/>
      <c r="AF146" s="68">
        <v>1.2500008594873435E-5</v>
      </c>
      <c r="AG146" s="81">
        <v>2.5000034375999292E-5</v>
      </c>
      <c r="AH146" s="68">
        <v>5.0000137497008268E-5</v>
      </c>
      <c r="AI146" s="55"/>
    </row>
    <row r="147" spans="1:35" x14ac:dyDescent="0.2">
      <c r="A147" s="27">
        <f>'Cash Flow'!A147</f>
        <v>141</v>
      </c>
      <c r="B147" s="49">
        <f>'Cash Flow'!B147</f>
        <v>43405</v>
      </c>
      <c r="C147" s="56">
        <f>'Cash Flow'!C147</f>
        <v>8.3333333333333329E-2</v>
      </c>
      <c r="D147" s="55"/>
      <c r="E147" s="57">
        <v>6.9369000000000056E-2</v>
      </c>
      <c r="F147" s="57"/>
      <c r="G147" s="57"/>
      <c r="H147" s="57"/>
      <c r="I147" s="57">
        <v>0.04</v>
      </c>
      <c r="J147" s="57"/>
      <c r="K147" s="57"/>
      <c r="L147" s="55"/>
      <c r="M147" s="78">
        <v>5.1430128318229462E-3</v>
      </c>
      <c r="N147" s="78">
        <v>0.01</v>
      </c>
      <c r="Q147" s="57"/>
      <c r="S147" s="55"/>
      <c r="T147" s="79">
        <f ca="1">OFFSET('Loss Timing'!D$6,MATCH($A147,'Loss Timing'!$A$7:$A$36,1),0)/12/PmtFreqAdd</f>
        <v>2.7777777777777779E-3</v>
      </c>
      <c r="U147" s="79">
        <f ca="1">OFFSET('Loss Timing'!E$6,MATCH($A147,'Loss Timing'!$A$7:$A$36,1),0)/12/PmtFreqAdd</f>
        <v>8.3333333333333332E-3</v>
      </c>
      <c r="V147" s="79">
        <f ca="1">OFFSET('Loss Timing'!F$6,MATCH($A147,'Loss Timing'!$A$7:$A$36,1),0)/12/PmtFreqAdd</f>
        <v>0</v>
      </c>
      <c r="W147" s="79">
        <f ca="1">OFFSET('Loss Timing'!G$6,MATCH($A147,'Loss Timing'!$A$7:$A$36,1),0)/12/PmtFreqAdd</f>
        <v>4.1666666666666666E-3</v>
      </c>
      <c r="X147" s="79">
        <f ca="1">OFFSET('Loss Timing'!H$6,MATCH($A147,'Loss Timing'!$A$7:$A$36,1),0)/12/PmtFreqAdd</f>
        <v>0</v>
      </c>
      <c r="Y147" s="55"/>
      <c r="Z147" s="68">
        <f t="shared" ca="1" si="10"/>
        <v>2.7777777777777779E-5</v>
      </c>
      <c r="AA147" s="68">
        <f t="shared" ca="1" si="11"/>
        <v>8.3333333333333331E-5</v>
      </c>
      <c r="AB147" s="68">
        <f t="shared" ca="1" si="12"/>
        <v>0</v>
      </c>
      <c r="AC147" s="68">
        <f t="shared" ca="1" si="13"/>
        <v>4.1666666666666665E-5</v>
      </c>
      <c r="AD147" s="68">
        <f t="shared" ca="1" si="14"/>
        <v>0</v>
      </c>
      <c r="AE147" s="55"/>
      <c r="AF147" s="68">
        <v>1.2500008594873435E-5</v>
      </c>
      <c r="AG147" s="81">
        <v>2.5000034375999292E-5</v>
      </c>
      <c r="AH147" s="68">
        <v>5.0000137497008268E-5</v>
      </c>
      <c r="AI147" s="55"/>
    </row>
    <row r="148" spans="1:35" x14ac:dyDescent="0.2">
      <c r="A148" s="27">
        <f>'Cash Flow'!A148</f>
        <v>142</v>
      </c>
      <c r="B148" s="49">
        <f>'Cash Flow'!B148</f>
        <v>43435</v>
      </c>
      <c r="C148" s="56">
        <f>'Cash Flow'!C148</f>
        <v>8.3333333333333329E-2</v>
      </c>
      <c r="D148" s="55"/>
      <c r="E148" s="57">
        <v>6.9369000000000056E-2</v>
      </c>
      <c r="F148" s="57"/>
      <c r="G148" s="57"/>
      <c r="H148" s="57"/>
      <c r="I148" s="57">
        <v>0.04</v>
      </c>
      <c r="J148" s="57"/>
      <c r="K148" s="57"/>
      <c r="L148" s="55"/>
      <c r="M148" s="78">
        <v>5.1430128318229462E-3</v>
      </c>
      <c r="N148" s="78">
        <v>0.01</v>
      </c>
      <c r="Q148" s="57"/>
      <c r="S148" s="55"/>
      <c r="T148" s="79">
        <f ca="1">OFFSET('Loss Timing'!D$6,MATCH($A148,'Loss Timing'!$A$7:$A$36,1),0)/12/PmtFreqAdd</f>
        <v>2.7777777777777779E-3</v>
      </c>
      <c r="U148" s="79">
        <f ca="1">OFFSET('Loss Timing'!E$6,MATCH($A148,'Loss Timing'!$A$7:$A$36,1),0)/12/PmtFreqAdd</f>
        <v>8.3333333333333332E-3</v>
      </c>
      <c r="V148" s="79">
        <f ca="1">OFFSET('Loss Timing'!F$6,MATCH($A148,'Loss Timing'!$A$7:$A$36,1),0)/12/PmtFreqAdd</f>
        <v>0</v>
      </c>
      <c r="W148" s="79">
        <f ca="1">OFFSET('Loss Timing'!G$6,MATCH($A148,'Loss Timing'!$A$7:$A$36,1),0)/12/PmtFreqAdd</f>
        <v>4.1666666666666666E-3</v>
      </c>
      <c r="X148" s="79">
        <f ca="1">OFFSET('Loss Timing'!H$6,MATCH($A148,'Loss Timing'!$A$7:$A$36,1),0)/12/PmtFreqAdd</f>
        <v>0</v>
      </c>
      <c r="Y148" s="55"/>
      <c r="Z148" s="68">
        <f t="shared" ca="1" si="10"/>
        <v>2.7777777777777779E-5</v>
      </c>
      <c r="AA148" s="68">
        <f t="shared" ca="1" si="11"/>
        <v>8.3333333333333331E-5</v>
      </c>
      <c r="AB148" s="68">
        <f t="shared" ca="1" si="12"/>
        <v>0</v>
      </c>
      <c r="AC148" s="68">
        <f t="shared" ca="1" si="13"/>
        <v>4.1666666666666665E-5</v>
      </c>
      <c r="AD148" s="68">
        <f t="shared" ca="1" si="14"/>
        <v>0</v>
      </c>
      <c r="AE148" s="55"/>
      <c r="AF148" s="68">
        <v>1.2500008594873435E-5</v>
      </c>
      <c r="AG148" s="81">
        <v>2.5000034375999292E-5</v>
      </c>
      <c r="AH148" s="68">
        <v>5.0000137497008268E-5</v>
      </c>
      <c r="AI148" s="55"/>
    </row>
    <row r="149" spans="1:35" x14ac:dyDescent="0.2">
      <c r="A149" s="27">
        <f>'Cash Flow'!A149</f>
        <v>143</v>
      </c>
      <c r="B149" s="49">
        <f>'Cash Flow'!B149</f>
        <v>43466</v>
      </c>
      <c r="C149" s="56">
        <f>'Cash Flow'!C149</f>
        <v>8.3333333333333329E-2</v>
      </c>
      <c r="D149" s="55"/>
      <c r="E149" s="57">
        <v>6.9369000000000056E-2</v>
      </c>
      <c r="F149" s="57"/>
      <c r="G149" s="57"/>
      <c r="H149" s="57"/>
      <c r="I149" s="57">
        <v>0.04</v>
      </c>
      <c r="J149" s="57"/>
      <c r="K149" s="57"/>
      <c r="L149" s="55"/>
      <c r="M149" s="78">
        <v>5.1430128318229462E-3</v>
      </c>
      <c r="N149" s="78">
        <v>0.01</v>
      </c>
      <c r="Q149" s="57"/>
      <c r="S149" s="55"/>
      <c r="T149" s="79">
        <f ca="1">OFFSET('Loss Timing'!D$6,MATCH($A149,'Loss Timing'!$A$7:$A$36,1),0)/12/PmtFreqAdd</f>
        <v>2.7777777777777779E-3</v>
      </c>
      <c r="U149" s="79">
        <f ca="1">OFFSET('Loss Timing'!E$6,MATCH($A149,'Loss Timing'!$A$7:$A$36,1),0)/12/PmtFreqAdd</f>
        <v>8.3333333333333332E-3</v>
      </c>
      <c r="V149" s="79">
        <f ca="1">OFFSET('Loss Timing'!F$6,MATCH($A149,'Loss Timing'!$A$7:$A$36,1),0)/12/PmtFreqAdd</f>
        <v>0</v>
      </c>
      <c r="W149" s="79">
        <f ca="1">OFFSET('Loss Timing'!G$6,MATCH($A149,'Loss Timing'!$A$7:$A$36,1),0)/12/PmtFreqAdd</f>
        <v>4.1666666666666666E-3</v>
      </c>
      <c r="X149" s="79">
        <f ca="1">OFFSET('Loss Timing'!H$6,MATCH($A149,'Loss Timing'!$A$7:$A$36,1),0)/12/PmtFreqAdd</f>
        <v>0</v>
      </c>
      <c r="Y149" s="55"/>
      <c r="Z149" s="68">
        <f t="shared" ca="1" si="10"/>
        <v>2.7777777777777779E-5</v>
      </c>
      <c r="AA149" s="68">
        <f t="shared" ca="1" si="11"/>
        <v>8.3333333333333331E-5</v>
      </c>
      <c r="AB149" s="68">
        <f t="shared" ca="1" si="12"/>
        <v>0</v>
      </c>
      <c r="AC149" s="68">
        <f t="shared" ca="1" si="13"/>
        <v>4.1666666666666665E-5</v>
      </c>
      <c r="AD149" s="68">
        <f t="shared" ca="1" si="14"/>
        <v>0</v>
      </c>
      <c r="AE149" s="55"/>
      <c r="AF149" s="68">
        <v>1.2500008594873435E-5</v>
      </c>
      <c r="AG149" s="81">
        <v>2.5000034375999292E-5</v>
      </c>
      <c r="AH149" s="68">
        <v>5.0000137497008268E-5</v>
      </c>
      <c r="AI149" s="55"/>
    </row>
    <row r="150" spans="1:35" x14ac:dyDescent="0.2">
      <c r="A150" s="27">
        <f>'Cash Flow'!A150</f>
        <v>144</v>
      </c>
      <c r="B150" s="49">
        <f>'Cash Flow'!B150</f>
        <v>43497</v>
      </c>
      <c r="C150" s="56">
        <f>'Cash Flow'!C150</f>
        <v>8.3333333333333329E-2</v>
      </c>
      <c r="D150" s="55"/>
      <c r="E150" s="57">
        <v>6.9369000000000056E-2</v>
      </c>
      <c r="F150" s="57"/>
      <c r="G150" s="57"/>
      <c r="H150" s="57"/>
      <c r="I150" s="57">
        <v>0.04</v>
      </c>
      <c r="J150" s="57"/>
      <c r="K150" s="57"/>
      <c r="L150" s="55"/>
      <c r="M150" s="78">
        <v>5.1430128318229462E-3</v>
      </c>
      <c r="N150" s="78">
        <v>0.01</v>
      </c>
      <c r="Q150" s="57"/>
      <c r="S150" s="55"/>
      <c r="T150" s="79">
        <f ca="1">OFFSET('Loss Timing'!D$6,MATCH($A150,'Loss Timing'!$A$7:$A$36,1),0)/12/PmtFreqAdd</f>
        <v>2.7777777777777779E-3</v>
      </c>
      <c r="U150" s="79">
        <f ca="1">OFFSET('Loss Timing'!E$6,MATCH($A150,'Loss Timing'!$A$7:$A$36,1),0)/12/PmtFreqAdd</f>
        <v>8.3333333333333332E-3</v>
      </c>
      <c r="V150" s="79">
        <f ca="1">OFFSET('Loss Timing'!F$6,MATCH($A150,'Loss Timing'!$A$7:$A$36,1),0)/12/PmtFreqAdd</f>
        <v>0</v>
      </c>
      <c r="W150" s="79">
        <f ca="1">OFFSET('Loss Timing'!G$6,MATCH($A150,'Loss Timing'!$A$7:$A$36,1),0)/12/PmtFreqAdd</f>
        <v>4.1666666666666666E-3</v>
      </c>
      <c r="X150" s="79">
        <f ca="1">OFFSET('Loss Timing'!H$6,MATCH($A150,'Loss Timing'!$A$7:$A$36,1),0)/12/PmtFreqAdd</f>
        <v>0</v>
      </c>
      <c r="Y150" s="55"/>
      <c r="Z150" s="68">
        <f t="shared" ca="1" si="10"/>
        <v>2.7777777777777779E-5</v>
      </c>
      <c r="AA150" s="68">
        <f t="shared" ca="1" si="11"/>
        <v>8.3333333333333331E-5</v>
      </c>
      <c r="AB150" s="68">
        <f t="shared" ca="1" si="12"/>
        <v>0</v>
      </c>
      <c r="AC150" s="68">
        <f t="shared" ca="1" si="13"/>
        <v>4.1666666666666665E-5</v>
      </c>
      <c r="AD150" s="68">
        <f t="shared" ca="1" si="14"/>
        <v>0</v>
      </c>
      <c r="AE150" s="55"/>
      <c r="AF150" s="68">
        <v>1.2500008594873435E-5</v>
      </c>
      <c r="AG150" s="81">
        <v>2.5000034375999292E-5</v>
      </c>
      <c r="AH150" s="68">
        <v>5.0000137497008268E-5</v>
      </c>
      <c r="AI150" s="55"/>
    </row>
    <row r="151" spans="1:35" x14ac:dyDescent="0.2">
      <c r="A151" s="27">
        <f>'Cash Flow'!A151</f>
        <v>145</v>
      </c>
      <c r="B151" s="49">
        <f>'Cash Flow'!B151</f>
        <v>43525</v>
      </c>
      <c r="C151" s="56">
        <f>'Cash Flow'!C151</f>
        <v>8.3333333333333329E-2</v>
      </c>
      <c r="D151" s="55"/>
      <c r="E151" s="57">
        <v>6.9369000000000056E-2</v>
      </c>
      <c r="F151" s="57"/>
      <c r="G151" s="57"/>
      <c r="H151" s="57"/>
      <c r="I151" s="57">
        <v>0.04</v>
      </c>
      <c r="J151" s="57"/>
      <c r="K151" s="57"/>
      <c r="L151" s="55"/>
      <c r="M151" s="78">
        <v>5.1430128318229462E-3</v>
      </c>
      <c r="N151" s="78">
        <v>0.01</v>
      </c>
      <c r="Q151" s="57"/>
      <c r="S151" s="55"/>
      <c r="T151" s="79">
        <f ca="1">OFFSET('Loss Timing'!D$6,MATCH($A151,'Loss Timing'!$A$7:$A$36,1),0)/12/PmtFreqAdd</f>
        <v>2.7777777777777779E-3</v>
      </c>
      <c r="U151" s="79">
        <f ca="1">OFFSET('Loss Timing'!E$6,MATCH($A151,'Loss Timing'!$A$7:$A$36,1),0)/12/PmtFreqAdd</f>
        <v>8.3333333333333332E-3</v>
      </c>
      <c r="V151" s="79">
        <f ca="1">OFFSET('Loss Timing'!F$6,MATCH($A151,'Loss Timing'!$A$7:$A$36,1),0)/12/PmtFreqAdd</f>
        <v>0</v>
      </c>
      <c r="W151" s="79">
        <f ca="1">OFFSET('Loss Timing'!G$6,MATCH($A151,'Loss Timing'!$A$7:$A$36,1),0)/12/PmtFreqAdd</f>
        <v>4.1666666666666666E-3</v>
      </c>
      <c r="X151" s="79">
        <f ca="1">OFFSET('Loss Timing'!H$6,MATCH($A151,'Loss Timing'!$A$7:$A$36,1),0)/12/PmtFreqAdd</f>
        <v>0</v>
      </c>
      <c r="Y151" s="55"/>
      <c r="Z151" s="68">
        <f t="shared" ca="1" si="10"/>
        <v>2.7777777777777779E-5</v>
      </c>
      <c r="AA151" s="68">
        <f t="shared" ca="1" si="11"/>
        <v>8.3333333333333331E-5</v>
      </c>
      <c r="AB151" s="68">
        <f t="shared" ca="1" si="12"/>
        <v>0</v>
      </c>
      <c r="AC151" s="68">
        <f t="shared" ca="1" si="13"/>
        <v>4.1666666666666665E-5</v>
      </c>
      <c r="AD151" s="68">
        <f t="shared" ca="1" si="14"/>
        <v>0</v>
      </c>
      <c r="AE151" s="55"/>
      <c r="AF151" s="68">
        <v>1.2500008594873435E-5</v>
      </c>
      <c r="AG151" s="81">
        <v>2.5000034375999292E-5</v>
      </c>
      <c r="AH151" s="68">
        <v>5.0000137497008268E-5</v>
      </c>
      <c r="AI151" s="55"/>
    </row>
    <row r="152" spans="1:35" x14ac:dyDescent="0.2">
      <c r="A152" s="27">
        <f>'Cash Flow'!A152</f>
        <v>146</v>
      </c>
      <c r="B152" s="49">
        <f>'Cash Flow'!B152</f>
        <v>43556</v>
      </c>
      <c r="C152" s="56">
        <f>'Cash Flow'!C152</f>
        <v>8.3333333333333329E-2</v>
      </c>
      <c r="D152" s="55"/>
      <c r="E152" s="57">
        <v>6.9369000000000056E-2</v>
      </c>
      <c r="F152" s="57"/>
      <c r="G152" s="57"/>
      <c r="H152" s="57"/>
      <c r="I152" s="57">
        <v>0.04</v>
      </c>
      <c r="J152" s="57"/>
      <c r="K152" s="57"/>
      <c r="L152" s="55"/>
      <c r="M152" s="78">
        <v>5.1430128318229462E-3</v>
      </c>
      <c r="N152" s="78">
        <v>0.01</v>
      </c>
      <c r="Q152" s="57"/>
      <c r="S152" s="55"/>
      <c r="T152" s="79">
        <f ca="1">OFFSET('Loss Timing'!D$6,MATCH($A152,'Loss Timing'!$A$7:$A$36,1),0)/12/PmtFreqAdd</f>
        <v>2.7777777777777779E-3</v>
      </c>
      <c r="U152" s="79">
        <f ca="1">OFFSET('Loss Timing'!E$6,MATCH($A152,'Loss Timing'!$A$7:$A$36,1),0)/12/PmtFreqAdd</f>
        <v>8.3333333333333332E-3</v>
      </c>
      <c r="V152" s="79">
        <f ca="1">OFFSET('Loss Timing'!F$6,MATCH($A152,'Loss Timing'!$A$7:$A$36,1),0)/12/PmtFreqAdd</f>
        <v>0</v>
      </c>
      <c r="W152" s="79">
        <f ca="1">OFFSET('Loss Timing'!G$6,MATCH($A152,'Loss Timing'!$A$7:$A$36,1),0)/12/PmtFreqAdd</f>
        <v>4.1666666666666666E-3</v>
      </c>
      <c r="X152" s="79">
        <f ca="1">OFFSET('Loss Timing'!H$6,MATCH($A152,'Loss Timing'!$A$7:$A$36,1),0)/12/PmtFreqAdd</f>
        <v>0</v>
      </c>
      <c r="Y152" s="55"/>
      <c r="Z152" s="68">
        <f t="shared" ca="1" si="10"/>
        <v>2.7777777777777779E-5</v>
      </c>
      <c r="AA152" s="68">
        <f t="shared" ca="1" si="11"/>
        <v>8.3333333333333331E-5</v>
      </c>
      <c r="AB152" s="68">
        <f t="shared" ca="1" si="12"/>
        <v>0</v>
      </c>
      <c r="AC152" s="68">
        <f t="shared" ca="1" si="13"/>
        <v>4.1666666666666665E-5</v>
      </c>
      <c r="AD152" s="68">
        <f t="shared" ca="1" si="14"/>
        <v>0</v>
      </c>
      <c r="AE152" s="55"/>
      <c r="AF152" s="68">
        <v>1.2500008594873435E-5</v>
      </c>
      <c r="AG152" s="81">
        <v>2.5000034375999292E-5</v>
      </c>
      <c r="AH152" s="68">
        <v>5.0000137497008268E-5</v>
      </c>
      <c r="AI152" s="55"/>
    </row>
    <row r="153" spans="1:35" x14ac:dyDescent="0.2">
      <c r="A153" s="27">
        <f>'Cash Flow'!A153</f>
        <v>147</v>
      </c>
      <c r="B153" s="49">
        <f>'Cash Flow'!B153</f>
        <v>43586</v>
      </c>
      <c r="C153" s="56">
        <f>'Cash Flow'!C153</f>
        <v>8.3333333333333329E-2</v>
      </c>
      <c r="D153" s="55"/>
      <c r="E153" s="57">
        <v>6.9369000000000056E-2</v>
      </c>
      <c r="F153" s="57"/>
      <c r="G153" s="57"/>
      <c r="H153" s="57"/>
      <c r="I153" s="57">
        <v>0.04</v>
      </c>
      <c r="J153" s="57"/>
      <c r="K153" s="57"/>
      <c r="L153" s="55"/>
      <c r="M153" s="78">
        <v>5.1430128318229462E-3</v>
      </c>
      <c r="N153" s="78">
        <v>0.01</v>
      </c>
      <c r="Q153" s="57"/>
      <c r="S153" s="55"/>
      <c r="T153" s="79">
        <f ca="1">OFFSET('Loss Timing'!D$6,MATCH($A153,'Loss Timing'!$A$7:$A$36,1),0)/12/PmtFreqAdd</f>
        <v>2.7777777777777779E-3</v>
      </c>
      <c r="U153" s="79">
        <f ca="1">OFFSET('Loss Timing'!E$6,MATCH($A153,'Loss Timing'!$A$7:$A$36,1),0)/12/PmtFreqAdd</f>
        <v>8.3333333333333332E-3</v>
      </c>
      <c r="V153" s="79">
        <f ca="1">OFFSET('Loss Timing'!F$6,MATCH($A153,'Loss Timing'!$A$7:$A$36,1),0)/12/PmtFreqAdd</f>
        <v>0</v>
      </c>
      <c r="W153" s="79">
        <f ca="1">OFFSET('Loss Timing'!G$6,MATCH($A153,'Loss Timing'!$A$7:$A$36,1),0)/12/PmtFreqAdd</f>
        <v>4.1666666666666666E-3</v>
      </c>
      <c r="X153" s="79">
        <f ca="1">OFFSET('Loss Timing'!H$6,MATCH($A153,'Loss Timing'!$A$7:$A$36,1),0)/12/PmtFreqAdd</f>
        <v>0</v>
      </c>
      <c r="Y153" s="55"/>
      <c r="Z153" s="68">
        <f t="shared" ca="1" si="10"/>
        <v>2.7777777777777779E-5</v>
      </c>
      <c r="AA153" s="68">
        <f t="shared" ca="1" si="11"/>
        <v>8.3333333333333331E-5</v>
      </c>
      <c r="AB153" s="68">
        <f t="shared" ca="1" si="12"/>
        <v>0</v>
      </c>
      <c r="AC153" s="68">
        <f t="shared" ca="1" si="13"/>
        <v>4.1666666666666665E-5</v>
      </c>
      <c r="AD153" s="68">
        <f t="shared" ca="1" si="14"/>
        <v>0</v>
      </c>
      <c r="AE153" s="55"/>
      <c r="AF153" s="68">
        <v>1.2500008594873435E-5</v>
      </c>
      <c r="AG153" s="81">
        <v>2.5000034375999292E-5</v>
      </c>
      <c r="AH153" s="68">
        <v>5.0000137497008268E-5</v>
      </c>
      <c r="AI153" s="55"/>
    </row>
    <row r="154" spans="1:35" x14ac:dyDescent="0.2">
      <c r="A154" s="27">
        <f>'Cash Flow'!A154</f>
        <v>148</v>
      </c>
      <c r="B154" s="49">
        <f>'Cash Flow'!B154</f>
        <v>43617</v>
      </c>
      <c r="C154" s="56">
        <f>'Cash Flow'!C154</f>
        <v>8.3333333333333329E-2</v>
      </c>
      <c r="D154" s="55"/>
      <c r="E154" s="57">
        <v>6.9369000000000056E-2</v>
      </c>
      <c r="F154" s="57"/>
      <c r="G154" s="57"/>
      <c r="H154" s="57"/>
      <c r="I154" s="57">
        <v>0.04</v>
      </c>
      <c r="J154" s="57"/>
      <c r="K154" s="57"/>
      <c r="L154" s="55"/>
      <c r="M154" s="78">
        <v>5.1430128318229462E-3</v>
      </c>
      <c r="N154" s="78">
        <v>0.01</v>
      </c>
      <c r="Q154" s="57"/>
      <c r="S154" s="55"/>
      <c r="T154" s="79">
        <f ca="1">OFFSET('Loss Timing'!D$6,MATCH($A154,'Loss Timing'!$A$7:$A$36,1),0)/12/PmtFreqAdd</f>
        <v>2.7777777777777779E-3</v>
      </c>
      <c r="U154" s="79">
        <f ca="1">OFFSET('Loss Timing'!E$6,MATCH($A154,'Loss Timing'!$A$7:$A$36,1),0)/12/PmtFreqAdd</f>
        <v>8.3333333333333332E-3</v>
      </c>
      <c r="V154" s="79">
        <f ca="1">OFFSET('Loss Timing'!F$6,MATCH($A154,'Loss Timing'!$A$7:$A$36,1),0)/12/PmtFreqAdd</f>
        <v>0</v>
      </c>
      <c r="W154" s="79">
        <f ca="1">OFFSET('Loss Timing'!G$6,MATCH($A154,'Loss Timing'!$A$7:$A$36,1),0)/12/PmtFreqAdd</f>
        <v>4.1666666666666666E-3</v>
      </c>
      <c r="X154" s="79">
        <f ca="1">OFFSET('Loss Timing'!H$6,MATCH($A154,'Loss Timing'!$A$7:$A$36,1),0)/12/PmtFreqAdd</f>
        <v>0</v>
      </c>
      <c r="Y154" s="55"/>
      <c r="Z154" s="68">
        <f t="shared" ca="1" si="10"/>
        <v>2.7777777777777779E-5</v>
      </c>
      <c r="AA154" s="68">
        <f t="shared" ca="1" si="11"/>
        <v>8.3333333333333331E-5</v>
      </c>
      <c r="AB154" s="68">
        <f t="shared" ca="1" si="12"/>
        <v>0</v>
      </c>
      <c r="AC154" s="68">
        <f t="shared" ca="1" si="13"/>
        <v>4.1666666666666665E-5</v>
      </c>
      <c r="AD154" s="68">
        <f t="shared" ca="1" si="14"/>
        <v>0</v>
      </c>
      <c r="AE154" s="55"/>
      <c r="AF154" s="68">
        <v>1.2500008594873435E-5</v>
      </c>
      <c r="AG154" s="81">
        <v>2.5000034375999292E-5</v>
      </c>
      <c r="AH154" s="68">
        <v>5.0000137497008268E-5</v>
      </c>
      <c r="AI154" s="55"/>
    </row>
    <row r="155" spans="1:35" x14ac:dyDescent="0.2">
      <c r="A155" s="27">
        <f>'Cash Flow'!A155</f>
        <v>149</v>
      </c>
      <c r="B155" s="49">
        <f>'Cash Flow'!B155</f>
        <v>43647</v>
      </c>
      <c r="C155" s="56">
        <f>'Cash Flow'!C155</f>
        <v>8.3333333333333329E-2</v>
      </c>
      <c r="D155" s="55"/>
      <c r="E155" s="57">
        <v>6.9369000000000056E-2</v>
      </c>
      <c r="F155" s="57"/>
      <c r="G155" s="57"/>
      <c r="H155" s="57"/>
      <c r="I155" s="57">
        <v>0.04</v>
      </c>
      <c r="J155" s="57"/>
      <c r="K155" s="57"/>
      <c r="L155" s="55"/>
      <c r="M155" s="78">
        <v>5.1430128318229462E-3</v>
      </c>
      <c r="N155" s="78">
        <v>0.01</v>
      </c>
      <c r="Q155" s="57"/>
      <c r="S155" s="55"/>
      <c r="T155" s="79">
        <f ca="1">OFFSET('Loss Timing'!D$6,MATCH($A155,'Loss Timing'!$A$7:$A$36,1),0)/12/PmtFreqAdd</f>
        <v>2.7777777777777779E-3</v>
      </c>
      <c r="U155" s="79">
        <f ca="1">OFFSET('Loss Timing'!E$6,MATCH($A155,'Loss Timing'!$A$7:$A$36,1),0)/12/PmtFreqAdd</f>
        <v>8.3333333333333332E-3</v>
      </c>
      <c r="V155" s="79">
        <f ca="1">OFFSET('Loss Timing'!F$6,MATCH($A155,'Loss Timing'!$A$7:$A$36,1),0)/12/PmtFreqAdd</f>
        <v>0</v>
      </c>
      <c r="W155" s="79">
        <f ca="1">OFFSET('Loss Timing'!G$6,MATCH($A155,'Loss Timing'!$A$7:$A$36,1),0)/12/PmtFreqAdd</f>
        <v>4.1666666666666666E-3</v>
      </c>
      <c r="X155" s="79">
        <f ca="1">OFFSET('Loss Timing'!H$6,MATCH($A155,'Loss Timing'!$A$7:$A$36,1),0)/12/PmtFreqAdd</f>
        <v>0</v>
      </c>
      <c r="Y155" s="55"/>
      <c r="Z155" s="68">
        <f t="shared" ca="1" si="10"/>
        <v>2.7777777777777779E-5</v>
      </c>
      <c r="AA155" s="68">
        <f t="shared" ca="1" si="11"/>
        <v>8.3333333333333331E-5</v>
      </c>
      <c r="AB155" s="68">
        <f t="shared" ca="1" si="12"/>
        <v>0</v>
      </c>
      <c r="AC155" s="68">
        <f t="shared" ca="1" si="13"/>
        <v>4.1666666666666665E-5</v>
      </c>
      <c r="AD155" s="68">
        <f t="shared" ca="1" si="14"/>
        <v>0</v>
      </c>
      <c r="AE155" s="55"/>
      <c r="AF155" s="68">
        <v>1.2500008594873435E-5</v>
      </c>
      <c r="AG155" s="81">
        <v>2.5000034375999292E-5</v>
      </c>
      <c r="AH155" s="68">
        <v>5.0000137497008268E-5</v>
      </c>
      <c r="AI155" s="55"/>
    </row>
    <row r="156" spans="1:35" x14ac:dyDescent="0.2">
      <c r="A156" s="27">
        <f>'Cash Flow'!A156</f>
        <v>150</v>
      </c>
      <c r="B156" s="49">
        <f>'Cash Flow'!B156</f>
        <v>43678</v>
      </c>
      <c r="C156" s="56">
        <f>'Cash Flow'!C156</f>
        <v>8.3333333333333329E-2</v>
      </c>
      <c r="D156" s="55"/>
      <c r="E156" s="57">
        <v>6.9369000000000056E-2</v>
      </c>
      <c r="F156" s="57"/>
      <c r="G156" s="57"/>
      <c r="H156" s="57"/>
      <c r="I156" s="57">
        <v>0.04</v>
      </c>
      <c r="J156" s="57"/>
      <c r="K156" s="57"/>
      <c r="L156" s="55"/>
      <c r="M156" s="78">
        <v>5.1430128318229462E-3</v>
      </c>
      <c r="N156" s="78">
        <v>0.01</v>
      </c>
      <c r="Q156" s="57"/>
      <c r="S156" s="55"/>
      <c r="T156" s="79">
        <f ca="1">OFFSET('Loss Timing'!D$6,MATCH($A156,'Loss Timing'!$A$7:$A$36,1),0)/12/PmtFreqAdd</f>
        <v>2.7777777777777779E-3</v>
      </c>
      <c r="U156" s="79">
        <f ca="1">OFFSET('Loss Timing'!E$6,MATCH($A156,'Loss Timing'!$A$7:$A$36,1),0)/12/PmtFreqAdd</f>
        <v>8.3333333333333332E-3</v>
      </c>
      <c r="V156" s="79">
        <f ca="1">OFFSET('Loss Timing'!F$6,MATCH($A156,'Loss Timing'!$A$7:$A$36,1),0)/12/PmtFreqAdd</f>
        <v>0</v>
      </c>
      <c r="W156" s="79">
        <f ca="1">OFFSET('Loss Timing'!G$6,MATCH($A156,'Loss Timing'!$A$7:$A$36,1),0)/12/PmtFreqAdd</f>
        <v>4.1666666666666666E-3</v>
      </c>
      <c r="X156" s="79">
        <f ca="1">OFFSET('Loss Timing'!H$6,MATCH($A156,'Loss Timing'!$A$7:$A$36,1),0)/12/PmtFreqAdd</f>
        <v>0</v>
      </c>
      <c r="Y156" s="55"/>
      <c r="Z156" s="68">
        <f t="shared" ca="1" si="10"/>
        <v>2.7777777777777779E-5</v>
      </c>
      <c r="AA156" s="68">
        <f t="shared" ca="1" si="11"/>
        <v>8.3333333333333331E-5</v>
      </c>
      <c r="AB156" s="68">
        <f t="shared" ca="1" si="12"/>
        <v>0</v>
      </c>
      <c r="AC156" s="68">
        <f t="shared" ca="1" si="13"/>
        <v>4.1666666666666665E-5</v>
      </c>
      <c r="AD156" s="68">
        <f t="shared" ca="1" si="14"/>
        <v>0</v>
      </c>
      <c r="AE156" s="55"/>
      <c r="AF156" s="68">
        <v>1.2500008594873435E-5</v>
      </c>
      <c r="AG156" s="81">
        <v>2.5000034375999292E-5</v>
      </c>
      <c r="AH156" s="68">
        <v>5.0000137497008268E-5</v>
      </c>
      <c r="AI156" s="55"/>
    </row>
    <row r="157" spans="1:35" x14ac:dyDescent="0.2">
      <c r="A157" s="27">
        <f>'Cash Flow'!A157</f>
        <v>151</v>
      </c>
      <c r="B157" s="49">
        <f>'Cash Flow'!B157</f>
        <v>43709</v>
      </c>
      <c r="C157" s="56">
        <f>'Cash Flow'!C157</f>
        <v>8.3333333333333329E-2</v>
      </c>
      <c r="D157" s="55"/>
      <c r="E157" s="57">
        <v>6.9369000000000056E-2</v>
      </c>
      <c r="F157" s="57"/>
      <c r="G157" s="57"/>
      <c r="H157" s="57"/>
      <c r="I157" s="57">
        <v>0.04</v>
      </c>
      <c r="J157" s="57"/>
      <c r="K157" s="57"/>
      <c r="L157" s="55"/>
      <c r="M157" s="78">
        <v>5.1430128318229462E-3</v>
      </c>
      <c r="N157" s="78">
        <v>0.01</v>
      </c>
      <c r="Q157" s="57"/>
      <c r="S157" s="55"/>
      <c r="T157" s="79">
        <f ca="1">OFFSET('Loss Timing'!D$6,MATCH($A157,'Loss Timing'!$A$7:$A$36,1),0)/12/PmtFreqAdd</f>
        <v>2.7777777777777779E-3</v>
      </c>
      <c r="U157" s="79">
        <f ca="1">OFFSET('Loss Timing'!E$6,MATCH($A157,'Loss Timing'!$A$7:$A$36,1),0)/12/PmtFreqAdd</f>
        <v>8.3333333333333332E-3</v>
      </c>
      <c r="V157" s="79">
        <f ca="1">OFFSET('Loss Timing'!F$6,MATCH($A157,'Loss Timing'!$A$7:$A$36,1),0)/12/PmtFreqAdd</f>
        <v>0</v>
      </c>
      <c r="W157" s="79">
        <f ca="1">OFFSET('Loss Timing'!G$6,MATCH($A157,'Loss Timing'!$A$7:$A$36,1),0)/12/PmtFreqAdd</f>
        <v>4.1666666666666666E-3</v>
      </c>
      <c r="X157" s="79">
        <f ca="1">OFFSET('Loss Timing'!H$6,MATCH($A157,'Loss Timing'!$A$7:$A$36,1),0)/12/PmtFreqAdd</f>
        <v>0</v>
      </c>
      <c r="Y157" s="55"/>
      <c r="Z157" s="68">
        <f t="shared" ca="1" si="10"/>
        <v>2.7777777777777779E-5</v>
      </c>
      <c r="AA157" s="68">
        <f t="shared" ca="1" si="11"/>
        <v>8.3333333333333331E-5</v>
      </c>
      <c r="AB157" s="68">
        <f t="shared" ca="1" si="12"/>
        <v>0</v>
      </c>
      <c r="AC157" s="68">
        <f t="shared" ca="1" si="13"/>
        <v>4.1666666666666665E-5</v>
      </c>
      <c r="AD157" s="68">
        <f t="shared" ca="1" si="14"/>
        <v>0</v>
      </c>
      <c r="AE157" s="55"/>
      <c r="AF157" s="68">
        <v>1.2500008594873435E-5</v>
      </c>
      <c r="AG157" s="81">
        <v>2.5000034375999292E-5</v>
      </c>
      <c r="AH157" s="68">
        <v>5.0000137497008268E-5</v>
      </c>
      <c r="AI157" s="55"/>
    </row>
    <row r="158" spans="1:35" x14ac:dyDescent="0.2">
      <c r="A158" s="27">
        <f>'Cash Flow'!A158</f>
        <v>152</v>
      </c>
      <c r="B158" s="49">
        <f>'Cash Flow'!B158</f>
        <v>43739</v>
      </c>
      <c r="C158" s="56">
        <f>'Cash Flow'!C158</f>
        <v>8.3333333333333329E-2</v>
      </c>
      <c r="D158" s="55"/>
      <c r="E158" s="57">
        <v>6.9369000000000056E-2</v>
      </c>
      <c r="F158" s="57"/>
      <c r="G158" s="57"/>
      <c r="H158" s="57"/>
      <c r="I158" s="57">
        <v>0.04</v>
      </c>
      <c r="J158" s="57"/>
      <c r="K158" s="57"/>
      <c r="L158" s="55"/>
      <c r="M158" s="78">
        <v>5.1430128318229462E-3</v>
      </c>
      <c r="N158" s="78">
        <v>0.01</v>
      </c>
      <c r="Q158" s="57"/>
      <c r="S158" s="55"/>
      <c r="T158" s="79">
        <f ca="1">OFFSET('Loss Timing'!D$6,MATCH($A158,'Loss Timing'!$A$7:$A$36,1),0)/12/PmtFreqAdd</f>
        <v>2.7777777777777779E-3</v>
      </c>
      <c r="U158" s="79">
        <f ca="1">OFFSET('Loss Timing'!E$6,MATCH($A158,'Loss Timing'!$A$7:$A$36,1),0)/12/PmtFreqAdd</f>
        <v>8.3333333333333332E-3</v>
      </c>
      <c r="V158" s="79">
        <f ca="1">OFFSET('Loss Timing'!F$6,MATCH($A158,'Loss Timing'!$A$7:$A$36,1),0)/12/PmtFreqAdd</f>
        <v>0</v>
      </c>
      <c r="W158" s="79">
        <f ca="1">OFFSET('Loss Timing'!G$6,MATCH($A158,'Loss Timing'!$A$7:$A$36,1),0)/12/PmtFreqAdd</f>
        <v>4.1666666666666666E-3</v>
      </c>
      <c r="X158" s="79">
        <f ca="1">OFFSET('Loss Timing'!H$6,MATCH($A158,'Loss Timing'!$A$7:$A$36,1),0)/12/PmtFreqAdd</f>
        <v>0</v>
      </c>
      <c r="Y158" s="55"/>
      <c r="Z158" s="68">
        <f t="shared" ca="1" si="10"/>
        <v>2.7777777777777779E-5</v>
      </c>
      <c r="AA158" s="68">
        <f t="shared" ca="1" si="11"/>
        <v>8.3333333333333331E-5</v>
      </c>
      <c r="AB158" s="68">
        <f t="shared" ca="1" si="12"/>
        <v>0</v>
      </c>
      <c r="AC158" s="68">
        <f t="shared" ca="1" si="13"/>
        <v>4.1666666666666665E-5</v>
      </c>
      <c r="AD158" s="68">
        <f t="shared" ca="1" si="14"/>
        <v>0</v>
      </c>
      <c r="AE158" s="55"/>
      <c r="AF158" s="68">
        <v>1.2500008594873435E-5</v>
      </c>
      <c r="AG158" s="81">
        <v>2.5000034375999292E-5</v>
      </c>
      <c r="AH158" s="68">
        <v>5.0000137497008268E-5</v>
      </c>
      <c r="AI158" s="55"/>
    </row>
    <row r="159" spans="1:35" x14ac:dyDescent="0.2">
      <c r="A159" s="27">
        <f>'Cash Flow'!A159</f>
        <v>153</v>
      </c>
      <c r="B159" s="49">
        <f>'Cash Flow'!B159</f>
        <v>43770</v>
      </c>
      <c r="C159" s="56">
        <f>'Cash Flow'!C159</f>
        <v>8.3333333333333329E-2</v>
      </c>
      <c r="D159" s="55"/>
      <c r="E159" s="57">
        <v>6.9369000000000056E-2</v>
      </c>
      <c r="F159" s="57"/>
      <c r="G159" s="57"/>
      <c r="H159" s="57"/>
      <c r="I159" s="57">
        <v>0.04</v>
      </c>
      <c r="J159" s="57"/>
      <c r="K159" s="57"/>
      <c r="L159" s="55"/>
      <c r="M159" s="78">
        <v>5.1430128318229462E-3</v>
      </c>
      <c r="N159" s="78">
        <v>0.01</v>
      </c>
      <c r="Q159" s="57"/>
      <c r="S159" s="55"/>
      <c r="T159" s="79">
        <f ca="1">OFFSET('Loss Timing'!D$6,MATCH($A159,'Loss Timing'!$A$7:$A$36,1),0)/12/PmtFreqAdd</f>
        <v>2.7777777777777779E-3</v>
      </c>
      <c r="U159" s="79">
        <f ca="1">OFFSET('Loss Timing'!E$6,MATCH($A159,'Loss Timing'!$A$7:$A$36,1),0)/12/PmtFreqAdd</f>
        <v>8.3333333333333332E-3</v>
      </c>
      <c r="V159" s="79">
        <f ca="1">OFFSET('Loss Timing'!F$6,MATCH($A159,'Loss Timing'!$A$7:$A$36,1),0)/12/PmtFreqAdd</f>
        <v>0</v>
      </c>
      <c r="W159" s="79">
        <f ca="1">OFFSET('Loss Timing'!G$6,MATCH($A159,'Loss Timing'!$A$7:$A$36,1),0)/12/PmtFreqAdd</f>
        <v>4.1666666666666666E-3</v>
      </c>
      <c r="X159" s="79">
        <f ca="1">OFFSET('Loss Timing'!H$6,MATCH($A159,'Loss Timing'!$A$7:$A$36,1),0)/12/PmtFreqAdd</f>
        <v>0</v>
      </c>
      <c r="Y159" s="55"/>
      <c r="Z159" s="68">
        <f t="shared" ca="1" si="10"/>
        <v>2.7777777777777779E-5</v>
      </c>
      <c r="AA159" s="68">
        <f t="shared" ca="1" si="11"/>
        <v>8.3333333333333331E-5</v>
      </c>
      <c r="AB159" s="68">
        <f t="shared" ca="1" si="12"/>
        <v>0</v>
      </c>
      <c r="AC159" s="68">
        <f t="shared" ca="1" si="13"/>
        <v>4.1666666666666665E-5</v>
      </c>
      <c r="AD159" s="68">
        <f t="shared" ca="1" si="14"/>
        <v>0</v>
      </c>
      <c r="AE159" s="55"/>
      <c r="AF159" s="68">
        <v>1.2500008594873435E-5</v>
      </c>
      <c r="AG159" s="81">
        <v>2.5000034375999292E-5</v>
      </c>
      <c r="AH159" s="68">
        <v>5.0000137497008268E-5</v>
      </c>
      <c r="AI159" s="55"/>
    </row>
    <row r="160" spans="1:35" x14ac:dyDescent="0.2">
      <c r="A160" s="27">
        <f>'Cash Flow'!A160</f>
        <v>154</v>
      </c>
      <c r="B160" s="49">
        <f>'Cash Flow'!B160</f>
        <v>43800</v>
      </c>
      <c r="C160" s="56">
        <f>'Cash Flow'!C160</f>
        <v>8.3333333333333329E-2</v>
      </c>
      <c r="D160" s="55"/>
      <c r="E160" s="57">
        <v>6.9369000000000056E-2</v>
      </c>
      <c r="F160" s="57"/>
      <c r="G160" s="57"/>
      <c r="H160" s="57"/>
      <c r="I160" s="57">
        <v>0.04</v>
      </c>
      <c r="J160" s="57"/>
      <c r="K160" s="57"/>
      <c r="L160" s="55"/>
      <c r="M160" s="78">
        <v>5.1430128318229462E-3</v>
      </c>
      <c r="N160" s="78">
        <v>0.01</v>
      </c>
      <c r="Q160" s="57"/>
      <c r="S160" s="55"/>
      <c r="T160" s="79">
        <f ca="1">OFFSET('Loss Timing'!D$6,MATCH($A160,'Loss Timing'!$A$7:$A$36,1),0)/12/PmtFreqAdd</f>
        <v>2.7777777777777779E-3</v>
      </c>
      <c r="U160" s="79">
        <f ca="1">OFFSET('Loss Timing'!E$6,MATCH($A160,'Loss Timing'!$A$7:$A$36,1),0)/12/PmtFreqAdd</f>
        <v>8.3333333333333332E-3</v>
      </c>
      <c r="V160" s="79">
        <f ca="1">OFFSET('Loss Timing'!F$6,MATCH($A160,'Loss Timing'!$A$7:$A$36,1),0)/12/PmtFreqAdd</f>
        <v>0</v>
      </c>
      <c r="W160" s="79">
        <f ca="1">OFFSET('Loss Timing'!G$6,MATCH($A160,'Loss Timing'!$A$7:$A$36,1),0)/12/PmtFreqAdd</f>
        <v>4.1666666666666666E-3</v>
      </c>
      <c r="X160" s="79">
        <f ca="1">OFFSET('Loss Timing'!H$6,MATCH($A160,'Loss Timing'!$A$7:$A$36,1),0)/12/PmtFreqAdd</f>
        <v>0</v>
      </c>
      <c r="Y160" s="55"/>
      <c r="Z160" s="68">
        <f t="shared" ca="1" si="10"/>
        <v>2.7777777777777779E-5</v>
      </c>
      <c r="AA160" s="68">
        <f t="shared" ca="1" si="11"/>
        <v>8.3333333333333331E-5</v>
      </c>
      <c r="AB160" s="68">
        <f t="shared" ca="1" si="12"/>
        <v>0</v>
      </c>
      <c r="AC160" s="68">
        <f t="shared" ca="1" si="13"/>
        <v>4.1666666666666665E-5</v>
      </c>
      <c r="AD160" s="68">
        <f t="shared" ca="1" si="14"/>
        <v>0</v>
      </c>
      <c r="AE160" s="55"/>
      <c r="AF160" s="68">
        <v>1.2500008594873435E-5</v>
      </c>
      <c r="AG160" s="81">
        <v>2.5000034375999292E-5</v>
      </c>
      <c r="AH160" s="68">
        <v>5.0000137497008268E-5</v>
      </c>
      <c r="AI160" s="55"/>
    </row>
    <row r="161" spans="1:35" x14ac:dyDescent="0.2">
      <c r="A161" s="27">
        <f>'Cash Flow'!A161</f>
        <v>155</v>
      </c>
      <c r="B161" s="49">
        <f>'Cash Flow'!B161</f>
        <v>43831</v>
      </c>
      <c r="C161" s="56">
        <f>'Cash Flow'!C161</f>
        <v>8.3333333333333329E-2</v>
      </c>
      <c r="D161" s="55"/>
      <c r="E161" s="57">
        <v>6.9369000000000056E-2</v>
      </c>
      <c r="F161" s="57"/>
      <c r="G161" s="57"/>
      <c r="H161" s="57"/>
      <c r="I161" s="57">
        <v>0.04</v>
      </c>
      <c r="J161" s="57"/>
      <c r="K161" s="57"/>
      <c r="L161" s="55"/>
      <c r="M161" s="78">
        <v>5.1430128318229462E-3</v>
      </c>
      <c r="N161" s="78">
        <v>0.01</v>
      </c>
      <c r="Q161" s="57"/>
      <c r="S161" s="55"/>
      <c r="T161" s="79">
        <f ca="1">OFFSET('Loss Timing'!D$6,MATCH($A161,'Loss Timing'!$A$7:$A$36,1),0)/12/PmtFreqAdd</f>
        <v>2.7777777777777779E-3</v>
      </c>
      <c r="U161" s="79">
        <f ca="1">OFFSET('Loss Timing'!E$6,MATCH($A161,'Loss Timing'!$A$7:$A$36,1),0)/12/PmtFreqAdd</f>
        <v>8.3333333333333332E-3</v>
      </c>
      <c r="V161" s="79">
        <f ca="1">OFFSET('Loss Timing'!F$6,MATCH($A161,'Loss Timing'!$A$7:$A$36,1),0)/12/PmtFreqAdd</f>
        <v>0</v>
      </c>
      <c r="W161" s="79">
        <f ca="1">OFFSET('Loss Timing'!G$6,MATCH($A161,'Loss Timing'!$A$7:$A$36,1),0)/12/PmtFreqAdd</f>
        <v>4.1666666666666666E-3</v>
      </c>
      <c r="X161" s="79">
        <f ca="1">OFFSET('Loss Timing'!H$6,MATCH($A161,'Loss Timing'!$A$7:$A$36,1),0)/12/PmtFreqAdd</f>
        <v>0</v>
      </c>
      <c r="Y161" s="55"/>
      <c r="Z161" s="68">
        <f t="shared" ca="1" si="10"/>
        <v>2.7777777777777779E-5</v>
      </c>
      <c r="AA161" s="68">
        <f t="shared" ca="1" si="11"/>
        <v>8.3333333333333331E-5</v>
      </c>
      <c r="AB161" s="68">
        <f t="shared" ca="1" si="12"/>
        <v>0</v>
      </c>
      <c r="AC161" s="68">
        <f t="shared" ca="1" si="13"/>
        <v>4.1666666666666665E-5</v>
      </c>
      <c r="AD161" s="68">
        <f t="shared" ca="1" si="14"/>
        <v>0</v>
      </c>
      <c r="AE161" s="55"/>
      <c r="AF161" s="68">
        <v>1.2500008594873435E-5</v>
      </c>
      <c r="AG161" s="81">
        <v>2.5000034375999292E-5</v>
      </c>
      <c r="AH161" s="68">
        <v>5.0000137497008268E-5</v>
      </c>
      <c r="AI161" s="55"/>
    </row>
    <row r="162" spans="1:35" x14ac:dyDescent="0.2">
      <c r="A162" s="27">
        <f>'Cash Flow'!A162</f>
        <v>156</v>
      </c>
      <c r="B162" s="49">
        <f>'Cash Flow'!B162</f>
        <v>43862</v>
      </c>
      <c r="C162" s="56">
        <f>'Cash Flow'!C162</f>
        <v>8.3333333333333329E-2</v>
      </c>
      <c r="D162" s="55"/>
      <c r="E162" s="57">
        <v>6.9369000000000056E-2</v>
      </c>
      <c r="F162" s="57"/>
      <c r="G162" s="57"/>
      <c r="H162" s="57"/>
      <c r="I162" s="57">
        <v>0.04</v>
      </c>
      <c r="J162" s="57"/>
      <c r="K162" s="57"/>
      <c r="L162" s="55"/>
      <c r="M162" s="78">
        <v>5.1430128318229462E-3</v>
      </c>
      <c r="N162" s="78">
        <v>0.01</v>
      </c>
      <c r="Q162" s="57"/>
      <c r="S162" s="55"/>
      <c r="T162" s="79">
        <f ca="1">OFFSET('Loss Timing'!D$6,MATCH($A162,'Loss Timing'!$A$7:$A$36,1),0)/12/PmtFreqAdd</f>
        <v>2.7777777777777779E-3</v>
      </c>
      <c r="U162" s="79">
        <f ca="1">OFFSET('Loss Timing'!E$6,MATCH($A162,'Loss Timing'!$A$7:$A$36,1),0)/12/PmtFreqAdd</f>
        <v>8.3333333333333332E-3</v>
      </c>
      <c r="V162" s="79">
        <f ca="1">OFFSET('Loss Timing'!F$6,MATCH($A162,'Loss Timing'!$A$7:$A$36,1),0)/12/PmtFreqAdd</f>
        <v>0</v>
      </c>
      <c r="W162" s="79">
        <f ca="1">OFFSET('Loss Timing'!G$6,MATCH($A162,'Loss Timing'!$A$7:$A$36,1),0)/12/PmtFreqAdd</f>
        <v>4.1666666666666666E-3</v>
      </c>
      <c r="X162" s="79">
        <f ca="1">OFFSET('Loss Timing'!H$6,MATCH($A162,'Loss Timing'!$A$7:$A$36,1),0)/12/PmtFreqAdd</f>
        <v>0</v>
      </c>
      <c r="Y162" s="55"/>
      <c r="Z162" s="68">
        <f t="shared" ca="1" si="10"/>
        <v>2.7777777777777779E-5</v>
      </c>
      <c r="AA162" s="68">
        <f t="shared" ca="1" si="11"/>
        <v>8.3333333333333331E-5</v>
      </c>
      <c r="AB162" s="68">
        <f t="shared" ca="1" si="12"/>
        <v>0</v>
      </c>
      <c r="AC162" s="68">
        <f t="shared" ca="1" si="13"/>
        <v>4.1666666666666665E-5</v>
      </c>
      <c r="AD162" s="68">
        <f t="shared" ca="1" si="14"/>
        <v>0</v>
      </c>
      <c r="AE162" s="55"/>
      <c r="AF162" s="68">
        <v>1.2500008594873435E-5</v>
      </c>
      <c r="AG162" s="81">
        <v>2.5000034375999292E-5</v>
      </c>
      <c r="AH162" s="68">
        <v>5.0000137497008268E-5</v>
      </c>
      <c r="AI162" s="55"/>
    </row>
    <row r="163" spans="1:35" x14ac:dyDescent="0.2">
      <c r="A163" s="27">
        <f>'Cash Flow'!A163</f>
        <v>157</v>
      </c>
      <c r="B163" s="49">
        <f>'Cash Flow'!B163</f>
        <v>43891</v>
      </c>
      <c r="C163" s="56">
        <f>'Cash Flow'!C163</f>
        <v>8.3333333333333329E-2</v>
      </c>
      <c r="D163" s="55"/>
      <c r="E163" s="57">
        <v>6.9369000000000056E-2</v>
      </c>
      <c r="F163" s="57"/>
      <c r="G163" s="57"/>
      <c r="H163" s="57"/>
      <c r="I163" s="57">
        <v>0.04</v>
      </c>
      <c r="J163" s="57"/>
      <c r="K163" s="57"/>
      <c r="L163" s="55"/>
      <c r="M163" s="78">
        <v>5.1430128318229462E-3</v>
      </c>
      <c r="N163" s="78">
        <v>0.01</v>
      </c>
      <c r="Q163" s="57"/>
      <c r="S163" s="55"/>
      <c r="T163" s="79">
        <f ca="1">OFFSET('Loss Timing'!D$6,MATCH($A163,'Loss Timing'!$A$7:$A$36,1),0)/12/PmtFreqAdd</f>
        <v>2.7777777777777779E-3</v>
      </c>
      <c r="U163" s="79">
        <f ca="1">OFFSET('Loss Timing'!E$6,MATCH($A163,'Loss Timing'!$A$7:$A$36,1),0)/12/PmtFreqAdd</f>
        <v>2.0833333333333333E-3</v>
      </c>
      <c r="V163" s="79">
        <f ca="1">OFFSET('Loss Timing'!F$6,MATCH($A163,'Loss Timing'!$A$7:$A$36,1),0)/12/PmtFreqAdd</f>
        <v>0</v>
      </c>
      <c r="W163" s="79">
        <f ca="1">OFFSET('Loss Timing'!G$6,MATCH($A163,'Loss Timing'!$A$7:$A$36,1),0)/12/PmtFreqAdd</f>
        <v>6.2499999999999995E-3</v>
      </c>
      <c r="X163" s="79">
        <f ca="1">OFFSET('Loss Timing'!H$6,MATCH($A163,'Loss Timing'!$A$7:$A$36,1),0)/12/PmtFreqAdd</f>
        <v>0</v>
      </c>
      <c r="Y163" s="55"/>
      <c r="Z163" s="68">
        <f t="shared" ca="1" si="10"/>
        <v>2.7777777777777779E-5</v>
      </c>
      <c r="AA163" s="68">
        <f t="shared" ca="1" si="11"/>
        <v>2.0833333333333333E-5</v>
      </c>
      <c r="AB163" s="68">
        <f t="shared" ca="1" si="12"/>
        <v>0</v>
      </c>
      <c r="AC163" s="68">
        <f t="shared" ca="1" si="13"/>
        <v>6.2500000000000001E-5</v>
      </c>
      <c r="AD163" s="68">
        <f t="shared" ca="1" si="14"/>
        <v>0</v>
      </c>
      <c r="AE163" s="55"/>
      <c r="AF163" s="68">
        <v>1.2500008594873435E-5</v>
      </c>
      <c r="AG163" s="81">
        <v>2.5000034375999292E-5</v>
      </c>
      <c r="AH163" s="68">
        <v>5.0000137497008268E-5</v>
      </c>
      <c r="AI163" s="55"/>
    </row>
    <row r="164" spans="1:35" x14ac:dyDescent="0.2">
      <c r="A164" s="27">
        <f>'Cash Flow'!A164</f>
        <v>158</v>
      </c>
      <c r="B164" s="49">
        <f>'Cash Flow'!B164</f>
        <v>43922</v>
      </c>
      <c r="C164" s="56">
        <f>'Cash Flow'!C164</f>
        <v>8.3333333333333329E-2</v>
      </c>
      <c r="D164" s="55"/>
      <c r="E164" s="57">
        <v>6.9369000000000056E-2</v>
      </c>
      <c r="F164" s="57"/>
      <c r="G164" s="57"/>
      <c r="H164" s="57"/>
      <c r="I164" s="57">
        <v>0.04</v>
      </c>
      <c r="J164" s="57"/>
      <c r="K164" s="57"/>
      <c r="L164" s="55"/>
      <c r="M164" s="78">
        <v>5.1430128318229462E-3</v>
      </c>
      <c r="N164" s="78">
        <v>0.01</v>
      </c>
      <c r="Q164" s="57"/>
      <c r="S164" s="55"/>
      <c r="T164" s="79">
        <f ca="1">OFFSET('Loss Timing'!D$6,MATCH($A164,'Loss Timing'!$A$7:$A$36,1),0)/12/PmtFreqAdd</f>
        <v>2.7777777777777779E-3</v>
      </c>
      <c r="U164" s="79">
        <f ca="1">OFFSET('Loss Timing'!E$6,MATCH($A164,'Loss Timing'!$A$7:$A$36,1),0)/12/PmtFreqAdd</f>
        <v>2.0833333333333333E-3</v>
      </c>
      <c r="V164" s="79">
        <f ca="1">OFFSET('Loss Timing'!F$6,MATCH($A164,'Loss Timing'!$A$7:$A$36,1),0)/12/PmtFreqAdd</f>
        <v>0</v>
      </c>
      <c r="W164" s="79">
        <f ca="1">OFFSET('Loss Timing'!G$6,MATCH($A164,'Loss Timing'!$A$7:$A$36,1),0)/12/PmtFreqAdd</f>
        <v>6.2499999999999995E-3</v>
      </c>
      <c r="X164" s="79">
        <f ca="1">OFFSET('Loss Timing'!H$6,MATCH($A164,'Loss Timing'!$A$7:$A$36,1),0)/12/PmtFreqAdd</f>
        <v>0</v>
      </c>
      <c r="Y164" s="55"/>
      <c r="Z164" s="68">
        <f t="shared" ca="1" si="10"/>
        <v>2.7777777777777779E-5</v>
      </c>
      <c r="AA164" s="68">
        <f t="shared" ca="1" si="11"/>
        <v>2.0833333333333333E-5</v>
      </c>
      <c r="AB164" s="68">
        <f t="shared" ca="1" si="12"/>
        <v>0</v>
      </c>
      <c r="AC164" s="68">
        <f t="shared" ca="1" si="13"/>
        <v>6.2500000000000001E-5</v>
      </c>
      <c r="AD164" s="68">
        <f t="shared" ca="1" si="14"/>
        <v>0</v>
      </c>
      <c r="AE164" s="55"/>
      <c r="AF164" s="68">
        <v>1.2500008594873435E-5</v>
      </c>
      <c r="AG164" s="81">
        <v>2.5000034375999292E-5</v>
      </c>
      <c r="AH164" s="68">
        <v>5.0000137497008268E-5</v>
      </c>
      <c r="AI164" s="55"/>
    </row>
    <row r="165" spans="1:35" x14ac:dyDescent="0.2">
      <c r="A165" s="27">
        <f>'Cash Flow'!A165</f>
        <v>159</v>
      </c>
      <c r="B165" s="49">
        <f>'Cash Flow'!B165</f>
        <v>43952</v>
      </c>
      <c r="C165" s="56">
        <f>'Cash Flow'!C165</f>
        <v>8.3333333333333329E-2</v>
      </c>
      <c r="D165" s="55"/>
      <c r="E165" s="57">
        <v>6.9369000000000056E-2</v>
      </c>
      <c r="F165" s="57"/>
      <c r="G165" s="57"/>
      <c r="H165" s="57"/>
      <c r="I165" s="57">
        <v>0.04</v>
      </c>
      <c r="J165" s="57"/>
      <c r="K165" s="57"/>
      <c r="L165" s="55"/>
      <c r="M165" s="78">
        <v>5.1430128318229462E-3</v>
      </c>
      <c r="N165" s="78">
        <v>0.01</v>
      </c>
      <c r="Q165" s="57"/>
      <c r="S165" s="55"/>
      <c r="T165" s="79">
        <f ca="1">OFFSET('Loss Timing'!D$6,MATCH($A165,'Loss Timing'!$A$7:$A$36,1),0)/12/PmtFreqAdd</f>
        <v>2.7777777777777779E-3</v>
      </c>
      <c r="U165" s="79">
        <f ca="1">OFFSET('Loss Timing'!E$6,MATCH($A165,'Loss Timing'!$A$7:$A$36,1),0)/12/PmtFreqAdd</f>
        <v>2.0833333333333333E-3</v>
      </c>
      <c r="V165" s="79">
        <f ca="1">OFFSET('Loss Timing'!F$6,MATCH($A165,'Loss Timing'!$A$7:$A$36,1),0)/12/PmtFreqAdd</f>
        <v>0</v>
      </c>
      <c r="W165" s="79">
        <f ca="1">OFFSET('Loss Timing'!G$6,MATCH($A165,'Loss Timing'!$A$7:$A$36,1),0)/12/PmtFreqAdd</f>
        <v>6.2499999999999995E-3</v>
      </c>
      <c r="X165" s="79">
        <f ca="1">OFFSET('Loss Timing'!H$6,MATCH($A165,'Loss Timing'!$A$7:$A$36,1),0)/12/PmtFreqAdd</f>
        <v>0</v>
      </c>
      <c r="Y165" s="55"/>
      <c r="Z165" s="68">
        <f t="shared" ca="1" si="10"/>
        <v>2.7777777777777779E-5</v>
      </c>
      <c r="AA165" s="68">
        <f t="shared" ca="1" si="11"/>
        <v>2.0833333333333333E-5</v>
      </c>
      <c r="AB165" s="68">
        <f t="shared" ca="1" si="12"/>
        <v>0</v>
      </c>
      <c r="AC165" s="68">
        <f t="shared" ca="1" si="13"/>
        <v>6.2500000000000001E-5</v>
      </c>
      <c r="AD165" s="68">
        <f t="shared" ca="1" si="14"/>
        <v>0</v>
      </c>
      <c r="AE165" s="55"/>
      <c r="AF165" s="68">
        <v>1.2500008594873435E-5</v>
      </c>
      <c r="AG165" s="81">
        <v>2.5000034375999292E-5</v>
      </c>
      <c r="AH165" s="68">
        <v>5.0000137497008268E-5</v>
      </c>
      <c r="AI165" s="55"/>
    </row>
    <row r="166" spans="1:35" x14ac:dyDescent="0.2">
      <c r="A166" s="27">
        <f>'Cash Flow'!A166</f>
        <v>160</v>
      </c>
      <c r="B166" s="49">
        <f>'Cash Flow'!B166</f>
        <v>43983</v>
      </c>
      <c r="C166" s="56">
        <f>'Cash Flow'!C166</f>
        <v>8.3333333333333329E-2</v>
      </c>
      <c r="D166" s="55"/>
      <c r="E166" s="57">
        <v>6.9369000000000056E-2</v>
      </c>
      <c r="F166" s="57"/>
      <c r="G166" s="57"/>
      <c r="H166" s="57"/>
      <c r="I166" s="57">
        <v>0.04</v>
      </c>
      <c r="J166" s="57"/>
      <c r="K166" s="57"/>
      <c r="L166" s="55"/>
      <c r="M166" s="78">
        <v>5.1430128318229462E-3</v>
      </c>
      <c r="N166" s="78">
        <v>0.01</v>
      </c>
      <c r="Q166" s="57"/>
      <c r="S166" s="55"/>
      <c r="T166" s="79">
        <f ca="1">OFFSET('Loss Timing'!D$6,MATCH($A166,'Loss Timing'!$A$7:$A$36,1),0)/12/PmtFreqAdd</f>
        <v>2.7777777777777779E-3</v>
      </c>
      <c r="U166" s="79">
        <f ca="1">OFFSET('Loss Timing'!E$6,MATCH($A166,'Loss Timing'!$A$7:$A$36,1),0)/12/PmtFreqAdd</f>
        <v>2.0833333333333333E-3</v>
      </c>
      <c r="V166" s="79">
        <f ca="1">OFFSET('Loss Timing'!F$6,MATCH($A166,'Loss Timing'!$A$7:$A$36,1),0)/12/PmtFreqAdd</f>
        <v>0</v>
      </c>
      <c r="W166" s="79">
        <f ca="1">OFFSET('Loss Timing'!G$6,MATCH($A166,'Loss Timing'!$A$7:$A$36,1),0)/12/PmtFreqAdd</f>
        <v>6.2499999999999995E-3</v>
      </c>
      <c r="X166" s="79">
        <f ca="1">OFFSET('Loss Timing'!H$6,MATCH($A166,'Loss Timing'!$A$7:$A$36,1),0)/12/PmtFreqAdd</f>
        <v>0</v>
      </c>
      <c r="Y166" s="55"/>
      <c r="Z166" s="68">
        <f t="shared" ca="1" si="10"/>
        <v>2.7777777777777779E-5</v>
      </c>
      <c r="AA166" s="68">
        <f t="shared" ca="1" si="11"/>
        <v>2.0833333333333333E-5</v>
      </c>
      <c r="AB166" s="68">
        <f t="shared" ca="1" si="12"/>
        <v>0</v>
      </c>
      <c r="AC166" s="68">
        <f t="shared" ca="1" si="13"/>
        <v>6.2500000000000001E-5</v>
      </c>
      <c r="AD166" s="68">
        <f t="shared" ca="1" si="14"/>
        <v>0</v>
      </c>
      <c r="AE166" s="55"/>
      <c r="AF166" s="68">
        <v>1.2500008594873435E-5</v>
      </c>
      <c r="AG166" s="81">
        <v>2.5000034375999292E-5</v>
      </c>
      <c r="AH166" s="68">
        <v>5.0000137497008268E-5</v>
      </c>
      <c r="AI166" s="55"/>
    </row>
    <row r="167" spans="1:35" x14ac:dyDescent="0.2">
      <c r="A167" s="27">
        <f>'Cash Flow'!A167</f>
        <v>161</v>
      </c>
      <c r="B167" s="49">
        <f>'Cash Flow'!B167</f>
        <v>44013</v>
      </c>
      <c r="C167" s="56">
        <f>'Cash Flow'!C167</f>
        <v>8.3333333333333329E-2</v>
      </c>
      <c r="D167" s="55"/>
      <c r="E167" s="57">
        <v>6.9369000000000056E-2</v>
      </c>
      <c r="F167" s="57"/>
      <c r="G167" s="57"/>
      <c r="H167" s="57"/>
      <c r="I167" s="57">
        <v>0.04</v>
      </c>
      <c r="J167" s="57"/>
      <c r="K167" s="57"/>
      <c r="L167" s="55"/>
      <c r="M167" s="78">
        <v>5.1430128318229462E-3</v>
      </c>
      <c r="N167" s="78">
        <v>0.01</v>
      </c>
      <c r="Q167" s="57"/>
      <c r="S167" s="55"/>
      <c r="T167" s="79">
        <f ca="1">OFFSET('Loss Timing'!D$6,MATCH($A167,'Loss Timing'!$A$7:$A$36,1),0)/12/PmtFreqAdd</f>
        <v>2.7777777777777779E-3</v>
      </c>
      <c r="U167" s="79">
        <f ca="1">OFFSET('Loss Timing'!E$6,MATCH($A167,'Loss Timing'!$A$7:$A$36,1),0)/12/PmtFreqAdd</f>
        <v>2.0833333333333333E-3</v>
      </c>
      <c r="V167" s="79">
        <f ca="1">OFFSET('Loss Timing'!F$6,MATCH($A167,'Loss Timing'!$A$7:$A$36,1),0)/12/PmtFreqAdd</f>
        <v>0</v>
      </c>
      <c r="W167" s="79">
        <f ca="1">OFFSET('Loss Timing'!G$6,MATCH($A167,'Loss Timing'!$A$7:$A$36,1),0)/12/PmtFreqAdd</f>
        <v>6.2499999999999995E-3</v>
      </c>
      <c r="X167" s="79">
        <f ca="1">OFFSET('Loss Timing'!H$6,MATCH($A167,'Loss Timing'!$A$7:$A$36,1),0)/12/PmtFreqAdd</f>
        <v>0</v>
      </c>
      <c r="Y167" s="55"/>
      <c r="Z167" s="68">
        <f t="shared" ca="1" si="10"/>
        <v>2.7777777777777779E-5</v>
      </c>
      <c r="AA167" s="68">
        <f t="shared" ca="1" si="11"/>
        <v>2.0833333333333333E-5</v>
      </c>
      <c r="AB167" s="68">
        <f t="shared" ca="1" si="12"/>
        <v>0</v>
      </c>
      <c r="AC167" s="68">
        <f t="shared" ca="1" si="13"/>
        <v>6.2500000000000001E-5</v>
      </c>
      <c r="AD167" s="68">
        <f t="shared" ca="1" si="14"/>
        <v>0</v>
      </c>
      <c r="AE167" s="55"/>
      <c r="AF167" s="68">
        <v>1.2500008594873435E-5</v>
      </c>
      <c r="AG167" s="81">
        <v>2.5000034375999292E-5</v>
      </c>
      <c r="AH167" s="68">
        <v>5.0000137497008268E-5</v>
      </c>
      <c r="AI167" s="55"/>
    </row>
    <row r="168" spans="1:35" x14ac:dyDescent="0.2">
      <c r="A168" s="27">
        <f>'Cash Flow'!A168</f>
        <v>162</v>
      </c>
      <c r="B168" s="49">
        <f>'Cash Flow'!B168</f>
        <v>44044</v>
      </c>
      <c r="C168" s="56">
        <f>'Cash Flow'!C168</f>
        <v>8.3333333333333329E-2</v>
      </c>
      <c r="D168" s="55"/>
      <c r="E168" s="57">
        <v>6.9369000000000056E-2</v>
      </c>
      <c r="F168" s="57"/>
      <c r="G168" s="57"/>
      <c r="H168" s="57"/>
      <c r="I168" s="57">
        <v>0.04</v>
      </c>
      <c r="J168" s="57"/>
      <c r="K168" s="57"/>
      <c r="L168" s="55"/>
      <c r="M168" s="78">
        <v>5.1430128318229462E-3</v>
      </c>
      <c r="N168" s="78">
        <v>0.01</v>
      </c>
      <c r="Q168" s="57"/>
      <c r="S168" s="55"/>
      <c r="T168" s="79">
        <f ca="1">OFFSET('Loss Timing'!D$6,MATCH($A168,'Loss Timing'!$A$7:$A$36,1),0)/12/PmtFreqAdd</f>
        <v>2.7777777777777779E-3</v>
      </c>
      <c r="U168" s="79">
        <f ca="1">OFFSET('Loss Timing'!E$6,MATCH($A168,'Loss Timing'!$A$7:$A$36,1),0)/12/PmtFreqAdd</f>
        <v>2.0833333333333333E-3</v>
      </c>
      <c r="V168" s="79">
        <f ca="1">OFFSET('Loss Timing'!F$6,MATCH($A168,'Loss Timing'!$A$7:$A$36,1),0)/12/PmtFreqAdd</f>
        <v>0</v>
      </c>
      <c r="W168" s="79">
        <f ca="1">OFFSET('Loss Timing'!G$6,MATCH($A168,'Loss Timing'!$A$7:$A$36,1),0)/12/PmtFreqAdd</f>
        <v>6.2499999999999995E-3</v>
      </c>
      <c r="X168" s="79">
        <f ca="1">OFFSET('Loss Timing'!H$6,MATCH($A168,'Loss Timing'!$A$7:$A$36,1),0)/12/PmtFreqAdd</f>
        <v>0</v>
      </c>
      <c r="Y168" s="55"/>
      <c r="Z168" s="68">
        <f t="shared" ca="1" si="10"/>
        <v>2.7777777777777779E-5</v>
      </c>
      <c r="AA168" s="68">
        <f t="shared" ca="1" si="11"/>
        <v>2.0833333333333333E-5</v>
      </c>
      <c r="AB168" s="68">
        <f t="shared" ca="1" si="12"/>
        <v>0</v>
      </c>
      <c r="AC168" s="68">
        <f t="shared" ca="1" si="13"/>
        <v>6.2500000000000001E-5</v>
      </c>
      <c r="AD168" s="68">
        <f t="shared" ca="1" si="14"/>
        <v>0</v>
      </c>
      <c r="AE168" s="55"/>
      <c r="AF168" s="68">
        <v>1.2500008594873435E-5</v>
      </c>
      <c r="AG168" s="81">
        <v>2.5000034375999292E-5</v>
      </c>
      <c r="AH168" s="68">
        <v>5.0000137497008268E-5</v>
      </c>
      <c r="AI168" s="55"/>
    </row>
    <row r="169" spans="1:35" x14ac:dyDescent="0.2">
      <c r="A169" s="27">
        <f>'Cash Flow'!A169</f>
        <v>163</v>
      </c>
      <c r="B169" s="49">
        <f>'Cash Flow'!B169</f>
        <v>44075</v>
      </c>
      <c r="C169" s="56">
        <f>'Cash Flow'!C169</f>
        <v>8.3333333333333329E-2</v>
      </c>
      <c r="D169" s="55"/>
      <c r="E169" s="57">
        <v>6.9369000000000056E-2</v>
      </c>
      <c r="F169" s="57"/>
      <c r="G169" s="57"/>
      <c r="H169" s="57"/>
      <c r="I169" s="57">
        <v>0.04</v>
      </c>
      <c r="J169" s="57"/>
      <c r="K169" s="57"/>
      <c r="L169" s="55"/>
      <c r="M169" s="78">
        <v>5.1430128318229462E-3</v>
      </c>
      <c r="N169" s="78">
        <v>0.01</v>
      </c>
      <c r="Q169" s="57"/>
      <c r="S169" s="55"/>
      <c r="T169" s="79">
        <f ca="1">OFFSET('Loss Timing'!D$6,MATCH($A169,'Loss Timing'!$A$7:$A$36,1),0)/12/PmtFreqAdd</f>
        <v>2.7777777777777779E-3</v>
      </c>
      <c r="U169" s="79">
        <f ca="1">OFFSET('Loss Timing'!E$6,MATCH($A169,'Loss Timing'!$A$7:$A$36,1),0)/12/PmtFreqAdd</f>
        <v>2.0833333333333333E-3</v>
      </c>
      <c r="V169" s="79">
        <f ca="1">OFFSET('Loss Timing'!F$6,MATCH($A169,'Loss Timing'!$A$7:$A$36,1),0)/12/PmtFreqAdd</f>
        <v>0</v>
      </c>
      <c r="W169" s="79">
        <f ca="1">OFFSET('Loss Timing'!G$6,MATCH($A169,'Loss Timing'!$A$7:$A$36,1),0)/12/PmtFreqAdd</f>
        <v>6.2499999999999995E-3</v>
      </c>
      <c r="X169" s="79">
        <f ca="1">OFFSET('Loss Timing'!H$6,MATCH($A169,'Loss Timing'!$A$7:$A$36,1),0)/12/PmtFreqAdd</f>
        <v>0</v>
      </c>
      <c r="Y169" s="55"/>
      <c r="Z169" s="68">
        <f t="shared" ca="1" si="10"/>
        <v>2.7777777777777779E-5</v>
      </c>
      <c r="AA169" s="68">
        <f t="shared" ca="1" si="11"/>
        <v>2.0833333333333333E-5</v>
      </c>
      <c r="AB169" s="68">
        <f t="shared" ca="1" si="12"/>
        <v>0</v>
      </c>
      <c r="AC169" s="68">
        <f t="shared" ca="1" si="13"/>
        <v>6.2500000000000001E-5</v>
      </c>
      <c r="AD169" s="68">
        <f t="shared" ca="1" si="14"/>
        <v>0</v>
      </c>
      <c r="AE169" s="55"/>
      <c r="AF169" s="68">
        <v>1.2500008594873435E-5</v>
      </c>
      <c r="AG169" s="81">
        <v>2.5000034375999292E-5</v>
      </c>
      <c r="AH169" s="68">
        <v>5.0000137497008268E-5</v>
      </c>
      <c r="AI169" s="55"/>
    </row>
    <row r="170" spans="1:35" x14ac:dyDescent="0.2">
      <c r="A170" s="27">
        <f>'Cash Flow'!A170</f>
        <v>164</v>
      </c>
      <c r="B170" s="49">
        <f>'Cash Flow'!B170</f>
        <v>44105</v>
      </c>
      <c r="C170" s="56">
        <f>'Cash Flow'!C170</f>
        <v>8.3333333333333329E-2</v>
      </c>
      <c r="D170" s="55"/>
      <c r="E170" s="57">
        <v>6.9369000000000056E-2</v>
      </c>
      <c r="F170" s="57"/>
      <c r="G170" s="57"/>
      <c r="H170" s="57"/>
      <c r="I170" s="57">
        <v>0.04</v>
      </c>
      <c r="J170" s="57"/>
      <c r="K170" s="57"/>
      <c r="L170" s="55"/>
      <c r="M170" s="78">
        <v>5.1430128318229462E-3</v>
      </c>
      <c r="N170" s="78">
        <v>0.01</v>
      </c>
      <c r="Q170" s="57"/>
      <c r="S170" s="55"/>
      <c r="T170" s="79">
        <f ca="1">OFFSET('Loss Timing'!D$6,MATCH($A170,'Loss Timing'!$A$7:$A$36,1),0)/12/PmtFreqAdd</f>
        <v>2.7777777777777779E-3</v>
      </c>
      <c r="U170" s="79">
        <f ca="1">OFFSET('Loss Timing'!E$6,MATCH($A170,'Loss Timing'!$A$7:$A$36,1),0)/12/PmtFreqAdd</f>
        <v>2.0833333333333333E-3</v>
      </c>
      <c r="V170" s="79">
        <f ca="1">OFFSET('Loss Timing'!F$6,MATCH($A170,'Loss Timing'!$A$7:$A$36,1),0)/12/PmtFreqAdd</f>
        <v>0</v>
      </c>
      <c r="W170" s="79">
        <f ca="1">OFFSET('Loss Timing'!G$6,MATCH($A170,'Loss Timing'!$A$7:$A$36,1),0)/12/PmtFreqAdd</f>
        <v>6.2499999999999995E-3</v>
      </c>
      <c r="X170" s="79">
        <f ca="1">OFFSET('Loss Timing'!H$6,MATCH($A170,'Loss Timing'!$A$7:$A$36,1),0)/12/PmtFreqAdd</f>
        <v>0</v>
      </c>
      <c r="Y170" s="55"/>
      <c r="Z170" s="68">
        <f t="shared" ca="1" si="10"/>
        <v>2.7777777777777779E-5</v>
      </c>
      <c r="AA170" s="68">
        <f t="shared" ca="1" si="11"/>
        <v>2.0833333333333333E-5</v>
      </c>
      <c r="AB170" s="68">
        <f t="shared" ca="1" si="12"/>
        <v>0</v>
      </c>
      <c r="AC170" s="68">
        <f t="shared" ca="1" si="13"/>
        <v>6.2500000000000001E-5</v>
      </c>
      <c r="AD170" s="68">
        <f t="shared" ca="1" si="14"/>
        <v>0</v>
      </c>
      <c r="AE170" s="55"/>
      <c r="AF170" s="68">
        <v>1.2500008594873435E-5</v>
      </c>
      <c r="AG170" s="81">
        <v>2.5000034375999292E-5</v>
      </c>
      <c r="AH170" s="68">
        <v>5.0000137497008268E-5</v>
      </c>
      <c r="AI170" s="55"/>
    </row>
    <row r="171" spans="1:35" x14ac:dyDescent="0.2">
      <c r="A171" s="27">
        <f>'Cash Flow'!A171</f>
        <v>165</v>
      </c>
      <c r="B171" s="49">
        <f>'Cash Flow'!B171</f>
        <v>44136</v>
      </c>
      <c r="C171" s="56">
        <f>'Cash Flow'!C171</f>
        <v>8.3333333333333329E-2</v>
      </c>
      <c r="D171" s="55"/>
      <c r="E171" s="57">
        <v>6.9369000000000056E-2</v>
      </c>
      <c r="F171" s="57"/>
      <c r="G171" s="57"/>
      <c r="H171" s="57"/>
      <c r="I171" s="57">
        <v>0.04</v>
      </c>
      <c r="J171" s="57"/>
      <c r="K171" s="57"/>
      <c r="L171" s="55"/>
      <c r="M171" s="78">
        <v>5.1430128318229462E-3</v>
      </c>
      <c r="N171" s="78">
        <v>0.01</v>
      </c>
      <c r="Q171" s="57"/>
      <c r="S171" s="55"/>
      <c r="T171" s="79">
        <f ca="1">OFFSET('Loss Timing'!D$6,MATCH($A171,'Loss Timing'!$A$7:$A$36,1),0)/12/PmtFreqAdd</f>
        <v>2.7777777777777779E-3</v>
      </c>
      <c r="U171" s="79">
        <f ca="1">OFFSET('Loss Timing'!E$6,MATCH($A171,'Loss Timing'!$A$7:$A$36,1),0)/12/PmtFreqAdd</f>
        <v>2.0833333333333333E-3</v>
      </c>
      <c r="V171" s="79">
        <f ca="1">OFFSET('Loss Timing'!F$6,MATCH($A171,'Loss Timing'!$A$7:$A$36,1),0)/12/PmtFreqAdd</f>
        <v>0</v>
      </c>
      <c r="W171" s="79">
        <f ca="1">OFFSET('Loss Timing'!G$6,MATCH($A171,'Loss Timing'!$A$7:$A$36,1),0)/12/PmtFreqAdd</f>
        <v>6.2499999999999995E-3</v>
      </c>
      <c r="X171" s="79">
        <f ca="1">OFFSET('Loss Timing'!H$6,MATCH($A171,'Loss Timing'!$A$7:$A$36,1),0)/12/PmtFreqAdd</f>
        <v>0</v>
      </c>
      <c r="Y171" s="55"/>
      <c r="Z171" s="68">
        <f t="shared" ca="1" si="10"/>
        <v>2.7777777777777779E-5</v>
      </c>
      <c r="AA171" s="68">
        <f t="shared" ca="1" si="11"/>
        <v>2.0833333333333333E-5</v>
      </c>
      <c r="AB171" s="68">
        <f t="shared" ca="1" si="12"/>
        <v>0</v>
      </c>
      <c r="AC171" s="68">
        <f t="shared" ca="1" si="13"/>
        <v>6.2500000000000001E-5</v>
      </c>
      <c r="AD171" s="68">
        <f t="shared" ca="1" si="14"/>
        <v>0</v>
      </c>
      <c r="AE171" s="55"/>
      <c r="AF171" s="68">
        <v>1.2500008594873435E-5</v>
      </c>
      <c r="AG171" s="81">
        <v>2.5000034375999292E-5</v>
      </c>
      <c r="AH171" s="68">
        <v>5.0000137497008268E-5</v>
      </c>
      <c r="AI171" s="55"/>
    </row>
    <row r="172" spans="1:35" x14ac:dyDescent="0.2">
      <c r="A172" s="27">
        <f>'Cash Flow'!A172</f>
        <v>166</v>
      </c>
      <c r="B172" s="49">
        <f>'Cash Flow'!B172</f>
        <v>44166</v>
      </c>
      <c r="C172" s="56">
        <f>'Cash Flow'!C172</f>
        <v>8.3333333333333329E-2</v>
      </c>
      <c r="D172" s="55"/>
      <c r="E172" s="57">
        <v>6.9369000000000056E-2</v>
      </c>
      <c r="F172" s="57"/>
      <c r="G172" s="57"/>
      <c r="H172" s="57"/>
      <c r="I172" s="57">
        <v>0.04</v>
      </c>
      <c r="J172" s="57"/>
      <c r="K172" s="57"/>
      <c r="L172" s="55"/>
      <c r="M172" s="78">
        <v>5.1430128318229462E-3</v>
      </c>
      <c r="N172" s="78">
        <v>0.01</v>
      </c>
      <c r="Q172" s="57"/>
      <c r="S172" s="55"/>
      <c r="T172" s="79">
        <f ca="1">OFFSET('Loss Timing'!D$6,MATCH($A172,'Loss Timing'!$A$7:$A$36,1),0)/12/PmtFreqAdd</f>
        <v>2.7777777777777779E-3</v>
      </c>
      <c r="U172" s="79">
        <f ca="1">OFFSET('Loss Timing'!E$6,MATCH($A172,'Loss Timing'!$A$7:$A$36,1),0)/12/PmtFreqAdd</f>
        <v>2.0833333333333333E-3</v>
      </c>
      <c r="V172" s="79">
        <f ca="1">OFFSET('Loss Timing'!F$6,MATCH($A172,'Loss Timing'!$A$7:$A$36,1),0)/12/PmtFreqAdd</f>
        <v>0</v>
      </c>
      <c r="W172" s="79">
        <f ca="1">OFFSET('Loss Timing'!G$6,MATCH($A172,'Loss Timing'!$A$7:$A$36,1),0)/12/PmtFreqAdd</f>
        <v>6.2499999999999995E-3</v>
      </c>
      <c r="X172" s="79">
        <f ca="1">OFFSET('Loss Timing'!H$6,MATCH($A172,'Loss Timing'!$A$7:$A$36,1),0)/12/PmtFreqAdd</f>
        <v>0</v>
      </c>
      <c r="Y172" s="55"/>
      <c r="Z172" s="68">
        <f t="shared" ca="1" si="10"/>
        <v>2.7777777777777779E-5</v>
      </c>
      <c r="AA172" s="68">
        <f t="shared" ca="1" si="11"/>
        <v>2.0833333333333333E-5</v>
      </c>
      <c r="AB172" s="68">
        <f t="shared" ca="1" si="12"/>
        <v>0</v>
      </c>
      <c r="AC172" s="68">
        <f t="shared" ca="1" si="13"/>
        <v>6.2500000000000001E-5</v>
      </c>
      <c r="AD172" s="68">
        <f t="shared" ca="1" si="14"/>
        <v>0</v>
      </c>
      <c r="AE172" s="55"/>
      <c r="AF172" s="68">
        <v>1.2500008594873435E-5</v>
      </c>
      <c r="AG172" s="81">
        <v>2.5000034375999292E-5</v>
      </c>
      <c r="AH172" s="68">
        <v>5.0000137497008268E-5</v>
      </c>
      <c r="AI172" s="55"/>
    </row>
    <row r="173" spans="1:35" x14ac:dyDescent="0.2">
      <c r="A173" s="27">
        <f>'Cash Flow'!A173</f>
        <v>167</v>
      </c>
      <c r="B173" s="49">
        <f>'Cash Flow'!B173</f>
        <v>44197</v>
      </c>
      <c r="C173" s="56">
        <f>'Cash Flow'!C173</f>
        <v>8.3333333333333329E-2</v>
      </c>
      <c r="D173" s="55"/>
      <c r="E173" s="57">
        <v>6.9369000000000056E-2</v>
      </c>
      <c r="F173" s="57"/>
      <c r="G173" s="57"/>
      <c r="H173" s="57"/>
      <c r="I173" s="57">
        <v>0.04</v>
      </c>
      <c r="J173" s="57"/>
      <c r="K173" s="57"/>
      <c r="L173" s="55"/>
      <c r="M173" s="78">
        <v>5.1430128318229462E-3</v>
      </c>
      <c r="N173" s="78">
        <v>0.01</v>
      </c>
      <c r="Q173" s="57"/>
      <c r="S173" s="55"/>
      <c r="T173" s="79">
        <f ca="1">OFFSET('Loss Timing'!D$6,MATCH($A173,'Loss Timing'!$A$7:$A$36,1),0)/12/PmtFreqAdd</f>
        <v>2.7777777777777779E-3</v>
      </c>
      <c r="U173" s="79">
        <f ca="1">OFFSET('Loss Timing'!E$6,MATCH($A173,'Loss Timing'!$A$7:$A$36,1),0)/12/PmtFreqAdd</f>
        <v>2.0833333333333333E-3</v>
      </c>
      <c r="V173" s="79">
        <f ca="1">OFFSET('Loss Timing'!F$6,MATCH($A173,'Loss Timing'!$A$7:$A$36,1),0)/12/PmtFreqAdd</f>
        <v>0</v>
      </c>
      <c r="W173" s="79">
        <f ca="1">OFFSET('Loss Timing'!G$6,MATCH($A173,'Loss Timing'!$A$7:$A$36,1),0)/12/PmtFreqAdd</f>
        <v>6.2499999999999995E-3</v>
      </c>
      <c r="X173" s="79">
        <f ca="1">OFFSET('Loss Timing'!H$6,MATCH($A173,'Loss Timing'!$A$7:$A$36,1),0)/12/PmtFreqAdd</f>
        <v>0</v>
      </c>
      <c r="Y173" s="55"/>
      <c r="Z173" s="68">
        <f t="shared" ca="1" si="10"/>
        <v>2.7777777777777779E-5</v>
      </c>
      <c r="AA173" s="68">
        <f t="shared" ca="1" si="11"/>
        <v>2.0833333333333333E-5</v>
      </c>
      <c r="AB173" s="68">
        <f t="shared" ca="1" si="12"/>
        <v>0</v>
      </c>
      <c r="AC173" s="68">
        <f t="shared" ca="1" si="13"/>
        <v>6.2500000000000001E-5</v>
      </c>
      <c r="AD173" s="68">
        <f t="shared" ca="1" si="14"/>
        <v>0</v>
      </c>
      <c r="AE173" s="55"/>
      <c r="AF173" s="68">
        <v>1.2500008594873435E-5</v>
      </c>
      <c r="AG173" s="81">
        <v>2.5000034375999292E-5</v>
      </c>
      <c r="AH173" s="68">
        <v>5.0000137497008268E-5</v>
      </c>
      <c r="AI173" s="55"/>
    </row>
    <row r="174" spans="1:35" x14ac:dyDescent="0.2">
      <c r="A174" s="27">
        <f>'Cash Flow'!A174</f>
        <v>168</v>
      </c>
      <c r="B174" s="49">
        <f>'Cash Flow'!B174</f>
        <v>44228</v>
      </c>
      <c r="C174" s="56">
        <f>'Cash Flow'!C174</f>
        <v>8.3333333333333329E-2</v>
      </c>
      <c r="D174" s="55"/>
      <c r="E174" s="57">
        <v>6.9369000000000056E-2</v>
      </c>
      <c r="F174" s="57"/>
      <c r="G174" s="57"/>
      <c r="H174" s="57"/>
      <c r="I174" s="57">
        <v>0.04</v>
      </c>
      <c r="J174" s="57"/>
      <c r="K174" s="57"/>
      <c r="L174" s="55"/>
      <c r="M174" s="78">
        <v>5.1430128318229462E-3</v>
      </c>
      <c r="N174" s="78">
        <v>0.01</v>
      </c>
      <c r="Q174" s="57"/>
      <c r="S174" s="55"/>
      <c r="T174" s="79">
        <f ca="1">OFFSET('Loss Timing'!D$6,MATCH($A174,'Loss Timing'!$A$7:$A$36,1),0)/12/PmtFreqAdd</f>
        <v>2.7777777777777779E-3</v>
      </c>
      <c r="U174" s="79">
        <f ca="1">OFFSET('Loss Timing'!E$6,MATCH($A174,'Loss Timing'!$A$7:$A$36,1),0)/12/PmtFreqAdd</f>
        <v>2.0833333333333333E-3</v>
      </c>
      <c r="V174" s="79">
        <f ca="1">OFFSET('Loss Timing'!F$6,MATCH($A174,'Loss Timing'!$A$7:$A$36,1),0)/12/PmtFreqAdd</f>
        <v>0</v>
      </c>
      <c r="W174" s="79">
        <f ca="1">OFFSET('Loss Timing'!G$6,MATCH($A174,'Loss Timing'!$A$7:$A$36,1),0)/12/PmtFreqAdd</f>
        <v>6.2499999999999995E-3</v>
      </c>
      <c r="X174" s="79">
        <f ca="1">OFFSET('Loss Timing'!H$6,MATCH($A174,'Loss Timing'!$A$7:$A$36,1),0)/12/PmtFreqAdd</f>
        <v>0</v>
      </c>
      <c r="Y174" s="55"/>
      <c r="Z174" s="68">
        <f t="shared" ca="1" si="10"/>
        <v>2.7777777777777779E-5</v>
      </c>
      <c r="AA174" s="68">
        <f t="shared" ca="1" si="11"/>
        <v>2.0833333333333333E-5</v>
      </c>
      <c r="AB174" s="68">
        <f t="shared" ca="1" si="12"/>
        <v>0</v>
      </c>
      <c r="AC174" s="68">
        <f t="shared" ca="1" si="13"/>
        <v>6.2500000000000001E-5</v>
      </c>
      <c r="AD174" s="68">
        <f t="shared" ca="1" si="14"/>
        <v>0</v>
      </c>
      <c r="AE174" s="55"/>
      <c r="AF174" s="68">
        <v>1.2500008594873435E-5</v>
      </c>
      <c r="AG174" s="81">
        <v>2.5000034375999292E-5</v>
      </c>
      <c r="AH174" s="68">
        <v>5.0000137497008268E-5</v>
      </c>
      <c r="AI174" s="55"/>
    </row>
    <row r="175" spans="1:35" x14ac:dyDescent="0.2">
      <c r="A175" s="27">
        <f>'Cash Flow'!A175</f>
        <v>169</v>
      </c>
      <c r="B175" s="49">
        <f>'Cash Flow'!B175</f>
        <v>44256</v>
      </c>
      <c r="C175" s="56">
        <f>'Cash Flow'!C175</f>
        <v>8.3333333333333329E-2</v>
      </c>
      <c r="D175" s="55"/>
      <c r="E175" s="57">
        <v>6.9369000000000056E-2</v>
      </c>
      <c r="F175" s="57"/>
      <c r="G175" s="57"/>
      <c r="H175" s="57"/>
      <c r="I175" s="57">
        <v>0.04</v>
      </c>
      <c r="J175" s="57"/>
      <c r="K175" s="57"/>
      <c r="L175" s="55"/>
      <c r="M175" s="78">
        <v>5.1430128318229462E-3</v>
      </c>
      <c r="N175" s="78">
        <v>0.01</v>
      </c>
      <c r="Q175" s="57"/>
      <c r="S175" s="55"/>
      <c r="T175" s="79">
        <f ca="1">OFFSET('Loss Timing'!D$6,MATCH($A175,'Loss Timing'!$A$7:$A$36,1),0)/12/PmtFreqAdd</f>
        <v>2.7777777777777779E-3</v>
      </c>
      <c r="U175" s="79">
        <f ca="1">OFFSET('Loss Timing'!E$6,MATCH($A175,'Loss Timing'!$A$7:$A$36,1),0)/12/PmtFreqAdd</f>
        <v>2.0833333333333333E-3</v>
      </c>
      <c r="V175" s="79">
        <f ca="1">OFFSET('Loss Timing'!F$6,MATCH($A175,'Loss Timing'!$A$7:$A$36,1),0)/12/PmtFreqAdd</f>
        <v>0</v>
      </c>
      <c r="W175" s="79">
        <f ca="1">OFFSET('Loss Timing'!G$6,MATCH($A175,'Loss Timing'!$A$7:$A$36,1),0)/12/PmtFreqAdd</f>
        <v>6.2499999999999995E-3</v>
      </c>
      <c r="X175" s="79">
        <f ca="1">OFFSET('Loss Timing'!H$6,MATCH($A175,'Loss Timing'!$A$7:$A$36,1),0)/12/PmtFreqAdd</f>
        <v>2.0833333333333333E-3</v>
      </c>
      <c r="Y175" s="55"/>
      <c r="Z175" s="68">
        <f t="shared" ca="1" si="10"/>
        <v>2.7777777777777779E-5</v>
      </c>
      <c r="AA175" s="68">
        <f t="shared" ca="1" si="11"/>
        <v>2.0833333333333333E-5</v>
      </c>
      <c r="AB175" s="68">
        <f t="shared" ca="1" si="12"/>
        <v>0</v>
      </c>
      <c r="AC175" s="68">
        <f t="shared" ca="1" si="13"/>
        <v>6.2500000000000001E-5</v>
      </c>
      <c r="AD175" s="68">
        <f t="shared" ca="1" si="14"/>
        <v>2.0833333333333333E-5</v>
      </c>
      <c r="AE175" s="55"/>
      <c r="AF175" s="68">
        <v>1.2500008594873435E-5</v>
      </c>
      <c r="AG175" s="81">
        <v>2.5000034375999292E-5</v>
      </c>
      <c r="AH175" s="68">
        <v>5.0000137497008268E-5</v>
      </c>
      <c r="AI175" s="55"/>
    </row>
    <row r="176" spans="1:35" x14ac:dyDescent="0.2">
      <c r="A176" s="27">
        <f>'Cash Flow'!A176</f>
        <v>170</v>
      </c>
      <c r="B176" s="49">
        <f>'Cash Flow'!B176</f>
        <v>44287</v>
      </c>
      <c r="C176" s="56">
        <f>'Cash Flow'!C176</f>
        <v>8.3333333333333329E-2</v>
      </c>
      <c r="D176" s="55"/>
      <c r="E176" s="57">
        <v>6.9369000000000056E-2</v>
      </c>
      <c r="F176" s="57"/>
      <c r="G176" s="57"/>
      <c r="H176" s="57"/>
      <c r="I176" s="57">
        <v>0.04</v>
      </c>
      <c r="J176" s="57"/>
      <c r="K176" s="57"/>
      <c r="L176" s="55"/>
      <c r="M176" s="78">
        <v>5.1430128318229462E-3</v>
      </c>
      <c r="N176" s="78">
        <v>0.01</v>
      </c>
      <c r="Q176" s="57"/>
      <c r="S176" s="55"/>
      <c r="T176" s="79">
        <f ca="1">OFFSET('Loss Timing'!D$6,MATCH($A176,'Loss Timing'!$A$7:$A$36,1),0)/12/PmtFreqAdd</f>
        <v>2.7777777777777779E-3</v>
      </c>
      <c r="U176" s="79">
        <f ca="1">OFFSET('Loss Timing'!E$6,MATCH($A176,'Loss Timing'!$A$7:$A$36,1),0)/12/PmtFreqAdd</f>
        <v>2.0833333333333333E-3</v>
      </c>
      <c r="V176" s="79">
        <f ca="1">OFFSET('Loss Timing'!F$6,MATCH($A176,'Loss Timing'!$A$7:$A$36,1),0)/12/PmtFreqAdd</f>
        <v>0</v>
      </c>
      <c r="W176" s="79">
        <f ca="1">OFFSET('Loss Timing'!G$6,MATCH($A176,'Loss Timing'!$A$7:$A$36,1),0)/12/PmtFreqAdd</f>
        <v>6.2499999999999995E-3</v>
      </c>
      <c r="X176" s="79">
        <f ca="1">OFFSET('Loss Timing'!H$6,MATCH($A176,'Loss Timing'!$A$7:$A$36,1),0)/12/PmtFreqAdd</f>
        <v>2.0833333333333333E-3</v>
      </c>
      <c r="Y176" s="55"/>
      <c r="Z176" s="68">
        <f t="shared" ca="1" si="10"/>
        <v>2.7777777777777779E-5</v>
      </c>
      <c r="AA176" s="68">
        <f t="shared" ca="1" si="11"/>
        <v>2.0833333333333333E-5</v>
      </c>
      <c r="AB176" s="68">
        <f t="shared" ca="1" si="12"/>
        <v>0</v>
      </c>
      <c r="AC176" s="68">
        <f t="shared" ca="1" si="13"/>
        <v>6.2500000000000001E-5</v>
      </c>
      <c r="AD176" s="68">
        <f t="shared" ca="1" si="14"/>
        <v>2.0833333333333333E-5</v>
      </c>
      <c r="AE176" s="55"/>
      <c r="AF176" s="68">
        <v>1.2500008594873435E-5</v>
      </c>
      <c r="AG176" s="81">
        <v>2.5000034375999292E-5</v>
      </c>
      <c r="AH176" s="68">
        <v>5.0000137497008268E-5</v>
      </c>
      <c r="AI176" s="55"/>
    </row>
    <row r="177" spans="1:35" x14ac:dyDescent="0.2">
      <c r="A177" s="27">
        <f>'Cash Flow'!A177</f>
        <v>171</v>
      </c>
      <c r="B177" s="49">
        <f>'Cash Flow'!B177</f>
        <v>44317</v>
      </c>
      <c r="C177" s="56">
        <f>'Cash Flow'!C177</f>
        <v>8.3333333333333329E-2</v>
      </c>
      <c r="D177" s="55"/>
      <c r="E177" s="57">
        <v>6.9369000000000056E-2</v>
      </c>
      <c r="F177" s="57"/>
      <c r="G177" s="57"/>
      <c r="H177" s="57"/>
      <c r="I177" s="57">
        <v>0.04</v>
      </c>
      <c r="J177" s="57"/>
      <c r="K177" s="57"/>
      <c r="L177" s="55"/>
      <c r="M177" s="78">
        <v>5.1430128318229462E-3</v>
      </c>
      <c r="N177" s="78">
        <v>0.01</v>
      </c>
      <c r="Q177" s="57"/>
      <c r="S177" s="55"/>
      <c r="T177" s="79">
        <f ca="1">OFFSET('Loss Timing'!D$6,MATCH($A177,'Loss Timing'!$A$7:$A$36,1),0)/12/PmtFreqAdd</f>
        <v>2.7777777777777779E-3</v>
      </c>
      <c r="U177" s="79">
        <f ca="1">OFFSET('Loss Timing'!E$6,MATCH($A177,'Loss Timing'!$A$7:$A$36,1),0)/12/PmtFreqAdd</f>
        <v>2.0833333333333333E-3</v>
      </c>
      <c r="V177" s="79">
        <f ca="1">OFFSET('Loss Timing'!F$6,MATCH($A177,'Loss Timing'!$A$7:$A$36,1),0)/12/PmtFreqAdd</f>
        <v>0</v>
      </c>
      <c r="W177" s="79">
        <f ca="1">OFFSET('Loss Timing'!G$6,MATCH($A177,'Loss Timing'!$A$7:$A$36,1),0)/12/PmtFreqAdd</f>
        <v>6.2499999999999995E-3</v>
      </c>
      <c r="X177" s="79">
        <f ca="1">OFFSET('Loss Timing'!H$6,MATCH($A177,'Loss Timing'!$A$7:$A$36,1),0)/12/PmtFreqAdd</f>
        <v>2.0833333333333333E-3</v>
      </c>
      <c r="Y177" s="55"/>
      <c r="Z177" s="68">
        <f t="shared" ca="1" si="10"/>
        <v>2.7777777777777779E-5</v>
      </c>
      <c r="AA177" s="68">
        <f t="shared" ca="1" si="11"/>
        <v>2.0833333333333333E-5</v>
      </c>
      <c r="AB177" s="68">
        <f t="shared" ca="1" si="12"/>
        <v>0</v>
      </c>
      <c r="AC177" s="68">
        <f t="shared" ca="1" si="13"/>
        <v>6.2500000000000001E-5</v>
      </c>
      <c r="AD177" s="68">
        <f t="shared" ca="1" si="14"/>
        <v>2.0833333333333333E-5</v>
      </c>
      <c r="AE177" s="55"/>
      <c r="AF177" s="68">
        <v>1.2500008594873435E-5</v>
      </c>
      <c r="AG177" s="81">
        <v>2.5000034375999292E-5</v>
      </c>
      <c r="AH177" s="68">
        <v>5.0000137497008268E-5</v>
      </c>
      <c r="AI177" s="55"/>
    </row>
    <row r="178" spans="1:35" x14ac:dyDescent="0.2">
      <c r="A178" s="27">
        <f>'Cash Flow'!A178</f>
        <v>172</v>
      </c>
      <c r="B178" s="49">
        <f>'Cash Flow'!B178</f>
        <v>44348</v>
      </c>
      <c r="C178" s="56">
        <f>'Cash Flow'!C178</f>
        <v>8.3333333333333329E-2</v>
      </c>
      <c r="D178" s="55"/>
      <c r="E178" s="57">
        <v>6.9369000000000056E-2</v>
      </c>
      <c r="F178" s="57"/>
      <c r="G178" s="57"/>
      <c r="H178" s="57"/>
      <c r="I178" s="57">
        <v>0.04</v>
      </c>
      <c r="J178" s="57"/>
      <c r="K178" s="57"/>
      <c r="L178" s="55"/>
      <c r="M178" s="78">
        <v>5.1430128318229462E-3</v>
      </c>
      <c r="N178" s="78">
        <v>0.01</v>
      </c>
      <c r="Q178" s="57"/>
      <c r="S178" s="55"/>
      <c r="T178" s="79">
        <f ca="1">OFFSET('Loss Timing'!D$6,MATCH($A178,'Loss Timing'!$A$7:$A$36,1),0)/12/PmtFreqAdd</f>
        <v>2.7777777777777779E-3</v>
      </c>
      <c r="U178" s="79">
        <f ca="1">OFFSET('Loss Timing'!E$6,MATCH($A178,'Loss Timing'!$A$7:$A$36,1),0)/12/PmtFreqAdd</f>
        <v>2.0833333333333333E-3</v>
      </c>
      <c r="V178" s="79">
        <f ca="1">OFFSET('Loss Timing'!F$6,MATCH($A178,'Loss Timing'!$A$7:$A$36,1),0)/12/PmtFreqAdd</f>
        <v>0</v>
      </c>
      <c r="W178" s="79">
        <f ca="1">OFFSET('Loss Timing'!G$6,MATCH($A178,'Loss Timing'!$A$7:$A$36,1),0)/12/PmtFreqAdd</f>
        <v>6.2499999999999995E-3</v>
      </c>
      <c r="X178" s="79">
        <f ca="1">OFFSET('Loss Timing'!H$6,MATCH($A178,'Loss Timing'!$A$7:$A$36,1),0)/12/PmtFreqAdd</f>
        <v>2.0833333333333333E-3</v>
      </c>
      <c r="Y178" s="55"/>
      <c r="Z178" s="68">
        <f t="shared" ca="1" si="10"/>
        <v>2.7777777777777779E-5</v>
      </c>
      <c r="AA178" s="68">
        <f t="shared" ca="1" si="11"/>
        <v>2.0833333333333333E-5</v>
      </c>
      <c r="AB178" s="68">
        <f t="shared" ca="1" si="12"/>
        <v>0</v>
      </c>
      <c r="AC178" s="68">
        <f t="shared" ca="1" si="13"/>
        <v>6.2500000000000001E-5</v>
      </c>
      <c r="AD178" s="68">
        <f t="shared" ca="1" si="14"/>
        <v>2.0833333333333333E-5</v>
      </c>
      <c r="AE178" s="55"/>
      <c r="AF178" s="68">
        <v>1.2500008594873435E-5</v>
      </c>
      <c r="AG178" s="81">
        <v>2.5000034375999292E-5</v>
      </c>
      <c r="AH178" s="68">
        <v>5.0000137497008268E-5</v>
      </c>
      <c r="AI178" s="55"/>
    </row>
    <row r="179" spans="1:35" x14ac:dyDescent="0.2">
      <c r="A179" s="27">
        <f>'Cash Flow'!A179</f>
        <v>173</v>
      </c>
      <c r="B179" s="49">
        <f>'Cash Flow'!B179</f>
        <v>44378</v>
      </c>
      <c r="C179" s="56">
        <f>'Cash Flow'!C179</f>
        <v>8.3333333333333329E-2</v>
      </c>
      <c r="D179" s="55"/>
      <c r="E179" s="57">
        <v>6.9369000000000056E-2</v>
      </c>
      <c r="F179" s="57"/>
      <c r="G179" s="57"/>
      <c r="H179" s="57"/>
      <c r="I179" s="57">
        <v>0.04</v>
      </c>
      <c r="J179" s="57"/>
      <c r="K179" s="57"/>
      <c r="L179" s="55"/>
      <c r="M179" s="78">
        <v>5.1430128318229462E-3</v>
      </c>
      <c r="N179" s="78">
        <v>0.01</v>
      </c>
      <c r="Q179" s="57"/>
      <c r="S179" s="55"/>
      <c r="T179" s="79">
        <f ca="1">OFFSET('Loss Timing'!D$6,MATCH($A179,'Loss Timing'!$A$7:$A$36,1),0)/12/PmtFreqAdd</f>
        <v>2.7777777777777779E-3</v>
      </c>
      <c r="U179" s="79">
        <f ca="1">OFFSET('Loss Timing'!E$6,MATCH($A179,'Loss Timing'!$A$7:$A$36,1),0)/12/PmtFreqAdd</f>
        <v>2.0833333333333333E-3</v>
      </c>
      <c r="V179" s="79">
        <f ca="1">OFFSET('Loss Timing'!F$6,MATCH($A179,'Loss Timing'!$A$7:$A$36,1),0)/12/PmtFreqAdd</f>
        <v>0</v>
      </c>
      <c r="W179" s="79">
        <f ca="1">OFFSET('Loss Timing'!G$6,MATCH($A179,'Loss Timing'!$A$7:$A$36,1),0)/12/PmtFreqAdd</f>
        <v>6.2499999999999995E-3</v>
      </c>
      <c r="X179" s="79">
        <f ca="1">OFFSET('Loss Timing'!H$6,MATCH($A179,'Loss Timing'!$A$7:$A$36,1),0)/12/PmtFreqAdd</f>
        <v>2.0833333333333333E-3</v>
      </c>
      <c r="Y179" s="55"/>
      <c r="Z179" s="68">
        <f t="shared" ca="1" si="10"/>
        <v>2.7777777777777779E-5</v>
      </c>
      <c r="AA179" s="68">
        <f t="shared" ca="1" si="11"/>
        <v>2.0833333333333333E-5</v>
      </c>
      <c r="AB179" s="68">
        <f t="shared" ca="1" si="12"/>
        <v>0</v>
      </c>
      <c r="AC179" s="68">
        <f t="shared" ca="1" si="13"/>
        <v>6.2500000000000001E-5</v>
      </c>
      <c r="AD179" s="68">
        <f t="shared" ca="1" si="14"/>
        <v>2.0833333333333333E-5</v>
      </c>
      <c r="AE179" s="55"/>
      <c r="AF179" s="68">
        <v>1.2500008594873435E-5</v>
      </c>
      <c r="AG179" s="81">
        <v>2.5000034375999292E-5</v>
      </c>
      <c r="AH179" s="68">
        <v>5.0000137497008268E-5</v>
      </c>
      <c r="AI179" s="55"/>
    </row>
    <row r="180" spans="1:35" x14ac:dyDescent="0.2">
      <c r="A180" s="27">
        <f>'Cash Flow'!A180</f>
        <v>174</v>
      </c>
      <c r="B180" s="49">
        <f>'Cash Flow'!B180</f>
        <v>44409</v>
      </c>
      <c r="C180" s="56">
        <f>'Cash Flow'!C180</f>
        <v>8.3333333333333329E-2</v>
      </c>
      <c r="D180" s="55"/>
      <c r="E180" s="57">
        <v>6.9369000000000056E-2</v>
      </c>
      <c r="F180" s="57"/>
      <c r="G180" s="57"/>
      <c r="H180" s="57"/>
      <c r="I180" s="57">
        <v>0.04</v>
      </c>
      <c r="J180" s="57"/>
      <c r="K180" s="57"/>
      <c r="L180" s="55"/>
      <c r="M180" s="78">
        <v>5.1430128318229462E-3</v>
      </c>
      <c r="N180" s="78">
        <v>0.01</v>
      </c>
      <c r="Q180" s="57"/>
      <c r="S180" s="55"/>
      <c r="T180" s="79">
        <f ca="1">OFFSET('Loss Timing'!D$6,MATCH($A180,'Loss Timing'!$A$7:$A$36,1),0)/12/PmtFreqAdd</f>
        <v>2.7777777777777779E-3</v>
      </c>
      <c r="U180" s="79">
        <f ca="1">OFFSET('Loss Timing'!E$6,MATCH($A180,'Loss Timing'!$A$7:$A$36,1),0)/12/PmtFreqAdd</f>
        <v>2.0833333333333333E-3</v>
      </c>
      <c r="V180" s="79">
        <f ca="1">OFFSET('Loss Timing'!F$6,MATCH($A180,'Loss Timing'!$A$7:$A$36,1),0)/12/PmtFreqAdd</f>
        <v>0</v>
      </c>
      <c r="W180" s="79">
        <f ca="1">OFFSET('Loss Timing'!G$6,MATCH($A180,'Loss Timing'!$A$7:$A$36,1),0)/12/PmtFreqAdd</f>
        <v>6.2499999999999995E-3</v>
      </c>
      <c r="X180" s="79">
        <f ca="1">OFFSET('Loss Timing'!H$6,MATCH($A180,'Loss Timing'!$A$7:$A$36,1),0)/12/PmtFreqAdd</f>
        <v>2.0833333333333333E-3</v>
      </c>
      <c r="Y180" s="55"/>
      <c r="Z180" s="68">
        <f t="shared" ca="1" si="10"/>
        <v>2.7777777777777779E-5</v>
      </c>
      <c r="AA180" s="68">
        <f t="shared" ca="1" si="11"/>
        <v>2.0833333333333333E-5</v>
      </c>
      <c r="AB180" s="68">
        <f t="shared" ca="1" si="12"/>
        <v>0</v>
      </c>
      <c r="AC180" s="68">
        <f t="shared" ca="1" si="13"/>
        <v>6.2500000000000001E-5</v>
      </c>
      <c r="AD180" s="68">
        <f t="shared" ca="1" si="14"/>
        <v>2.0833333333333333E-5</v>
      </c>
      <c r="AE180" s="55"/>
      <c r="AF180" s="68">
        <v>1.2500008594873435E-5</v>
      </c>
      <c r="AG180" s="81">
        <v>2.5000034375999292E-5</v>
      </c>
      <c r="AH180" s="68">
        <v>5.0000137497008268E-5</v>
      </c>
      <c r="AI180" s="55"/>
    </row>
    <row r="181" spans="1:35" x14ac:dyDescent="0.2">
      <c r="A181" s="27">
        <f>'Cash Flow'!A181</f>
        <v>175</v>
      </c>
      <c r="B181" s="49">
        <f>'Cash Flow'!B181</f>
        <v>44440</v>
      </c>
      <c r="C181" s="56">
        <f>'Cash Flow'!C181</f>
        <v>8.3333333333333329E-2</v>
      </c>
      <c r="D181" s="55"/>
      <c r="E181" s="57">
        <v>6.9369000000000056E-2</v>
      </c>
      <c r="F181" s="57"/>
      <c r="G181" s="57"/>
      <c r="H181" s="57"/>
      <c r="I181" s="57">
        <v>0.04</v>
      </c>
      <c r="J181" s="57"/>
      <c r="K181" s="57"/>
      <c r="L181" s="55"/>
      <c r="M181" s="78">
        <v>5.1430128318229462E-3</v>
      </c>
      <c r="N181" s="78">
        <v>0.01</v>
      </c>
      <c r="Q181" s="57"/>
      <c r="S181" s="55"/>
      <c r="T181" s="79">
        <f ca="1">OFFSET('Loss Timing'!D$6,MATCH($A181,'Loss Timing'!$A$7:$A$36,1),0)/12/PmtFreqAdd</f>
        <v>2.7777777777777779E-3</v>
      </c>
      <c r="U181" s="79">
        <f ca="1">OFFSET('Loss Timing'!E$6,MATCH($A181,'Loss Timing'!$A$7:$A$36,1),0)/12/PmtFreqAdd</f>
        <v>2.0833333333333333E-3</v>
      </c>
      <c r="V181" s="79">
        <f ca="1">OFFSET('Loss Timing'!F$6,MATCH($A181,'Loss Timing'!$A$7:$A$36,1),0)/12/PmtFreqAdd</f>
        <v>0</v>
      </c>
      <c r="W181" s="79">
        <f ca="1">OFFSET('Loss Timing'!G$6,MATCH($A181,'Loss Timing'!$A$7:$A$36,1),0)/12/PmtFreqAdd</f>
        <v>6.2499999999999995E-3</v>
      </c>
      <c r="X181" s="79">
        <f ca="1">OFFSET('Loss Timing'!H$6,MATCH($A181,'Loss Timing'!$A$7:$A$36,1),0)/12/PmtFreqAdd</f>
        <v>2.0833333333333333E-3</v>
      </c>
      <c r="Y181" s="55"/>
      <c r="Z181" s="68">
        <f t="shared" ca="1" si="10"/>
        <v>2.7777777777777779E-5</v>
      </c>
      <c r="AA181" s="68">
        <f t="shared" ca="1" si="11"/>
        <v>2.0833333333333333E-5</v>
      </c>
      <c r="AB181" s="68">
        <f t="shared" ca="1" si="12"/>
        <v>0</v>
      </c>
      <c r="AC181" s="68">
        <f t="shared" ca="1" si="13"/>
        <v>6.2500000000000001E-5</v>
      </c>
      <c r="AD181" s="68">
        <f t="shared" ca="1" si="14"/>
        <v>2.0833333333333333E-5</v>
      </c>
      <c r="AE181" s="55"/>
      <c r="AF181" s="68">
        <v>1.2500008594873435E-5</v>
      </c>
      <c r="AG181" s="81">
        <v>2.5000034375999292E-5</v>
      </c>
      <c r="AH181" s="68">
        <v>5.0000137497008268E-5</v>
      </c>
      <c r="AI181" s="55"/>
    </row>
    <row r="182" spans="1:35" x14ac:dyDescent="0.2">
      <c r="A182" s="27">
        <f>'Cash Flow'!A182</f>
        <v>176</v>
      </c>
      <c r="B182" s="49">
        <f>'Cash Flow'!B182</f>
        <v>44470</v>
      </c>
      <c r="C182" s="56">
        <f>'Cash Flow'!C182</f>
        <v>8.3333333333333329E-2</v>
      </c>
      <c r="D182" s="55"/>
      <c r="E182" s="57">
        <v>6.9369000000000056E-2</v>
      </c>
      <c r="F182" s="57"/>
      <c r="G182" s="57"/>
      <c r="H182" s="57"/>
      <c r="I182" s="57">
        <v>0.04</v>
      </c>
      <c r="J182" s="57"/>
      <c r="K182" s="57"/>
      <c r="L182" s="55"/>
      <c r="M182" s="78">
        <v>5.1430128318229462E-3</v>
      </c>
      <c r="N182" s="78">
        <v>0.01</v>
      </c>
      <c r="Q182" s="57"/>
      <c r="S182" s="55"/>
      <c r="T182" s="79">
        <f ca="1">OFFSET('Loss Timing'!D$6,MATCH($A182,'Loss Timing'!$A$7:$A$36,1),0)/12/PmtFreqAdd</f>
        <v>2.7777777777777779E-3</v>
      </c>
      <c r="U182" s="79">
        <f ca="1">OFFSET('Loss Timing'!E$6,MATCH($A182,'Loss Timing'!$A$7:$A$36,1),0)/12/PmtFreqAdd</f>
        <v>2.0833333333333333E-3</v>
      </c>
      <c r="V182" s="79">
        <f ca="1">OFFSET('Loss Timing'!F$6,MATCH($A182,'Loss Timing'!$A$7:$A$36,1),0)/12/PmtFreqAdd</f>
        <v>0</v>
      </c>
      <c r="W182" s="79">
        <f ca="1">OFFSET('Loss Timing'!G$6,MATCH($A182,'Loss Timing'!$A$7:$A$36,1),0)/12/PmtFreqAdd</f>
        <v>6.2499999999999995E-3</v>
      </c>
      <c r="X182" s="79">
        <f ca="1">OFFSET('Loss Timing'!H$6,MATCH($A182,'Loss Timing'!$A$7:$A$36,1),0)/12/PmtFreqAdd</f>
        <v>2.0833333333333333E-3</v>
      </c>
      <c r="Y182" s="55"/>
      <c r="Z182" s="68">
        <f t="shared" ca="1" si="10"/>
        <v>2.7777777777777779E-5</v>
      </c>
      <c r="AA182" s="68">
        <f t="shared" ca="1" si="11"/>
        <v>2.0833333333333333E-5</v>
      </c>
      <c r="AB182" s="68">
        <f t="shared" ca="1" si="12"/>
        <v>0</v>
      </c>
      <c r="AC182" s="68">
        <f t="shared" ca="1" si="13"/>
        <v>6.2500000000000001E-5</v>
      </c>
      <c r="AD182" s="68">
        <f t="shared" ca="1" si="14"/>
        <v>2.0833333333333333E-5</v>
      </c>
      <c r="AE182" s="55"/>
      <c r="AF182" s="68">
        <v>1.2500008594873435E-5</v>
      </c>
      <c r="AG182" s="81">
        <v>2.5000034375999292E-5</v>
      </c>
      <c r="AH182" s="68">
        <v>5.0000137497008268E-5</v>
      </c>
      <c r="AI182" s="55"/>
    </row>
    <row r="183" spans="1:35" x14ac:dyDescent="0.2">
      <c r="A183" s="27">
        <f>'Cash Flow'!A183</f>
        <v>177</v>
      </c>
      <c r="B183" s="49">
        <f>'Cash Flow'!B183</f>
        <v>44501</v>
      </c>
      <c r="C183" s="56">
        <f>'Cash Flow'!C183</f>
        <v>8.3333333333333329E-2</v>
      </c>
      <c r="D183" s="55"/>
      <c r="E183" s="57">
        <v>6.9369000000000056E-2</v>
      </c>
      <c r="F183" s="57"/>
      <c r="G183" s="57"/>
      <c r="H183" s="57"/>
      <c r="I183" s="57">
        <v>0.04</v>
      </c>
      <c r="J183" s="57"/>
      <c r="K183" s="57"/>
      <c r="L183" s="55"/>
      <c r="M183" s="78">
        <v>5.1430128318229462E-3</v>
      </c>
      <c r="N183" s="78">
        <v>0.01</v>
      </c>
      <c r="Q183" s="57"/>
      <c r="S183" s="55"/>
      <c r="T183" s="79">
        <f ca="1">OFFSET('Loss Timing'!D$6,MATCH($A183,'Loss Timing'!$A$7:$A$36,1),0)/12/PmtFreqAdd</f>
        <v>2.7777777777777779E-3</v>
      </c>
      <c r="U183" s="79">
        <f ca="1">OFFSET('Loss Timing'!E$6,MATCH($A183,'Loss Timing'!$A$7:$A$36,1),0)/12/PmtFreqAdd</f>
        <v>2.0833333333333333E-3</v>
      </c>
      <c r="V183" s="79">
        <f ca="1">OFFSET('Loss Timing'!F$6,MATCH($A183,'Loss Timing'!$A$7:$A$36,1),0)/12/PmtFreqAdd</f>
        <v>0</v>
      </c>
      <c r="W183" s="79">
        <f ca="1">OFFSET('Loss Timing'!G$6,MATCH($A183,'Loss Timing'!$A$7:$A$36,1),0)/12/PmtFreqAdd</f>
        <v>6.2499999999999995E-3</v>
      </c>
      <c r="X183" s="79">
        <f ca="1">OFFSET('Loss Timing'!H$6,MATCH($A183,'Loss Timing'!$A$7:$A$36,1),0)/12/PmtFreqAdd</f>
        <v>2.0833333333333333E-3</v>
      </c>
      <c r="Y183" s="55"/>
      <c r="Z183" s="68">
        <f t="shared" ca="1" si="10"/>
        <v>2.7777777777777779E-5</v>
      </c>
      <c r="AA183" s="68">
        <f t="shared" ca="1" si="11"/>
        <v>2.0833333333333333E-5</v>
      </c>
      <c r="AB183" s="68">
        <f t="shared" ca="1" si="12"/>
        <v>0</v>
      </c>
      <c r="AC183" s="68">
        <f t="shared" ca="1" si="13"/>
        <v>6.2500000000000001E-5</v>
      </c>
      <c r="AD183" s="68">
        <f t="shared" ca="1" si="14"/>
        <v>2.0833333333333333E-5</v>
      </c>
      <c r="AE183" s="55"/>
      <c r="AF183" s="68">
        <v>1.2500008594873435E-5</v>
      </c>
      <c r="AG183" s="81">
        <v>2.5000034375999292E-5</v>
      </c>
      <c r="AH183" s="68">
        <v>5.0000137497008268E-5</v>
      </c>
      <c r="AI183" s="55"/>
    </row>
    <row r="184" spans="1:35" x14ac:dyDescent="0.2">
      <c r="A184" s="27">
        <f>'Cash Flow'!A184</f>
        <v>178</v>
      </c>
      <c r="B184" s="49">
        <f>'Cash Flow'!B184</f>
        <v>44531</v>
      </c>
      <c r="C184" s="56">
        <f>'Cash Flow'!C184</f>
        <v>8.3333333333333329E-2</v>
      </c>
      <c r="D184" s="55"/>
      <c r="E184" s="57">
        <v>6.9369000000000056E-2</v>
      </c>
      <c r="F184" s="57"/>
      <c r="G184" s="57"/>
      <c r="H184" s="57"/>
      <c r="I184" s="57">
        <v>0.04</v>
      </c>
      <c r="J184" s="57"/>
      <c r="K184" s="57"/>
      <c r="L184" s="55"/>
      <c r="M184" s="78">
        <v>5.1430128318229462E-3</v>
      </c>
      <c r="N184" s="78">
        <v>0.01</v>
      </c>
      <c r="Q184" s="57"/>
      <c r="S184" s="55"/>
      <c r="T184" s="79">
        <f ca="1">OFFSET('Loss Timing'!D$6,MATCH($A184,'Loss Timing'!$A$7:$A$36,1),0)/12/PmtFreqAdd</f>
        <v>2.7777777777777779E-3</v>
      </c>
      <c r="U184" s="79">
        <f ca="1">OFFSET('Loss Timing'!E$6,MATCH($A184,'Loss Timing'!$A$7:$A$36,1),0)/12/PmtFreqAdd</f>
        <v>2.0833333333333333E-3</v>
      </c>
      <c r="V184" s="79">
        <f ca="1">OFFSET('Loss Timing'!F$6,MATCH($A184,'Loss Timing'!$A$7:$A$36,1),0)/12/PmtFreqAdd</f>
        <v>0</v>
      </c>
      <c r="W184" s="79">
        <f ca="1">OFFSET('Loss Timing'!G$6,MATCH($A184,'Loss Timing'!$A$7:$A$36,1),0)/12/PmtFreqAdd</f>
        <v>6.2499999999999995E-3</v>
      </c>
      <c r="X184" s="79">
        <f ca="1">OFFSET('Loss Timing'!H$6,MATCH($A184,'Loss Timing'!$A$7:$A$36,1),0)/12/PmtFreqAdd</f>
        <v>2.0833333333333333E-3</v>
      </c>
      <c r="Y184" s="55"/>
      <c r="Z184" s="68">
        <f t="shared" ca="1" si="10"/>
        <v>2.7777777777777779E-5</v>
      </c>
      <c r="AA184" s="68">
        <f t="shared" ca="1" si="11"/>
        <v>2.0833333333333333E-5</v>
      </c>
      <c r="AB184" s="68">
        <f t="shared" ca="1" si="12"/>
        <v>0</v>
      </c>
      <c r="AC184" s="68">
        <f t="shared" ca="1" si="13"/>
        <v>6.2500000000000001E-5</v>
      </c>
      <c r="AD184" s="68">
        <f t="shared" ca="1" si="14"/>
        <v>2.0833333333333333E-5</v>
      </c>
      <c r="AE184" s="55"/>
      <c r="AF184" s="68">
        <v>1.2500008594873435E-5</v>
      </c>
      <c r="AG184" s="81">
        <v>2.5000034375999292E-5</v>
      </c>
      <c r="AH184" s="68">
        <v>5.0000137497008268E-5</v>
      </c>
      <c r="AI184" s="55"/>
    </row>
    <row r="185" spans="1:35" x14ac:dyDescent="0.2">
      <c r="A185" s="27">
        <f>'Cash Flow'!A185</f>
        <v>179</v>
      </c>
      <c r="B185" s="49">
        <f>'Cash Flow'!B185</f>
        <v>44562</v>
      </c>
      <c r="C185" s="56">
        <f>'Cash Flow'!C185</f>
        <v>8.3333333333333329E-2</v>
      </c>
      <c r="D185" s="55"/>
      <c r="E185" s="57">
        <v>6.9369000000000056E-2</v>
      </c>
      <c r="F185" s="57"/>
      <c r="G185" s="57"/>
      <c r="H185" s="57"/>
      <c r="I185" s="57">
        <v>0.04</v>
      </c>
      <c r="J185" s="57"/>
      <c r="K185" s="57"/>
      <c r="L185" s="55"/>
      <c r="M185" s="78">
        <v>5.1430128318229462E-3</v>
      </c>
      <c r="N185" s="78">
        <v>0.01</v>
      </c>
      <c r="Q185" s="57"/>
      <c r="S185" s="55"/>
      <c r="T185" s="79">
        <f ca="1">OFFSET('Loss Timing'!D$6,MATCH($A185,'Loss Timing'!$A$7:$A$36,1),0)/12/PmtFreqAdd</f>
        <v>2.7777777777777779E-3</v>
      </c>
      <c r="U185" s="79">
        <f ca="1">OFFSET('Loss Timing'!E$6,MATCH($A185,'Loss Timing'!$A$7:$A$36,1),0)/12/PmtFreqAdd</f>
        <v>2.0833333333333333E-3</v>
      </c>
      <c r="V185" s="79">
        <f ca="1">OFFSET('Loss Timing'!F$6,MATCH($A185,'Loss Timing'!$A$7:$A$36,1),0)/12/PmtFreqAdd</f>
        <v>0</v>
      </c>
      <c r="W185" s="79">
        <f ca="1">OFFSET('Loss Timing'!G$6,MATCH($A185,'Loss Timing'!$A$7:$A$36,1),0)/12/PmtFreqAdd</f>
        <v>6.2499999999999995E-3</v>
      </c>
      <c r="X185" s="79">
        <f ca="1">OFFSET('Loss Timing'!H$6,MATCH($A185,'Loss Timing'!$A$7:$A$36,1),0)/12/PmtFreqAdd</f>
        <v>2.0833333333333333E-3</v>
      </c>
      <c r="Y185" s="55"/>
      <c r="Z185" s="68">
        <f t="shared" ca="1" si="10"/>
        <v>2.7777777777777779E-5</v>
      </c>
      <c r="AA185" s="68">
        <f t="shared" ca="1" si="11"/>
        <v>2.0833333333333333E-5</v>
      </c>
      <c r="AB185" s="68">
        <f t="shared" ca="1" si="12"/>
        <v>0</v>
      </c>
      <c r="AC185" s="68">
        <f t="shared" ca="1" si="13"/>
        <v>6.2500000000000001E-5</v>
      </c>
      <c r="AD185" s="68">
        <f t="shared" ca="1" si="14"/>
        <v>2.0833333333333333E-5</v>
      </c>
      <c r="AE185" s="55"/>
      <c r="AF185" s="68">
        <v>1.2500008594873435E-5</v>
      </c>
      <c r="AG185" s="81">
        <v>2.5000034375999292E-5</v>
      </c>
      <c r="AH185" s="68">
        <v>5.0000137497008268E-5</v>
      </c>
      <c r="AI185" s="55"/>
    </row>
    <row r="186" spans="1:35" x14ac:dyDescent="0.2">
      <c r="A186" s="27">
        <f>'Cash Flow'!A186</f>
        <v>180</v>
      </c>
      <c r="B186" s="49">
        <f>'Cash Flow'!B186</f>
        <v>44593</v>
      </c>
      <c r="C186" s="56">
        <f>'Cash Flow'!C186</f>
        <v>8.3333333333333329E-2</v>
      </c>
      <c r="D186" s="55"/>
      <c r="E186" s="57">
        <v>6.9369000000000056E-2</v>
      </c>
      <c r="F186" s="57"/>
      <c r="G186" s="57"/>
      <c r="H186" s="57"/>
      <c r="I186" s="57">
        <v>0.04</v>
      </c>
      <c r="J186" s="57"/>
      <c r="K186" s="57"/>
      <c r="L186" s="55"/>
      <c r="M186" s="78">
        <v>5.1430128318229462E-3</v>
      </c>
      <c r="N186" s="78">
        <v>0.01</v>
      </c>
      <c r="Q186" s="57"/>
      <c r="S186" s="55"/>
      <c r="T186" s="79">
        <f ca="1">OFFSET('Loss Timing'!D$6,MATCH($A186,'Loss Timing'!$A$7:$A$36,1),0)/12/PmtFreqAdd</f>
        <v>2.7777777777777779E-3</v>
      </c>
      <c r="U186" s="79">
        <f ca="1">OFFSET('Loss Timing'!E$6,MATCH($A186,'Loss Timing'!$A$7:$A$36,1),0)/12/PmtFreqAdd</f>
        <v>2.0833333333333333E-3</v>
      </c>
      <c r="V186" s="79">
        <f ca="1">OFFSET('Loss Timing'!F$6,MATCH($A186,'Loss Timing'!$A$7:$A$36,1),0)/12/PmtFreqAdd</f>
        <v>0</v>
      </c>
      <c r="W186" s="79">
        <f ca="1">OFFSET('Loss Timing'!G$6,MATCH($A186,'Loss Timing'!$A$7:$A$36,1),0)/12/PmtFreqAdd</f>
        <v>6.2499999999999995E-3</v>
      </c>
      <c r="X186" s="79">
        <f ca="1">OFFSET('Loss Timing'!H$6,MATCH($A186,'Loss Timing'!$A$7:$A$36,1),0)/12/PmtFreqAdd</f>
        <v>2.0833333333333333E-3</v>
      </c>
      <c r="Y186" s="55"/>
      <c r="Z186" s="68">
        <f t="shared" ca="1" si="10"/>
        <v>2.7777777777777779E-5</v>
      </c>
      <c r="AA186" s="68">
        <f t="shared" ca="1" si="11"/>
        <v>2.0833333333333333E-5</v>
      </c>
      <c r="AB186" s="68">
        <f t="shared" ca="1" si="12"/>
        <v>0</v>
      </c>
      <c r="AC186" s="68">
        <f t="shared" ca="1" si="13"/>
        <v>6.2500000000000001E-5</v>
      </c>
      <c r="AD186" s="68">
        <f t="shared" ca="1" si="14"/>
        <v>2.0833333333333333E-5</v>
      </c>
      <c r="AE186" s="55"/>
      <c r="AF186" s="68">
        <v>1.2500008594873435E-5</v>
      </c>
      <c r="AG186" s="81">
        <v>2.5000034375999292E-5</v>
      </c>
      <c r="AH186" s="68">
        <v>5.0000137497008268E-5</v>
      </c>
      <c r="AI186" s="55"/>
    </row>
    <row r="187" spans="1:35" x14ac:dyDescent="0.2">
      <c r="A187" s="27">
        <f>'Cash Flow'!A187</f>
        <v>181</v>
      </c>
      <c r="B187" s="49">
        <f>'Cash Flow'!B187</f>
        <v>44621</v>
      </c>
      <c r="C187" s="56">
        <f>'Cash Flow'!C187</f>
        <v>8.3333333333333329E-2</v>
      </c>
      <c r="D187" s="55"/>
      <c r="E187" s="57">
        <v>6.9369000000000056E-2</v>
      </c>
      <c r="F187" s="57"/>
      <c r="G187" s="57"/>
      <c r="H187" s="57"/>
      <c r="I187" s="57">
        <v>0.04</v>
      </c>
      <c r="J187" s="57"/>
      <c r="K187" s="57"/>
      <c r="L187" s="55"/>
      <c r="M187" s="78">
        <v>5.1430128318229462E-3</v>
      </c>
      <c r="N187" s="78">
        <v>0.01</v>
      </c>
      <c r="Q187" s="57"/>
      <c r="S187" s="55"/>
      <c r="T187" s="79">
        <f ca="1">OFFSET('Loss Timing'!D$6,MATCH($A187,'Loss Timing'!$A$7:$A$36,1),0)/12/PmtFreqAdd</f>
        <v>2.7777777777777779E-3</v>
      </c>
      <c r="U187" s="79">
        <f ca="1">OFFSET('Loss Timing'!E$6,MATCH($A187,'Loss Timing'!$A$7:$A$36,1),0)/12/PmtFreqAdd</f>
        <v>0</v>
      </c>
      <c r="V187" s="79">
        <f ca="1">OFFSET('Loss Timing'!F$6,MATCH($A187,'Loss Timing'!$A$7:$A$36,1),0)/12/PmtFreqAdd</f>
        <v>0</v>
      </c>
      <c r="W187" s="79">
        <f ca="1">OFFSET('Loss Timing'!G$6,MATCH($A187,'Loss Timing'!$A$7:$A$36,1),0)/12/PmtFreqAdd</f>
        <v>6.2499999999999995E-3</v>
      </c>
      <c r="X187" s="79">
        <f ca="1">OFFSET('Loss Timing'!H$6,MATCH($A187,'Loss Timing'!$A$7:$A$36,1),0)/12/PmtFreqAdd</f>
        <v>2.0833333333333333E-3</v>
      </c>
      <c r="Y187" s="55"/>
      <c r="Z187" s="68">
        <f t="shared" ca="1" si="10"/>
        <v>2.7777777777777779E-5</v>
      </c>
      <c r="AA187" s="68">
        <f t="shared" ca="1" si="11"/>
        <v>0</v>
      </c>
      <c r="AB187" s="68">
        <f t="shared" ca="1" si="12"/>
        <v>0</v>
      </c>
      <c r="AC187" s="68">
        <f t="shared" ca="1" si="13"/>
        <v>6.2500000000000001E-5</v>
      </c>
      <c r="AD187" s="68">
        <f t="shared" ca="1" si="14"/>
        <v>2.0833333333333333E-5</v>
      </c>
      <c r="AE187" s="55"/>
      <c r="AF187" s="68">
        <v>1.2500008594873435E-5</v>
      </c>
      <c r="AG187" s="81">
        <v>2.5000034375999292E-5</v>
      </c>
      <c r="AH187" s="68">
        <v>5.0000137497008268E-5</v>
      </c>
      <c r="AI187" s="55"/>
    </row>
    <row r="188" spans="1:35" x14ac:dyDescent="0.2">
      <c r="A188" s="27">
        <f>'Cash Flow'!A188</f>
        <v>182</v>
      </c>
      <c r="B188" s="49">
        <f>'Cash Flow'!B188</f>
        <v>44652</v>
      </c>
      <c r="C188" s="56">
        <f>'Cash Flow'!C188</f>
        <v>8.3333333333333329E-2</v>
      </c>
      <c r="D188" s="55"/>
      <c r="E188" s="57">
        <v>6.9369000000000056E-2</v>
      </c>
      <c r="F188" s="57"/>
      <c r="G188" s="57"/>
      <c r="H188" s="57"/>
      <c r="I188" s="57">
        <v>0.04</v>
      </c>
      <c r="J188" s="57"/>
      <c r="K188" s="57"/>
      <c r="L188" s="55"/>
      <c r="M188" s="78">
        <v>5.1430128318229462E-3</v>
      </c>
      <c r="N188" s="78">
        <v>0.01</v>
      </c>
      <c r="Q188" s="57"/>
      <c r="S188" s="55"/>
      <c r="T188" s="79">
        <f ca="1">OFFSET('Loss Timing'!D$6,MATCH($A188,'Loss Timing'!$A$7:$A$36,1),0)/12/PmtFreqAdd</f>
        <v>2.7777777777777779E-3</v>
      </c>
      <c r="U188" s="79">
        <f ca="1">OFFSET('Loss Timing'!E$6,MATCH($A188,'Loss Timing'!$A$7:$A$36,1),0)/12/PmtFreqAdd</f>
        <v>0</v>
      </c>
      <c r="V188" s="79">
        <f ca="1">OFFSET('Loss Timing'!F$6,MATCH($A188,'Loss Timing'!$A$7:$A$36,1),0)/12/PmtFreqAdd</f>
        <v>0</v>
      </c>
      <c r="W188" s="79">
        <f ca="1">OFFSET('Loss Timing'!G$6,MATCH($A188,'Loss Timing'!$A$7:$A$36,1),0)/12/PmtFreqAdd</f>
        <v>6.2499999999999995E-3</v>
      </c>
      <c r="X188" s="79">
        <f ca="1">OFFSET('Loss Timing'!H$6,MATCH($A188,'Loss Timing'!$A$7:$A$36,1),0)/12/PmtFreqAdd</f>
        <v>2.0833333333333333E-3</v>
      </c>
      <c r="Y188" s="55"/>
      <c r="Z188" s="68">
        <f t="shared" ca="1" si="10"/>
        <v>2.7777777777777779E-5</v>
      </c>
      <c r="AA188" s="68">
        <f t="shared" ca="1" si="11"/>
        <v>0</v>
      </c>
      <c r="AB188" s="68">
        <f t="shared" ca="1" si="12"/>
        <v>0</v>
      </c>
      <c r="AC188" s="68">
        <f t="shared" ca="1" si="13"/>
        <v>6.2500000000000001E-5</v>
      </c>
      <c r="AD188" s="68">
        <f t="shared" ca="1" si="14"/>
        <v>2.0833333333333333E-5</v>
      </c>
      <c r="AE188" s="55"/>
      <c r="AF188" s="68">
        <v>1.2500008594873435E-5</v>
      </c>
      <c r="AG188" s="81">
        <v>2.5000034375999292E-5</v>
      </c>
      <c r="AH188" s="68">
        <v>5.0000137497008268E-5</v>
      </c>
      <c r="AI188" s="55"/>
    </row>
    <row r="189" spans="1:35" x14ac:dyDescent="0.2">
      <c r="A189" s="27">
        <f>'Cash Flow'!A189</f>
        <v>183</v>
      </c>
      <c r="B189" s="49">
        <f>'Cash Flow'!B189</f>
        <v>44682</v>
      </c>
      <c r="C189" s="56">
        <f>'Cash Flow'!C189</f>
        <v>8.3333333333333329E-2</v>
      </c>
      <c r="D189" s="55"/>
      <c r="E189" s="57">
        <v>6.9369000000000056E-2</v>
      </c>
      <c r="F189" s="57"/>
      <c r="G189" s="57"/>
      <c r="H189" s="57"/>
      <c r="I189" s="57">
        <v>0.04</v>
      </c>
      <c r="J189" s="57"/>
      <c r="K189" s="57"/>
      <c r="L189" s="55"/>
      <c r="M189" s="78">
        <v>5.1430128318229462E-3</v>
      </c>
      <c r="N189" s="78">
        <v>0.01</v>
      </c>
      <c r="Q189" s="57"/>
      <c r="S189" s="55"/>
      <c r="T189" s="79">
        <f ca="1">OFFSET('Loss Timing'!D$6,MATCH($A189,'Loss Timing'!$A$7:$A$36,1),0)/12/PmtFreqAdd</f>
        <v>2.7777777777777779E-3</v>
      </c>
      <c r="U189" s="79">
        <f ca="1">OFFSET('Loss Timing'!E$6,MATCH($A189,'Loss Timing'!$A$7:$A$36,1),0)/12/PmtFreqAdd</f>
        <v>0</v>
      </c>
      <c r="V189" s="79">
        <f ca="1">OFFSET('Loss Timing'!F$6,MATCH($A189,'Loss Timing'!$A$7:$A$36,1),0)/12/PmtFreqAdd</f>
        <v>0</v>
      </c>
      <c r="W189" s="79">
        <f ca="1">OFFSET('Loss Timing'!G$6,MATCH($A189,'Loss Timing'!$A$7:$A$36,1),0)/12/PmtFreqAdd</f>
        <v>6.2499999999999995E-3</v>
      </c>
      <c r="X189" s="79">
        <f ca="1">OFFSET('Loss Timing'!H$6,MATCH($A189,'Loss Timing'!$A$7:$A$36,1),0)/12/PmtFreqAdd</f>
        <v>2.0833333333333333E-3</v>
      </c>
      <c r="Y189" s="55"/>
      <c r="Z189" s="68">
        <f t="shared" ca="1" si="10"/>
        <v>2.7777777777777779E-5</v>
      </c>
      <c r="AA189" s="68">
        <f t="shared" ca="1" si="11"/>
        <v>0</v>
      </c>
      <c r="AB189" s="68">
        <f t="shared" ca="1" si="12"/>
        <v>0</v>
      </c>
      <c r="AC189" s="68">
        <f t="shared" ca="1" si="13"/>
        <v>6.2500000000000001E-5</v>
      </c>
      <c r="AD189" s="68">
        <f t="shared" ca="1" si="14"/>
        <v>2.0833333333333333E-5</v>
      </c>
      <c r="AE189" s="55"/>
      <c r="AF189" s="68">
        <v>1.2500008594873435E-5</v>
      </c>
      <c r="AG189" s="81">
        <v>2.5000034375999292E-5</v>
      </c>
      <c r="AH189" s="68">
        <v>5.0000137497008268E-5</v>
      </c>
      <c r="AI189" s="55"/>
    </row>
    <row r="190" spans="1:35" x14ac:dyDescent="0.2">
      <c r="A190" s="27">
        <f>'Cash Flow'!A190</f>
        <v>184</v>
      </c>
      <c r="B190" s="49">
        <f>'Cash Flow'!B190</f>
        <v>44713</v>
      </c>
      <c r="C190" s="56">
        <f>'Cash Flow'!C190</f>
        <v>8.3333333333333329E-2</v>
      </c>
      <c r="D190" s="55"/>
      <c r="E190" s="57">
        <v>6.9369000000000056E-2</v>
      </c>
      <c r="F190" s="57"/>
      <c r="G190" s="57"/>
      <c r="H190" s="57"/>
      <c r="I190" s="57">
        <v>0.04</v>
      </c>
      <c r="J190" s="57"/>
      <c r="K190" s="57"/>
      <c r="L190" s="55"/>
      <c r="M190" s="78">
        <v>5.1430128318229462E-3</v>
      </c>
      <c r="N190" s="78">
        <v>0.01</v>
      </c>
      <c r="Q190" s="57"/>
      <c r="S190" s="55"/>
      <c r="T190" s="79">
        <f ca="1">OFFSET('Loss Timing'!D$6,MATCH($A190,'Loss Timing'!$A$7:$A$36,1),0)/12/PmtFreqAdd</f>
        <v>2.7777777777777779E-3</v>
      </c>
      <c r="U190" s="79">
        <f ca="1">OFFSET('Loss Timing'!E$6,MATCH($A190,'Loss Timing'!$A$7:$A$36,1),0)/12/PmtFreqAdd</f>
        <v>0</v>
      </c>
      <c r="V190" s="79">
        <f ca="1">OFFSET('Loss Timing'!F$6,MATCH($A190,'Loss Timing'!$A$7:$A$36,1),0)/12/PmtFreqAdd</f>
        <v>0</v>
      </c>
      <c r="W190" s="79">
        <f ca="1">OFFSET('Loss Timing'!G$6,MATCH($A190,'Loss Timing'!$A$7:$A$36,1),0)/12/PmtFreqAdd</f>
        <v>6.2499999999999995E-3</v>
      </c>
      <c r="X190" s="79">
        <f ca="1">OFFSET('Loss Timing'!H$6,MATCH($A190,'Loss Timing'!$A$7:$A$36,1),0)/12/PmtFreqAdd</f>
        <v>2.0833333333333333E-3</v>
      </c>
      <c r="Y190" s="55"/>
      <c r="Z190" s="68">
        <f t="shared" ca="1" si="10"/>
        <v>2.7777777777777779E-5</v>
      </c>
      <c r="AA190" s="68">
        <f t="shared" ca="1" si="11"/>
        <v>0</v>
      </c>
      <c r="AB190" s="68">
        <f t="shared" ca="1" si="12"/>
        <v>0</v>
      </c>
      <c r="AC190" s="68">
        <f t="shared" ca="1" si="13"/>
        <v>6.2500000000000001E-5</v>
      </c>
      <c r="AD190" s="68">
        <f t="shared" ca="1" si="14"/>
        <v>2.0833333333333333E-5</v>
      </c>
      <c r="AE190" s="55"/>
      <c r="AF190" s="68">
        <v>1.2500008594873435E-5</v>
      </c>
      <c r="AG190" s="81">
        <v>2.5000034375999292E-5</v>
      </c>
      <c r="AH190" s="68">
        <v>5.0000137497008268E-5</v>
      </c>
      <c r="AI190" s="55"/>
    </row>
    <row r="191" spans="1:35" x14ac:dyDescent="0.2">
      <c r="A191" s="27">
        <f>'Cash Flow'!A191</f>
        <v>185</v>
      </c>
      <c r="B191" s="49">
        <f>'Cash Flow'!B191</f>
        <v>44743</v>
      </c>
      <c r="C191" s="56">
        <f>'Cash Flow'!C191</f>
        <v>8.3333333333333329E-2</v>
      </c>
      <c r="D191" s="55"/>
      <c r="E191" s="57">
        <v>6.9369000000000056E-2</v>
      </c>
      <c r="F191" s="57"/>
      <c r="G191" s="57"/>
      <c r="H191" s="57"/>
      <c r="I191" s="57">
        <v>0.04</v>
      </c>
      <c r="J191" s="57"/>
      <c r="K191" s="57"/>
      <c r="L191" s="55"/>
      <c r="M191" s="78">
        <v>5.1430128318229462E-3</v>
      </c>
      <c r="N191" s="78">
        <v>0.01</v>
      </c>
      <c r="Q191" s="57"/>
      <c r="S191" s="55"/>
      <c r="T191" s="79">
        <f ca="1">OFFSET('Loss Timing'!D$6,MATCH($A191,'Loss Timing'!$A$7:$A$36,1),0)/12/PmtFreqAdd</f>
        <v>2.7777777777777779E-3</v>
      </c>
      <c r="U191" s="79">
        <f ca="1">OFFSET('Loss Timing'!E$6,MATCH($A191,'Loss Timing'!$A$7:$A$36,1),0)/12/PmtFreqAdd</f>
        <v>0</v>
      </c>
      <c r="V191" s="79">
        <f ca="1">OFFSET('Loss Timing'!F$6,MATCH($A191,'Loss Timing'!$A$7:$A$36,1),0)/12/PmtFreqAdd</f>
        <v>0</v>
      </c>
      <c r="W191" s="79">
        <f ca="1">OFFSET('Loss Timing'!G$6,MATCH($A191,'Loss Timing'!$A$7:$A$36,1),0)/12/PmtFreqAdd</f>
        <v>6.2499999999999995E-3</v>
      </c>
      <c r="X191" s="79">
        <f ca="1">OFFSET('Loss Timing'!H$6,MATCH($A191,'Loss Timing'!$A$7:$A$36,1),0)/12/PmtFreqAdd</f>
        <v>2.0833333333333333E-3</v>
      </c>
      <c r="Y191" s="55"/>
      <c r="Z191" s="68">
        <f t="shared" ca="1" si="10"/>
        <v>2.7777777777777779E-5</v>
      </c>
      <c r="AA191" s="68">
        <f t="shared" ca="1" si="11"/>
        <v>0</v>
      </c>
      <c r="AB191" s="68">
        <f t="shared" ca="1" si="12"/>
        <v>0</v>
      </c>
      <c r="AC191" s="68">
        <f t="shared" ca="1" si="13"/>
        <v>6.2500000000000001E-5</v>
      </c>
      <c r="AD191" s="68">
        <f t="shared" ca="1" si="14"/>
        <v>2.0833333333333333E-5</v>
      </c>
      <c r="AE191" s="55"/>
      <c r="AF191" s="68">
        <v>1.2500008594873435E-5</v>
      </c>
      <c r="AG191" s="81">
        <v>2.5000034375999292E-5</v>
      </c>
      <c r="AH191" s="68">
        <v>5.0000137497008268E-5</v>
      </c>
      <c r="AI191" s="55"/>
    </row>
    <row r="192" spans="1:35" x14ac:dyDescent="0.2">
      <c r="A192" s="27">
        <f>'Cash Flow'!A192</f>
        <v>186</v>
      </c>
      <c r="B192" s="49">
        <f>'Cash Flow'!B192</f>
        <v>44774</v>
      </c>
      <c r="C192" s="56">
        <f>'Cash Flow'!C192</f>
        <v>8.3333333333333329E-2</v>
      </c>
      <c r="D192" s="55"/>
      <c r="E192" s="57">
        <v>6.9369000000000056E-2</v>
      </c>
      <c r="F192" s="57"/>
      <c r="G192" s="57"/>
      <c r="H192" s="57"/>
      <c r="I192" s="57">
        <v>0.04</v>
      </c>
      <c r="J192" s="57"/>
      <c r="K192" s="57"/>
      <c r="L192" s="55"/>
      <c r="M192" s="78">
        <v>5.1430128318229462E-3</v>
      </c>
      <c r="N192" s="78">
        <v>0.01</v>
      </c>
      <c r="Q192" s="57"/>
      <c r="S192" s="55"/>
      <c r="T192" s="79">
        <f ca="1">OFFSET('Loss Timing'!D$6,MATCH($A192,'Loss Timing'!$A$7:$A$36,1),0)/12/PmtFreqAdd</f>
        <v>2.7777777777777779E-3</v>
      </c>
      <c r="U192" s="79">
        <f ca="1">OFFSET('Loss Timing'!E$6,MATCH($A192,'Loss Timing'!$A$7:$A$36,1),0)/12/PmtFreqAdd</f>
        <v>0</v>
      </c>
      <c r="V192" s="79">
        <f ca="1">OFFSET('Loss Timing'!F$6,MATCH($A192,'Loss Timing'!$A$7:$A$36,1),0)/12/PmtFreqAdd</f>
        <v>0</v>
      </c>
      <c r="W192" s="79">
        <f ca="1">OFFSET('Loss Timing'!G$6,MATCH($A192,'Loss Timing'!$A$7:$A$36,1),0)/12/PmtFreqAdd</f>
        <v>6.2499999999999995E-3</v>
      </c>
      <c r="X192" s="79">
        <f ca="1">OFFSET('Loss Timing'!H$6,MATCH($A192,'Loss Timing'!$A$7:$A$36,1),0)/12/PmtFreqAdd</f>
        <v>2.0833333333333333E-3</v>
      </c>
      <c r="Y192" s="55"/>
      <c r="Z192" s="68">
        <f t="shared" ca="1" si="10"/>
        <v>2.7777777777777779E-5</v>
      </c>
      <c r="AA192" s="68">
        <f t="shared" ca="1" si="11"/>
        <v>0</v>
      </c>
      <c r="AB192" s="68">
        <f t="shared" ca="1" si="12"/>
        <v>0</v>
      </c>
      <c r="AC192" s="68">
        <f t="shared" ca="1" si="13"/>
        <v>6.2500000000000001E-5</v>
      </c>
      <c r="AD192" s="68">
        <f t="shared" ca="1" si="14"/>
        <v>2.0833333333333333E-5</v>
      </c>
      <c r="AE192" s="55"/>
      <c r="AF192" s="68">
        <v>1.2500008594873435E-5</v>
      </c>
      <c r="AG192" s="81">
        <v>2.5000034375999292E-5</v>
      </c>
      <c r="AH192" s="68">
        <v>5.0000137497008268E-5</v>
      </c>
      <c r="AI192" s="55"/>
    </row>
    <row r="193" spans="1:35" x14ac:dyDescent="0.2">
      <c r="A193" s="27">
        <f>'Cash Flow'!A193</f>
        <v>187</v>
      </c>
      <c r="B193" s="49">
        <f>'Cash Flow'!B193</f>
        <v>44805</v>
      </c>
      <c r="C193" s="56">
        <f>'Cash Flow'!C193</f>
        <v>8.3333333333333329E-2</v>
      </c>
      <c r="D193" s="55"/>
      <c r="E193" s="57">
        <v>6.9369000000000056E-2</v>
      </c>
      <c r="F193" s="57"/>
      <c r="G193" s="57"/>
      <c r="H193" s="57"/>
      <c r="I193" s="57">
        <v>0.04</v>
      </c>
      <c r="J193" s="57"/>
      <c r="K193" s="57"/>
      <c r="L193" s="55"/>
      <c r="M193" s="78">
        <v>5.1430128318229462E-3</v>
      </c>
      <c r="N193" s="78">
        <v>0.01</v>
      </c>
      <c r="Q193" s="57"/>
      <c r="S193" s="55"/>
      <c r="T193" s="79">
        <f ca="1">OFFSET('Loss Timing'!D$6,MATCH($A193,'Loss Timing'!$A$7:$A$36,1),0)/12/PmtFreqAdd</f>
        <v>2.7777777777777779E-3</v>
      </c>
      <c r="U193" s="79">
        <f ca="1">OFFSET('Loss Timing'!E$6,MATCH($A193,'Loss Timing'!$A$7:$A$36,1),0)/12/PmtFreqAdd</f>
        <v>0</v>
      </c>
      <c r="V193" s="79">
        <f ca="1">OFFSET('Loss Timing'!F$6,MATCH($A193,'Loss Timing'!$A$7:$A$36,1),0)/12/PmtFreqAdd</f>
        <v>0</v>
      </c>
      <c r="W193" s="79">
        <f ca="1">OFFSET('Loss Timing'!G$6,MATCH($A193,'Loss Timing'!$A$7:$A$36,1),0)/12/PmtFreqAdd</f>
        <v>6.2499999999999995E-3</v>
      </c>
      <c r="X193" s="79">
        <f ca="1">OFFSET('Loss Timing'!H$6,MATCH($A193,'Loss Timing'!$A$7:$A$36,1),0)/12/PmtFreqAdd</f>
        <v>2.0833333333333333E-3</v>
      </c>
      <c r="Y193" s="55"/>
      <c r="Z193" s="68">
        <f t="shared" ca="1" si="10"/>
        <v>2.7777777777777779E-5</v>
      </c>
      <c r="AA193" s="68">
        <f t="shared" ca="1" si="11"/>
        <v>0</v>
      </c>
      <c r="AB193" s="68">
        <f t="shared" ca="1" si="12"/>
        <v>0</v>
      </c>
      <c r="AC193" s="68">
        <f t="shared" ca="1" si="13"/>
        <v>6.2500000000000001E-5</v>
      </c>
      <c r="AD193" s="68">
        <f t="shared" ca="1" si="14"/>
        <v>2.0833333333333333E-5</v>
      </c>
      <c r="AE193" s="55"/>
      <c r="AF193" s="68">
        <v>1.2500008594873435E-5</v>
      </c>
      <c r="AG193" s="81">
        <v>2.5000034375999292E-5</v>
      </c>
      <c r="AH193" s="68">
        <v>5.0000137497008268E-5</v>
      </c>
      <c r="AI193" s="55"/>
    </row>
    <row r="194" spans="1:35" x14ac:dyDescent="0.2">
      <c r="A194" s="27">
        <f>'Cash Flow'!A194</f>
        <v>188</v>
      </c>
      <c r="B194" s="49">
        <f>'Cash Flow'!B194</f>
        <v>44835</v>
      </c>
      <c r="C194" s="56">
        <f>'Cash Flow'!C194</f>
        <v>8.3333333333333329E-2</v>
      </c>
      <c r="D194" s="55"/>
      <c r="E194" s="57">
        <v>6.9369000000000056E-2</v>
      </c>
      <c r="F194" s="57"/>
      <c r="G194" s="57"/>
      <c r="H194" s="57"/>
      <c r="I194" s="57">
        <v>0.04</v>
      </c>
      <c r="J194" s="57"/>
      <c r="K194" s="57"/>
      <c r="L194" s="55"/>
      <c r="M194" s="78">
        <v>5.1430128318229462E-3</v>
      </c>
      <c r="N194" s="78">
        <v>0.01</v>
      </c>
      <c r="Q194" s="57"/>
      <c r="S194" s="55"/>
      <c r="T194" s="79">
        <f ca="1">OFFSET('Loss Timing'!D$6,MATCH($A194,'Loss Timing'!$A$7:$A$36,1),0)/12/PmtFreqAdd</f>
        <v>2.7777777777777779E-3</v>
      </c>
      <c r="U194" s="79">
        <f ca="1">OFFSET('Loss Timing'!E$6,MATCH($A194,'Loss Timing'!$A$7:$A$36,1),0)/12/PmtFreqAdd</f>
        <v>0</v>
      </c>
      <c r="V194" s="79">
        <f ca="1">OFFSET('Loss Timing'!F$6,MATCH($A194,'Loss Timing'!$A$7:$A$36,1),0)/12/PmtFreqAdd</f>
        <v>0</v>
      </c>
      <c r="W194" s="79">
        <f ca="1">OFFSET('Loss Timing'!G$6,MATCH($A194,'Loss Timing'!$A$7:$A$36,1),0)/12/PmtFreqAdd</f>
        <v>6.2499999999999995E-3</v>
      </c>
      <c r="X194" s="79">
        <f ca="1">OFFSET('Loss Timing'!H$6,MATCH($A194,'Loss Timing'!$A$7:$A$36,1),0)/12/PmtFreqAdd</f>
        <v>2.0833333333333333E-3</v>
      </c>
      <c r="Y194" s="55"/>
      <c r="Z194" s="68">
        <f t="shared" ca="1" si="10"/>
        <v>2.7777777777777779E-5</v>
      </c>
      <c r="AA194" s="68">
        <f t="shared" ca="1" si="11"/>
        <v>0</v>
      </c>
      <c r="AB194" s="68">
        <f t="shared" ca="1" si="12"/>
        <v>0</v>
      </c>
      <c r="AC194" s="68">
        <f t="shared" ca="1" si="13"/>
        <v>6.2500000000000001E-5</v>
      </c>
      <c r="AD194" s="68">
        <f t="shared" ca="1" si="14"/>
        <v>2.0833333333333333E-5</v>
      </c>
      <c r="AE194" s="55"/>
      <c r="AF194" s="68">
        <v>1.2500008594873435E-5</v>
      </c>
      <c r="AG194" s="81">
        <v>2.5000034375999292E-5</v>
      </c>
      <c r="AH194" s="68">
        <v>5.0000137497008268E-5</v>
      </c>
      <c r="AI194" s="55"/>
    </row>
    <row r="195" spans="1:35" x14ac:dyDescent="0.2">
      <c r="A195" s="27">
        <f>'Cash Flow'!A195</f>
        <v>189</v>
      </c>
      <c r="B195" s="49">
        <f>'Cash Flow'!B195</f>
        <v>44866</v>
      </c>
      <c r="C195" s="56">
        <f>'Cash Flow'!C195</f>
        <v>8.3333333333333329E-2</v>
      </c>
      <c r="D195" s="55"/>
      <c r="E195" s="57">
        <v>6.9369000000000056E-2</v>
      </c>
      <c r="F195" s="57"/>
      <c r="G195" s="57"/>
      <c r="H195" s="57"/>
      <c r="I195" s="57">
        <v>0.04</v>
      </c>
      <c r="J195" s="57"/>
      <c r="K195" s="57"/>
      <c r="L195" s="55"/>
      <c r="M195" s="78">
        <v>5.1430128318229462E-3</v>
      </c>
      <c r="N195" s="78">
        <v>0.01</v>
      </c>
      <c r="Q195" s="57"/>
      <c r="S195" s="55"/>
      <c r="T195" s="79">
        <f ca="1">OFFSET('Loss Timing'!D$6,MATCH($A195,'Loss Timing'!$A$7:$A$36,1),0)/12/PmtFreqAdd</f>
        <v>2.7777777777777779E-3</v>
      </c>
      <c r="U195" s="79">
        <f ca="1">OFFSET('Loss Timing'!E$6,MATCH($A195,'Loss Timing'!$A$7:$A$36,1),0)/12/PmtFreqAdd</f>
        <v>0</v>
      </c>
      <c r="V195" s="79">
        <f ca="1">OFFSET('Loss Timing'!F$6,MATCH($A195,'Loss Timing'!$A$7:$A$36,1),0)/12/PmtFreqAdd</f>
        <v>0</v>
      </c>
      <c r="W195" s="79">
        <f ca="1">OFFSET('Loss Timing'!G$6,MATCH($A195,'Loss Timing'!$A$7:$A$36,1),0)/12/PmtFreqAdd</f>
        <v>6.2499999999999995E-3</v>
      </c>
      <c r="X195" s="79">
        <f ca="1">OFFSET('Loss Timing'!H$6,MATCH($A195,'Loss Timing'!$A$7:$A$36,1),0)/12/PmtFreqAdd</f>
        <v>2.0833333333333333E-3</v>
      </c>
      <c r="Y195" s="55"/>
      <c r="Z195" s="68">
        <f t="shared" ca="1" si="10"/>
        <v>2.7777777777777779E-5</v>
      </c>
      <c r="AA195" s="68">
        <f t="shared" ca="1" si="11"/>
        <v>0</v>
      </c>
      <c r="AB195" s="68">
        <f t="shared" ca="1" si="12"/>
        <v>0</v>
      </c>
      <c r="AC195" s="68">
        <f t="shared" ca="1" si="13"/>
        <v>6.2500000000000001E-5</v>
      </c>
      <c r="AD195" s="68">
        <f t="shared" ca="1" si="14"/>
        <v>2.0833333333333333E-5</v>
      </c>
      <c r="AE195" s="55"/>
      <c r="AF195" s="68">
        <v>1.2500008594873435E-5</v>
      </c>
      <c r="AG195" s="81">
        <v>2.5000034375999292E-5</v>
      </c>
      <c r="AH195" s="68">
        <v>5.0000137497008268E-5</v>
      </c>
      <c r="AI195" s="55"/>
    </row>
    <row r="196" spans="1:35" x14ac:dyDescent="0.2">
      <c r="A196" s="27">
        <f>'Cash Flow'!A196</f>
        <v>190</v>
      </c>
      <c r="B196" s="49">
        <f>'Cash Flow'!B196</f>
        <v>44896</v>
      </c>
      <c r="C196" s="56">
        <f>'Cash Flow'!C196</f>
        <v>8.3333333333333329E-2</v>
      </c>
      <c r="D196" s="55"/>
      <c r="E196" s="57">
        <v>6.9369000000000056E-2</v>
      </c>
      <c r="F196" s="57"/>
      <c r="G196" s="57"/>
      <c r="H196" s="57"/>
      <c r="I196" s="57">
        <v>0.04</v>
      </c>
      <c r="J196" s="57"/>
      <c r="K196" s="57"/>
      <c r="L196" s="55"/>
      <c r="M196" s="78">
        <v>5.1430128318229462E-3</v>
      </c>
      <c r="N196" s="78">
        <v>0.01</v>
      </c>
      <c r="Q196" s="57"/>
      <c r="S196" s="55"/>
      <c r="T196" s="79">
        <f ca="1">OFFSET('Loss Timing'!D$6,MATCH($A196,'Loss Timing'!$A$7:$A$36,1),0)/12/PmtFreqAdd</f>
        <v>2.7777777777777779E-3</v>
      </c>
      <c r="U196" s="79">
        <f ca="1">OFFSET('Loss Timing'!E$6,MATCH($A196,'Loss Timing'!$A$7:$A$36,1),0)/12/PmtFreqAdd</f>
        <v>0</v>
      </c>
      <c r="V196" s="79">
        <f ca="1">OFFSET('Loss Timing'!F$6,MATCH($A196,'Loss Timing'!$A$7:$A$36,1),0)/12/PmtFreqAdd</f>
        <v>0</v>
      </c>
      <c r="W196" s="79">
        <f ca="1">OFFSET('Loss Timing'!G$6,MATCH($A196,'Loss Timing'!$A$7:$A$36,1),0)/12/PmtFreqAdd</f>
        <v>6.2499999999999995E-3</v>
      </c>
      <c r="X196" s="79">
        <f ca="1">OFFSET('Loss Timing'!H$6,MATCH($A196,'Loss Timing'!$A$7:$A$36,1),0)/12/PmtFreqAdd</f>
        <v>2.0833333333333333E-3</v>
      </c>
      <c r="Y196" s="55"/>
      <c r="Z196" s="68">
        <f t="shared" ca="1" si="10"/>
        <v>2.7777777777777779E-5</v>
      </c>
      <c r="AA196" s="68">
        <f t="shared" ca="1" si="11"/>
        <v>0</v>
      </c>
      <c r="AB196" s="68">
        <f t="shared" ca="1" si="12"/>
        <v>0</v>
      </c>
      <c r="AC196" s="68">
        <f t="shared" ca="1" si="13"/>
        <v>6.2500000000000001E-5</v>
      </c>
      <c r="AD196" s="68">
        <f t="shared" ca="1" si="14"/>
        <v>2.0833333333333333E-5</v>
      </c>
      <c r="AE196" s="55"/>
      <c r="AF196" s="68">
        <v>1.2500008594873435E-5</v>
      </c>
      <c r="AG196" s="81">
        <v>2.5000034375999292E-5</v>
      </c>
      <c r="AH196" s="68">
        <v>5.0000137497008268E-5</v>
      </c>
      <c r="AI196" s="55"/>
    </row>
    <row r="197" spans="1:35" x14ac:dyDescent="0.2">
      <c r="A197" s="27">
        <f>'Cash Flow'!A197</f>
        <v>191</v>
      </c>
      <c r="B197" s="49">
        <f>'Cash Flow'!B197</f>
        <v>44927</v>
      </c>
      <c r="C197" s="56">
        <f>'Cash Flow'!C197</f>
        <v>8.3333333333333329E-2</v>
      </c>
      <c r="D197" s="55"/>
      <c r="E197" s="57">
        <v>6.9369000000000056E-2</v>
      </c>
      <c r="F197" s="57"/>
      <c r="G197" s="57"/>
      <c r="H197" s="57"/>
      <c r="I197" s="57">
        <v>0.04</v>
      </c>
      <c r="J197" s="57"/>
      <c r="K197" s="57"/>
      <c r="L197" s="55"/>
      <c r="M197" s="78">
        <v>5.1430128318229462E-3</v>
      </c>
      <c r="N197" s="78">
        <v>0.01</v>
      </c>
      <c r="Q197" s="57"/>
      <c r="S197" s="55"/>
      <c r="T197" s="79">
        <f ca="1">OFFSET('Loss Timing'!D$6,MATCH($A197,'Loss Timing'!$A$7:$A$36,1),0)/12/PmtFreqAdd</f>
        <v>2.7777777777777779E-3</v>
      </c>
      <c r="U197" s="79">
        <f ca="1">OFFSET('Loss Timing'!E$6,MATCH($A197,'Loss Timing'!$A$7:$A$36,1),0)/12/PmtFreqAdd</f>
        <v>0</v>
      </c>
      <c r="V197" s="79">
        <f ca="1">OFFSET('Loss Timing'!F$6,MATCH($A197,'Loss Timing'!$A$7:$A$36,1),0)/12/PmtFreqAdd</f>
        <v>0</v>
      </c>
      <c r="W197" s="79">
        <f ca="1">OFFSET('Loss Timing'!G$6,MATCH($A197,'Loss Timing'!$A$7:$A$36,1),0)/12/PmtFreqAdd</f>
        <v>6.2499999999999995E-3</v>
      </c>
      <c r="X197" s="79">
        <f ca="1">OFFSET('Loss Timing'!H$6,MATCH($A197,'Loss Timing'!$A$7:$A$36,1),0)/12/PmtFreqAdd</f>
        <v>2.0833333333333333E-3</v>
      </c>
      <c r="Y197" s="55"/>
      <c r="Z197" s="68">
        <f t="shared" ca="1" si="10"/>
        <v>2.7777777777777779E-5</v>
      </c>
      <c r="AA197" s="68">
        <f t="shared" ca="1" si="11"/>
        <v>0</v>
      </c>
      <c r="AB197" s="68">
        <f t="shared" ca="1" si="12"/>
        <v>0</v>
      </c>
      <c r="AC197" s="68">
        <f t="shared" ca="1" si="13"/>
        <v>6.2500000000000001E-5</v>
      </c>
      <c r="AD197" s="68">
        <f t="shared" ca="1" si="14"/>
        <v>2.0833333333333333E-5</v>
      </c>
      <c r="AE197" s="55"/>
      <c r="AF197" s="68">
        <v>1.2500008594873435E-5</v>
      </c>
      <c r="AG197" s="81">
        <v>2.5000034375999292E-5</v>
      </c>
      <c r="AH197" s="68">
        <v>5.0000137497008268E-5</v>
      </c>
      <c r="AI197" s="55"/>
    </row>
    <row r="198" spans="1:35" x14ac:dyDescent="0.2">
      <c r="A198" s="27">
        <f>'Cash Flow'!A198</f>
        <v>192</v>
      </c>
      <c r="B198" s="49">
        <f>'Cash Flow'!B198</f>
        <v>44958</v>
      </c>
      <c r="C198" s="56">
        <f>'Cash Flow'!C198</f>
        <v>8.3333333333333329E-2</v>
      </c>
      <c r="D198" s="55"/>
      <c r="E198" s="57">
        <v>6.9369000000000056E-2</v>
      </c>
      <c r="F198" s="57"/>
      <c r="G198" s="57"/>
      <c r="H198" s="57"/>
      <c r="I198" s="57">
        <v>0.04</v>
      </c>
      <c r="J198" s="57"/>
      <c r="K198" s="57"/>
      <c r="L198" s="55"/>
      <c r="M198" s="78">
        <v>5.1430128318229462E-3</v>
      </c>
      <c r="N198" s="78">
        <v>0.01</v>
      </c>
      <c r="Q198" s="57"/>
      <c r="S198" s="55"/>
      <c r="T198" s="79">
        <f ca="1">OFFSET('Loss Timing'!D$6,MATCH($A198,'Loss Timing'!$A$7:$A$36,1),0)/12/PmtFreqAdd</f>
        <v>2.7777777777777779E-3</v>
      </c>
      <c r="U198" s="79">
        <f ca="1">OFFSET('Loss Timing'!E$6,MATCH($A198,'Loss Timing'!$A$7:$A$36,1),0)/12/PmtFreqAdd</f>
        <v>0</v>
      </c>
      <c r="V198" s="79">
        <f ca="1">OFFSET('Loss Timing'!F$6,MATCH($A198,'Loss Timing'!$A$7:$A$36,1),0)/12/PmtFreqAdd</f>
        <v>0</v>
      </c>
      <c r="W198" s="79">
        <f ca="1">OFFSET('Loss Timing'!G$6,MATCH($A198,'Loss Timing'!$A$7:$A$36,1),0)/12/PmtFreqAdd</f>
        <v>6.2499999999999995E-3</v>
      </c>
      <c r="X198" s="79">
        <f ca="1">OFFSET('Loss Timing'!H$6,MATCH($A198,'Loss Timing'!$A$7:$A$36,1),0)/12/PmtFreqAdd</f>
        <v>2.0833333333333333E-3</v>
      </c>
      <c r="Y198" s="55"/>
      <c r="Z198" s="68">
        <f t="shared" ca="1" si="10"/>
        <v>2.7777777777777779E-5</v>
      </c>
      <c r="AA198" s="68">
        <f t="shared" ca="1" si="11"/>
        <v>0</v>
      </c>
      <c r="AB198" s="68">
        <f t="shared" ca="1" si="12"/>
        <v>0</v>
      </c>
      <c r="AC198" s="68">
        <f t="shared" ca="1" si="13"/>
        <v>6.2500000000000001E-5</v>
      </c>
      <c r="AD198" s="68">
        <f t="shared" ca="1" si="14"/>
        <v>2.0833333333333333E-5</v>
      </c>
      <c r="AE198" s="55"/>
      <c r="AF198" s="68">
        <v>1.2500008594873435E-5</v>
      </c>
      <c r="AG198" s="81">
        <v>2.5000034375999292E-5</v>
      </c>
      <c r="AH198" s="68">
        <v>5.0000137497008268E-5</v>
      </c>
      <c r="AI198" s="55"/>
    </row>
    <row r="199" spans="1:35" x14ac:dyDescent="0.2">
      <c r="A199" s="27">
        <f>'Cash Flow'!A199</f>
        <v>193</v>
      </c>
      <c r="B199" s="49">
        <f>'Cash Flow'!B199</f>
        <v>44986</v>
      </c>
      <c r="C199" s="56">
        <f>'Cash Flow'!C199</f>
        <v>8.3333333333333329E-2</v>
      </c>
      <c r="D199" s="55"/>
      <c r="E199" s="57">
        <v>6.9369000000000056E-2</v>
      </c>
      <c r="F199" s="57"/>
      <c r="G199" s="57"/>
      <c r="H199" s="57"/>
      <c r="I199" s="57">
        <v>0.04</v>
      </c>
      <c r="J199" s="57"/>
      <c r="K199" s="57"/>
      <c r="L199" s="55"/>
      <c r="M199" s="78">
        <v>5.1430128318229462E-3</v>
      </c>
      <c r="N199" s="78">
        <v>0.01</v>
      </c>
      <c r="Q199" s="57"/>
      <c r="S199" s="55"/>
      <c r="T199" s="79">
        <f ca="1">OFFSET('Loss Timing'!D$6,MATCH($A199,'Loss Timing'!$A$7:$A$36,1),0)/12/PmtFreqAdd</f>
        <v>2.7777777777777779E-3</v>
      </c>
      <c r="U199" s="79">
        <f ca="1">OFFSET('Loss Timing'!E$6,MATCH($A199,'Loss Timing'!$A$7:$A$36,1),0)/12/PmtFreqAdd</f>
        <v>0</v>
      </c>
      <c r="V199" s="79">
        <f ca="1">OFFSET('Loss Timing'!F$6,MATCH($A199,'Loss Timing'!$A$7:$A$36,1),0)/12/PmtFreqAdd</f>
        <v>0</v>
      </c>
      <c r="W199" s="79">
        <f ca="1">OFFSET('Loss Timing'!G$6,MATCH($A199,'Loss Timing'!$A$7:$A$36,1),0)/12/PmtFreqAdd</f>
        <v>6.2499999999999995E-3</v>
      </c>
      <c r="X199" s="79">
        <f ca="1">OFFSET('Loss Timing'!H$6,MATCH($A199,'Loss Timing'!$A$7:$A$36,1),0)/12/PmtFreqAdd</f>
        <v>2.0833333333333333E-3</v>
      </c>
      <c r="Y199" s="55"/>
      <c r="Z199" s="68">
        <f t="shared" ref="Z199:Z262" ca="1" si="15">(pdrCumLoss1*pdrLossStress1)*T199</f>
        <v>2.7777777777777779E-5</v>
      </c>
      <c r="AA199" s="68">
        <f t="shared" ref="AA199:AA262" ca="1" si="16">(pdrCumLoss1*pdrLossStress1)*U199</f>
        <v>0</v>
      </c>
      <c r="AB199" s="68">
        <f t="shared" ref="AB199:AB262" ca="1" si="17">(pdrCumLoss1*pdrLossStress1)*V199</f>
        <v>0</v>
      </c>
      <c r="AC199" s="68">
        <f t="shared" ref="AC199:AC262" ca="1" si="18">(pdrCumLoss1*pdrLossStress1)*W199</f>
        <v>6.2500000000000001E-5</v>
      </c>
      <c r="AD199" s="68">
        <f t="shared" ref="AD199:AD262" ca="1" si="19">(pdrCumLoss1*pdrLossStress1)*X199</f>
        <v>2.0833333333333333E-5</v>
      </c>
      <c r="AE199" s="55"/>
      <c r="AF199" s="68">
        <v>1.2500008594873435E-5</v>
      </c>
      <c r="AG199" s="81">
        <v>2.5000034375999292E-5</v>
      </c>
      <c r="AH199" s="68">
        <v>5.0000137497008268E-5</v>
      </c>
      <c r="AI199" s="55"/>
    </row>
    <row r="200" spans="1:35" x14ac:dyDescent="0.2">
      <c r="A200" s="27">
        <f>'Cash Flow'!A200</f>
        <v>194</v>
      </c>
      <c r="B200" s="49">
        <f>'Cash Flow'!B200</f>
        <v>45017</v>
      </c>
      <c r="C200" s="56">
        <f>'Cash Flow'!C200</f>
        <v>8.3333333333333329E-2</v>
      </c>
      <c r="D200" s="55"/>
      <c r="E200" s="57">
        <v>6.9369000000000056E-2</v>
      </c>
      <c r="F200" s="57"/>
      <c r="G200" s="57"/>
      <c r="H200" s="57"/>
      <c r="I200" s="57">
        <v>0.04</v>
      </c>
      <c r="J200" s="57"/>
      <c r="K200" s="57"/>
      <c r="L200" s="55"/>
      <c r="M200" s="78">
        <v>5.1430128318229462E-3</v>
      </c>
      <c r="N200" s="78">
        <v>0.01</v>
      </c>
      <c r="Q200" s="57"/>
      <c r="S200" s="55"/>
      <c r="T200" s="79">
        <f ca="1">OFFSET('Loss Timing'!D$6,MATCH($A200,'Loss Timing'!$A$7:$A$36,1),0)/12/PmtFreqAdd</f>
        <v>2.7777777777777779E-3</v>
      </c>
      <c r="U200" s="79">
        <f ca="1">OFFSET('Loss Timing'!E$6,MATCH($A200,'Loss Timing'!$A$7:$A$36,1),0)/12/PmtFreqAdd</f>
        <v>0</v>
      </c>
      <c r="V200" s="79">
        <f ca="1">OFFSET('Loss Timing'!F$6,MATCH($A200,'Loss Timing'!$A$7:$A$36,1),0)/12/PmtFreqAdd</f>
        <v>0</v>
      </c>
      <c r="W200" s="79">
        <f ca="1">OFFSET('Loss Timing'!G$6,MATCH($A200,'Loss Timing'!$A$7:$A$36,1),0)/12/PmtFreqAdd</f>
        <v>6.2499999999999995E-3</v>
      </c>
      <c r="X200" s="79">
        <f ca="1">OFFSET('Loss Timing'!H$6,MATCH($A200,'Loss Timing'!$A$7:$A$36,1),0)/12/PmtFreqAdd</f>
        <v>2.0833333333333333E-3</v>
      </c>
      <c r="Y200" s="55"/>
      <c r="Z200" s="68">
        <f t="shared" ca="1" si="15"/>
        <v>2.7777777777777779E-5</v>
      </c>
      <c r="AA200" s="68">
        <f t="shared" ca="1" si="16"/>
        <v>0</v>
      </c>
      <c r="AB200" s="68">
        <f t="shared" ca="1" si="17"/>
        <v>0</v>
      </c>
      <c r="AC200" s="68">
        <f t="shared" ca="1" si="18"/>
        <v>6.2500000000000001E-5</v>
      </c>
      <c r="AD200" s="68">
        <f t="shared" ca="1" si="19"/>
        <v>2.0833333333333333E-5</v>
      </c>
      <c r="AE200" s="55"/>
      <c r="AF200" s="68">
        <v>1.2500008594873435E-5</v>
      </c>
      <c r="AG200" s="81">
        <v>2.5000034375999292E-5</v>
      </c>
      <c r="AH200" s="68">
        <v>5.0000137497008268E-5</v>
      </c>
      <c r="AI200" s="55"/>
    </row>
    <row r="201" spans="1:35" x14ac:dyDescent="0.2">
      <c r="A201" s="27">
        <f>'Cash Flow'!A201</f>
        <v>195</v>
      </c>
      <c r="B201" s="49">
        <f>'Cash Flow'!B201</f>
        <v>45047</v>
      </c>
      <c r="C201" s="56">
        <f>'Cash Flow'!C201</f>
        <v>8.3333333333333329E-2</v>
      </c>
      <c r="D201" s="55"/>
      <c r="E201" s="57">
        <v>6.9369000000000056E-2</v>
      </c>
      <c r="F201" s="57"/>
      <c r="G201" s="57"/>
      <c r="H201" s="57"/>
      <c r="I201" s="57">
        <v>0.04</v>
      </c>
      <c r="J201" s="57"/>
      <c r="K201" s="57"/>
      <c r="L201" s="55"/>
      <c r="M201" s="78">
        <v>5.1430128318229462E-3</v>
      </c>
      <c r="N201" s="78">
        <v>0.01</v>
      </c>
      <c r="Q201" s="57"/>
      <c r="S201" s="55"/>
      <c r="T201" s="79">
        <f ca="1">OFFSET('Loss Timing'!D$6,MATCH($A201,'Loss Timing'!$A$7:$A$36,1),0)/12/PmtFreqAdd</f>
        <v>2.7777777777777779E-3</v>
      </c>
      <c r="U201" s="79">
        <f ca="1">OFFSET('Loss Timing'!E$6,MATCH($A201,'Loss Timing'!$A$7:$A$36,1),0)/12/PmtFreqAdd</f>
        <v>0</v>
      </c>
      <c r="V201" s="79">
        <f ca="1">OFFSET('Loss Timing'!F$6,MATCH($A201,'Loss Timing'!$A$7:$A$36,1),0)/12/PmtFreqAdd</f>
        <v>0</v>
      </c>
      <c r="W201" s="79">
        <f ca="1">OFFSET('Loss Timing'!G$6,MATCH($A201,'Loss Timing'!$A$7:$A$36,1),0)/12/PmtFreqAdd</f>
        <v>6.2499999999999995E-3</v>
      </c>
      <c r="X201" s="79">
        <f ca="1">OFFSET('Loss Timing'!H$6,MATCH($A201,'Loss Timing'!$A$7:$A$36,1),0)/12/PmtFreqAdd</f>
        <v>2.0833333333333333E-3</v>
      </c>
      <c r="Y201" s="55"/>
      <c r="Z201" s="68">
        <f t="shared" ca="1" si="15"/>
        <v>2.7777777777777779E-5</v>
      </c>
      <c r="AA201" s="68">
        <f t="shared" ca="1" si="16"/>
        <v>0</v>
      </c>
      <c r="AB201" s="68">
        <f t="shared" ca="1" si="17"/>
        <v>0</v>
      </c>
      <c r="AC201" s="68">
        <f t="shared" ca="1" si="18"/>
        <v>6.2500000000000001E-5</v>
      </c>
      <c r="AD201" s="68">
        <f t="shared" ca="1" si="19"/>
        <v>2.0833333333333333E-5</v>
      </c>
      <c r="AE201" s="55"/>
      <c r="AF201" s="68">
        <v>1.2500008594873435E-5</v>
      </c>
      <c r="AG201" s="81">
        <v>2.5000034375999292E-5</v>
      </c>
      <c r="AH201" s="68">
        <v>5.0000137497008268E-5</v>
      </c>
      <c r="AI201" s="55"/>
    </row>
    <row r="202" spans="1:35" x14ac:dyDescent="0.2">
      <c r="A202" s="27">
        <f>'Cash Flow'!A202</f>
        <v>196</v>
      </c>
      <c r="B202" s="49">
        <f>'Cash Flow'!B202</f>
        <v>45078</v>
      </c>
      <c r="C202" s="56">
        <f>'Cash Flow'!C202</f>
        <v>8.3333333333333329E-2</v>
      </c>
      <c r="D202" s="55"/>
      <c r="E202" s="57">
        <v>6.9369000000000056E-2</v>
      </c>
      <c r="F202" s="57"/>
      <c r="G202" s="57"/>
      <c r="H202" s="57"/>
      <c r="I202" s="57">
        <v>0.04</v>
      </c>
      <c r="J202" s="57"/>
      <c r="K202" s="57"/>
      <c r="L202" s="55"/>
      <c r="M202" s="78">
        <v>5.1430128318229462E-3</v>
      </c>
      <c r="N202" s="78">
        <v>0.01</v>
      </c>
      <c r="Q202" s="57"/>
      <c r="S202" s="55"/>
      <c r="T202" s="79">
        <f ca="1">OFFSET('Loss Timing'!D$6,MATCH($A202,'Loss Timing'!$A$7:$A$36,1),0)/12/PmtFreqAdd</f>
        <v>2.7777777777777779E-3</v>
      </c>
      <c r="U202" s="79">
        <f ca="1">OFFSET('Loss Timing'!E$6,MATCH($A202,'Loss Timing'!$A$7:$A$36,1),0)/12/PmtFreqAdd</f>
        <v>0</v>
      </c>
      <c r="V202" s="79">
        <f ca="1">OFFSET('Loss Timing'!F$6,MATCH($A202,'Loss Timing'!$A$7:$A$36,1),0)/12/PmtFreqAdd</f>
        <v>0</v>
      </c>
      <c r="W202" s="79">
        <f ca="1">OFFSET('Loss Timing'!G$6,MATCH($A202,'Loss Timing'!$A$7:$A$36,1),0)/12/PmtFreqAdd</f>
        <v>6.2499999999999995E-3</v>
      </c>
      <c r="X202" s="79">
        <f ca="1">OFFSET('Loss Timing'!H$6,MATCH($A202,'Loss Timing'!$A$7:$A$36,1),0)/12/PmtFreqAdd</f>
        <v>2.0833333333333333E-3</v>
      </c>
      <c r="Y202" s="55"/>
      <c r="Z202" s="68">
        <f t="shared" ca="1" si="15"/>
        <v>2.7777777777777779E-5</v>
      </c>
      <c r="AA202" s="68">
        <f t="shared" ca="1" si="16"/>
        <v>0</v>
      </c>
      <c r="AB202" s="68">
        <f t="shared" ca="1" si="17"/>
        <v>0</v>
      </c>
      <c r="AC202" s="68">
        <f t="shared" ca="1" si="18"/>
        <v>6.2500000000000001E-5</v>
      </c>
      <c r="AD202" s="68">
        <f t="shared" ca="1" si="19"/>
        <v>2.0833333333333333E-5</v>
      </c>
      <c r="AE202" s="55"/>
      <c r="AF202" s="68">
        <v>1.2500008594873435E-5</v>
      </c>
      <c r="AG202" s="81">
        <v>2.5000034375999292E-5</v>
      </c>
      <c r="AH202" s="68">
        <v>5.0000137497008268E-5</v>
      </c>
      <c r="AI202" s="55"/>
    </row>
    <row r="203" spans="1:35" x14ac:dyDescent="0.2">
      <c r="A203" s="27">
        <f>'Cash Flow'!A203</f>
        <v>197</v>
      </c>
      <c r="B203" s="49">
        <f>'Cash Flow'!B203</f>
        <v>45108</v>
      </c>
      <c r="C203" s="56">
        <f>'Cash Flow'!C203</f>
        <v>8.3333333333333329E-2</v>
      </c>
      <c r="D203" s="55"/>
      <c r="E203" s="57">
        <v>6.9369000000000056E-2</v>
      </c>
      <c r="F203" s="57"/>
      <c r="G203" s="57"/>
      <c r="H203" s="57"/>
      <c r="I203" s="57">
        <v>0.04</v>
      </c>
      <c r="J203" s="57"/>
      <c r="K203" s="57"/>
      <c r="L203" s="55"/>
      <c r="M203" s="78">
        <v>5.1430128318229462E-3</v>
      </c>
      <c r="N203" s="78">
        <v>0.01</v>
      </c>
      <c r="Q203" s="57"/>
      <c r="S203" s="55"/>
      <c r="T203" s="79">
        <f ca="1">OFFSET('Loss Timing'!D$6,MATCH($A203,'Loss Timing'!$A$7:$A$36,1),0)/12/PmtFreqAdd</f>
        <v>2.7777777777777779E-3</v>
      </c>
      <c r="U203" s="79">
        <f ca="1">OFFSET('Loss Timing'!E$6,MATCH($A203,'Loss Timing'!$A$7:$A$36,1),0)/12/PmtFreqAdd</f>
        <v>0</v>
      </c>
      <c r="V203" s="79">
        <f ca="1">OFFSET('Loss Timing'!F$6,MATCH($A203,'Loss Timing'!$A$7:$A$36,1),0)/12/PmtFreqAdd</f>
        <v>0</v>
      </c>
      <c r="W203" s="79">
        <f ca="1">OFFSET('Loss Timing'!G$6,MATCH($A203,'Loss Timing'!$A$7:$A$36,1),0)/12/PmtFreqAdd</f>
        <v>6.2499999999999995E-3</v>
      </c>
      <c r="X203" s="79">
        <f ca="1">OFFSET('Loss Timing'!H$6,MATCH($A203,'Loss Timing'!$A$7:$A$36,1),0)/12/PmtFreqAdd</f>
        <v>2.0833333333333333E-3</v>
      </c>
      <c r="Y203" s="55"/>
      <c r="Z203" s="68">
        <f t="shared" ca="1" si="15"/>
        <v>2.7777777777777779E-5</v>
      </c>
      <c r="AA203" s="68">
        <f t="shared" ca="1" si="16"/>
        <v>0</v>
      </c>
      <c r="AB203" s="68">
        <f t="shared" ca="1" si="17"/>
        <v>0</v>
      </c>
      <c r="AC203" s="68">
        <f t="shared" ca="1" si="18"/>
        <v>6.2500000000000001E-5</v>
      </c>
      <c r="AD203" s="68">
        <f t="shared" ca="1" si="19"/>
        <v>2.0833333333333333E-5</v>
      </c>
      <c r="AE203" s="55"/>
      <c r="AF203" s="68">
        <v>1.2500008594873435E-5</v>
      </c>
      <c r="AG203" s="81">
        <v>2.5000034375999292E-5</v>
      </c>
      <c r="AH203" s="68">
        <v>5.0000137497008268E-5</v>
      </c>
      <c r="AI203" s="55"/>
    </row>
    <row r="204" spans="1:35" x14ac:dyDescent="0.2">
      <c r="A204" s="27">
        <f>'Cash Flow'!A204</f>
        <v>198</v>
      </c>
      <c r="B204" s="49">
        <f>'Cash Flow'!B204</f>
        <v>45139</v>
      </c>
      <c r="C204" s="56">
        <f>'Cash Flow'!C204</f>
        <v>8.3333333333333329E-2</v>
      </c>
      <c r="D204" s="55"/>
      <c r="E204" s="57">
        <v>6.9369000000000056E-2</v>
      </c>
      <c r="F204" s="57"/>
      <c r="G204" s="57"/>
      <c r="H204" s="57"/>
      <c r="I204" s="57">
        <v>0.04</v>
      </c>
      <c r="J204" s="57"/>
      <c r="K204" s="57"/>
      <c r="L204" s="55"/>
      <c r="M204" s="78">
        <v>5.1430128318229462E-3</v>
      </c>
      <c r="N204" s="78">
        <v>0.01</v>
      </c>
      <c r="Q204" s="57"/>
      <c r="S204" s="55"/>
      <c r="T204" s="79">
        <f ca="1">OFFSET('Loss Timing'!D$6,MATCH($A204,'Loss Timing'!$A$7:$A$36,1),0)/12/PmtFreqAdd</f>
        <v>2.7777777777777779E-3</v>
      </c>
      <c r="U204" s="79">
        <f ca="1">OFFSET('Loss Timing'!E$6,MATCH($A204,'Loss Timing'!$A$7:$A$36,1),0)/12/PmtFreqAdd</f>
        <v>0</v>
      </c>
      <c r="V204" s="79">
        <f ca="1">OFFSET('Loss Timing'!F$6,MATCH($A204,'Loss Timing'!$A$7:$A$36,1),0)/12/PmtFreqAdd</f>
        <v>0</v>
      </c>
      <c r="W204" s="79">
        <f ca="1">OFFSET('Loss Timing'!G$6,MATCH($A204,'Loss Timing'!$A$7:$A$36,1),0)/12/PmtFreqAdd</f>
        <v>6.2499999999999995E-3</v>
      </c>
      <c r="X204" s="79">
        <f ca="1">OFFSET('Loss Timing'!H$6,MATCH($A204,'Loss Timing'!$A$7:$A$36,1),0)/12/PmtFreqAdd</f>
        <v>2.0833333333333333E-3</v>
      </c>
      <c r="Y204" s="55"/>
      <c r="Z204" s="68">
        <f t="shared" ca="1" si="15"/>
        <v>2.7777777777777779E-5</v>
      </c>
      <c r="AA204" s="68">
        <f t="shared" ca="1" si="16"/>
        <v>0</v>
      </c>
      <c r="AB204" s="68">
        <f t="shared" ca="1" si="17"/>
        <v>0</v>
      </c>
      <c r="AC204" s="68">
        <f t="shared" ca="1" si="18"/>
        <v>6.2500000000000001E-5</v>
      </c>
      <c r="AD204" s="68">
        <f t="shared" ca="1" si="19"/>
        <v>2.0833333333333333E-5</v>
      </c>
      <c r="AE204" s="55"/>
      <c r="AF204" s="68">
        <v>1.2500008594873435E-5</v>
      </c>
      <c r="AG204" s="81">
        <v>2.5000034375999292E-5</v>
      </c>
      <c r="AH204" s="68">
        <v>5.0000137497008268E-5</v>
      </c>
      <c r="AI204" s="55"/>
    </row>
    <row r="205" spans="1:35" x14ac:dyDescent="0.2">
      <c r="A205" s="27">
        <f>'Cash Flow'!A205</f>
        <v>199</v>
      </c>
      <c r="B205" s="49">
        <f>'Cash Flow'!B205</f>
        <v>45170</v>
      </c>
      <c r="C205" s="56">
        <f>'Cash Flow'!C205</f>
        <v>8.3333333333333329E-2</v>
      </c>
      <c r="D205" s="55"/>
      <c r="E205" s="57">
        <v>6.9369000000000056E-2</v>
      </c>
      <c r="F205" s="57"/>
      <c r="G205" s="57"/>
      <c r="H205" s="57"/>
      <c r="I205" s="57">
        <v>0.04</v>
      </c>
      <c r="J205" s="57"/>
      <c r="K205" s="57"/>
      <c r="L205" s="55"/>
      <c r="M205" s="78">
        <v>5.1430128318229462E-3</v>
      </c>
      <c r="N205" s="78">
        <v>0.01</v>
      </c>
      <c r="Q205" s="57"/>
      <c r="S205" s="55"/>
      <c r="T205" s="79">
        <f ca="1">OFFSET('Loss Timing'!D$6,MATCH($A205,'Loss Timing'!$A$7:$A$36,1),0)/12/PmtFreqAdd</f>
        <v>2.7777777777777779E-3</v>
      </c>
      <c r="U205" s="79">
        <f ca="1">OFFSET('Loss Timing'!E$6,MATCH($A205,'Loss Timing'!$A$7:$A$36,1),0)/12/PmtFreqAdd</f>
        <v>0</v>
      </c>
      <c r="V205" s="79">
        <f ca="1">OFFSET('Loss Timing'!F$6,MATCH($A205,'Loss Timing'!$A$7:$A$36,1),0)/12/PmtFreqAdd</f>
        <v>0</v>
      </c>
      <c r="W205" s="79">
        <f ca="1">OFFSET('Loss Timing'!G$6,MATCH($A205,'Loss Timing'!$A$7:$A$36,1),0)/12/PmtFreqAdd</f>
        <v>6.2499999999999995E-3</v>
      </c>
      <c r="X205" s="79">
        <f ca="1">OFFSET('Loss Timing'!H$6,MATCH($A205,'Loss Timing'!$A$7:$A$36,1),0)/12/PmtFreqAdd</f>
        <v>2.0833333333333333E-3</v>
      </c>
      <c r="Y205" s="55"/>
      <c r="Z205" s="68">
        <f t="shared" ca="1" si="15"/>
        <v>2.7777777777777779E-5</v>
      </c>
      <c r="AA205" s="68">
        <f t="shared" ca="1" si="16"/>
        <v>0</v>
      </c>
      <c r="AB205" s="68">
        <f t="shared" ca="1" si="17"/>
        <v>0</v>
      </c>
      <c r="AC205" s="68">
        <f t="shared" ca="1" si="18"/>
        <v>6.2500000000000001E-5</v>
      </c>
      <c r="AD205" s="68">
        <f t="shared" ca="1" si="19"/>
        <v>2.0833333333333333E-5</v>
      </c>
      <c r="AE205" s="55"/>
      <c r="AF205" s="68">
        <v>1.2500008594873435E-5</v>
      </c>
      <c r="AG205" s="81">
        <v>2.5000034375999292E-5</v>
      </c>
      <c r="AH205" s="68">
        <v>5.0000137497008268E-5</v>
      </c>
      <c r="AI205" s="55"/>
    </row>
    <row r="206" spans="1:35" x14ac:dyDescent="0.2">
      <c r="A206" s="27">
        <f>'Cash Flow'!A206</f>
        <v>200</v>
      </c>
      <c r="B206" s="49">
        <f>'Cash Flow'!B206</f>
        <v>45200</v>
      </c>
      <c r="C206" s="56">
        <f>'Cash Flow'!C206</f>
        <v>8.3333333333333329E-2</v>
      </c>
      <c r="D206" s="55"/>
      <c r="E206" s="57">
        <v>6.9369000000000056E-2</v>
      </c>
      <c r="F206" s="57"/>
      <c r="G206" s="57"/>
      <c r="H206" s="57"/>
      <c r="I206" s="57">
        <v>0.04</v>
      </c>
      <c r="J206" s="57"/>
      <c r="K206" s="57"/>
      <c r="L206" s="55"/>
      <c r="M206" s="78">
        <v>5.1430128318229462E-3</v>
      </c>
      <c r="N206" s="78">
        <v>0.01</v>
      </c>
      <c r="Q206" s="57"/>
      <c r="S206" s="55"/>
      <c r="T206" s="79">
        <f ca="1">OFFSET('Loss Timing'!D$6,MATCH($A206,'Loss Timing'!$A$7:$A$36,1),0)/12/PmtFreqAdd</f>
        <v>2.7777777777777779E-3</v>
      </c>
      <c r="U206" s="79">
        <f ca="1">OFFSET('Loss Timing'!E$6,MATCH($A206,'Loss Timing'!$A$7:$A$36,1),0)/12/PmtFreqAdd</f>
        <v>0</v>
      </c>
      <c r="V206" s="79">
        <f ca="1">OFFSET('Loss Timing'!F$6,MATCH($A206,'Loss Timing'!$A$7:$A$36,1),0)/12/PmtFreqAdd</f>
        <v>0</v>
      </c>
      <c r="W206" s="79">
        <f ca="1">OFFSET('Loss Timing'!G$6,MATCH($A206,'Loss Timing'!$A$7:$A$36,1),0)/12/PmtFreqAdd</f>
        <v>6.2499999999999995E-3</v>
      </c>
      <c r="X206" s="79">
        <f ca="1">OFFSET('Loss Timing'!H$6,MATCH($A206,'Loss Timing'!$A$7:$A$36,1),0)/12/PmtFreqAdd</f>
        <v>2.0833333333333333E-3</v>
      </c>
      <c r="Y206" s="55"/>
      <c r="Z206" s="68">
        <f t="shared" ca="1" si="15"/>
        <v>2.7777777777777779E-5</v>
      </c>
      <c r="AA206" s="68">
        <f t="shared" ca="1" si="16"/>
        <v>0</v>
      </c>
      <c r="AB206" s="68">
        <f t="shared" ca="1" si="17"/>
        <v>0</v>
      </c>
      <c r="AC206" s="68">
        <f t="shared" ca="1" si="18"/>
        <v>6.2500000000000001E-5</v>
      </c>
      <c r="AD206" s="68">
        <f t="shared" ca="1" si="19"/>
        <v>2.0833333333333333E-5</v>
      </c>
      <c r="AE206" s="55"/>
      <c r="AF206" s="68">
        <v>1.2500008594873435E-5</v>
      </c>
      <c r="AG206" s="81">
        <v>2.5000034375999292E-5</v>
      </c>
      <c r="AH206" s="68">
        <v>5.0000137497008268E-5</v>
      </c>
      <c r="AI206" s="55"/>
    </row>
    <row r="207" spans="1:35" x14ac:dyDescent="0.2">
      <c r="A207" s="27">
        <f>'Cash Flow'!A207</f>
        <v>201</v>
      </c>
      <c r="B207" s="49">
        <f>'Cash Flow'!B207</f>
        <v>45231</v>
      </c>
      <c r="C207" s="56">
        <f>'Cash Flow'!C207</f>
        <v>8.3333333333333329E-2</v>
      </c>
      <c r="D207" s="55"/>
      <c r="E207" s="57">
        <v>6.9369000000000056E-2</v>
      </c>
      <c r="F207" s="57"/>
      <c r="G207" s="57"/>
      <c r="H207" s="57"/>
      <c r="I207" s="57">
        <v>0.04</v>
      </c>
      <c r="J207" s="57"/>
      <c r="K207" s="57"/>
      <c r="L207" s="55"/>
      <c r="M207" s="78">
        <v>5.1430128318229462E-3</v>
      </c>
      <c r="N207" s="78">
        <v>0.01</v>
      </c>
      <c r="Q207" s="57"/>
      <c r="S207" s="55"/>
      <c r="T207" s="79">
        <f ca="1">OFFSET('Loss Timing'!D$6,MATCH($A207,'Loss Timing'!$A$7:$A$36,1),0)/12/PmtFreqAdd</f>
        <v>2.7777777777777779E-3</v>
      </c>
      <c r="U207" s="79">
        <f ca="1">OFFSET('Loss Timing'!E$6,MATCH($A207,'Loss Timing'!$A$7:$A$36,1),0)/12/PmtFreqAdd</f>
        <v>0</v>
      </c>
      <c r="V207" s="79">
        <f ca="1">OFFSET('Loss Timing'!F$6,MATCH($A207,'Loss Timing'!$A$7:$A$36,1),0)/12/PmtFreqAdd</f>
        <v>0</v>
      </c>
      <c r="W207" s="79">
        <f ca="1">OFFSET('Loss Timing'!G$6,MATCH($A207,'Loss Timing'!$A$7:$A$36,1),0)/12/PmtFreqAdd</f>
        <v>6.2499999999999995E-3</v>
      </c>
      <c r="X207" s="79">
        <f ca="1">OFFSET('Loss Timing'!H$6,MATCH($A207,'Loss Timing'!$A$7:$A$36,1),0)/12/PmtFreqAdd</f>
        <v>2.0833333333333333E-3</v>
      </c>
      <c r="Y207" s="55"/>
      <c r="Z207" s="68">
        <f t="shared" ca="1" si="15"/>
        <v>2.7777777777777779E-5</v>
      </c>
      <c r="AA207" s="68">
        <f t="shared" ca="1" si="16"/>
        <v>0</v>
      </c>
      <c r="AB207" s="68">
        <f t="shared" ca="1" si="17"/>
        <v>0</v>
      </c>
      <c r="AC207" s="68">
        <f t="shared" ca="1" si="18"/>
        <v>6.2500000000000001E-5</v>
      </c>
      <c r="AD207" s="68">
        <f t="shared" ca="1" si="19"/>
        <v>2.0833333333333333E-5</v>
      </c>
      <c r="AE207" s="55"/>
      <c r="AF207" s="68">
        <v>1.2500008594873435E-5</v>
      </c>
      <c r="AG207" s="81">
        <v>2.5000034375999292E-5</v>
      </c>
      <c r="AH207" s="68">
        <v>5.0000137497008268E-5</v>
      </c>
      <c r="AI207" s="55"/>
    </row>
    <row r="208" spans="1:35" x14ac:dyDescent="0.2">
      <c r="A208" s="27">
        <f>'Cash Flow'!A208</f>
        <v>202</v>
      </c>
      <c r="B208" s="49">
        <f>'Cash Flow'!B208</f>
        <v>45261</v>
      </c>
      <c r="C208" s="56">
        <f>'Cash Flow'!C208</f>
        <v>8.3333333333333329E-2</v>
      </c>
      <c r="D208" s="55"/>
      <c r="E208" s="57">
        <v>6.9369000000000056E-2</v>
      </c>
      <c r="F208" s="57"/>
      <c r="G208" s="57"/>
      <c r="H208" s="57"/>
      <c r="I208" s="57">
        <v>0.04</v>
      </c>
      <c r="J208" s="57"/>
      <c r="K208" s="57"/>
      <c r="L208" s="55"/>
      <c r="M208" s="78">
        <v>5.1430128318229462E-3</v>
      </c>
      <c r="N208" s="78">
        <v>0.01</v>
      </c>
      <c r="Q208" s="57"/>
      <c r="S208" s="55"/>
      <c r="T208" s="79">
        <f ca="1">OFFSET('Loss Timing'!D$6,MATCH($A208,'Loss Timing'!$A$7:$A$36,1),0)/12/PmtFreqAdd</f>
        <v>2.7777777777777779E-3</v>
      </c>
      <c r="U208" s="79">
        <f ca="1">OFFSET('Loss Timing'!E$6,MATCH($A208,'Loss Timing'!$A$7:$A$36,1),0)/12/PmtFreqAdd</f>
        <v>0</v>
      </c>
      <c r="V208" s="79">
        <f ca="1">OFFSET('Loss Timing'!F$6,MATCH($A208,'Loss Timing'!$A$7:$A$36,1),0)/12/PmtFreqAdd</f>
        <v>0</v>
      </c>
      <c r="W208" s="79">
        <f ca="1">OFFSET('Loss Timing'!G$6,MATCH($A208,'Loss Timing'!$A$7:$A$36,1),0)/12/PmtFreqAdd</f>
        <v>6.2499999999999995E-3</v>
      </c>
      <c r="X208" s="79">
        <f ca="1">OFFSET('Loss Timing'!H$6,MATCH($A208,'Loss Timing'!$A$7:$A$36,1),0)/12/PmtFreqAdd</f>
        <v>2.0833333333333333E-3</v>
      </c>
      <c r="Y208" s="55"/>
      <c r="Z208" s="68">
        <f t="shared" ca="1" si="15"/>
        <v>2.7777777777777779E-5</v>
      </c>
      <c r="AA208" s="68">
        <f t="shared" ca="1" si="16"/>
        <v>0</v>
      </c>
      <c r="AB208" s="68">
        <f t="shared" ca="1" si="17"/>
        <v>0</v>
      </c>
      <c r="AC208" s="68">
        <f t="shared" ca="1" si="18"/>
        <v>6.2500000000000001E-5</v>
      </c>
      <c r="AD208" s="68">
        <f t="shared" ca="1" si="19"/>
        <v>2.0833333333333333E-5</v>
      </c>
      <c r="AE208" s="55"/>
      <c r="AF208" s="68">
        <v>1.2500008594873435E-5</v>
      </c>
      <c r="AG208" s="81">
        <v>2.5000034375999292E-5</v>
      </c>
      <c r="AH208" s="68">
        <v>5.0000137497008268E-5</v>
      </c>
      <c r="AI208" s="55"/>
    </row>
    <row r="209" spans="1:35" x14ac:dyDescent="0.2">
      <c r="A209" s="27">
        <f>'Cash Flow'!A209</f>
        <v>203</v>
      </c>
      <c r="B209" s="49">
        <f>'Cash Flow'!B209</f>
        <v>45292</v>
      </c>
      <c r="C209" s="56">
        <f>'Cash Flow'!C209</f>
        <v>8.3333333333333329E-2</v>
      </c>
      <c r="D209" s="55"/>
      <c r="E209" s="57">
        <v>6.9369000000000056E-2</v>
      </c>
      <c r="F209" s="57"/>
      <c r="G209" s="57"/>
      <c r="H209" s="57"/>
      <c r="I209" s="57">
        <v>0.04</v>
      </c>
      <c r="J209" s="57"/>
      <c r="K209" s="57"/>
      <c r="L209" s="55"/>
      <c r="M209" s="78">
        <v>5.1430128318229462E-3</v>
      </c>
      <c r="N209" s="78">
        <v>0.01</v>
      </c>
      <c r="Q209" s="57"/>
      <c r="S209" s="55"/>
      <c r="T209" s="79">
        <f ca="1">OFFSET('Loss Timing'!D$6,MATCH($A209,'Loss Timing'!$A$7:$A$36,1),0)/12/PmtFreqAdd</f>
        <v>2.7777777777777779E-3</v>
      </c>
      <c r="U209" s="79">
        <f ca="1">OFFSET('Loss Timing'!E$6,MATCH($A209,'Loss Timing'!$A$7:$A$36,1),0)/12/PmtFreqAdd</f>
        <v>0</v>
      </c>
      <c r="V209" s="79">
        <f ca="1">OFFSET('Loss Timing'!F$6,MATCH($A209,'Loss Timing'!$A$7:$A$36,1),0)/12/PmtFreqAdd</f>
        <v>0</v>
      </c>
      <c r="W209" s="79">
        <f ca="1">OFFSET('Loss Timing'!G$6,MATCH($A209,'Loss Timing'!$A$7:$A$36,1),0)/12/PmtFreqAdd</f>
        <v>6.2499999999999995E-3</v>
      </c>
      <c r="X209" s="79">
        <f ca="1">OFFSET('Loss Timing'!H$6,MATCH($A209,'Loss Timing'!$A$7:$A$36,1),0)/12/PmtFreqAdd</f>
        <v>2.0833333333333333E-3</v>
      </c>
      <c r="Y209" s="55"/>
      <c r="Z209" s="68">
        <f t="shared" ca="1" si="15"/>
        <v>2.7777777777777779E-5</v>
      </c>
      <c r="AA209" s="68">
        <f t="shared" ca="1" si="16"/>
        <v>0</v>
      </c>
      <c r="AB209" s="68">
        <f t="shared" ca="1" si="17"/>
        <v>0</v>
      </c>
      <c r="AC209" s="68">
        <f t="shared" ca="1" si="18"/>
        <v>6.2500000000000001E-5</v>
      </c>
      <c r="AD209" s="68">
        <f t="shared" ca="1" si="19"/>
        <v>2.0833333333333333E-5</v>
      </c>
      <c r="AE209" s="55"/>
      <c r="AF209" s="68">
        <v>1.2500008594873435E-5</v>
      </c>
      <c r="AG209" s="81">
        <v>2.5000034375999292E-5</v>
      </c>
      <c r="AH209" s="68">
        <v>5.0000137497008268E-5</v>
      </c>
      <c r="AI209" s="55"/>
    </row>
    <row r="210" spans="1:35" x14ac:dyDescent="0.2">
      <c r="A210" s="27">
        <f>'Cash Flow'!A210</f>
        <v>204</v>
      </c>
      <c r="B210" s="49">
        <f>'Cash Flow'!B210</f>
        <v>45323</v>
      </c>
      <c r="C210" s="56">
        <f>'Cash Flow'!C210</f>
        <v>8.3333333333333329E-2</v>
      </c>
      <c r="D210" s="55"/>
      <c r="E210" s="57">
        <v>6.9369000000000056E-2</v>
      </c>
      <c r="F210" s="57"/>
      <c r="G210" s="57"/>
      <c r="H210" s="57"/>
      <c r="I210" s="57">
        <v>0.04</v>
      </c>
      <c r="J210" s="57"/>
      <c r="K210" s="57"/>
      <c r="L210" s="55"/>
      <c r="M210" s="78">
        <v>5.1430128318229462E-3</v>
      </c>
      <c r="N210" s="78">
        <v>0.01</v>
      </c>
      <c r="Q210" s="57"/>
      <c r="S210" s="55"/>
      <c r="T210" s="79">
        <f ca="1">OFFSET('Loss Timing'!D$6,MATCH($A210,'Loss Timing'!$A$7:$A$36,1),0)/12/PmtFreqAdd</f>
        <v>2.7777777777777779E-3</v>
      </c>
      <c r="U210" s="79">
        <f ca="1">OFFSET('Loss Timing'!E$6,MATCH($A210,'Loss Timing'!$A$7:$A$36,1),0)/12/PmtFreqAdd</f>
        <v>0</v>
      </c>
      <c r="V210" s="79">
        <f ca="1">OFFSET('Loss Timing'!F$6,MATCH($A210,'Loss Timing'!$A$7:$A$36,1),0)/12/PmtFreqAdd</f>
        <v>0</v>
      </c>
      <c r="W210" s="79">
        <f ca="1">OFFSET('Loss Timing'!G$6,MATCH($A210,'Loss Timing'!$A$7:$A$36,1),0)/12/PmtFreqAdd</f>
        <v>6.2499999999999995E-3</v>
      </c>
      <c r="X210" s="79">
        <f ca="1">OFFSET('Loss Timing'!H$6,MATCH($A210,'Loss Timing'!$A$7:$A$36,1),0)/12/PmtFreqAdd</f>
        <v>2.0833333333333333E-3</v>
      </c>
      <c r="Y210" s="55"/>
      <c r="Z210" s="68">
        <f t="shared" ca="1" si="15"/>
        <v>2.7777777777777779E-5</v>
      </c>
      <c r="AA210" s="68">
        <f t="shared" ca="1" si="16"/>
        <v>0</v>
      </c>
      <c r="AB210" s="68">
        <f t="shared" ca="1" si="17"/>
        <v>0</v>
      </c>
      <c r="AC210" s="68">
        <f t="shared" ca="1" si="18"/>
        <v>6.2500000000000001E-5</v>
      </c>
      <c r="AD210" s="68">
        <f t="shared" ca="1" si="19"/>
        <v>2.0833333333333333E-5</v>
      </c>
      <c r="AE210" s="55"/>
      <c r="AF210" s="68">
        <v>1.2500008594873435E-5</v>
      </c>
      <c r="AG210" s="81">
        <v>2.5000034375999292E-5</v>
      </c>
      <c r="AH210" s="68">
        <v>5.0000137497008268E-5</v>
      </c>
      <c r="AI210" s="55"/>
    </row>
    <row r="211" spans="1:35" x14ac:dyDescent="0.2">
      <c r="A211" s="27">
        <f>'Cash Flow'!A211</f>
        <v>205</v>
      </c>
      <c r="B211" s="49">
        <f>'Cash Flow'!B211</f>
        <v>45352</v>
      </c>
      <c r="C211" s="56">
        <f>'Cash Flow'!C211</f>
        <v>8.3333333333333329E-2</v>
      </c>
      <c r="D211" s="55"/>
      <c r="E211" s="57">
        <v>6.9369000000000056E-2</v>
      </c>
      <c r="F211" s="57"/>
      <c r="G211" s="57"/>
      <c r="H211" s="57"/>
      <c r="I211" s="57">
        <v>0.04</v>
      </c>
      <c r="J211" s="57"/>
      <c r="K211" s="57"/>
      <c r="L211" s="55"/>
      <c r="M211" s="78">
        <v>5.1430128318229462E-3</v>
      </c>
      <c r="N211" s="78">
        <v>0.01</v>
      </c>
      <c r="Q211" s="57"/>
      <c r="S211" s="55"/>
      <c r="T211" s="79">
        <f ca="1">OFFSET('Loss Timing'!D$6,MATCH($A211,'Loss Timing'!$A$7:$A$36,1),0)/12/PmtFreqAdd</f>
        <v>2.7777777777777779E-3</v>
      </c>
      <c r="U211" s="79">
        <f ca="1">OFFSET('Loss Timing'!E$6,MATCH($A211,'Loss Timing'!$A$7:$A$36,1),0)/12/PmtFreqAdd</f>
        <v>0</v>
      </c>
      <c r="V211" s="79">
        <f ca="1">OFFSET('Loss Timing'!F$6,MATCH($A211,'Loss Timing'!$A$7:$A$36,1),0)/12/PmtFreqAdd</f>
        <v>0</v>
      </c>
      <c r="W211" s="79">
        <f ca="1">OFFSET('Loss Timing'!G$6,MATCH($A211,'Loss Timing'!$A$7:$A$36,1),0)/12/PmtFreqAdd</f>
        <v>6.2499999999999995E-3</v>
      </c>
      <c r="X211" s="79">
        <f ca="1">OFFSET('Loss Timing'!H$6,MATCH($A211,'Loss Timing'!$A$7:$A$36,1),0)/12/PmtFreqAdd</f>
        <v>2.0833333333333333E-3</v>
      </c>
      <c r="Y211" s="55"/>
      <c r="Z211" s="68">
        <f t="shared" ca="1" si="15"/>
        <v>2.7777777777777779E-5</v>
      </c>
      <c r="AA211" s="68">
        <f t="shared" ca="1" si="16"/>
        <v>0</v>
      </c>
      <c r="AB211" s="68">
        <f t="shared" ca="1" si="17"/>
        <v>0</v>
      </c>
      <c r="AC211" s="68">
        <f t="shared" ca="1" si="18"/>
        <v>6.2500000000000001E-5</v>
      </c>
      <c r="AD211" s="68">
        <f t="shared" ca="1" si="19"/>
        <v>2.0833333333333333E-5</v>
      </c>
      <c r="AE211" s="55"/>
      <c r="AF211" s="68">
        <v>1.2500008594873435E-5</v>
      </c>
      <c r="AG211" s="81">
        <v>2.5000034375999292E-5</v>
      </c>
      <c r="AH211" s="68">
        <v>5.0000137497008268E-5</v>
      </c>
      <c r="AI211" s="55"/>
    </row>
    <row r="212" spans="1:35" x14ac:dyDescent="0.2">
      <c r="A212" s="27">
        <f>'Cash Flow'!A212</f>
        <v>206</v>
      </c>
      <c r="B212" s="49">
        <f>'Cash Flow'!B212</f>
        <v>45383</v>
      </c>
      <c r="C212" s="56">
        <f>'Cash Flow'!C212</f>
        <v>8.3333333333333329E-2</v>
      </c>
      <c r="D212" s="55"/>
      <c r="E212" s="57">
        <v>6.9369000000000056E-2</v>
      </c>
      <c r="F212" s="57"/>
      <c r="G212" s="57"/>
      <c r="H212" s="57"/>
      <c r="I212" s="57">
        <v>0.04</v>
      </c>
      <c r="J212" s="57"/>
      <c r="K212" s="57"/>
      <c r="L212" s="55"/>
      <c r="M212" s="78">
        <v>5.1430128318229462E-3</v>
      </c>
      <c r="N212" s="78">
        <v>0.01</v>
      </c>
      <c r="Q212" s="57"/>
      <c r="S212" s="55"/>
      <c r="T212" s="79">
        <f ca="1">OFFSET('Loss Timing'!D$6,MATCH($A212,'Loss Timing'!$A$7:$A$36,1),0)/12/PmtFreqAdd</f>
        <v>2.7777777777777779E-3</v>
      </c>
      <c r="U212" s="79">
        <f ca="1">OFFSET('Loss Timing'!E$6,MATCH($A212,'Loss Timing'!$A$7:$A$36,1),0)/12/PmtFreqAdd</f>
        <v>0</v>
      </c>
      <c r="V212" s="79">
        <f ca="1">OFFSET('Loss Timing'!F$6,MATCH($A212,'Loss Timing'!$A$7:$A$36,1),0)/12/PmtFreqAdd</f>
        <v>0</v>
      </c>
      <c r="W212" s="79">
        <f ca="1">OFFSET('Loss Timing'!G$6,MATCH($A212,'Loss Timing'!$A$7:$A$36,1),0)/12/PmtFreqAdd</f>
        <v>6.2499999999999995E-3</v>
      </c>
      <c r="X212" s="79">
        <f ca="1">OFFSET('Loss Timing'!H$6,MATCH($A212,'Loss Timing'!$A$7:$A$36,1),0)/12/PmtFreqAdd</f>
        <v>2.0833333333333333E-3</v>
      </c>
      <c r="Y212" s="55"/>
      <c r="Z212" s="68">
        <f t="shared" ca="1" si="15"/>
        <v>2.7777777777777779E-5</v>
      </c>
      <c r="AA212" s="68">
        <f t="shared" ca="1" si="16"/>
        <v>0</v>
      </c>
      <c r="AB212" s="68">
        <f t="shared" ca="1" si="17"/>
        <v>0</v>
      </c>
      <c r="AC212" s="68">
        <f t="shared" ca="1" si="18"/>
        <v>6.2500000000000001E-5</v>
      </c>
      <c r="AD212" s="68">
        <f t="shared" ca="1" si="19"/>
        <v>2.0833333333333333E-5</v>
      </c>
      <c r="AE212" s="55"/>
      <c r="AF212" s="68">
        <v>1.2500008594873435E-5</v>
      </c>
      <c r="AG212" s="81">
        <v>2.5000034375999292E-5</v>
      </c>
      <c r="AH212" s="68">
        <v>5.0000137497008268E-5</v>
      </c>
      <c r="AI212" s="55"/>
    </row>
    <row r="213" spans="1:35" x14ac:dyDescent="0.2">
      <c r="A213" s="27">
        <f>'Cash Flow'!A213</f>
        <v>207</v>
      </c>
      <c r="B213" s="49">
        <f>'Cash Flow'!B213</f>
        <v>45413</v>
      </c>
      <c r="C213" s="56">
        <f>'Cash Flow'!C213</f>
        <v>8.3333333333333329E-2</v>
      </c>
      <c r="D213" s="55"/>
      <c r="E213" s="57">
        <v>6.9369000000000056E-2</v>
      </c>
      <c r="F213" s="57"/>
      <c r="G213" s="57"/>
      <c r="H213" s="57"/>
      <c r="I213" s="57">
        <v>0.04</v>
      </c>
      <c r="J213" s="57"/>
      <c r="K213" s="57"/>
      <c r="L213" s="55"/>
      <c r="M213" s="78">
        <v>5.1430128318229462E-3</v>
      </c>
      <c r="N213" s="78">
        <v>0.01</v>
      </c>
      <c r="Q213" s="57"/>
      <c r="S213" s="55"/>
      <c r="T213" s="79">
        <f ca="1">OFFSET('Loss Timing'!D$6,MATCH($A213,'Loss Timing'!$A$7:$A$36,1),0)/12/PmtFreqAdd</f>
        <v>2.7777777777777779E-3</v>
      </c>
      <c r="U213" s="79">
        <f ca="1">OFFSET('Loss Timing'!E$6,MATCH($A213,'Loss Timing'!$A$7:$A$36,1),0)/12/PmtFreqAdd</f>
        <v>0</v>
      </c>
      <c r="V213" s="79">
        <f ca="1">OFFSET('Loss Timing'!F$6,MATCH($A213,'Loss Timing'!$A$7:$A$36,1),0)/12/PmtFreqAdd</f>
        <v>0</v>
      </c>
      <c r="W213" s="79">
        <f ca="1">OFFSET('Loss Timing'!G$6,MATCH($A213,'Loss Timing'!$A$7:$A$36,1),0)/12/PmtFreqAdd</f>
        <v>6.2499999999999995E-3</v>
      </c>
      <c r="X213" s="79">
        <f ca="1">OFFSET('Loss Timing'!H$6,MATCH($A213,'Loss Timing'!$A$7:$A$36,1),0)/12/PmtFreqAdd</f>
        <v>2.0833333333333333E-3</v>
      </c>
      <c r="Y213" s="55"/>
      <c r="Z213" s="68">
        <f t="shared" ca="1" si="15"/>
        <v>2.7777777777777779E-5</v>
      </c>
      <c r="AA213" s="68">
        <f t="shared" ca="1" si="16"/>
        <v>0</v>
      </c>
      <c r="AB213" s="68">
        <f t="shared" ca="1" si="17"/>
        <v>0</v>
      </c>
      <c r="AC213" s="68">
        <f t="shared" ca="1" si="18"/>
        <v>6.2500000000000001E-5</v>
      </c>
      <c r="AD213" s="68">
        <f t="shared" ca="1" si="19"/>
        <v>2.0833333333333333E-5</v>
      </c>
      <c r="AE213" s="55"/>
      <c r="AF213" s="68">
        <v>1.2500008594873435E-5</v>
      </c>
      <c r="AG213" s="81">
        <v>2.5000034375999292E-5</v>
      </c>
      <c r="AH213" s="68">
        <v>5.0000137497008268E-5</v>
      </c>
      <c r="AI213" s="55"/>
    </row>
    <row r="214" spans="1:35" x14ac:dyDescent="0.2">
      <c r="A214" s="27">
        <f>'Cash Flow'!A214</f>
        <v>208</v>
      </c>
      <c r="B214" s="49">
        <f>'Cash Flow'!B214</f>
        <v>45444</v>
      </c>
      <c r="C214" s="56">
        <f>'Cash Flow'!C214</f>
        <v>8.3333333333333329E-2</v>
      </c>
      <c r="D214" s="55"/>
      <c r="E214" s="57">
        <v>6.9369000000000056E-2</v>
      </c>
      <c r="F214" s="57"/>
      <c r="G214" s="57"/>
      <c r="H214" s="57"/>
      <c r="I214" s="57">
        <v>0.04</v>
      </c>
      <c r="J214" s="57"/>
      <c r="K214" s="57"/>
      <c r="L214" s="55"/>
      <c r="M214" s="78">
        <v>5.1430128318229462E-3</v>
      </c>
      <c r="N214" s="78">
        <v>0.01</v>
      </c>
      <c r="Q214" s="57"/>
      <c r="S214" s="55"/>
      <c r="T214" s="79">
        <f ca="1">OFFSET('Loss Timing'!D$6,MATCH($A214,'Loss Timing'!$A$7:$A$36,1),0)/12/PmtFreqAdd</f>
        <v>2.7777777777777779E-3</v>
      </c>
      <c r="U214" s="79">
        <f ca="1">OFFSET('Loss Timing'!E$6,MATCH($A214,'Loss Timing'!$A$7:$A$36,1),0)/12/PmtFreqAdd</f>
        <v>0</v>
      </c>
      <c r="V214" s="79">
        <f ca="1">OFFSET('Loss Timing'!F$6,MATCH($A214,'Loss Timing'!$A$7:$A$36,1),0)/12/PmtFreqAdd</f>
        <v>0</v>
      </c>
      <c r="W214" s="79">
        <f ca="1">OFFSET('Loss Timing'!G$6,MATCH($A214,'Loss Timing'!$A$7:$A$36,1),0)/12/PmtFreqAdd</f>
        <v>6.2499999999999995E-3</v>
      </c>
      <c r="X214" s="79">
        <f ca="1">OFFSET('Loss Timing'!H$6,MATCH($A214,'Loss Timing'!$A$7:$A$36,1),0)/12/PmtFreqAdd</f>
        <v>2.0833333333333333E-3</v>
      </c>
      <c r="Y214" s="55"/>
      <c r="Z214" s="68">
        <f t="shared" ca="1" si="15"/>
        <v>2.7777777777777779E-5</v>
      </c>
      <c r="AA214" s="68">
        <f t="shared" ca="1" si="16"/>
        <v>0</v>
      </c>
      <c r="AB214" s="68">
        <f t="shared" ca="1" si="17"/>
        <v>0</v>
      </c>
      <c r="AC214" s="68">
        <f t="shared" ca="1" si="18"/>
        <v>6.2500000000000001E-5</v>
      </c>
      <c r="AD214" s="68">
        <f t="shared" ca="1" si="19"/>
        <v>2.0833333333333333E-5</v>
      </c>
      <c r="AE214" s="55"/>
      <c r="AF214" s="68">
        <v>1.2500008594873435E-5</v>
      </c>
      <c r="AG214" s="81">
        <v>2.5000034375999292E-5</v>
      </c>
      <c r="AH214" s="68">
        <v>5.0000137497008268E-5</v>
      </c>
      <c r="AI214" s="55"/>
    </row>
    <row r="215" spans="1:35" x14ac:dyDescent="0.2">
      <c r="A215" s="27">
        <f>'Cash Flow'!A215</f>
        <v>209</v>
      </c>
      <c r="B215" s="49">
        <f>'Cash Flow'!B215</f>
        <v>45474</v>
      </c>
      <c r="C215" s="56">
        <f>'Cash Flow'!C215</f>
        <v>8.3333333333333329E-2</v>
      </c>
      <c r="D215" s="55"/>
      <c r="E215" s="57">
        <v>6.9369000000000056E-2</v>
      </c>
      <c r="F215" s="57"/>
      <c r="G215" s="57"/>
      <c r="H215" s="57"/>
      <c r="I215" s="57">
        <v>0.04</v>
      </c>
      <c r="J215" s="57"/>
      <c r="K215" s="57"/>
      <c r="L215" s="55"/>
      <c r="M215" s="78">
        <v>5.1430128318229462E-3</v>
      </c>
      <c r="N215" s="78">
        <v>0.01</v>
      </c>
      <c r="Q215" s="57"/>
      <c r="S215" s="55"/>
      <c r="T215" s="79">
        <f ca="1">OFFSET('Loss Timing'!D$6,MATCH($A215,'Loss Timing'!$A$7:$A$36,1),0)/12/PmtFreqAdd</f>
        <v>2.7777777777777779E-3</v>
      </c>
      <c r="U215" s="79">
        <f ca="1">OFFSET('Loss Timing'!E$6,MATCH($A215,'Loss Timing'!$A$7:$A$36,1),0)/12/PmtFreqAdd</f>
        <v>0</v>
      </c>
      <c r="V215" s="79">
        <f ca="1">OFFSET('Loss Timing'!F$6,MATCH($A215,'Loss Timing'!$A$7:$A$36,1),0)/12/PmtFreqAdd</f>
        <v>0</v>
      </c>
      <c r="W215" s="79">
        <f ca="1">OFFSET('Loss Timing'!G$6,MATCH($A215,'Loss Timing'!$A$7:$A$36,1),0)/12/PmtFreqAdd</f>
        <v>6.2499999999999995E-3</v>
      </c>
      <c r="X215" s="79">
        <f ca="1">OFFSET('Loss Timing'!H$6,MATCH($A215,'Loss Timing'!$A$7:$A$36,1),0)/12/PmtFreqAdd</f>
        <v>2.0833333333333333E-3</v>
      </c>
      <c r="Y215" s="55"/>
      <c r="Z215" s="68">
        <f t="shared" ca="1" si="15"/>
        <v>2.7777777777777779E-5</v>
      </c>
      <c r="AA215" s="68">
        <f t="shared" ca="1" si="16"/>
        <v>0</v>
      </c>
      <c r="AB215" s="68">
        <f t="shared" ca="1" si="17"/>
        <v>0</v>
      </c>
      <c r="AC215" s="68">
        <f t="shared" ca="1" si="18"/>
        <v>6.2500000000000001E-5</v>
      </c>
      <c r="AD215" s="68">
        <f t="shared" ca="1" si="19"/>
        <v>2.0833333333333333E-5</v>
      </c>
      <c r="AE215" s="55"/>
      <c r="AF215" s="68">
        <v>1.2500008594873435E-5</v>
      </c>
      <c r="AG215" s="81">
        <v>2.5000034375999292E-5</v>
      </c>
      <c r="AH215" s="68">
        <v>5.0000137497008268E-5</v>
      </c>
      <c r="AI215" s="55"/>
    </row>
    <row r="216" spans="1:35" x14ac:dyDescent="0.2">
      <c r="A216" s="27">
        <f>'Cash Flow'!A216</f>
        <v>210</v>
      </c>
      <c r="B216" s="49">
        <f>'Cash Flow'!B216</f>
        <v>45505</v>
      </c>
      <c r="C216" s="56">
        <f>'Cash Flow'!C216</f>
        <v>8.3333333333333329E-2</v>
      </c>
      <c r="D216" s="55"/>
      <c r="E216" s="57">
        <v>6.9369000000000056E-2</v>
      </c>
      <c r="F216" s="57"/>
      <c r="G216" s="57"/>
      <c r="H216" s="57"/>
      <c r="I216" s="57">
        <v>0.04</v>
      </c>
      <c r="J216" s="57"/>
      <c r="K216" s="57"/>
      <c r="L216" s="55"/>
      <c r="M216" s="78">
        <v>5.1430128318229462E-3</v>
      </c>
      <c r="N216" s="78">
        <v>0.01</v>
      </c>
      <c r="Q216" s="57"/>
      <c r="S216" s="55"/>
      <c r="T216" s="79">
        <f ca="1">OFFSET('Loss Timing'!D$6,MATCH($A216,'Loss Timing'!$A$7:$A$36,1),0)/12/PmtFreqAdd</f>
        <v>2.7777777777777779E-3</v>
      </c>
      <c r="U216" s="79">
        <f ca="1">OFFSET('Loss Timing'!E$6,MATCH($A216,'Loss Timing'!$A$7:$A$36,1),0)/12/PmtFreqAdd</f>
        <v>0</v>
      </c>
      <c r="V216" s="79">
        <f ca="1">OFFSET('Loss Timing'!F$6,MATCH($A216,'Loss Timing'!$A$7:$A$36,1),0)/12/PmtFreqAdd</f>
        <v>0</v>
      </c>
      <c r="W216" s="79">
        <f ca="1">OFFSET('Loss Timing'!G$6,MATCH($A216,'Loss Timing'!$A$7:$A$36,1),0)/12/PmtFreqAdd</f>
        <v>6.2499999999999995E-3</v>
      </c>
      <c r="X216" s="79">
        <f ca="1">OFFSET('Loss Timing'!H$6,MATCH($A216,'Loss Timing'!$A$7:$A$36,1),0)/12/PmtFreqAdd</f>
        <v>2.0833333333333333E-3</v>
      </c>
      <c r="Y216" s="55"/>
      <c r="Z216" s="68">
        <f t="shared" ca="1" si="15"/>
        <v>2.7777777777777779E-5</v>
      </c>
      <c r="AA216" s="68">
        <f t="shared" ca="1" si="16"/>
        <v>0</v>
      </c>
      <c r="AB216" s="68">
        <f t="shared" ca="1" si="17"/>
        <v>0</v>
      </c>
      <c r="AC216" s="68">
        <f t="shared" ca="1" si="18"/>
        <v>6.2500000000000001E-5</v>
      </c>
      <c r="AD216" s="68">
        <f t="shared" ca="1" si="19"/>
        <v>2.0833333333333333E-5</v>
      </c>
      <c r="AE216" s="55"/>
      <c r="AF216" s="68">
        <v>1.2500008594873435E-5</v>
      </c>
      <c r="AG216" s="81">
        <v>2.5000034375999292E-5</v>
      </c>
      <c r="AH216" s="68">
        <v>5.0000137497008268E-5</v>
      </c>
      <c r="AI216" s="55"/>
    </row>
    <row r="217" spans="1:35" x14ac:dyDescent="0.2">
      <c r="A217" s="27">
        <f>'Cash Flow'!A217</f>
        <v>211</v>
      </c>
      <c r="B217" s="49">
        <f>'Cash Flow'!B217</f>
        <v>45536</v>
      </c>
      <c r="C217" s="56">
        <f>'Cash Flow'!C217</f>
        <v>8.3333333333333329E-2</v>
      </c>
      <c r="D217" s="55"/>
      <c r="E217" s="57">
        <v>6.9369000000000056E-2</v>
      </c>
      <c r="F217" s="57"/>
      <c r="G217" s="57"/>
      <c r="H217" s="57"/>
      <c r="I217" s="57">
        <v>0.04</v>
      </c>
      <c r="J217" s="57"/>
      <c r="K217" s="57"/>
      <c r="L217" s="55"/>
      <c r="M217" s="78">
        <v>5.1430128318229462E-3</v>
      </c>
      <c r="N217" s="78">
        <v>0.01</v>
      </c>
      <c r="Q217" s="57"/>
      <c r="S217" s="55"/>
      <c r="T217" s="79">
        <f ca="1">OFFSET('Loss Timing'!D$6,MATCH($A217,'Loss Timing'!$A$7:$A$36,1),0)/12/PmtFreqAdd</f>
        <v>2.7777777777777779E-3</v>
      </c>
      <c r="U217" s="79">
        <f ca="1">OFFSET('Loss Timing'!E$6,MATCH($A217,'Loss Timing'!$A$7:$A$36,1),0)/12/PmtFreqAdd</f>
        <v>0</v>
      </c>
      <c r="V217" s="79">
        <f ca="1">OFFSET('Loss Timing'!F$6,MATCH($A217,'Loss Timing'!$A$7:$A$36,1),0)/12/PmtFreqAdd</f>
        <v>0</v>
      </c>
      <c r="W217" s="79">
        <f ca="1">OFFSET('Loss Timing'!G$6,MATCH($A217,'Loss Timing'!$A$7:$A$36,1),0)/12/PmtFreqAdd</f>
        <v>6.2499999999999995E-3</v>
      </c>
      <c r="X217" s="79">
        <f ca="1">OFFSET('Loss Timing'!H$6,MATCH($A217,'Loss Timing'!$A$7:$A$36,1),0)/12/PmtFreqAdd</f>
        <v>2.0833333333333333E-3</v>
      </c>
      <c r="Y217" s="55"/>
      <c r="Z217" s="68">
        <f t="shared" ca="1" si="15"/>
        <v>2.7777777777777779E-5</v>
      </c>
      <c r="AA217" s="68">
        <f t="shared" ca="1" si="16"/>
        <v>0</v>
      </c>
      <c r="AB217" s="68">
        <f t="shared" ca="1" si="17"/>
        <v>0</v>
      </c>
      <c r="AC217" s="68">
        <f t="shared" ca="1" si="18"/>
        <v>6.2500000000000001E-5</v>
      </c>
      <c r="AD217" s="68">
        <f t="shared" ca="1" si="19"/>
        <v>2.0833333333333333E-5</v>
      </c>
      <c r="AE217" s="55"/>
      <c r="AF217" s="68">
        <v>1.2500008594873435E-5</v>
      </c>
      <c r="AG217" s="81">
        <v>2.5000034375999292E-5</v>
      </c>
      <c r="AH217" s="68">
        <v>5.0000137497008268E-5</v>
      </c>
      <c r="AI217" s="55"/>
    </row>
    <row r="218" spans="1:35" x14ac:dyDescent="0.2">
      <c r="A218" s="27">
        <f>'Cash Flow'!A218</f>
        <v>212</v>
      </c>
      <c r="B218" s="49">
        <f>'Cash Flow'!B218</f>
        <v>45566</v>
      </c>
      <c r="C218" s="56">
        <f>'Cash Flow'!C218</f>
        <v>8.3333333333333329E-2</v>
      </c>
      <c r="D218" s="55"/>
      <c r="E218" s="57">
        <v>6.9369000000000056E-2</v>
      </c>
      <c r="F218" s="57"/>
      <c r="G218" s="57"/>
      <c r="H218" s="57"/>
      <c r="I218" s="57">
        <v>0.04</v>
      </c>
      <c r="J218" s="57"/>
      <c r="K218" s="57"/>
      <c r="L218" s="55"/>
      <c r="M218" s="78">
        <v>5.1430128318229462E-3</v>
      </c>
      <c r="N218" s="78">
        <v>0.01</v>
      </c>
      <c r="Q218" s="57"/>
      <c r="S218" s="55"/>
      <c r="T218" s="79">
        <f ca="1">OFFSET('Loss Timing'!D$6,MATCH($A218,'Loss Timing'!$A$7:$A$36,1),0)/12/PmtFreqAdd</f>
        <v>2.7777777777777779E-3</v>
      </c>
      <c r="U218" s="79">
        <f ca="1">OFFSET('Loss Timing'!E$6,MATCH($A218,'Loss Timing'!$A$7:$A$36,1),0)/12/PmtFreqAdd</f>
        <v>0</v>
      </c>
      <c r="V218" s="79">
        <f ca="1">OFFSET('Loss Timing'!F$6,MATCH($A218,'Loss Timing'!$A$7:$A$36,1),0)/12/PmtFreqAdd</f>
        <v>0</v>
      </c>
      <c r="W218" s="79">
        <f ca="1">OFFSET('Loss Timing'!G$6,MATCH($A218,'Loss Timing'!$A$7:$A$36,1),0)/12/PmtFreqAdd</f>
        <v>6.2499999999999995E-3</v>
      </c>
      <c r="X218" s="79">
        <f ca="1">OFFSET('Loss Timing'!H$6,MATCH($A218,'Loss Timing'!$A$7:$A$36,1),0)/12/PmtFreqAdd</f>
        <v>2.0833333333333333E-3</v>
      </c>
      <c r="Y218" s="55"/>
      <c r="Z218" s="68">
        <f t="shared" ca="1" si="15"/>
        <v>2.7777777777777779E-5</v>
      </c>
      <c r="AA218" s="68">
        <f t="shared" ca="1" si="16"/>
        <v>0</v>
      </c>
      <c r="AB218" s="68">
        <f t="shared" ca="1" si="17"/>
        <v>0</v>
      </c>
      <c r="AC218" s="68">
        <f t="shared" ca="1" si="18"/>
        <v>6.2500000000000001E-5</v>
      </c>
      <c r="AD218" s="68">
        <f t="shared" ca="1" si="19"/>
        <v>2.0833333333333333E-5</v>
      </c>
      <c r="AE218" s="55"/>
      <c r="AF218" s="68">
        <v>1.2500008594873435E-5</v>
      </c>
      <c r="AG218" s="81">
        <v>2.5000034375999292E-5</v>
      </c>
      <c r="AH218" s="68">
        <v>5.0000137497008268E-5</v>
      </c>
      <c r="AI218" s="55"/>
    </row>
    <row r="219" spans="1:35" x14ac:dyDescent="0.2">
      <c r="A219" s="27">
        <f>'Cash Flow'!A219</f>
        <v>213</v>
      </c>
      <c r="B219" s="49">
        <f>'Cash Flow'!B219</f>
        <v>45597</v>
      </c>
      <c r="C219" s="56">
        <f>'Cash Flow'!C219</f>
        <v>8.3333333333333329E-2</v>
      </c>
      <c r="D219" s="55"/>
      <c r="E219" s="57">
        <v>6.9369000000000056E-2</v>
      </c>
      <c r="F219" s="57"/>
      <c r="G219" s="57"/>
      <c r="H219" s="57"/>
      <c r="I219" s="57">
        <v>0.04</v>
      </c>
      <c r="J219" s="57"/>
      <c r="K219" s="57"/>
      <c r="L219" s="55"/>
      <c r="M219" s="78">
        <v>5.1430128318229462E-3</v>
      </c>
      <c r="N219" s="78">
        <v>0.01</v>
      </c>
      <c r="Q219" s="57"/>
      <c r="S219" s="55"/>
      <c r="T219" s="79">
        <f ca="1">OFFSET('Loss Timing'!D$6,MATCH($A219,'Loss Timing'!$A$7:$A$36,1),0)/12/PmtFreqAdd</f>
        <v>2.7777777777777779E-3</v>
      </c>
      <c r="U219" s="79">
        <f ca="1">OFFSET('Loss Timing'!E$6,MATCH($A219,'Loss Timing'!$A$7:$A$36,1),0)/12/PmtFreqAdd</f>
        <v>0</v>
      </c>
      <c r="V219" s="79">
        <f ca="1">OFFSET('Loss Timing'!F$6,MATCH($A219,'Loss Timing'!$A$7:$A$36,1),0)/12/PmtFreqAdd</f>
        <v>0</v>
      </c>
      <c r="W219" s="79">
        <f ca="1">OFFSET('Loss Timing'!G$6,MATCH($A219,'Loss Timing'!$A$7:$A$36,1),0)/12/PmtFreqAdd</f>
        <v>6.2499999999999995E-3</v>
      </c>
      <c r="X219" s="79">
        <f ca="1">OFFSET('Loss Timing'!H$6,MATCH($A219,'Loss Timing'!$A$7:$A$36,1),0)/12/PmtFreqAdd</f>
        <v>2.0833333333333333E-3</v>
      </c>
      <c r="Y219" s="55"/>
      <c r="Z219" s="68">
        <f t="shared" ca="1" si="15"/>
        <v>2.7777777777777779E-5</v>
      </c>
      <c r="AA219" s="68">
        <f t="shared" ca="1" si="16"/>
        <v>0</v>
      </c>
      <c r="AB219" s="68">
        <f t="shared" ca="1" si="17"/>
        <v>0</v>
      </c>
      <c r="AC219" s="68">
        <f t="shared" ca="1" si="18"/>
        <v>6.2500000000000001E-5</v>
      </c>
      <c r="AD219" s="68">
        <f t="shared" ca="1" si="19"/>
        <v>2.0833333333333333E-5</v>
      </c>
      <c r="AE219" s="55"/>
      <c r="AF219" s="68">
        <v>1.2500008594873435E-5</v>
      </c>
      <c r="AG219" s="81">
        <v>2.5000034375999292E-5</v>
      </c>
      <c r="AH219" s="68">
        <v>5.0000137497008268E-5</v>
      </c>
      <c r="AI219" s="55"/>
    </row>
    <row r="220" spans="1:35" x14ac:dyDescent="0.2">
      <c r="A220" s="27">
        <f>'Cash Flow'!A220</f>
        <v>214</v>
      </c>
      <c r="B220" s="49">
        <f>'Cash Flow'!B220</f>
        <v>45627</v>
      </c>
      <c r="C220" s="56">
        <f>'Cash Flow'!C220</f>
        <v>8.3333333333333329E-2</v>
      </c>
      <c r="D220" s="55"/>
      <c r="E220" s="57">
        <v>6.9369000000000056E-2</v>
      </c>
      <c r="F220" s="57"/>
      <c r="G220" s="57"/>
      <c r="H220" s="57"/>
      <c r="I220" s="57">
        <v>0.04</v>
      </c>
      <c r="J220" s="57"/>
      <c r="K220" s="57"/>
      <c r="L220" s="55"/>
      <c r="M220" s="78">
        <v>5.1430128318229462E-3</v>
      </c>
      <c r="N220" s="78">
        <v>0.01</v>
      </c>
      <c r="Q220" s="57"/>
      <c r="S220" s="55"/>
      <c r="T220" s="79">
        <f ca="1">OFFSET('Loss Timing'!D$6,MATCH($A220,'Loss Timing'!$A$7:$A$36,1),0)/12/PmtFreqAdd</f>
        <v>2.7777777777777779E-3</v>
      </c>
      <c r="U220" s="79">
        <f ca="1">OFFSET('Loss Timing'!E$6,MATCH($A220,'Loss Timing'!$A$7:$A$36,1),0)/12/PmtFreqAdd</f>
        <v>0</v>
      </c>
      <c r="V220" s="79">
        <f ca="1">OFFSET('Loss Timing'!F$6,MATCH($A220,'Loss Timing'!$A$7:$A$36,1),0)/12/PmtFreqAdd</f>
        <v>0</v>
      </c>
      <c r="W220" s="79">
        <f ca="1">OFFSET('Loss Timing'!G$6,MATCH($A220,'Loss Timing'!$A$7:$A$36,1),0)/12/PmtFreqAdd</f>
        <v>6.2499999999999995E-3</v>
      </c>
      <c r="X220" s="79">
        <f ca="1">OFFSET('Loss Timing'!H$6,MATCH($A220,'Loss Timing'!$A$7:$A$36,1),0)/12/PmtFreqAdd</f>
        <v>2.0833333333333333E-3</v>
      </c>
      <c r="Y220" s="55"/>
      <c r="Z220" s="68">
        <f t="shared" ca="1" si="15"/>
        <v>2.7777777777777779E-5</v>
      </c>
      <c r="AA220" s="68">
        <f t="shared" ca="1" si="16"/>
        <v>0</v>
      </c>
      <c r="AB220" s="68">
        <f t="shared" ca="1" si="17"/>
        <v>0</v>
      </c>
      <c r="AC220" s="68">
        <f t="shared" ca="1" si="18"/>
        <v>6.2500000000000001E-5</v>
      </c>
      <c r="AD220" s="68">
        <f t="shared" ca="1" si="19"/>
        <v>2.0833333333333333E-5</v>
      </c>
      <c r="AE220" s="55"/>
      <c r="AF220" s="68">
        <v>1.2500008594873435E-5</v>
      </c>
      <c r="AG220" s="81">
        <v>2.5000034375999292E-5</v>
      </c>
      <c r="AH220" s="68">
        <v>5.0000137497008268E-5</v>
      </c>
      <c r="AI220" s="55"/>
    </row>
    <row r="221" spans="1:35" x14ac:dyDescent="0.2">
      <c r="A221" s="27">
        <f>'Cash Flow'!A221</f>
        <v>215</v>
      </c>
      <c r="B221" s="49">
        <f>'Cash Flow'!B221</f>
        <v>45658</v>
      </c>
      <c r="C221" s="56">
        <f>'Cash Flow'!C221</f>
        <v>8.3333333333333329E-2</v>
      </c>
      <c r="D221" s="55"/>
      <c r="E221" s="57">
        <v>6.9369000000000056E-2</v>
      </c>
      <c r="F221" s="57"/>
      <c r="G221" s="57"/>
      <c r="H221" s="57"/>
      <c r="I221" s="57">
        <v>0.04</v>
      </c>
      <c r="J221" s="57"/>
      <c r="K221" s="57"/>
      <c r="L221" s="55"/>
      <c r="M221" s="78">
        <v>5.1430128318229462E-3</v>
      </c>
      <c r="N221" s="78">
        <v>0.01</v>
      </c>
      <c r="Q221" s="57"/>
      <c r="S221" s="55"/>
      <c r="T221" s="79">
        <f ca="1">OFFSET('Loss Timing'!D$6,MATCH($A221,'Loss Timing'!$A$7:$A$36,1),0)/12/PmtFreqAdd</f>
        <v>2.7777777777777779E-3</v>
      </c>
      <c r="U221" s="79">
        <f ca="1">OFFSET('Loss Timing'!E$6,MATCH($A221,'Loss Timing'!$A$7:$A$36,1),0)/12/PmtFreqAdd</f>
        <v>0</v>
      </c>
      <c r="V221" s="79">
        <f ca="1">OFFSET('Loss Timing'!F$6,MATCH($A221,'Loss Timing'!$A$7:$A$36,1),0)/12/PmtFreqAdd</f>
        <v>0</v>
      </c>
      <c r="W221" s="79">
        <f ca="1">OFFSET('Loss Timing'!G$6,MATCH($A221,'Loss Timing'!$A$7:$A$36,1),0)/12/PmtFreqAdd</f>
        <v>6.2499999999999995E-3</v>
      </c>
      <c r="X221" s="79">
        <f ca="1">OFFSET('Loss Timing'!H$6,MATCH($A221,'Loss Timing'!$A$7:$A$36,1),0)/12/PmtFreqAdd</f>
        <v>2.0833333333333333E-3</v>
      </c>
      <c r="Y221" s="55"/>
      <c r="Z221" s="68">
        <f t="shared" ca="1" si="15"/>
        <v>2.7777777777777779E-5</v>
      </c>
      <c r="AA221" s="68">
        <f t="shared" ca="1" si="16"/>
        <v>0</v>
      </c>
      <c r="AB221" s="68">
        <f t="shared" ca="1" si="17"/>
        <v>0</v>
      </c>
      <c r="AC221" s="68">
        <f t="shared" ca="1" si="18"/>
        <v>6.2500000000000001E-5</v>
      </c>
      <c r="AD221" s="68">
        <f t="shared" ca="1" si="19"/>
        <v>2.0833333333333333E-5</v>
      </c>
      <c r="AE221" s="55"/>
      <c r="AF221" s="68">
        <v>1.2500008594873435E-5</v>
      </c>
      <c r="AG221" s="81">
        <v>2.5000034375999292E-5</v>
      </c>
      <c r="AH221" s="68">
        <v>5.0000137497008268E-5</v>
      </c>
      <c r="AI221" s="55"/>
    </row>
    <row r="222" spans="1:35" x14ac:dyDescent="0.2">
      <c r="A222" s="27">
        <f>'Cash Flow'!A222</f>
        <v>216</v>
      </c>
      <c r="B222" s="49">
        <f>'Cash Flow'!B222</f>
        <v>45689</v>
      </c>
      <c r="C222" s="56">
        <f>'Cash Flow'!C222</f>
        <v>8.3333333333333329E-2</v>
      </c>
      <c r="D222" s="55"/>
      <c r="E222" s="57">
        <v>6.9369000000000056E-2</v>
      </c>
      <c r="F222" s="57"/>
      <c r="G222" s="57"/>
      <c r="H222" s="57"/>
      <c r="I222" s="57">
        <v>0.04</v>
      </c>
      <c r="J222" s="57"/>
      <c r="K222" s="57"/>
      <c r="L222" s="55"/>
      <c r="M222" s="78">
        <v>5.1430128318229462E-3</v>
      </c>
      <c r="N222" s="78">
        <v>0.01</v>
      </c>
      <c r="Q222" s="57"/>
      <c r="S222" s="55"/>
      <c r="T222" s="79">
        <f ca="1">OFFSET('Loss Timing'!D$6,MATCH($A222,'Loss Timing'!$A$7:$A$36,1),0)/12/PmtFreqAdd</f>
        <v>2.7777777777777779E-3</v>
      </c>
      <c r="U222" s="79">
        <f ca="1">OFFSET('Loss Timing'!E$6,MATCH($A222,'Loss Timing'!$A$7:$A$36,1),0)/12/PmtFreqAdd</f>
        <v>0</v>
      </c>
      <c r="V222" s="79">
        <f ca="1">OFFSET('Loss Timing'!F$6,MATCH($A222,'Loss Timing'!$A$7:$A$36,1),0)/12/PmtFreqAdd</f>
        <v>0</v>
      </c>
      <c r="W222" s="79">
        <f ca="1">OFFSET('Loss Timing'!G$6,MATCH($A222,'Loss Timing'!$A$7:$A$36,1),0)/12/PmtFreqAdd</f>
        <v>6.2499999999999995E-3</v>
      </c>
      <c r="X222" s="79">
        <f ca="1">OFFSET('Loss Timing'!H$6,MATCH($A222,'Loss Timing'!$A$7:$A$36,1),0)/12/PmtFreqAdd</f>
        <v>2.0833333333333333E-3</v>
      </c>
      <c r="Y222" s="55"/>
      <c r="Z222" s="68">
        <f t="shared" ca="1" si="15"/>
        <v>2.7777777777777779E-5</v>
      </c>
      <c r="AA222" s="68">
        <f t="shared" ca="1" si="16"/>
        <v>0</v>
      </c>
      <c r="AB222" s="68">
        <f t="shared" ca="1" si="17"/>
        <v>0</v>
      </c>
      <c r="AC222" s="68">
        <f t="shared" ca="1" si="18"/>
        <v>6.2500000000000001E-5</v>
      </c>
      <c r="AD222" s="68">
        <f t="shared" ca="1" si="19"/>
        <v>2.0833333333333333E-5</v>
      </c>
      <c r="AE222" s="55"/>
      <c r="AF222" s="68">
        <v>1.2500008594873435E-5</v>
      </c>
      <c r="AG222" s="81">
        <v>2.5000034375999292E-5</v>
      </c>
      <c r="AH222" s="68">
        <v>5.0000137497008268E-5</v>
      </c>
      <c r="AI222" s="55"/>
    </row>
    <row r="223" spans="1:35" x14ac:dyDescent="0.2">
      <c r="A223" s="27">
        <f>'Cash Flow'!A223</f>
        <v>217</v>
      </c>
      <c r="B223" s="49">
        <f>'Cash Flow'!B223</f>
        <v>45717</v>
      </c>
      <c r="C223" s="56">
        <f>'Cash Flow'!C223</f>
        <v>8.3333333333333329E-2</v>
      </c>
      <c r="D223" s="55"/>
      <c r="E223" s="57">
        <v>6.9369000000000056E-2</v>
      </c>
      <c r="F223" s="57"/>
      <c r="G223" s="57"/>
      <c r="H223" s="57"/>
      <c r="I223" s="57">
        <v>0.04</v>
      </c>
      <c r="J223" s="57"/>
      <c r="K223" s="57"/>
      <c r="L223" s="55"/>
      <c r="M223" s="78">
        <v>5.1430128318229462E-3</v>
      </c>
      <c r="N223" s="78">
        <v>0.01</v>
      </c>
      <c r="Q223" s="57"/>
      <c r="S223" s="55"/>
      <c r="T223" s="79">
        <f ca="1">OFFSET('Loss Timing'!D$6,MATCH($A223,'Loss Timing'!$A$7:$A$36,1),0)/12/PmtFreqAdd</f>
        <v>2.7777777777777779E-3</v>
      </c>
      <c r="U223" s="79">
        <f ca="1">OFFSET('Loss Timing'!E$6,MATCH($A223,'Loss Timing'!$A$7:$A$36,1),0)/12/PmtFreqAdd</f>
        <v>0</v>
      </c>
      <c r="V223" s="79">
        <f ca="1">OFFSET('Loss Timing'!F$6,MATCH($A223,'Loss Timing'!$A$7:$A$36,1),0)/12/PmtFreqAdd</f>
        <v>0</v>
      </c>
      <c r="W223" s="79">
        <f ca="1">OFFSET('Loss Timing'!G$6,MATCH($A223,'Loss Timing'!$A$7:$A$36,1),0)/12/PmtFreqAdd</f>
        <v>6.2499999999999995E-3</v>
      </c>
      <c r="X223" s="79">
        <f ca="1">OFFSET('Loss Timing'!H$6,MATCH($A223,'Loss Timing'!$A$7:$A$36,1),0)/12/PmtFreqAdd</f>
        <v>4.1666666666666666E-3</v>
      </c>
      <c r="Y223" s="55"/>
      <c r="Z223" s="68">
        <f t="shared" ca="1" si="15"/>
        <v>2.7777777777777779E-5</v>
      </c>
      <c r="AA223" s="68">
        <f t="shared" ca="1" si="16"/>
        <v>0</v>
      </c>
      <c r="AB223" s="68">
        <f t="shared" ca="1" si="17"/>
        <v>0</v>
      </c>
      <c r="AC223" s="68">
        <f t="shared" ca="1" si="18"/>
        <v>6.2500000000000001E-5</v>
      </c>
      <c r="AD223" s="68">
        <f t="shared" ca="1" si="19"/>
        <v>4.1666666666666665E-5</v>
      </c>
      <c r="AE223" s="55"/>
      <c r="AF223" s="68">
        <v>1.2500008594873435E-5</v>
      </c>
      <c r="AG223" s="81">
        <v>2.5000034375999292E-5</v>
      </c>
      <c r="AH223" s="68">
        <v>5.0000137497008268E-5</v>
      </c>
      <c r="AI223" s="55"/>
    </row>
    <row r="224" spans="1:35" x14ac:dyDescent="0.2">
      <c r="A224" s="27">
        <f>'Cash Flow'!A224</f>
        <v>218</v>
      </c>
      <c r="B224" s="49">
        <f>'Cash Flow'!B224</f>
        <v>45748</v>
      </c>
      <c r="C224" s="56">
        <f>'Cash Flow'!C224</f>
        <v>8.3333333333333329E-2</v>
      </c>
      <c r="D224" s="55"/>
      <c r="E224" s="57">
        <v>6.9369000000000056E-2</v>
      </c>
      <c r="F224" s="57"/>
      <c r="G224" s="57"/>
      <c r="H224" s="57"/>
      <c r="I224" s="57">
        <v>0.04</v>
      </c>
      <c r="J224" s="57"/>
      <c r="K224" s="57"/>
      <c r="L224" s="55"/>
      <c r="M224" s="78">
        <v>5.1430128318229462E-3</v>
      </c>
      <c r="N224" s="78">
        <v>0.01</v>
      </c>
      <c r="Q224" s="57"/>
      <c r="S224" s="55"/>
      <c r="T224" s="79">
        <f ca="1">OFFSET('Loss Timing'!D$6,MATCH($A224,'Loss Timing'!$A$7:$A$36,1),0)/12/PmtFreqAdd</f>
        <v>2.7777777777777779E-3</v>
      </c>
      <c r="U224" s="79">
        <f ca="1">OFFSET('Loss Timing'!E$6,MATCH($A224,'Loss Timing'!$A$7:$A$36,1),0)/12/PmtFreqAdd</f>
        <v>0</v>
      </c>
      <c r="V224" s="79">
        <f ca="1">OFFSET('Loss Timing'!F$6,MATCH($A224,'Loss Timing'!$A$7:$A$36,1),0)/12/PmtFreqAdd</f>
        <v>0</v>
      </c>
      <c r="W224" s="79">
        <f ca="1">OFFSET('Loss Timing'!G$6,MATCH($A224,'Loss Timing'!$A$7:$A$36,1),0)/12/PmtFreqAdd</f>
        <v>6.2499999999999995E-3</v>
      </c>
      <c r="X224" s="79">
        <f ca="1">OFFSET('Loss Timing'!H$6,MATCH($A224,'Loss Timing'!$A$7:$A$36,1),0)/12/PmtFreqAdd</f>
        <v>4.1666666666666666E-3</v>
      </c>
      <c r="Y224" s="55"/>
      <c r="Z224" s="68">
        <f t="shared" ca="1" si="15"/>
        <v>2.7777777777777779E-5</v>
      </c>
      <c r="AA224" s="68">
        <f t="shared" ca="1" si="16"/>
        <v>0</v>
      </c>
      <c r="AB224" s="68">
        <f t="shared" ca="1" si="17"/>
        <v>0</v>
      </c>
      <c r="AC224" s="68">
        <f t="shared" ca="1" si="18"/>
        <v>6.2500000000000001E-5</v>
      </c>
      <c r="AD224" s="68">
        <f t="shared" ca="1" si="19"/>
        <v>4.1666666666666665E-5</v>
      </c>
      <c r="AE224" s="55"/>
      <c r="AF224" s="68">
        <v>1.2500008594873435E-5</v>
      </c>
      <c r="AG224" s="81">
        <v>2.5000034375999292E-5</v>
      </c>
      <c r="AH224" s="68">
        <v>5.0000137497008268E-5</v>
      </c>
      <c r="AI224" s="55"/>
    </row>
    <row r="225" spans="1:35" x14ac:dyDescent="0.2">
      <c r="A225" s="27">
        <f>'Cash Flow'!A225</f>
        <v>219</v>
      </c>
      <c r="B225" s="49">
        <f>'Cash Flow'!B225</f>
        <v>45778</v>
      </c>
      <c r="C225" s="56">
        <f>'Cash Flow'!C225</f>
        <v>8.3333333333333329E-2</v>
      </c>
      <c r="D225" s="55"/>
      <c r="E225" s="57">
        <v>6.9369000000000056E-2</v>
      </c>
      <c r="F225" s="57"/>
      <c r="G225" s="57"/>
      <c r="H225" s="57"/>
      <c r="I225" s="57">
        <v>0.04</v>
      </c>
      <c r="J225" s="57"/>
      <c r="K225" s="57"/>
      <c r="L225" s="55"/>
      <c r="M225" s="78">
        <v>5.1430128318229462E-3</v>
      </c>
      <c r="N225" s="78">
        <v>0.01</v>
      </c>
      <c r="Q225" s="57"/>
      <c r="S225" s="55"/>
      <c r="T225" s="79">
        <f ca="1">OFFSET('Loss Timing'!D$6,MATCH($A225,'Loss Timing'!$A$7:$A$36,1),0)/12/PmtFreqAdd</f>
        <v>2.7777777777777779E-3</v>
      </c>
      <c r="U225" s="79">
        <f ca="1">OFFSET('Loss Timing'!E$6,MATCH($A225,'Loss Timing'!$A$7:$A$36,1),0)/12/PmtFreqAdd</f>
        <v>0</v>
      </c>
      <c r="V225" s="79">
        <f ca="1">OFFSET('Loss Timing'!F$6,MATCH($A225,'Loss Timing'!$A$7:$A$36,1),0)/12/PmtFreqAdd</f>
        <v>0</v>
      </c>
      <c r="W225" s="79">
        <f ca="1">OFFSET('Loss Timing'!G$6,MATCH($A225,'Loss Timing'!$A$7:$A$36,1),0)/12/PmtFreqAdd</f>
        <v>6.2499999999999995E-3</v>
      </c>
      <c r="X225" s="79">
        <f ca="1">OFFSET('Loss Timing'!H$6,MATCH($A225,'Loss Timing'!$A$7:$A$36,1),0)/12/PmtFreqAdd</f>
        <v>4.1666666666666666E-3</v>
      </c>
      <c r="Y225" s="55"/>
      <c r="Z225" s="68">
        <f t="shared" ca="1" si="15"/>
        <v>2.7777777777777779E-5</v>
      </c>
      <c r="AA225" s="68">
        <f t="shared" ca="1" si="16"/>
        <v>0</v>
      </c>
      <c r="AB225" s="68">
        <f t="shared" ca="1" si="17"/>
        <v>0</v>
      </c>
      <c r="AC225" s="68">
        <f t="shared" ca="1" si="18"/>
        <v>6.2500000000000001E-5</v>
      </c>
      <c r="AD225" s="68">
        <f t="shared" ca="1" si="19"/>
        <v>4.1666666666666665E-5</v>
      </c>
      <c r="AE225" s="55"/>
      <c r="AF225" s="68">
        <v>1.2500008594873435E-5</v>
      </c>
      <c r="AG225" s="81">
        <v>2.5000034375999292E-5</v>
      </c>
      <c r="AH225" s="68">
        <v>5.0000137497008268E-5</v>
      </c>
      <c r="AI225" s="55"/>
    </row>
    <row r="226" spans="1:35" x14ac:dyDescent="0.2">
      <c r="A226" s="27">
        <f>'Cash Flow'!A226</f>
        <v>220</v>
      </c>
      <c r="B226" s="49">
        <f>'Cash Flow'!B226</f>
        <v>45809</v>
      </c>
      <c r="C226" s="56">
        <f>'Cash Flow'!C226</f>
        <v>8.3333333333333329E-2</v>
      </c>
      <c r="D226" s="55"/>
      <c r="E226" s="57">
        <v>6.9369000000000056E-2</v>
      </c>
      <c r="F226" s="57"/>
      <c r="G226" s="57"/>
      <c r="H226" s="57"/>
      <c r="I226" s="57">
        <v>0.04</v>
      </c>
      <c r="J226" s="57"/>
      <c r="K226" s="57"/>
      <c r="L226" s="55"/>
      <c r="M226" s="78">
        <v>5.1430128318229462E-3</v>
      </c>
      <c r="N226" s="78">
        <v>0.01</v>
      </c>
      <c r="Q226" s="57"/>
      <c r="S226" s="55"/>
      <c r="T226" s="79">
        <f ca="1">OFFSET('Loss Timing'!D$6,MATCH($A226,'Loss Timing'!$A$7:$A$36,1),0)/12/PmtFreqAdd</f>
        <v>2.7777777777777779E-3</v>
      </c>
      <c r="U226" s="79">
        <f ca="1">OFFSET('Loss Timing'!E$6,MATCH($A226,'Loss Timing'!$A$7:$A$36,1),0)/12/PmtFreqAdd</f>
        <v>0</v>
      </c>
      <c r="V226" s="79">
        <f ca="1">OFFSET('Loss Timing'!F$6,MATCH($A226,'Loss Timing'!$A$7:$A$36,1),0)/12/PmtFreqAdd</f>
        <v>0</v>
      </c>
      <c r="W226" s="79">
        <f ca="1">OFFSET('Loss Timing'!G$6,MATCH($A226,'Loss Timing'!$A$7:$A$36,1),0)/12/PmtFreqAdd</f>
        <v>6.2499999999999995E-3</v>
      </c>
      <c r="X226" s="79">
        <f ca="1">OFFSET('Loss Timing'!H$6,MATCH($A226,'Loss Timing'!$A$7:$A$36,1),0)/12/PmtFreqAdd</f>
        <v>4.1666666666666666E-3</v>
      </c>
      <c r="Y226" s="55"/>
      <c r="Z226" s="68">
        <f t="shared" ca="1" si="15"/>
        <v>2.7777777777777779E-5</v>
      </c>
      <c r="AA226" s="68">
        <f t="shared" ca="1" si="16"/>
        <v>0</v>
      </c>
      <c r="AB226" s="68">
        <f t="shared" ca="1" si="17"/>
        <v>0</v>
      </c>
      <c r="AC226" s="68">
        <f t="shared" ca="1" si="18"/>
        <v>6.2500000000000001E-5</v>
      </c>
      <c r="AD226" s="68">
        <f t="shared" ca="1" si="19"/>
        <v>4.1666666666666665E-5</v>
      </c>
      <c r="AE226" s="55"/>
      <c r="AF226" s="68">
        <v>1.2500008594873435E-5</v>
      </c>
      <c r="AG226" s="81">
        <v>2.5000034375999292E-5</v>
      </c>
      <c r="AH226" s="68">
        <v>5.0000137497008268E-5</v>
      </c>
      <c r="AI226" s="55"/>
    </row>
    <row r="227" spans="1:35" x14ac:dyDescent="0.2">
      <c r="A227" s="27">
        <f>'Cash Flow'!A227</f>
        <v>221</v>
      </c>
      <c r="B227" s="49">
        <f>'Cash Flow'!B227</f>
        <v>45839</v>
      </c>
      <c r="C227" s="56">
        <f>'Cash Flow'!C227</f>
        <v>8.3333333333333329E-2</v>
      </c>
      <c r="D227" s="55"/>
      <c r="E227" s="57">
        <v>6.9369000000000056E-2</v>
      </c>
      <c r="F227" s="57"/>
      <c r="G227" s="57"/>
      <c r="H227" s="57"/>
      <c r="I227" s="57">
        <v>0.04</v>
      </c>
      <c r="J227" s="57"/>
      <c r="K227" s="57"/>
      <c r="L227" s="55"/>
      <c r="M227" s="78">
        <v>5.1430128318229462E-3</v>
      </c>
      <c r="N227" s="78">
        <v>0.01</v>
      </c>
      <c r="Q227" s="57"/>
      <c r="S227" s="55"/>
      <c r="T227" s="79">
        <f ca="1">OFFSET('Loss Timing'!D$6,MATCH($A227,'Loss Timing'!$A$7:$A$36,1),0)/12/PmtFreqAdd</f>
        <v>2.7777777777777779E-3</v>
      </c>
      <c r="U227" s="79">
        <f ca="1">OFFSET('Loss Timing'!E$6,MATCH($A227,'Loss Timing'!$A$7:$A$36,1),0)/12/PmtFreqAdd</f>
        <v>0</v>
      </c>
      <c r="V227" s="79">
        <f ca="1">OFFSET('Loss Timing'!F$6,MATCH($A227,'Loss Timing'!$A$7:$A$36,1),0)/12/PmtFreqAdd</f>
        <v>0</v>
      </c>
      <c r="W227" s="79">
        <f ca="1">OFFSET('Loss Timing'!G$6,MATCH($A227,'Loss Timing'!$A$7:$A$36,1),0)/12/PmtFreqAdd</f>
        <v>6.2499999999999995E-3</v>
      </c>
      <c r="X227" s="79">
        <f ca="1">OFFSET('Loss Timing'!H$6,MATCH($A227,'Loss Timing'!$A$7:$A$36,1),0)/12/PmtFreqAdd</f>
        <v>4.1666666666666666E-3</v>
      </c>
      <c r="Y227" s="55"/>
      <c r="Z227" s="68">
        <f t="shared" ca="1" si="15"/>
        <v>2.7777777777777779E-5</v>
      </c>
      <c r="AA227" s="68">
        <f t="shared" ca="1" si="16"/>
        <v>0</v>
      </c>
      <c r="AB227" s="68">
        <f t="shared" ca="1" si="17"/>
        <v>0</v>
      </c>
      <c r="AC227" s="68">
        <f t="shared" ca="1" si="18"/>
        <v>6.2500000000000001E-5</v>
      </c>
      <c r="AD227" s="68">
        <f t="shared" ca="1" si="19"/>
        <v>4.1666666666666665E-5</v>
      </c>
      <c r="AE227" s="55"/>
      <c r="AF227" s="68">
        <v>1.2500008594873435E-5</v>
      </c>
      <c r="AG227" s="81">
        <v>2.5000034375999292E-5</v>
      </c>
      <c r="AH227" s="68">
        <v>5.0000137497008268E-5</v>
      </c>
      <c r="AI227" s="55"/>
    </row>
    <row r="228" spans="1:35" x14ac:dyDescent="0.2">
      <c r="A228" s="27">
        <f>'Cash Flow'!A228</f>
        <v>222</v>
      </c>
      <c r="B228" s="49">
        <f>'Cash Flow'!B228</f>
        <v>45870</v>
      </c>
      <c r="C228" s="56">
        <f>'Cash Flow'!C228</f>
        <v>8.3333333333333329E-2</v>
      </c>
      <c r="D228" s="55"/>
      <c r="E228" s="57">
        <v>6.9369000000000056E-2</v>
      </c>
      <c r="F228" s="57"/>
      <c r="G228" s="57"/>
      <c r="H228" s="57"/>
      <c r="I228" s="57">
        <v>0.04</v>
      </c>
      <c r="J228" s="57"/>
      <c r="K228" s="57"/>
      <c r="L228" s="55"/>
      <c r="M228" s="78">
        <v>5.1430128318229462E-3</v>
      </c>
      <c r="N228" s="78">
        <v>0.01</v>
      </c>
      <c r="Q228" s="57"/>
      <c r="S228" s="55"/>
      <c r="T228" s="79">
        <f ca="1">OFFSET('Loss Timing'!D$6,MATCH($A228,'Loss Timing'!$A$7:$A$36,1),0)/12/PmtFreqAdd</f>
        <v>2.7777777777777779E-3</v>
      </c>
      <c r="U228" s="79">
        <f ca="1">OFFSET('Loss Timing'!E$6,MATCH($A228,'Loss Timing'!$A$7:$A$36,1),0)/12/PmtFreqAdd</f>
        <v>0</v>
      </c>
      <c r="V228" s="79">
        <f ca="1">OFFSET('Loss Timing'!F$6,MATCH($A228,'Loss Timing'!$A$7:$A$36,1),0)/12/PmtFreqAdd</f>
        <v>0</v>
      </c>
      <c r="W228" s="79">
        <f ca="1">OFFSET('Loss Timing'!G$6,MATCH($A228,'Loss Timing'!$A$7:$A$36,1),0)/12/PmtFreqAdd</f>
        <v>6.2499999999999995E-3</v>
      </c>
      <c r="X228" s="79">
        <f ca="1">OFFSET('Loss Timing'!H$6,MATCH($A228,'Loss Timing'!$A$7:$A$36,1),0)/12/PmtFreqAdd</f>
        <v>4.1666666666666666E-3</v>
      </c>
      <c r="Y228" s="55"/>
      <c r="Z228" s="68">
        <f t="shared" ca="1" si="15"/>
        <v>2.7777777777777779E-5</v>
      </c>
      <c r="AA228" s="68">
        <f t="shared" ca="1" si="16"/>
        <v>0</v>
      </c>
      <c r="AB228" s="68">
        <f t="shared" ca="1" si="17"/>
        <v>0</v>
      </c>
      <c r="AC228" s="68">
        <f t="shared" ca="1" si="18"/>
        <v>6.2500000000000001E-5</v>
      </c>
      <c r="AD228" s="68">
        <f t="shared" ca="1" si="19"/>
        <v>4.1666666666666665E-5</v>
      </c>
      <c r="AE228" s="55"/>
      <c r="AF228" s="68">
        <v>1.2500008594873435E-5</v>
      </c>
      <c r="AG228" s="81">
        <v>2.5000034375999292E-5</v>
      </c>
      <c r="AH228" s="68">
        <v>5.0000137497008268E-5</v>
      </c>
      <c r="AI228" s="55"/>
    </row>
    <row r="229" spans="1:35" x14ac:dyDescent="0.2">
      <c r="A229" s="27">
        <f>'Cash Flow'!A229</f>
        <v>223</v>
      </c>
      <c r="B229" s="49">
        <f>'Cash Flow'!B229</f>
        <v>45901</v>
      </c>
      <c r="C229" s="56">
        <f>'Cash Flow'!C229</f>
        <v>8.3333333333333329E-2</v>
      </c>
      <c r="D229" s="55"/>
      <c r="E229" s="57">
        <v>6.9369000000000056E-2</v>
      </c>
      <c r="F229" s="57"/>
      <c r="G229" s="57"/>
      <c r="H229" s="57"/>
      <c r="I229" s="57">
        <v>0.04</v>
      </c>
      <c r="J229" s="57"/>
      <c r="K229" s="57"/>
      <c r="L229" s="55"/>
      <c r="M229" s="78">
        <v>5.1430128318229462E-3</v>
      </c>
      <c r="N229" s="78">
        <v>0.01</v>
      </c>
      <c r="Q229" s="57"/>
      <c r="S229" s="55"/>
      <c r="T229" s="79">
        <f ca="1">OFFSET('Loss Timing'!D$6,MATCH($A229,'Loss Timing'!$A$7:$A$36,1),0)/12/PmtFreqAdd</f>
        <v>2.7777777777777779E-3</v>
      </c>
      <c r="U229" s="79">
        <f ca="1">OFFSET('Loss Timing'!E$6,MATCH($A229,'Loss Timing'!$A$7:$A$36,1),0)/12/PmtFreqAdd</f>
        <v>0</v>
      </c>
      <c r="V229" s="79">
        <f ca="1">OFFSET('Loss Timing'!F$6,MATCH($A229,'Loss Timing'!$A$7:$A$36,1),0)/12/PmtFreqAdd</f>
        <v>0</v>
      </c>
      <c r="W229" s="79">
        <f ca="1">OFFSET('Loss Timing'!G$6,MATCH($A229,'Loss Timing'!$A$7:$A$36,1),0)/12/PmtFreqAdd</f>
        <v>6.2499999999999995E-3</v>
      </c>
      <c r="X229" s="79">
        <f ca="1">OFFSET('Loss Timing'!H$6,MATCH($A229,'Loss Timing'!$A$7:$A$36,1),0)/12/PmtFreqAdd</f>
        <v>4.1666666666666666E-3</v>
      </c>
      <c r="Y229" s="55"/>
      <c r="Z229" s="68">
        <f t="shared" ca="1" si="15"/>
        <v>2.7777777777777779E-5</v>
      </c>
      <c r="AA229" s="68">
        <f t="shared" ca="1" si="16"/>
        <v>0</v>
      </c>
      <c r="AB229" s="68">
        <f t="shared" ca="1" si="17"/>
        <v>0</v>
      </c>
      <c r="AC229" s="68">
        <f t="shared" ca="1" si="18"/>
        <v>6.2500000000000001E-5</v>
      </c>
      <c r="AD229" s="68">
        <f t="shared" ca="1" si="19"/>
        <v>4.1666666666666665E-5</v>
      </c>
      <c r="AE229" s="55"/>
      <c r="AF229" s="68">
        <v>1.2500008594873435E-5</v>
      </c>
      <c r="AG229" s="81">
        <v>2.5000034375999292E-5</v>
      </c>
      <c r="AH229" s="68">
        <v>5.0000137497008268E-5</v>
      </c>
      <c r="AI229" s="55"/>
    </row>
    <row r="230" spans="1:35" x14ac:dyDescent="0.2">
      <c r="A230" s="27">
        <f>'Cash Flow'!A230</f>
        <v>224</v>
      </c>
      <c r="B230" s="49">
        <f>'Cash Flow'!B230</f>
        <v>45931</v>
      </c>
      <c r="C230" s="56">
        <f>'Cash Flow'!C230</f>
        <v>8.3333333333333329E-2</v>
      </c>
      <c r="D230" s="55"/>
      <c r="E230" s="57">
        <v>6.9369000000000056E-2</v>
      </c>
      <c r="F230" s="57"/>
      <c r="G230" s="57"/>
      <c r="H230" s="57"/>
      <c r="I230" s="57">
        <v>0.04</v>
      </c>
      <c r="J230" s="57"/>
      <c r="K230" s="57"/>
      <c r="L230" s="55"/>
      <c r="M230" s="78">
        <v>5.1430128318229462E-3</v>
      </c>
      <c r="N230" s="78">
        <v>0.01</v>
      </c>
      <c r="Q230" s="57"/>
      <c r="S230" s="55"/>
      <c r="T230" s="79">
        <f ca="1">OFFSET('Loss Timing'!D$6,MATCH($A230,'Loss Timing'!$A$7:$A$36,1),0)/12/PmtFreqAdd</f>
        <v>2.7777777777777779E-3</v>
      </c>
      <c r="U230" s="79">
        <f ca="1">OFFSET('Loss Timing'!E$6,MATCH($A230,'Loss Timing'!$A$7:$A$36,1),0)/12/PmtFreqAdd</f>
        <v>0</v>
      </c>
      <c r="V230" s="79">
        <f ca="1">OFFSET('Loss Timing'!F$6,MATCH($A230,'Loss Timing'!$A$7:$A$36,1),0)/12/PmtFreqAdd</f>
        <v>0</v>
      </c>
      <c r="W230" s="79">
        <f ca="1">OFFSET('Loss Timing'!G$6,MATCH($A230,'Loss Timing'!$A$7:$A$36,1),0)/12/PmtFreqAdd</f>
        <v>6.2499999999999995E-3</v>
      </c>
      <c r="X230" s="79">
        <f ca="1">OFFSET('Loss Timing'!H$6,MATCH($A230,'Loss Timing'!$A$7:$A$36,1),0)/12/PmtFreqAdd</f>
        <v>4.1666666666666666E-3</v>
      </c>
      <c r="Y230" s="55"/>
      <c r="Z230" s="68">
        <f t="shared" ca="1" si="15"/>
        <v>2.7777777777777779E-5</v>
      </c>
      <c r="AA230" s="68">
        <f t="shared" ca="1" si="16"/>
        <v>0</v>
      </c>
      <c r="AB230" s="68">
        <f t="shared" ca="1" si="17"/>
        <v>0</v>
      </c>
      <c r="AC230" s="68">
        <f t="shared" ca="1" si="18"/>
        <v>6.2500000000000001E-5</v>
      </c>
      <c r="AD230" s="68">
        <f t="shared" ca="1" si="19"/>
        <v>4.1666666666666665E-5</v>
      </c>
      <c r="AE230" s="55"/>
      <c r="AF230" s="68">
        <v>1.2500008594873435E-5</v>
      </c>
      <c r="AG230" s="81">
        <v>2.5000034375999292E-5</v>
      </c>
      <c r="AH230" s="68">
        <v>5.0000137497008268E-5</v>
      </c>
      <c r="AI230" s="55"/>
    </row>
    <row r="231" spans="1:35" x14ac:dyDescent="0.2">
      <c r="A231" s="27">
        <f>'Cash Flow'!A231</f>
        <v>225</v>
      </c>
      <c r="B231" s="49">
        <f>'Cash Flow'!B231</f>
        <v>45962</v>
      </c>
      <c r="C231" s="56">
        <f>'Cash Flow'!C231</f>
        <v>8.3333333333333329E-2</v>
      </c>
      <c r="D231" s="55"/>
      <c r="E231" s="57">
        <v>6.9369000000000056E-2</v>
      </c>
      <c r="F231" s="57"/>
      <c r="G231" s="57"/>
      <c r="H231" s="57"/>
      <c r="I231" s="57">
        <v>0.04</v>
      </c>
      <c r="J231" s="57"/>
      <c r="K231" s="57"/>
      <c r="L231" s="55"/>
      <c r="M231" s="78">
        <v>5.1430128318229462E-3</v>
      </c>
      <c r="N231" s="78">
        <v>0.01</v>
      </c>
      <c r="Q231" s="57"/>
      <c r="S231" s="55"/>
      <c r="T231" s="79">
        <f ca="1">OFFSET('Loss Timing'!D$6,MATCH($A231,'Loss Timing'!$A$7:$A$36,1),0)/12/PmtFreqAdd</f>
        <v>2.7777777777777779E-3</v>
      </c>
      <c r="U231" s="79">
        <f ca="1">OFFSET('Loss Timing'!E$6,MATCH($A231,'Loss Timing'!$A$7:$A$36,1),0)/12/PmtFreqAdd</f>
        <v>0</v>
      </c>
      <c r="V231" s="79">
        <f ca="1">OFFSET('Loss Timing'!F$6,MATCH($A231,'Loss Timing'!$A$7:$A$36,1),0)/12/PmtFreqAdd</f>
        <v>0</v>
      </c>
      <c r="W231" s="79">
        <f ca="1">OFFSET('Loss Timing'!G$6,MATCH($A231,'Loss Timing'!$A$7:$A$36,1),0)/12/PmtFreqAdd</f>
        <v>6.2499999999999995E-3</v>
      </c>
      <c r="X231" s="79">
        <f ca="1">OFFSET('Loss Timing'!H$6,MATCH($A231,'Loss Timing'!$A$7:$A$36,1),0)/12/PmtFreqAdd</f>
        <v>4.1666666666666666E-3</v>
      </c>
      <c r="Y231" s="55"/>
      <c r="Z231" s="68">
        <f t="shared" ca="1" si="15"/>
        <v>2.7777777777777779E-5</v>
      </c>
      <c r="AA231" s="68">
        <f t="shared" ca="1" si="16"/>
        <v>0</v>
      </c>
      <c r="AB231" s="68">
        <f t="shared" ca="1" si="17"/>
        <v>0</v>
      </c>
      <c r="AC231" s="68">
        <f t="shared" ca="1" si="18"/>
        <v>6.2500000000000001E-5</v>
      </c>
      <c r="AD231" s="68">
        <f t="shared" ca="1" si="19"/>
        <v>4.1666666666666665E-5</v>
      </c>
      <c r="AE231" s="55"/>
      <c r="AF231" s="68">
        <v>1.2500008594873435E-5</v>
      </c>
      <c r="AG231" s="81">
        <v>2.5000034375999292E-5</v>
      </c>
      <c r="AH231" s="68">
        <v>5.0000137497008268E-5</v>
      </c>
      <c r="AI231" s="55"/>
    </row>
    <row r="232" spans="1:35" x14ac:dyDescent="0.2">
      <c r="A232" s="27">
        <f>'Cash Flow'!A232</f>
        <v>226</v>
      </c>
      <c r="B232" s="49">
        <f>'Cash Flow'!B232</f>
        <v>45992</v>
      </c>
      <c r="C232" s="56">
        <f>'Cash Flow'!C232</f>
        <v>8.3333333333333329E-2</v>
      </c>
      <c r="D232" s="55"/>
      <c r="E232" s="57">
        <v>6.9369000000000056E-2</v>
      </c>
      <c r="F232" s="57"/>
      <c r="G232" s="57"/>
      <c r="H232" s="57"/>
      <c r="I232" s="57">
        <v>0.04</v>
      </c>
      <c r="J232" s="57"/>
      <c r="K232" s="57"/>
      <c r="L232" s="55"/>
      <c r="M232" s="78">
        <v>5.1430128318229462E-3</v>
      </c>
      <c r="N232" s="78">
        <v>0.01</v>
      </c>
      <c r="Q232" s="57"/>
      <c r="S232" s="55"/>
      <c r="T232" s="79">
        <f ca="1">OFFSET('Loss Timing'!D$6,MATCH($A232,'Loss Timing'!$A$7:$A$36,1),0)/12/PmtFreqAdd</f>
        <v>2.7777777777777779E-3</v>
      </c>
      <c r="U232" s="79">
        <f ca="1">OFFSET('Loss Timing'!E$6,MATCH($A232,'Loss Timing'!$A$7:$A$36,1),0)/12/PmtFreqAdd</f>
        <v>0</v>
      </c>
      <c r="V232" s="79">
        <f ca="1">OFFSET('Loss Timing'!F$6,MATCH($A232,'Loss Timing'!$A$7:$A$36,1),0)/12/PmtFreqAdd</f>
        <v>0</v>
      </c>
      <c r="W232" s="79">
        <f ca="1">OFFSET('Loss Timing'!G$6,MATCH($A232,'Loss Timing'!$A$7:$A$36,1),0)/12/PmtFreqAdd</f>
        <v>6.2499999999999995E-3</v>
      </c>
      <c r="X232" s="79">
        <f ca="1">OFFSET('Loss Timing'!H$6,MATCH($A232,'Loss Timing'!$A$7:$A$36,1),0)/12/PmtFreqAdd</f>
        <v>4.1666666666666666E-3</v>
      </c>
      <c r="Y232" s="55"/>
      <c r="Z232" s="68">
        <f t="shared" ca="1" si="15"/>
        <v>2.7777777777777779E-5</v>
      </c>
      <c r="AA232" s="68">
        <f t="shared" ca="1" si="16"/>
        <v>0</v>
      </c>
      <c r="AB232" s="68">
        <f t="shared" ca="1" si="17"/>
        <v>0</v>
      </c>
      <c r="AC232" s="68">
        <f t="shared" ca="1" si="18"/>
        <v>6.2500000000000001E-5</v>
      </c>
      <c r="AD232" s="68">
        <f t="shared" ca="1" si="19"/>
        <v>4.1666666666666665E-5</v>
      </c>
      <c r="AE232" s="55"/>
      <c r="AF232" s="68">
        <v>1.2500008594873435E-5</v>
      </c>
      <c r="AG232" s="81">
        <v>2.5000034375999292E-5</v>
      </c>
      <c r="AH232" s="68">
        <v>5.0000137497008268E-5</v>
      </c>
      <c r="AI232" s="55"/>
    </row>
    <row r="233" spans="1:35" x14ac:dyDescent="0.2">
      <c r="A233" s="27">
        <f>'Cash Flow'!A233</f>
        <v>227</v>
      </c>
      <c r="B233" s="49">
        <f>'Cash Flow'!B233</f>
        <v>46023</v>
      </c>
      <c r="C233" s="56">
        <f>'Cash Flow'!C233</f>
        <v>8.3333333333333329E-2</v>
      </c>
      <c r="D233" s="55"/>
      <c r="E233" s="57">
        <v>6.9369000000000056E-2</v>
      </c>
      <c r="F233" s="57"/>
      <c r="G233" s="57"/>
      <c r="H233" s="57"/>
      <c r="I233" s="57">
        <v>0.04</v>
      </c>
      <c r="J233" s="57"/>
      <c r="K233" s="57"/>
      <c r="L233" s="55"/>
      <c r="M233" s="78">
        <v>5.1430128318229462E-3</v>
      </c>
      <c r="N233" s="78">
        <v>0.01</v>
      </c>
      <c r="Q233" s="57"/>
      <c r="S233" s="55"/>
      <c r="T233" s="79">
        <f ca="1">OFFSET('Loss Timing'!D$6,MATCH($A233,'Loss Timing'!$A$7:$A$36,1),0)/12/PmtFreqAdd</f>
        <v>2.7777777777777779E-3</v>
      </c>
      <c r="U233" s="79">
        <f ca="1">OFFSET('Loss Timing'!E$6,MATCH($A233,'Loss Timing'!$A$7:$A$36,1),0)/12/PmtFreqAdd</f>
        <v>0</v>
      </c>
      <c r="V233" s="79">
        <f ca="1">OFFSET('Loss Timing'!F$6,MATCH($A233,'Loss Timing'!$A$7:$A$36,1),0)/12/PmtFreqAdd</f>
        <v>0</v>
      </c>
      <c r="W233" s="79">
        <f ca="1">OFFSET('Loss Timing'!G$6,MATCH($A233,'Loss Timing'!$A$7:$A$36,1),0)/12/PmtFreqAdd</f>
        <v>6.2499999999999995E-3</v>
      </c>
      <c r="X233" s="79">
        <f ca="1">OFFSET('Loss Timing'!H$6,MATCH($A233,'Loss Timing'!$A$7:$A$36,1),0)/12/PmtFreqAdd</f>
        <v>4.1666666666666666E-3</v>
      </c>
      <c r="Y233" s="55"/>
      <c r="Z233" s="68">
        <f t="shared" ca="1" si="15"/>
        <v>2.7777777777777779E-5</v>
      </c>
      <c r="AA233" s="68">
        <f t="shared" ca="1" si="16"/>
        <v>0</v>
      </c>
      <c r="AB233" s="68">
        <f t="shared" ca="1" si="17"/>
        <v>0</v>
      </c>
      <c r="AC233" s="68">
        <f t="shared" ca="1" si="18"/>
        <v>6.2500000000000001E-5</v>
      </c>
      <c r="AD233" s="68">
        <f t="shared" ca="1" si="19"/>
        <v>4.1666666666666665E-5</v>
      </c>
      <c r="AE233" s="55"/>
      <c r="AF233" s="68">
        <v>1.2500008594873435E-5</v>
      </c>
      <c r="AG233" s="81">
        <v>2.5000034375999292E-5</v>
      </c>
      <c r="AH233" s="68">
        <v>5.0000137497008268E-5</v>
      </c>
      <c r="AI233" s="55"/>
    </row>
    <row r="234" spans="1:35" x14ac:dyDescent="0.2">
      <c r="A234" s="27">
        <f>'Cash Flow'!A234</f>
        <v>228</v>
      </c>
      <c r="B234" s="49">
        <f>'Cash Flow'!B234</f>
        <v>46054</v>
      </c>
      <c r="C234" s="56">
        <f>'Cash Flow'!C234</f>
        <v>8.3333333333333329E-2</v>
      </c>
      <c r="D234" s="55"/>
      <c r="E234" s="57">
        <v>6.9369000000000056E-2</v>
      </c>
      <c r="F234" s="57"/>
      <c r="G234" s="57"/>
      <c r="H234" s="57"/>
      <c r="I234" s="57">
        <v>0.04</v>
      </c>
      <c r="J234" s="57"/>
      <c r="K234" s="57"/>
      <c r="L234" s="55"/>
      <c r="M234" s="78">
        <v>5.1430128318229462E-3</v>
      </c>
      <c r="N234" s="78">
        <v>0.01</v>
      </c>
      <c r="Q234" s="57"/>
      <c r="S234" s="55"/>
      <c r="T234" s="79">
        <f ca="1">OFFSET('Loss Timing'!D$6,MATCH($A234,'Loss Timing'!$A$7:$A$36,1),0)/12/PmtFreqAdd</f>
        <v>2.7777777777777779E-3</v>
      </c>
      <c r="U234" s="79">
        <f ca="1">OFFSET('Loss Timing'!E$6,MATCH($A234,'Loss Timing'!$A$7:$A$36,1),0)/12/PmtFreqAdd</f>
        <v>0</v>
      </c>
      <c r="V234" s="79">
        <f ca="1">OFFSET('Loss Timing'!F$6,MATCH($A234,'Loss Timing'!$A$7:$A$36,1),0)/12/PmtFreqAdd</f>
        <v>0</v>
      </c>
      <c r="W234" s="79">
        <f ca="1">OFFSET('Loss Timing'!G$6,MATCH($A234,'Loss Timing'!$A$7:$A$36,1),0)/12/PmtFreqAdd</f>
        <v>6.2499999999999995E-3</v>
      </c>
      <c r="X234" s="79">
        <f ca="1">OFFSET('Loss Timing'!H$6,MATCH($A234,'Loss Timing'!$A$7:$A$36,1),0)/12/PmtFreqAdd</f>
        <v>4.1666666666666666E-3</v>
      </c>
      <c r="Y234" s="55"/>
      <c r="Z234" s="68">
        <f t="shared" ca="1" si="15"/>
        <v>2.7777777777777779E-5</v>
      </c>
      <c r="AA234" s="68">
        <f t="shared" ca="1" si="16"/>
        <v>0</v>
      </c>
      <c r="AB234" s="68">
        <f t="shared" ca="1" si="17"/>
        <v>0</v>
      </c>
      <c r="AC234" s="68">
        <f t="shared" ca="1" si="18"/>
        <v>6.2500000000000001E-5</v>
      </c>
      <c r="AD234" s="68">
        <f t="shared" ca="1" si="19"/>
        <v>4.1666666666666665E-5</v>
      </c>
      <c r="AE234" s="55"/>
      <c r="AF234" s="68">
        <v>1.2500008594873435E-5</v>
      </c>
      <c r="AG234" s="81">
        <v>2.5000034375999292E-5</v>
      </c>
      <c r="AH234" s="68">
        <v>5.0000137497008268E-5</v>
      </c>
      <c r="AI234" s="55"/>
    </row>
    <row r="235" spans="1:35" x14ac:dyDescent="0.2">
      <c r="A235" s="27">
        <f>'Cash Flow'!A235</f>
        <v>229</v>
      </c>
      <c r="B235" s="49">
        <f>'Cash Flow'!B235</f>
        <v>46082</v>
      </c>
      <c r="C235" s="56">
        <f>'Cash Flow'!C235</f>
        <v>8.3333333333333329E-2</v>
      </c>
      <c r="D235" s="55"/>
      <c r="E235" s="57">
        <v>6.9369000000000056E-2</v>
      </c>
      <c r="F235" s="57"/>
      <c r="G235" s="57"/>
      <c r="H235" s="57"/>
      <c r="I235" s="57">
        <v>0.04</v>
      </c>
      <c r="J235" s="57"/>
      <c r="K235" s="57"/>
      <c r="L235" s="55"/>
      <c r="M235" s="78">
        <v>5.1430128318229462E-3</v>
      </c>
      <c r="N235" s="78">
        <v>0.01</v>
      </c>
      <c r="Q235" s="57"/>
      <c r="S235" s="55"/>
      <c r="T235" s="79">
        <f ca="1">OFFSET('Loss Timing'!D$6,MATCH($A235,'Loss Timing'!$A$7:$A$36,1),0)/12/PmtFreqAdd</f>
        <v>2.7777777777777779E-3</v>
      </c>
      <c r="U235" s="79">
        <f ca="1">OFFSET('Loss Timing'!E$6,MATCH($A235,'Loss Timing'!$A$7:$A$36,1),0)/12/PmtFreqAdd</f>
        <v>0</v>
      </c>
      <c r="V235" s="79">
        <f ca="1">OFFSET('Loss Timing'!F$6,MATCH($A235,'Loss Timing'!$A$7:$A$36,1),0)/12/PmtFreqAdd</f>
        <v>0</v>
      </c>
      <c r="W235" s="79">
        <f ca="1">OFFSET('Loss Timing'!G$6,MATCH($A235,'Loss Timing'!$A$7:$A$36,1),0)/12/PmtFreqAdd</f>
        <v>6.2499999999999995E-3</v>
      </c>
      <c r="X235" s="79">
        <f ca="1">OFFSET('Loss Timing'!H$6,MATCH($A235,'Loss Timing'!$A$7:$A$36,1),0)/12/PmtFreqAdd</f>
        <v>4.1666666666666666E-3</v>
      </c>
      <c r="Y235" s="55"/>
      <c r="Z235" s="68">
        <f t="shared" ca="1" si="15"/>
        <v>2.7777777777777779E-5</v>
      </c>
      <c r="AA235" s="68">
        <f t="shared" ca="1" si="16"/>
        <v>0</v>
      </c>
      <c r="AB235" s="68">
        <f t="shared" ca="1" si="17"/>
        <v>0</v>
      </c>
      <c r="AC235" s="68">
        <f t="shared" ca="1" si="18"/>
        <v>6.2500000000000001E-5</v>
      </c>
      <c r="AD235" s="68">
        <f t="shared" ca="1" si="19"/>
        <v>4.1666666666666665E-5</v>
      </c>
      <c r="AE235" s="55"/>
      <c r="AF235" s="68">
        <v>1.2500008594873435E-5</v>
      </c>
      <c r="AG235" s="81">
        <v>2.5000034375999292E-5</v>
      </c>
      <c r="AH235" s="68">
        <v>5.0000137497008268E-5</v>
      </c>
      <c r="AI235" s="55"/>
    </row>
    <row r="236" spans="1:35" x14ac:dyDescent="0.2">
      <c r="A236" s="27">
        <f>'Cash Flow'!A236</f>
        <v>230</v>
      </c>
      <c r="B236" s="49">
        <f>'Cash Flow'!B236</f>
        <v>46113</v>
      </c>
      <c r="C236" s="56">
        <f>'Cash Flow'!C236</f>
        <v>8.3333333333333329E-2</v>
      </c>
      <c r="D236" s="55"/>
      <c r="E236" s="57">
        <v>6.9369000000000056E-2</v>
      </c>
      <c r="F236" s="57"/>
      <c r="G236" s="57"/>
      <c r="H236" s="57"/>
      <c r="I236" s="57">
        <v>0.04</v>
      </c>
      <c r="J236" s="57"/>
      <c r="K236" s="57"/>
      <c r="L236" s="55"/>
      <c r="M236" s="78">
        <v>5.1430128318229462E-3</v>
      </c>
      <c r="N236" s="78">
        <v>0.01</v>
      </c>
      <c r="Q236" s="57"/>
      <c r="S236" s="55"/>
      <c r="T236" s="79">
        <f ca="1">OFFSET('Loss Timing'!D$6,MATCH($A236,'Loss Timing'!$A$7:$A$36,1),0)/12/PmtFreqAdd</f>
        <v>2.7777777777777779E-3</v>
      </c>
      <c r="U236" s="79">
        <f ca="1">OFFSET('Loss Timing'!E$6,MATCH($A236,'Loss Timing'!$A$7:$A$36,1),0)/12/PmtFreqAdd</f>
        <v>0</v>
      </c>
      <c r="V236" s="79">
        <f ca="1">OFFSET('Loss Timing'!F$6,MATCH($A236,'Loss Timing'!$A$7:$A$36,1),0)/12/PmtFreqAdd</f>
        <v>0</v>
      </c>
      <c r="W236" s="79">
        <f ca="1">OFFSET('Loss Timing'!G$6,MATCH($A236,'Loss Timing'!$A$7:$A$36,1),0)/12/PmtFreqAdd</f>
        <v>6.2499999999999995E-3</v>
      </c>
      <c r="X236" s="79">
        <f ca="1">OFFSET('Loss Timing'!H$6,MATCH($A236,'Loss Timing'!$A$7:$A$36,1),0)/12/PmtFreqAdd</f>
        <v>4.1666666666666666E-3</v>
      </c>
      <c r="Y236" s="55"/>
      <c r="Z236" s="68">
        <f t="shared" ca="1" si="15"/>
        <v>2.7777777777777779E-5</v>
      </c>
      <c r="AA236" s="68">
        <f t="shared" ca="1" si="16"/>
        <v>0</v>
      </c>
      <c r="AB236" s="68">
        <f t="shared" ca="1" si="17"/>
        <v>0</v>
      </c>
      <c r="AC236" s="68">
        <f t="shared" ca="1" si="18"/>
        <v>6.2500000000000001E-5</v>
      </c>
      <c r="AD236" s="68">
        <f t="shared" ca="1" si="19"/>
        <v>4.1666666666666665E-5</v>
      </c>
      <c r="AE236" s="55"/>
      <c r="AF236" s="68">
        <v>1.2500008594873435E-5</v>
      </c>
      <c r="AG236" s="81">
        <v>2.5000034375999292E-5</v>
      </c>
      <c r="AH236" s="68">
        <v>5.0000137497008268E-5</v>
      </c>
      <c r="AI236" s="55"/>
    </row>
    <row r="237" spans="1:35" x14ac:dyDescent="0.2">
      <c r="A237" s="27">
        <f>'Cash Flow'!A237</f>
        <v>231</v>
      </c>
      <c r="B237" s="49">
        <f>'Cash Flow'!B237</f>
        <v>46143</v>
      </c>
      <c r="C237" s="56">
        <f>'Cash Flow'!C237</f>
        <v>8.3333333333333329E-2</v>
      </c>
      <c r="D237" s="55"/>
      <c r="E237" s="57">
        <v>6.9369000000000056E-2</v>
      </c>
      <c r="F237" s="57"/>
      <c r="G237" s="57"/>
      <c r="H237" s="57"/>
      <c r="I237" s="57">
        <v>0.04</v>
      </c>
      <c r="J237" s="57"/>
      <c r="K237" s="57"/>
      <c r="L237" s="55"/>
      <c r="M237" s="78">
        <v>5.1430128318229462E-3</v>
      </c>
      <c r="N237" s="78">
        <v>0.01</v>
      </c>
      <c r="Q237" s="57"/>
      <c r="S237" s="55"/>
      <c r="T237" s="79">
        <f ca="1">OFFSET('Loss Timing'!D$6,MATCH($A237,'Loss Timing'!$A$7:$A$36,1),0)/12/PmtFreqAdd</f>
        <v>2.7777777777777779E-3</v>
      </c>
      <c r="U237" s="79">
        <f ca="1">OFFSET('Loss Timing'!E$6,MATCH($A237,'Loss Timing'!$A$7:$A$36,1),0)/12/PmtFreqAdd</f>
        <v>0</v>
      </c>
      <c r="V237" s="79">
        <f ca="1">OFFSET('Loss Timing'!F$6,MATCH($A237,'Loss Timing'!$A$7:$A$36,1),0)/12/PmtFreqAdd</f>
        <v>0</v>
      </c>
      <c r="W237" s="79">
        <f ca="1">OFFSET('Loss Timing'!G$6,MATCH($A237,'Loss Timing'!$A$7:$A$36,1),0)/12/PmtFreqAdd</f>
        <v>6.2499999999999995E-3</v>
      </c>
      <c r="X237" s="79">
        <f ca="1">OFFSET('Loss Timing'!H$6,MATCH($A237,'Loss Timing'!$A$7:$A$36,1),0)/12/PmtFreqAdd</f>
        <v>4.1666666666666666E-3</v>
      </c>
      <c r="Y237" s="55"/>
      <c r="Z237" s="68">
        <f t="shared" ca="1" si="15"/>
        <v>2.7777777777777779E-5</v>
      </c>
      <c r="AA237" s="68">
        <f t="shared" ca="1" si="16"/>
        <v>0</v>
      </c>
      <c r="AB237" s="68">
        <f t="shared" ca="1" si="17"/>
        <v>0</v>
      </c>
      <c r="AC237" s="68">
        <f t="shared" ca="1" si="18"/>
        <v>6.2500000000000001E-5</v>
      </c>
      <c r="AD237" s="68">
        <f t="shared" ca="1" si="19"/>
        <v>4.1666666666666665E-5</v>
      </c>
      <c r="AE237" s="55"/>
      <c r="AF237" s="68">
        <v>1.2500008594873435E-5</v>
      </c>
      <c r="AG237" s="81">
        <v>2.5000034375999292E-5</v>
      </c>
      <c r="AH237" s="68">
        <v>5.0000137497008268E-5</v>
      </c>
      <c r="AI237" s="55"/>
    </row>
    <row r="238" spans="1:35" x14ac:dyDescent="0.2">
      <c r="A238" s="27">
        <f>'Cash Flow'!A238</f>
        <v>232</v>
      </c>
      <c r="B238" s="49">
        <f>'Cash Flow'!B238</f>
        <v>46174</v>
      </c>
      <c r="C238" s="56">
        <f>'Cash Flow'!C238</f>
        <v>8.3333333333333329E-2</v>
      </c>
      <c r="D238" s="55"/>
      <c r="E238" s="57">
        <v>6.9369000000000056E-2</v>
      </c>
      <c r="F238" s="57"/>
      <c r="G238" s="57"/>
      <c r="H238" s="57"/>
      <c r="I238" s="57">
        <v>0.04</v>
      </c>
      <c r="J238" s="57"/>
      <c r="K238" s="57"/>
      <c r="L238" s="55"/>
      <c r="M238" s="78">
        <v>5.1430128318229462E-3</v>
      </c>
      <c r="N238" s="78">
        <v>0.01</v>
      </c>
      <c r="Q238" s="57"/>
      <c r="S238" s="55"/>
      <c r="T238" s="79">
        <f ca="1">OFFSET('Loss Timing'!D$6,MATCH($A238,'Loss Timing'!$A$7:$A$36,1),0)/12/PmtFreqAdd</f>
        <v>2.7777777777777779E-3</v>
      </c>
      <c r="U238" s="79">
        <f ca="1">OFFSET('Loss Timing'!E$6,MATCH($A238,'Loss Timing'!$A$7:$A$36,1),0)/12/PmtFreqAdd</f>
        <v>0</v>
      </c>
      <c r="V238" s="79">
        <f ca="1">OFFSET('Loss Timing'!F$6,MATCH($A238,'Loss Timing'!$A$7:$A$36,1),0)/12/PmtFreqAdd</f>
        <v>0</v>
      </c>
      <c r="W238" s="79">
        <f ca="1">OFFSET('Loss Timing'!G$6,MATCH($A238,'Loss Timing'!$A$7:$A$36,1),0)/12/PmtFreqAdd</f>
        <v>6.2499999999999995E-3</v>
      </c>
      <c r="X238" s="79">
        <f ca="1">OFFSET('Loss Timing'!H$6,MATCH($A238,'Loss Timing'!$A$7:$A$36,1),0)/12/PmtFreqAdd</f>
        <v>4.1666666666666666E-3</v>
      </c>
      <c r="Y238" s="55"/>
      <c r="Z238" s="68">
        <f t="shared" ca="1" si="15"/>
        <v>2.7777777777777779E-5</v>
      </c>
      <c r="AA238" s="68">
        <f t="shared" ca="1" si="16"/>
        <v>0</v>
      </c>
      <c r="AB238" s="68">
        <f t="shared" ca="1" si="17"/>
        <v>0</v>
      </c>
      <c r="AC238" s="68">
        <f t="shared" ca="1" si="18"/>
        <v>6.2500000000000001E-5</v>
      </c>
      <c r="AD238" s="68">
        <f t="shared" ca="1" si="19"/>
        <v>4.1666666666666665E-5</v>
      </c>
      <c r="AE238" s="55"/>
      <c r="AF238" s="68">
        <v>1.2500008594873435E-5</v>
      </c>
      <c r="AG238" s="81">
        <v>2.5000034375999292E-5</v>
      </c>
      <c r="AH238" s="68">
        <v>5.0000137497008268E-5</v>
      </c>
      <c r="AI238" s="55"/>
    </row>
    <row r="239" spans="1:35" x14ac:dyDescent="0.2">
      <c r="A239" s="27">
        <f>'Cash Flow'!A239</f>
        <v>233</v>
      </c>
      <c r="B239" s="49">
        <f>'Cash Flow'!B239</f>
        <v>46204</v>
      </c>
      <c r="C239" s="56">
        <f>'Cash Flow'!C239</f>
        <v>8.3333333333333329E-2</v>
      </c>
      <c r="D239" s="55"/>
      <c r="E239" s="57">
        <v>6.9369000000000056E-2</v>
      </c>
      <c r="F239" s="57"/>
      <c r="G239" s="57"/>
      <c r="H239" s="57"/>
      <c r="I239" s="57">
        <v>0.04</v>
      </c>
      <c r="J239" s="57"/>
      <c r="K239" s="57"/>
      <c r="L239" s="55"/>
      <c r="M239" s="78">
        <v>5.1430128318229462E-3</v>
      </c>
      <c r="N239" s="78">
        <v>0.01</v>
      </c>
      <c r="Q239" s="57"/>
      <c r="S239" s="55"/>
      <c r="T239" s="79">
        <f ca="1">OFFSET('Loss Timing'!D$6,MATCH($A239,'Loss Timing'!$A$7:$A$36,1),0)/12/PmtFreqAdd</f>
        <v>2.7777777777777779E-3</v>
      </c>
      <c r="U239" s="79">
        <f ca="1">OFFSET('Loss Timing'!E$6,MATCH($A239,'Loss Timing'!$A$7:$A$36,1),0)/12/PmtFreqAdd</f>
        <v>0</v>
      </c>
      <c r="V239" s="79">
        <f ca="1">OFFSET('Loss Timing'!F$6,MATCH($A239,'Loss Timing'!$A$7:$A$36,1),0)/12/PmtFreqAdd</f>
        <v>0</v>
      </c>
      <c r="W239" s="79">
        <f ca="1">OFFSET('Loss Timing'!G$6,MATCH($A239,'Loss Timing'!$A$7:$A$36,1),0)/12/PmtFreqAdd</f>
        <v>6.2499999999999995E-3</v>
      </c>
      <c r="X239" s="79">
        <f ca="1">OFFSET('Loss Timing'!H$6,MATCH($A239,'Loss Timing'!$A$7:$A$36,1),0)/12/PmtFreqAdd</f>
        <v>4.1666666666666666E-3</v>
      </c>
      <c r="Y239" s="55"/>
      <c r="Z239" s="68">
        <f t="shared" ca="1" si="15"/>
        <v>2.7777777777777779E-5</v>
      </c>
      <c r="AA239" s="68">
        <f t="shared" ca="1" si="16"/>
        <v>0</v>
      </c>
      <c r="AB239" s="68">
        <f t="shared" ca="1" si="17"/>
        <v>0</v>
      </c>
      <c r="AC239" s="68">
        <f t="shared" ca="1" si="18"/>
        <v>6.2500000000000001E-5</v>
      </c>
      <c r="AD239" s="68">
        <f t="shared" ca="1" si="19"/>
        <v>4.1666666666666665E-5</v>
      </c>
      <c r="AE239" s="55"/>
      <c r="AF239" s="68">
        <v>1.2500008594873435E-5</v>
      </c>
      <c r="AG239" s="81">
        <v>2.5000034375999292E-5</v>
      </c>
      <c r="AH239" s="68">
        <v>5.0000137497008268E-5</v>
      </c>
      <c r="AI239" s="55"/>
    </row>
    <row r="240" spans="1:35" x14ac:dyDescent="0.2">
      <c r="A240" s="27">
        <f>'Cash Flow'!A240</f>
        <v>234</v>
      </c>
      <c r="B240" s="49">
        <f>'Cash Flow'!B240</f>
        <v>46235</v>
      </c>
      <c r="C240" s="56">
        <f>'Cash Flow'!C240</f>
        <v>8.3333333333333329E-2</v>
      </c>
      <c r="D240" s="55"/>
      <c r="E240" s="57">
        <v>6.9369000000000056E-2</v>
      </c>
      <c r="F240" s="57"/>
      <c r="G240" s="57"/>
      <c r="H240" s="57"/>
      <c r="I240" s="57">
        <v>0.04</v>
      </c>
      <c r="J240" s="57"/>
      <c r="K240" s="57"/>
      <c r="L240" s="55"/>
      <c r="M240" s="78">
        <v>5.1430128318229462E-3</v>
      </c>
      <c r="N240" s="78">
        <v>0.01</v>
      </c>
      <c r="Q240" s="57"/>
      <c r="S240" s="55"/>
      <c r="T240" s="79">
        <f ca="1">OFFSET('Loss Timing'!D$6,MATCH($A240,'Loss Timing'!$A$7:$A$36,1),0)/12/PmtFreqAdd</f>
        <v>2.7777777777777779E-3</v>
      </c>
      <c r="U240" s="79">
        <f ca="1">OFFSET('Loss Timing'!E$6,MATCH($A240,'Loss Timing'!$A$7:$A$36,1),0)/12/PmtFreqAdd</f>
        <v>0</v>
      </c>
      <c r="V240" s="79">
        <f ca="1">OFFSET('Loss Timing'!F$6,MATCH($A240,'Loss Timing'!$A$7:$A$36,1),0)/12/PmtFreqAdd</f>
        <v>0</v>
      </c>
      <c r="W240" s="79">
        <f ca="1">OFFSET('Loss Timing'!G$6,MATCH($A240,'Loss Timing'!$A$7:$A$36,1),0)/12/PmtFreqAdd</f>
        <v>6.2499999999999995E-3</v>
      </c>
      <c r="X240" s="79">
        <f ca="1">OFFSET('Loss Timing'!H$6,MATCH($A240,'Loss Timing'!$A$7:$A$36,1),0)/12/PmtFreqAdd</f>
        <v>4.1666666666666666E-3</v>
      </c>
      <c r="Y240" s="55"/>
      <c r="Z240" s="68">
        <f t="shared" ca="1" si="15"/>
        <v>2.7777777777777779E-5</v>
      </c>
      <c r="AA240" s="68">
        <f t="shared" ca="1" si="16"/>
        <v>0</v>
      </c>
      <c r="AB240" s="68">
        <f t="shared" ca="1" si="17"/>
        <v>0</v>
      </c>
      <c r="AC240" s="68">
        <f t="shared" ca="1" si="18"/>
        <v>6.2500000000000001E-5</v>
      </c>
      <c r="AD240" s="68">
        <f t="shared" ca="1" si="19"/>
        <v>4.1666666666666665E-5</v>
      </c>
      <c r="AE240" s="55"/>
      <c r="AF240" s="68">
        <v>1.2500008594873435E-5</v>
      </c>
      <c r="AG240" s="81">
        <v>2.5000034375999292E-5</v>
      </c>
      <c r="AH240" s="68">
        <v>5.0000137497008268E-5</v>
      </c>
      <c r="AI240" s="55"/>
    </row>
    <row r="241" spans="1:35" x14ac:dyDescent="0.2">
      <c r="A241" s="27">
        <f>'Cash Flow'!A241</f>
        <v>235</v>
      </c>
      <c r="B241" s="49">
        <f>'Cash Flow'!B241</f>
        <v>46266</v>
      </c>
      <c r="C241" s="56">
        <f>'Cash Flow'!C241</f>
        <v>8.3333333333333329E-2</v>
      </c>
      <c r="D241" s="55"/>
      <c r="E241" s="57">
        <v>6.9369000000000056E-2</v>
      </c>
      <c r="F241" s="57"/>
      <c r="G241" s="57"/>
      <c r="H241" s="57"/>
      <c r="I241" s="57">
        <v>0.04</v>
      </c>
      <c r="J241" s="57"/>
      <c r="K241" s="57"/>
      <c r="L241" s="55"/>
      <c r="M241" s="78">
        <v>5.1430128318229462E-3</v>
      </c>
      <c r="N241" s="78">
        <v>0.01</v>
      </c>
      <c r="Q241" s="57"/>
      <c r="S241" s="55"/>
      <c r="T241" s="79">
        <f ca="1">OFFSET('Loss Timing'!D$6,MATCH($A241,'Loss Timing'!$A$7:$A$36,1),0)/12/PmtFreqAdd</f>
        <v>2.7777777777777779E-3</v>
      </c>
      <c r="U241" s="79">
        <f ca="1">OFFSET('Loss Timing'!E$6,MATCH($A241,'Loss Timing'!$A$7:$A$36,1),0)/12/PmtFreqAdd</f>
        <v>0</v>
      </c>
      <c r="V241" s="79">
        <f ca="1">OFFSET('Loss Timing'!F$6,MATCH($A241,'Loss Timing'!$A$7:$A$36,1),0)/12/PmtFreqAdd</f>
        <v>0</v>
      </c>
      <c r="W241" s="79">
        <f ca="1">OFFSET('Loss Timing'!G$6,MATCH($A241,'Loss Timing'!$A$7:$A$36,1),0)/12/PmtFreqAdd</f>
        <v>6.2499999999999995E-3</v>
      </c>
      <c r="X241" s="79">
        <f ca="1">OFFSET('Loss Timing'!H$6,MATCH($A241,'Loss Timing'!$A$7:$A$36,1),0)/12/PmtFreqAdd</f>
        <v>4.1666666666666666E-3</v>
      </c>
      <c r="Y241" s="55"/>
      <c r="Z241" s="68">
        <f t="shared" ca="1" si="15"/>
        <v>2.7777777777777779E-5</v>
      </c>
      <c r="AA241" s="68">
        <f t="shared" ca="1" si="16"/>
        <v>0</v>
      </c>
      <c r="AB241" s="68">
        <f t="shared" ca="1" si="17"/>
        <v>0</v>
      </c>
      <c r="AC241" s="68">
        <f t="shared" ca="1" si="18"/>
        <v>6.2500000000000001E-5</v>
      </c>
      <c r="AD241" s="68">
        <f t="shared" ca="1" si="19"/>
        <v>4.1666666666666665E-5</v>
      </c>
      <c r="AE241" s="55"/>
      <c r="AF241" s="68">
        <v>1.2500008594873435E-5</v>
      </c>
      <c r="AG241" s="81">
        <v>2.5000034375999292E-5</v>
      </c>
      <c r="AH241" s="68">
        <v>5.0000137497008268E-5</v>
      </c>
      <c r="AI241" s="55"/>
    </row>
    <row r="242" spans="1:35" x14ac:dyDescent="0.2">
      <c r="A242" s="27">
        <f>'Cash Flow'!A242</f>
        <v>236</v>
      </c>
      <c r="B242" s="49">
        <f>'Cash Flow'!B242</f>
        <v>46296</v>
      </c>
      <c r="C242" s="56">
        <f>'Cash Flow'!C242</f>
        <v>8.3333333333333329E-2</v>
      </c>
      <c r="D242" s="55"/>
      <c r="E242" s="57">
        <v>6.9369000000000056E-2</v>
      </c>
      <c r="F242" s="57"/>
      <c r="G242" s="57"/>
      <c r="H242" s="57"/>
      <c r="I242" s="57">
        <v>0.04</v>
      </c>
      <c r="J242" s="57"/>
      <c r="K242" s="57"/>
      <c r="L242" s="55"/>
      <c r="M242" s="78">
        <v>5.1430128318229462E-3</v>
      </c>
      <c r="N242" s="78">
        <v>0.01</v>
      </c>
      <c r="Q242" s="57"/>
      <c r="S242" s="55"/>
      <c r="T242" s="79">
        <f ca="1">OFFSET('Loss Timing'!D$6,MATCH($A242,'Loss Timing'!$A$7:$A$36,1),0)/12/PmtFreqAdd</f>
        <v>2.7777777777777779E-3</v>
      </c>
      <c r="U242" s="79">
        <f ca="1">OFFSET('Loss Timing'!E$6,MATCH($A242,'Loss Timing'!$A$7:$A$36,1),0)/12/PmtFreqAdd</f>
        <v>0</v>
      </c>
      <c r="V242" s="79">
        <f ca="1">OFFSET('Loss Timing'!F$6,MATCH($A242,'Loss Timing'!$A$7:$A$36,1),0)/12/PmtFreqAdd</f>
        <v>0</v>
      </c>
      <c r="W242" s="79">
        <f ca="1">OFFSET('Loss Timing'!G$6,MATCH($A242,'Loss Timing'!$A$7:$A$36,1),0)/12/PmtFreqAdd</f>
        <v>6.2499999999999995E-3</v>
      </c>
      <c r="X242" s="79">
        <f ca="1">OFFSET('Loss Timing'!H$6,MATCH($A242,'Loss Timing'!$A$7:$A$36,1),0)/12/PmtFreqAdd</f>
        <v>4.1666666666666666E-3</v>
      </c>
      <c r="Y242" s="55"/>
      <c r="Z242" s="68">
        <f t="shared" ca="1" si="15"/>
        <v>2.7777777777777779E-5</v>
      </c>
      <c r="AA242" s="68">
        <f t="shared" ca="1" si="16"/>
        <v>0</v>
      </c>
      <c r="AB242" s="68">
        <f t="shared" ca="1" si="17"/>
        <v>0</v>
      </c>
      <c r="AC242" s="68">
        <f t="shared" ca="1" si="18"/>
        <v>6.2500000000000001E-5</v>
      </c>
      <c r="AD242" s="68">
        <f t="shared" ca="1" si="19"/>
        <v>4.1666666666666665E-5</v>
      </c>
      <c r="AE242" s="55"/>
      <c r="AF242" s="68">
        <v>1.2500008594873435E-5</v>
      </c>
      <c r="AG242" s="81">
        <v>2.5000034375999292E-5</v>
      </c>
      <c r="AH242" s="68">
        <v>5.0000137497008268E-5</v>
      </c>
      <c r="AI242" s="55"/>
    </row>
    <row r="243" spans="1:35" x14ac:dyDescent="0.2">
      <c r="A243" s="27">
        <f>'Cash Flow'!A243</f>
        <v>237</v>
      </c>
      <c r="B243" s="49">
        <f>'Cash Flow'!B243</f>
        <v>46327</v>
      </c>
      <c r="C243" s="56">
        <f>'Cash Flow'!C243</f>
        <v>8.3333333333333329E-2</v>
      </c>
      <c r="D243" s="55"/>
      <c r="E243" s="57">
        <v>6.9369000000000056E-2</v>
      </c>
      <c r="F243" s="57"/>
      <c r="G243" s="57"/>
      <c r="H243" s="57"/>
      <c r="I243" s="57">
        <v>0.04</v>
      </c>
      <c r="J243" s="57"/>
      <c r="K243" s="57"/>
      <c r="L243" s="55"/>
      <c r="M243" s="78">
        <v>5.1430128318229462E-3</v>
      </c>
      <c r="N243" s="78">
        <v>0.01</v>
      </c>
      <c r="Q243" s="57"/>
      <c r="S243" s="55"/>
      <c r="T243" s="79">
        <f ca="1">OFFSET('Loss Timing'!D$6,MATCH($A243,'Loss Timing'!$A$7:$A$36,1),0)/12/PmtFreqAdd</f>
        <v>2.7777777777777779E-3</v>
      </c>
      <c r="U243" s="79">
        <f ca="1">OFFSET('Loss Timing'!E$6,MATCH($A243,'Loss Timing'!$A$7:$A$36,1),0)/12/PmtFreqAdd</f>
        <v>0</v>
      </c>
      <c r="V243" s="79">
        <f ca="1">OFFSET('Loss Timing'!F$6,MATCH($A243,'Loss Timing'!$A$7:$A$36,1),0)/12/PmtFreqAdd</f>
        <v>0</v>
      </c>
      <c r="W243" s="79">
        <f ca="1">OFFSET('Loss Timing'!G$6,MATCH($A243,'Loss Timing'!$A$7:$A$36,1),0)/12/PmtFreqAdd</f>
        <v>6.2499999999999995E-3</v>
      </c>
      <c r="X243" s="79">
        <f ca="1">OFFSET('Loss Timing'!H$6,MATCH($A243,'Loss Timing'!$A$7:$A$36,1),0)/12/PmtFreqAdd</f>
        <v>4.1666666666666666E-3</v>
      </c>
      <c r="Y243" s="55"/>
      <c r="Z243" s="68">
        <f t="shared" ca="1" si="15"/>
        <v>2.7777777777777779E-5</v>
      </c>
      <c r="AA243" s="68">
        <f t="shared" ca="1" si="16"/>
        <v>0</v>
      </c>
      <c r="AB243" s="68">
        <f t="shared" ca="1" si="17"/>
        <v>0</v>
      </c>
      <c r="AC243" s="68">
        <f t="shared" ca="1" si="18"/>
        <v>6.2500000000000001E-5</v>
      </c>
      <c r="AD243" s="68">
        <f t="shared" ca="1" si="19"/>
        <v>4.1666666666666665E-5</v>
      </c>
      <c r="AE243" s="55"/>
      <c r="AF243" s="68">
        <v>1.2500008594873435E-5</v>
      </c>
      <c r="AG243" s="81">
        <v>2.5000034375999292E-5</v>
      </c>
      <c r="AH243" s="68">
        <v>5.0000137497008268E-5</v>
      </c>
      <c r="AI243" s="55"/>
    </row>
    <row r="244" spans="1:35" x14ac:dyDescent="0.2">
      <c r="A244" s="27">
        <f>'Cash Flow'!A244</f>
        <v>238</v>
      </c>
      <c r="B244" s="49">
        <f>'Cash Flow'!B244</f>
        <v>46357</v>
      </c>
      <c r="C244" s="56">
        <f>'Cash Flow'!C244</f>
        <v>8.3333333333333329E-2</v>
      </c>
      <c r="D244" s="55"/>
      <c r="E244" s="57">
        <v>6.9369000000000056E-2</v>
      </c>
      <c r="F244" s="57"/>
      <c r="G244" s="57"/>
      <c r="H244" s="57"/>
      <c r="I244" s="57">
        <v>0.04</v>
      </c>
      <c r="J244" s="57"/>
      <c r="K244" s="57"/>
      <c r="L244" s="55"/>
      <c r="M244" s="78">
        <v>5.1430128318229462E-3</v>
      </c>
      <c r="N244" s="78">
        <v>0.01</v>
      </c>
      <c r="Q244" s="57"/>
      <c r="S244" s="55"/>
      <c r="T244" s="79">
        <f ca="1">OFFSET('Loss Timing'!D$6,MATCH($A244,'Loss Timing'!$A$7:$A$36,1),0)/12/PmtFreqAdd</f>
        <v>2.7777777777777779E-3</v>
      </c>
      <c r="U244" s="79">
        <f ca="1">OFFSET('Loss Timing'!E$6,MATCH($A244,'Loss Timing'!$A$7:$A$36,1),0)/12/PmtFreqAdd</f>
        <v>0</v>
      </c>
      <c r="V244" s="79">
        <f ca="1">OFFSET('Loss Timing'!F$6,MATCH($A244,'Loss Timing'!$A$7:$A$36,1),0)/12/PmtFreqAdd</f>
        <v>0</v>
      </c>
      <c r="W244" s="79">
        <f ca="1">OFFSET('Loss Timing'!G$6,MATCH($A244,'Loss Timing'!$A$7:$A$36,1),0)/12/PmtFreqAdd</f>
        <v>6.2499999999999995E-3</v>
      </c>
      <c r="X244" s="79">
        <f ca="1">OFFSET('Loss Timing'!H$6,MATCH($A244,'Loss Timing'!$A$7:$A$36,1),0)/12/PmtFreqAdd</f>
        <v>4.1666666666666666E-3</v>
      </c>
      <c r="Y244" s="55"/>
      <c r="Z244" s="68">
        <f t="shared" ca="1" si="15"/>
        <v>2.7777777777777779E-5</v>
      </c>
      <c r="AA244" s="68">
        <f t="shared" ca="1" si="16"/>
        <v>0</v>
      </c>
      <c r="AB244" s="68">
        <f t="shared" ca="1" si="17"/>
        <v>0</v>
      </c>
      <c r="AC244" s="68">
        <f t="shared" ca="1" si="18"/>
        <v>6.2500000000000001E-5</v>
      </c>
      <c r="AD244" s="68">
        <f t="shared" ca="1" si="19"/>
        <v>4.1666666666666665E-5</v>
      </c>
      <c r="AE244" s="55"/>
      <c r="AF244" s="68">
        <v>1.2500008594873435E-5</v>
      </c>
      <c r="AG244" s="81">
        <v>2.5000034375999292E-5</v>
      </c>
      <c r="AH244" s="68">
        <v>5.0000137497008268E-5</v>
      </c>
      <c r="AI244" s="55"/>
    </row>
    <row r="245" spans="1:35" x14ac:dyDescent="0.2">
      <c r="A245" s="27">
        <f>'Cash Flow'!A245</f>
        <v>239</v>
      </c>
      <c r="B245" s="49">
        <f>'Cash Flow'!B245</f>
        <v>46388</v>
      </c>
      <c r="C245" s="56">
        <f>'Cash Flow'!C245</f>
        <v>8.3333333333333329E-2</v>
      </c>
      <c r="D245" s="55"/>
      <c r="E245" s="57">
        <v>6.9369000000000056E-2</v>
      </c>
      <c r="F245" s="57"/>
      <c r="G245" s="57"/>
      <c r="H245" s="57"/>
      <c r="I245" s="57">
        <v>0.04</v>
      </c>
      <c r="J245" s="57"/>
      <c r="K245" s="57"/>
      <c r="L245" s="55"/>
      <c r="M245" s="78">
        <v>5.1430128318229462E-3</v>
      </c>
      <c r="N245" s="78">
        <v>0.01</v>
      </c>
      <c r="Q245" s="57"/>
      <c r="S245" s="55"/>
      <c r="T245" s="79">
        <f ca="1">OFFSET('Loss Timing'!D$6,MATCH($A245,'Loss Timing'!$A$7:$A$36,1),0)/12/PmtFreqAdd</f>
        <v>2.7777777777777779E-3</v>
      </c>
      <c r="U245" s="79">
        <f ca="1">OFFSET('Loss Timing'!E$6,MATCH($A245,'Loss Timing'!$A$7:$A$36,1),0)/12/PmtFreqAdd</f>
        <v>0</v>
      </c>
      <c r="V245" s="79">
        <f ca="1">OFFSET('Loss Timing'!F$6,MATCH($A245,'Loss Timing'!$A$7:$A$36,1),0)/12/PmtFreqAdd</f>
        <v>0</v>
      </c>
      <c r="W245" s="79">
        <f ca="1">OFFSET('Loss Timing'!G$6,MATCH($A245,'Loss Timing'!$A$7:$A$36,1),0)/12/PmtFreqAdd</f>
        <v>6.2499999999999995E-3</v>
      </c>
      <c r="X245" s="79">
        <f ca="1">OFFSET('Loss Timing'!H$6,MATCH($A245,'Loss Timing'!$A$7:$A$36,1),0)/12/PmtFreqAdd</f>
        <v>4.1666666666666666E-3</v>
      </c>
      <c r="Y245" s="55"/>
      <c r="Z245" s="68">
        <f t="shared" ca="1" si="15"/>
        <v>2.7777777777777779E-5</v>
      </c>
      <c r="AA245" s="68">
        <f t="shared" ca="1" si="16"/>
        <v>0</v>
      </c>
      <c r="AB245" s="68">
        <f t="shared" ca="1" si="17"/>
        <v>0</v>
      </c>
      <c r="AC245" s="68">
        <f t="shared" ca="1" si="18"/>
        <v>6.2500000000000001E-5</v>
      </c>
      <c r="AD245" s="68">
        <f t="shared" ca="1" si="19"/>
        <v>4.1666666666666665E-5</v>
      </c>
      <c r="AE245" s="55"/>
      <c r="AF245" s="68">
        <v>1.2500008594873435E-5</v>
      </c>
      <c r="AG245" s="81">
        <v>2.5000034375999292E-5</v>
      </c>
      <c r="AH245" s="68">
        <v>5.0000137497008268E-5</v>
      </c>
      <c r="AI245" s="55"/>
    </row>
    <row r="246" spans="1:35" x14ac:dyDescent="0.2">
      <c r="A246" s="27">
        <f>'Cash Flow'!A246</f>
        <v>240</v>
      </c>
      <c r="B246" s="49">
        <f>'Cash Flow'!B246</f>
        <v>46419</v>
      </c>
      <c r="C246" s="56">
        <f>'Cash Flow'!C246</f>
        <v>8.3333333333333329E-2</v>
      </c>
      <c r="D246" s="55"/>
      <c r="E246" s="57">
        <v>6.9369000000000056E-2</v>
      </c>
      <c r="F246" s="57"/>
      <c r="G246" s="57"/>
      <c r="H246" s="57"/>
      <c r="I246" s="57">
        <v>0.04</v>
      </c>
      <c r="J246" s="57"/>
      <c r="K246" s="57"/>
      <c r="L246" s="55"/>
      <c r="M246" s="78">
        <v>5.1430128318229462E-3</v>
      </c>
      <c r="N246" s="78">
        <v>0.01</v>
      </c>
      <c r="Q246" s="57"/>
      <c r="S246" s="55"/>
      <c r="T246" s="79">
        <f ca="1">OFFSET('Loss Timing'!D$6,MATCH($A246,'Loss Timing'!$A$7:$A$36,1),0)/12/PmtFreqAdd</f>
        <v>2.7777777777777779E-3</v>
      </c>
      <c r="U246" s="79">
        <f ca="1">OFFSET('Loss Timing'!E$6,MATCH($A246,'Loss Timing'!$A$7:$A$36,1),0)/12/PmtFreqAdd</f>
        <v>0</v>
      </c>
      <c r="V246" s="79">
        <f ca="1">OFFSET('Loss Timing'!F$6,MATCH($A246,'Loss Timing'!$A$7:$A$36,1),0)/12/PmtFreqAdd</f>
        <v>0</v>
      </c>
      <c r="W246" s="79">
        <f ca="1">OFFSET('Loss Timing'!G$6,MATCH($A246,'Loss Timing'!$A$7:$A$36,1),0)/12/PmtFreqAdd</f>
        <v>6.2499999999999995E-3</v>
      </c>
      <c r="X246" s="79">
        <f ca="1">OFFSET('Loss Timing'!H$6,MATCH($A246,'Loss Timing'!$A$7:$A$36,1),0)/12/PmtFreqAdd</f>
        <v>4.1666666666666666E-3</v>
      </c>
      <c r="Y246" s="55"/>
      <c r="Z246" s="68">
        <f t="shared" ca="1" si="15"/>
        <v>2.7777777777777779E-5</v>
      </c>
      <c r="AA246" s="68">
        <f t="shared" ca="1" si="16"/>
        <v>0</v>
      </c>
      <c r="AB246" s="68">
        <f t="shared" ca="1" si="17"/>
        <v>0</v>
      </c>
      <c r="AC246" s="68">
        <f t="shared" ca="1" si="18"/>
        <v>6.2500000000000001E-5</v>
      </c>
      <c r="AD246" s="68">
        <f t="shared" ca="1" si="19"/>
        <v>4.1666666666666665E-5</v>
      </c>
      <c r="AE246" s="55"/>
      <c r="AF246" s="68">
        <v>1.2500008594873435E-5</v>
      </c>
      <c r="AG246" s="81">
        <v>2.5000034375999292E-5</v>
      </c>
      <c r="AH246" s="68">
        <v>5.0000137497008268E-5</v>
      </c>
      <c r="AI246" s="55"/>
    </row>
    <row r="247" spans="1:35" x14ac:dyDescent="0.2">
      <c r="A247" s="27">
        <f>'Cash Flow'!A247</f>
        <v>241</v>
      </c>
      <c r="B247" s="49">
        <f>'Cash Flow'!B247</f>
        <v>46447</v>
      </c>
      <c r="C247" s="56">
        <f>'Cash Flow'!C247</f>
        <v>8.3333333333333329E-2</v>
      </c>
      <c r="D247" s="55"/>
      <c r="E247" s="57">
        <v>6.9369000000000056E-2</v>
      </c>
      <c r="F247" s="57"/>
      <c r="G247" s="57"/>
      <c r="H247" s="57"/>
      <c r="I247" s="57">
        <v>0.04</v>
      </c>
      <c r="J247" s="57"/>
      <c r="K247" s="57"/>
      <c r="L247" s="55"/>
      <c r="M247" s="78">
        <v>5.1430128318229462E-3</v>
      </c>
      <c r="N247" s="78">
        <v>0.01</v>
      </c>
      <c r="Q247" s="57"/>
      <c r="S247" s="55"/>
      <c r="T247" s="79">
        <f ca="1">OFFSET('Loss Timing'!D$6,MATCH($A247,'Loss Timing'!$A$7:$A$36,1),0)/12/PmtFreqAdd</f>
        <v>2.7777777777777779E-3</v>
      </c>
      <c r="U247" s="79">
        <f ca="1">OFFSET('Loss Timing'!E$6,MATCH($A247,'Loss Timing'!$A$7:$A$36,1),0)/12/PmtFreqAdd</f>
        <v>0</v>
      </c>
      <c r="V247" s="79">
        <f ca="1">OFFSET('Loss Timing'!F$6,MATCH($A247,'Loss Timing'!$A$7:$A$36,1),0)/12/PmtFreqAdd</f>
        <v>0</v>
      </c>
      <c r="W247" s="79">
        <f ca="1">OFFSET('Loss Timing'!G$6,MATCH($A247,'Loss Timing'!$A$7:$A$36,1),0)/12/PmtFreqAdd</f>
        <v>6.2499999999999995E-3</v>
      </c>
      <c r="X247" s="79">
        <f ca="1">OFFSET('Loss Timing'!H$6,MATCH($A247,'Loss Timing'!$A$7:$A$36,1),0)/12/PmtFreqAdd</f>
        <v>4.1666666666666666E-3</v>
      </c>
      <c r="Y247" s="55"/>
      <c r="Z247" s="68">
        <f t="shared" ca="1" si="15"/>
        <v>2.7777777777777779E-5</v>
      </c>
      <c r="AA247" s="68">
        <f t="shared" ca="1" si="16"/>
        <v>0</v>
      </c>
      <c r="AB247" s="68">
        <f t="shared" ca="1" si="17"/>
        <v>0</v>
      </c>
      <c r="AC247" s="68">
        <f t="shared" ca="1" si="18"/>
        <v>6.2500000000000001E-5</v>
      </c>
      <c r="AD247" s="68">
        <f t="shared" ca="1" si="19"/>
        <v>4.1666666666666665E-5</v>
      </c>
      <c r="AE247" s="55"/>
      <c r="AF247" s="68">
        <v>1.2500008594873435E-5</v>
      </c>
      <c r="AG247" s="81">
        <v>2.5000034375999292E-5</v>
      </c>
      <c r="AH247" s="68">
        <v>5.0000137497008268E-5</v>
      </c>
      <c r="AI247" s="55"/>
    </row>
    <row r="248" spans="1:35" x14ac:dyDescent="0.2">
      <c r="A248" s="27">
        <f>'Cash Flow'!A248</f>
        <v>242</v>
      </c>
      <c r="B248" s="49">
        <f>'Cash Flow'!B248</f>
        <v>46478</v>
      </c>
      <c r="C248" s="56">
        <f>'Cash Flow'!C248</f>
        <v>8.3333333333333329E-2</v>
      </c>
      <c r="D248" s="55"/>
      <c r="E248" s="57">
        <v>6.9369000000000056E-2</v>
      </c>
      <c r="F248" s="57"/>
      <c r="G248" s="57"/>
      <c r="H248" s="57"/>
      <c r="I248" s="57">
        <v>0.04</v>
      </c>
      <c r="J248" s="57"/>
      <c r="K248" s="57"/>
      <c r="L248" s="55"/>
      <c r="M248" s="78">
        <v>5.1430128318229462E-3</v>
      </c>
      <c r="N248" s="78">
        <v>0.01</v>
      </c>
      <c r="Q248" s="57"/>
      <c r="S248" s="55"/>
      <c r="T248" s="79">
        <f ca="1">OFFSET('Loss Timing'!D$6,MATCH($A248,'Loss Timing'!$A$7:$A$36,1),0)/12/PmtFreqAdd</f>
        <v>2.7777777777777779E-3</v>
      </c>
      <c r="U248" s="79">
        <f ca="1">OFFSET('Loss Timing'!E$6,MATCH($A248,'Loss Timing'!$A$7:$A$36,1),0)/12/PmtFreqAdd</f>
        <v>0</v>
      </c>
      <c r="V248" s="79">
        <f ca="1">OFFSET('Loss Timing'!F$6,MATCH($A248,'Loss Timing'!$A$7:$A$36,1),0)/12/PmtFreqAdd</f>
        <v>0</v>
      </c>
      <c r="W248" s="79">
        <f ca="1">OFFSET('Loss Timing'!G$6,MATCH($A248,'Loss Timing'!$A$7:$A$36,1),0)/12/PmtFreqAdd</f>
        <v>6.2499999999999995E-3</v>
      </c>
      <c r="X248" s="79">
        <f ca="1">OFFSET('Loss Timing'!H$6,MATCH($A248,'Loss Timing'!$A$7:$A$36,1),0)/12/PmtFreqAdd</f>
        <v>4.1666666666666666E-3</v>
      </c>
      <c r="Y248" s="55"/>
      <c r="Z248" s="68">
        <f t="shared" ca="1" si="15"/>
        <v>2.7777777777777779E-5</v>
      </c>
      <c r="AA248" s="68">
        <f t="shared" ca="1" si="16"/>
        <v>0</v>
      </c>
      <c r="AB248" s="68">
        <f t="shared" ca="1" si="17"/>
        <v>0</v>
      </c>
      <c r="AC248" s="68">
        <f t="shared" ca="1" si="18"/>
        <v>6.2500000000000001E-5</v>
      </c>
      <c r="AD248" s="68">
        <f t="shared" ca="1" si="19"/>
        <v>4.1666666666666665E-5</v>
      </c>
      <c r="AE248" s="55"/>
      <c r="AF248" s="68">
        <v>1.2500008594873435E-5</v>
      </c>
      <c r="AG248" s="81">
        <v>2.5000034375999292E-5</v>
      </c>
      <c r="AH248" s="68">
        <v>5.0000137497008268E-5</v>
      </c>
      <c r="AI248" s="55"/>
    </row>
    <row r="249" spans="1:35" x14ac:dyDescent="0.2">
      <c r="A249" s="27">
        <f>'Cash Flow'!A249</f>
        <v>243</v>
      </c>
      <c r="B249" s="49">
        <f>'Cash Flow'!B249</f>
        <v>46508</v>
      </c>
      <c r="C249" s="56">
        <f>'Cash Flow'!C249</f>
        <v>8.3333333333333329E-2</v>
      </c>
      <c r="D249" s="55"/>
      <c r="E249" s="57">
        <v>6.9369000000000056E-2</v>
      </c>
      <c r="F249" s="57"/>
      <c r="G249" s="57"/>
      <c r="H249" s="57"/>
      <c r="I249" s="57">
        <v>0.04</v>
      </c>
      <c r="J249" s="57"/>
      <c r="K249" s="57"/>
      <c r="L249" s="55"/>
      <c r="M249" s="78">
        <v>5.1430128318229462E-3</v>
      </c>
      <c r="N249" s="78">
        <v>0.01</v>
      </c>
      <c r="Q249" s="57"/>
      <c r="S249" s="55"/>
      <c r="T249" s="79">
        <f ca="1">OFFSET('Loss Timing'!D$6,MATCH($A249,'Loss Timing'!$A$7:$A$36,1),0)/12/PmtFreqAdd</f>
        <v>2.7777777777777779E-3</v>
      </c>
      <c r="U249" s="79">
        <f ca="1">OFFSET('Loss Timing'!E$6,MATCH($A249,'Loss Timing'!$A$7:$A$36,1),0)/12/PmtFreqAdd</f>
        <v>0</v>
      </c>
      <c r="V249" s="79">
        <f ca="1">OFFSET('Loss Timing'!F$6,MATCH($A249,'Loss Timing'!$A$7:$A$36,1),0)/12/PmtFreqAdd</f>
        <v>0</v>
      </c>
      <c r="W249" s="79">
        <f ca="1">OFFSET('Loss Timing'!G$6,MATCH($A249,'Loss Timing'!$A$7:$A$36,1),0)/12/PmtFreqAdd</f>
        <v>6.2499999999999995E-3</v>
      </c>
      <c r="X249" s="79">
        <f ca="1">OFFSET('Loss Timing'!H$6,MATCH($A249,'Loss Timing'!$A$7:$A$36,1),0)/12/PmtFreqAdd</f>
        <v>4.1666666666666666E-3</v>
      </c>
      <c r="Y249" s="55"/>
      <c r="Z249" s="68">
        <f t="shared" ca="1" si="15"/>
        <v>2.7777777777777779E-5</v>
      </c>
      <c r="AA249" s="68">
        <f t="shared" ca="1" si="16"/>
        <v>0</v>
      </c>
      <c r="AB249" s="68">
        <f t="shared" ca="1" si="17"/>
        <v>0</v>
      </c>
      <c r="AC249" s="68">
        <f t="shared" ca="1" si="18"/>
        <v>6.2500000000000001E-5</v>
      </c>
      <c r="AD249" s="68">
        <f t="shared" ca="1" si="19"/>
        <v>4.1666666666666665E-5</v>
      </c>
      <c r="AE249" s="55"/>
      <c r="AF249" s="68">
        <v>1.2500008594873435E-5</v>
      </c>
      <c r="AG249" s="81">
        <v>2.5000034375999292E-5</v>
      </c>
      <c r="AH249" s="68">
        <v>5.0000137497008268E-5</v>
      </c>
      <c r="AI249" s="55"/>
    </row>
    <row r="250" spans="1:35" x14ac:dyDescent="0.2">
      <c r="A250" s="27">
        <f>'Cash Flow'!A250</f>
        <v>244</v>
      </c>
      <c r="B250" s="49">
        <f>'Cash Flow'!B250</f>
        <v>46539</v>
      </c>
      <c r="C250" s="56">
        <f>'Cash Flow'!C250</f>
        <v>8.3333333333333329E-2</v>
      </c>
      <c r="D250" s="55"/>
      <c r="E250" s="57">
        <v>6.9369000000000056E-2</v>
      </c>
      <c r="F250" s="57"/>
      <c r="G250" s="57"/>
      <c r="H250" s="57"/>
      <c r="I250" s="57">
        <v>0.04</v>
      </c>
      <c r="J250" s="57"/>
      <c r="K250" s="57"/>
      <c r="L250" s="55"/>
      <c r="M250" s="78">
        <v>5.1430128318229462E-3</v>
      </c>
      <c r="N250" s="78">
        <v>0.01</v>
      </c>
      <c r="Q250" s="57"/>
      <c r="S250" s="55"/>
      <c r="T250" s="79">
        <f ca="1">OFFSET('Loss Timing'!D$6,MATCH($A250,'Loss Timing'!$A$7:$A$36,1),0)/12/PmtFreqAdd</f>
        <v>2.7777777777777779E-3</v>
      </c>
      <c r="U250" s="79">
        <f ca="1">OFFSET('Loss Timing'!E$6,MATCH($A250,'Loss Timing'!$A$7:$A$36,1),0)/12/PmtFreqAdd</f>
        <v>0</v>
      </c>
      <c r="V250" s="79">
        <f ca="1">OFFSET('Loss Timing'!F$6,MATCH($A250,'Loss Timing'!$A$7:$A$36,1),0)/12/PmtFreqAdd</f>
        <v>0</v>
      </c>
      <c r="W250" s="79">
        <f ca="1">OFFSET('Loss Timing'!G$6,MATCH($A250,'Loss Timing'!$A$7:$A$36,1),0)/12/PmtFreqAdd</f>
        <v>6.2499999999999995E-3</v>
      </c>
      <c r="X250" s="79">
        <f ca="1">OFFSET('Loss Timing'!H$6,MATCH($A250,'Loss Timing'!$A$7:$A$36,1),0)/12/PmtFreqAdd</f>
        <v>4.1666666666666666E-3</v>
      </c>
      <c r="Y250" s="55"/>
      <c r="Z250" s="68">
        <f t="shared" ca="1" si="15"/>
        <v>2.7777777777777779E-5</v>
      </c>
      <c r="AA250" s="68">
        <f t="shared" ca="1" si="16"/>
        <v>0</v>
      </c>
      <c r="AB250" s="68">
        <f t="shared" ca="1" si="17"/>
        <v>0</v>
      </c>
      <c r="AC250" s="68">
        <f t="shared" ca="1" si="18"/>
        <v>6.2500000000000001E-5</v>
      </c>
      <c r="AD250" s="68">
        <f t="shared" ca="1" si="19"/>
        <v>4.1666666666666665E-5</v>
      </c>
      <c r="AE250" s="55"/>
      <c r="AF250" s="68">
        <v>1.2500008594873435E-5</v>
      </c>
      <c r="AG250" s="81">
        <v>2.5000034375999292E-5</v>
      </c>
      <c r="AH250" s="68">
        <v>5.0000137497008268E-5</v>
      </c>
      <c r="AI250" s="55"/>
    </row>
    <row r="251" spans="1:35" x14ac:dyDescent="0.2">
      <c r="A251" s="27">
        <f>'Cash Flow'!A251</f>
        <v>245</v>
      </c>
      <c r="B251" s="49">
        <f>'Cash Flow'!B251</f>
        <v>46569</v>
      </c>
      <c r="C251" s="56">
        <f>'Cash Flow'!C251</f>
        <v>8.3333333333333329E-2</v>
      </c>
      <c r="D251" s="55"/>
      <c r="E251" s="57">
        <v>6.9369000000000056E-2</v>
      </c>
      <c r="F251" s="57"/>
      <c r="G251" s="57"/>
      <c r="H251" s="57"/>
      <c r="I251" s="57">
        <v>0.04</v>
      </c>
      <c r="J251" s="57"/>
      <c r="K251" s="57"/>
      <c r="L251" s="55"/>
      <c r="M251" s="78">
        <v>5.1430128318229462E-3</v>
      </c>
      <c r="N251" s="78">
        <v>0.01</v>
      </c>
      <c r="Q251" s="57"/>
      <c r="S251" s="55"/>
      <c r="T251" s="79">
        <f ca="1">OFFSET('Loss Timing'!D$6,MATCH($A251,'Loss Timing'!$A$7:$A$36,1),0)/12/PmtFreqAdd</f>
        <v>2.7777777777777779E-3</v>
      </c>
      <c r="U251" s="79">
        <f ca="1">OFFSET('Loss Timing'!E$6,MATCH($A251,'Loss Timing'!$A$7:$A$36,1),0)/12/PmtFreqAdd</f>
        <v>0</v>
      </c>
      <c r="V251" s="79">
        <f ca="1">OFFSET('Loss Timing'!F$6,MATCH($A251,'Loss Timing'!$A$7:$A$36,1),0)/12/PmtFreqAdd</f>
        <v>0</v>
      </c>
      <c r="W251" s="79">
        <f ca="1">OFFSET('Loss Timing'!G$6,MATCH($A251,'Loss Timing'!$A$7:$A$36,1),0)/12/PmtFreqAdd</f>
        <v>6.2499999999999995E-3</v>
      </c>
      <c r="X251" s="79">
        <f ca="1">OFFSET('Loss Timing'!H$6,MATCH($A251,'Loss Timing'!$A$7:$A$36,1),0)/12/PmtFreqAdd</f>
        <v>4.1666666666666666E-3</v>
      </c>
      <c r="Y251" s="55"/>
      <c r="Z251" s="68">
        <f t="shared" ca="1" si="15"/>
        <v>2.7777777777777779E-5</v>
      </c>
      <c r="AA251" s="68">
        <f t="shared" ca="1" si="16"/>
        <v>0</v>
      </c>
      <c r="AB251" s="68">
        <f t="shared" ca="1" si="17"/>
        <v>0</v>
      </c>
      <c r="AC251" s="68">
        <f t="shared" ca="1" si="18"/>
        <v>6.2500000000000001E-5</v>
      </c>
      <c r="AD251" s="68">
        <f t="shared" ca="1" si="19"/>
        <v>4.1666666666666665E-5</v>
      </c>
      <c r="AE251" s="55"/>
      <c r="AF251" s="68">
        <v>1.2500008594873435E-5</v>
      </c>
      <c r="AG251" s="81">
        <v>2.5000034375999292E-5</v>
      </c>
      <c r="AH251" s="68">
        <v>5.0000137497008268E-5</v>
      </c>
      <c r="AI251" s="55"/>
    </row>
    <row r="252" spans="1:35" x14ac:dyDescent="0.2">
      <c r="A252" s="27">
        <f>'Cash Flow'!A252</f>
        <v>246</v>
      </c>
      <c r="B252" s="49">
        <f>'Cash Flow'!B252</f>
        <v>46600</v>
      </c>
      <c r="C252" s="56">
        <f>'Cash Flow'!C252</f>
        <v>8.3333333333333329E-2</v>
      </c>
      <c r="D252" s="55"/>
      <c r="E252" s="57">
        <v>6.9369000000000056E-2</v>
      </c>
      <c r="F252" s="57"/>
      <c r="G252" s="57"/>
      <c r="H252" s="57"/>
      <c r="I252" s="57">
        <v>0.04</v>
      </c>
      <c r="J252" s="57"/>
      <c r="K252" s="57"/>
      <c r="L252" s="55"/>
      <c r="M252" s="78">
        <v>5.1430128318229462E-3</v>
      </c>
      <c r="N252" s="78">
        <v>0.01</v>
      </c>
      <c r="Q252" s="57"/>
      <c r="S252" s="55"/>
      <c r="T252" s="79">
        <f ca="1">OFFSET('Loss Timing'!D$6,MATCH($A252,'Loss Timing'!$A$7:$A$36,1),0)/12/PmtFreqAdd</f>
        <v>2.7777777777777779E-3</v>
      </c>
      <c r="U252" s="79">
        <f ca="1">OFFSET('Loss Timing'!E$6,MATCH($A252,'Loss Timing'!$A$7:$A$36,1),0)/12/PmtFreqAdd</f>
        <v>0</v>
      </c>
      <c r="V252" s="79">
        <f ca="1">OFFSET('Loss Timing'!F$6,MATCH($A252,'Loss Timing'!$A$7:$A$36,1),0)/12/PmtFreqAdd</f>
        <v>0</v>
      </c>
      <c r="W252" s="79">
        <f ca="1">OFFSET('Loss Timing'!G$6,MATCH($A252,'Loss Timing'!$A$7:$A$36,1),0)/12/PmtFreqAdd</f>
        <v>6.2499999999999995E-3</v>
      </c>
      <c r="X252" s="79">
        <f ca="1">OFFSET('Loss Timing'!H$6,MATCH($A252,'Loss Timing'!$A$7:$A$36,1),0)/12/PmtFreqAdd</f>
        <v>4.1666666666666666E-3</v>
      </c>
      <c r="Y252" s="55"/>
      <c r="Z252" s="68">
        <f t="shared" ca="1" si="15"/>
        <v>2.7777777777777779E-5</v>
      </c>
      <c r="AA252" s="68">
        <f t="shared" ca="1" si="16"/>
        <v>0</v>
      </c>
      <c r="AB252" s="68">
        <f t="shared" ca="1" si="17"/>
        <v>0</v>
      </c>
      <c r="AC252" s="68">
        <f t="shared" ca="1" si="18"/>
        <v>6.2500000000000001E-5</v>
      </c>
      <c r="AD252" s="68">
        <f t="shared" ca="1" si="19"/>
        <v>4.1666666666666665E-5</v>
      </c>
      <c r="AE252" s="55"/>
      <c r="AF252" s="68">
        <v>1.2500008594873435E-5</v>
      </c>
      <c r="AG252" s="81">
        <v>2.5000034375999292E-5</v>
      </c>
      <c r="AH252" s="68">
        <v>5.0000137497008268E-5</v>
      </c>
      <c r="AI252" s="55"/>
    </row>
    <row r="253" spans="1:35" x14ac:dyDescent="0.2">
      <c r="A253" s="27">
        <f>'Cash Flow'!A253</f>
        <v>247</v>
      </c>
      <c r="B253" s="49">
        <f>'Cash Flow'!B253</f>
        <v>46631</v>
      </c>
      <c r="C253" s="56">
        <f>'Cash Flow'!C253</f>
        <v>8.3333333333333329E-2</v>
      </c>
      <c r="D253" s="55"/>
      <c r="E253" s="57">
        <v>6.9369000000000056E-2</v>
      </c>
      <c r="F253" s="57"/>
      <c r="G253" s="57"/>
      <c r="H253" s="57"/>
      <c r="I253" s="57">
        <v>0.04</v>
      </c>
      <c r="J253" s="57"/>
      <c r="K253" s="57"/>
      <c r="L253" s="55"/>
      <c r="M253" s="78">
        <v>5.1430128318229462E-3</v>
      </c>
      <c r="N253" s="78">
        <v>0.01</v>
      </c>
      <c r="Q253" s="57"/>
      <c r="S253" s="55"/>
      <c r="T253" s="79">
        <f ca="1">OFFSET('Loss Timing'!D$6,MATCH($A253,'Loss Timing'!$A$7:$A$36,1),0)/12/PmtFreqAdd</f>
        <v>2.7777777777777779E-3</v>
      </c>
      <c r="U253" s="79">
        <f ca="1">OFFSET('Loss Timing'!E$6,MATCH($A253,'Loss Timing'!$A$7:$A$36,1),0)/12/PmtFreqAdd</f>
        <v>0</v>
      </c>
      <c r="V253" s="79">
        <f ca="1">OFFSET('Loss Timing'!F$6,MATCH($A253,'Loss Timing'!$A$7:$A$36,1),0)/12/PmtFreqAdd</f>
        <v>0</v>
      </c>
      <c r="W253" s="79">
        <f ca="1">OFFSET('Loss Timing'!G$6,MATCH($A253,'Loss Timing'!$A$7:$A$36,1),0)/12/PmtFreqAdd</f>
        <v>6.2499999999999995E-3</v>
      </c>
      <c r="X253" s="79">
        <f ca="1">OFFSET('Loss Timing'!H$6,MATCH($A253,'Loss Timing'!$A$7:$A$36,1),0)/12/PmtFreqAdd</f>
        <v>4.1666666666666666E-3</v>
      </c>
      <c r="Y253" s="55"/>
      <c r="Z253" s="68">
        <f t="shared" ca="1" si="15"/>
        <v>2.7777777777777779E-5</v>
      </c>
      <c r="AA253" s="68">
        <f t="shared" ca="1" si="16"/>
        <v>0</v>
      </c>
      <c r="AB253" s="68">
        <f t="shared" ca="1" si="17"/>
        <v>0</v>
      </c>
      <c r="AC253" s="68">
        <f t="shared" ca="1" si="18"/>
        <v>6.2500000000000001E-5</v>
      </c>
      <c r="AD253" s="68">
        <f t="shared" ca="1" si="19"/>
        <v>4.1666666666666665E-5</v>
      </c>
      <c r="AE253" s="55"/>
      <c r="AF253" s="68">
        <v>1.2500008594873435E-5</v>
      </c>
      <c r="AG253" s="81">
        <v>2.5000034375999292E-5</v>
      </c>
      <c r="AH253" s="68">
        <v>5.0000137497008268E-5</v>
      </c>
      <c r="AI253" s="55"/>
    </row>
    <row r="254" spans="1:35" x14ac:dyDescent="0.2">
      <c r="A254" s="27">
        <f>'Cash Flow'!A254</f>
        <v>248</v>
      </c>
      <c r="B254" s="49">
        <f>'Cash Flow'!B254</f>
        <v>46661</v>
      </c>
      <c r="C254" s="56">
        <f>'Cash Flow'!C254</f>
        <v>8.3333333333333329E-2</v>
      </c>
      <c r="D254" s="55"/>
      <c r="E254" s="57">
        <v>6.9369000000000056E-2</v>
      </c>
      <c r="F254" s="57"/>
      <c r="G254" s="57"/>
      <c r="H254" s="57"/>
      <c r="I254" s="57">
        <v>0.04</v>
      </c>
      <c r="J254" s="57"/>
      <c r="K254" s="57"/>
      <c r="L254" s="55"/>
      <c r="M254" s="78">
        <v>5.1430128318229462E-3</v>
      </c>
      <c r="N254" s="78">
        <v>0.01</v>
      </c>
      <c r="Q254" s="57"/>
      <c r="S254" s="55"/>
      <c r="T254" s="79">
        <f ca="1">OFFSET('Loss Timing'!D$6,MATCH($A254,'Loss Timing'!$A$7:$A$36,1),0)/12/PmtFreqAdd</f>
        <v>2.7777777777777779E-3</v>
      </c>
      <c r="U254" s="79">
        <f ca="1">OFFSET('Loss Timing'!E$6,MATCH($A254,'Loss Timing'!$A$7:$A$36,1),0)/12/PmtFreqAdd</f>
        <v>0</v>
      </c>
      <c r="V254" s="79">
        <f ca="1">OFFSET('Loss Timing'!F$6,MATCH($A254,'Loss Timing'!$A$7:$A$36,1),0)/12/PmtFreqAdd</f>
        <v>0</v>
      </c>
      <c r="W254" s="79">
        <f ca="1">OFFSET('Loss Timing'!G$6,MATCH($A254,'Loss Timing'!$A$7:$A$36,1),0)/12/PmtFreqAdd</f>
        <v>6.2499999999999995E-3</v>
      </c>
      <c r="X254" s="79">
        <f ca="1">OFFSET('Loss Timing'!H$6,MATCH($A254,'Loss Timing'!$A$7:$A$36,1),0)/12/PmtFreqAdd</f>
        <v>4.1666666666666666E-3</v>
      </c>
      <c r="Y254" s="55"/>
      <c r="Z254" s="68">
        <f t="shared" ca="1" si="15"/>
        <v>2.7777777777777779E-5</v>
      </c>
      <c r="AA254" s="68">
        <f t="shared" ca="1" si="16"/>
        <v>0</v>
      </c>
      <c r="AB254" s="68">
        <f t="shared" ca="1" si="17"/>
        <v>0</v>
      </c>
      <c r="AC254" s="68">
        <f t="shared" ca="1" si="18"/>
        <v>6.2500000000000001E-5</v>
      </c>
      <c r="AD254" s="68">
        <f t="shared" ca="1" si="19"/>
        <v>4.1666666666666665E-5</v>
      </c>
      <c r="AE254" s="55"/>
      <c r="AF254" s="68">
        <v>1.2500008594873435E-5</v>
      </c>
      <c r="AG254" s="81">
        <v>2.5000034375999292E-5</v>
      </c>
      <c r="AH254" s="68">
        <v>5.0000137497008268E-5</v>
      </c>
      <c r="AI254" s="55"/>
    </row>
    <row r="255" spans="1:35" x14ac:dyDescent="0.2">
      <c r="A255" s="27">
        <f>'Cash Flow'!A255</f>
        <v>249</v>
      </c>
      <c r="B255" s="49">
        <f>'Cash Flow'!B255</f>
        <v>46692</v>
      </c>
      <c r="C255" s="56">
        <f>'Cash Flow'!C255</f>
        <v>8.3333333333333329E-2</v>
      </c>
      <c r="D255" s="55"/>
      <c r="E255" s="57">
        <v>6.9369000000000056E-2</v>
      </c>
      <c r="F255" s="57"/>
      <c r="G255" s="57"/>
      <c r="H255" s="57"/>
      <c r="I255" s="57">
        <v>0.04</v>
      </c>
      <c r="J255" s="57"/>
      <c r="K255" s="57"/>
      <c r="L255" s="55"/>
      <c r="M255" s="78">
        <v>5.1430128318229462E-3</v>
      </c>
      <c r="N255" s="78">
        <v>0.01</v>
      </c>
      <c r="Q255" s="57"/>
      <c r="S255" s="55"/>
      <c r="T255" s="79">
        <f ca="1">OFFSET('Loss Timing'!D$6,MATCH($A255,'Loss Timing'!$A$7:$A$36,1),0)/12/PmtFreqAdd</f>
        <v>2.7777777777777779E-3</v>
      </c>
      <c r="U255" s="79">
        <f ca="1">OFFSET('Loss Timing'!E$6,MATCH($A255,'Loss Timing'!$A$7:$A$36,1),0)/12/PmtFreqAdd</f>
        <v>0</v>
      </c>
      <c r="V255" s="79">
        <f ca="1">OFFSET('Loss Timing'!F$6,MATCH($A255,'Loss Timing'!$A$7:$A$36,1),0)/12/PmtFreqAdd</f>
        <v>0</v>
      </c>
      <c r="W255" s="79">
        <f ca="1">OFFSET('Loss Timing'!G$6,MATCH($A255,'Loss Timing'!$A$7:$A$36,1),0)/12/PmtFreqAdd</f>
        <v>6.2499999999999995E-3</v>
      </c>
      <c r="X255" s="79">
        <f ca="1">OFFSET('Loss Timing'!H$6,MATCH($A255,'Loss Timing'!$A$7:$A$36,1),0)/12/PmtFreqAdd</f>
        <v>4.1666666666666666E-3</v>
      </c>
      <c r="Y255" s="55"/>
      <c r="Z255" s="68">
        <f t="shared" ca="1" si="15"/>
        <v>2.7777777777777779E-5</v>
      </c>
      <c r="AA255" s="68">
        <f t="shared" ca="1" si="16"/>
        <v>0</v>
      </c>
      <c r="AB255" s="68">
        <f t="shared" ca="1" si="17"/>
        <v>0</v>
      </c>
      <c r="AC255" s="68">
        <f t="shared" ca="1" si="18"/>
        <v>6.2500000000000001E-5</v>
      </c>
      <c r="AD255" s="68">
        <f t="shared" ca="1" si="19"/>
        <v>4.1666666666666665E-5</v>
      </c>
      <c r="AE255" s="55"/>
      <c r="AF255" s="68">
        <v>1.2500008594873435E-5</v>
      </c>
      <c r="AG255" s="81">
        <v>2.5000034375999292E-5</v>
      </c>
      <c r="AH255" s="68">
        <v>5.0000137497008268E-5</v>
      </c>
      <c r="AI255" s="55"/>
    </row>
    <row r="256" spans="1:35" x14ac:dyDescent="0.2">
      <c r="A256" s="27">
        <f>'Cash Flow'!A256</f>
        <v>250</v>
      </c>
      <c r="B256" s="49">
        <f>'Cash Flow'!B256</f>
        <v>46722</v>
      </c>
      <c r="C256" s="56">
        <f>'Cash Flow'!C256</f>
        <v>8.3333333333333329E-2</v>
      </c>
      <c r="D256" s="55"/>
      <c r="E256" s="57">
        <v>6.9369000000000056E-2</v>
      </c>
      <c r="F256" s="57"/>
      <c r="G256" s="57"/>
      <c r="H256" s="57"/>
      <c r="I256" s="57">
        <v>0.04</v>
      </c>
      <c r="J256" s="57"/>
      <c r="K256" s="57"/>
      <c r="L256" s="55"/>
      <c r="M256" s="78">
        <v>5.1430128318229462E-3</v>
      </c>
      <c r="N256" s="78">
        <v>0.01</v>
      </c>
      <c r="Q256" s="57"/>
      <c r="S256" s="55"/>
      <c r="T256" s="79">
        <f ca="1">OFFSET('Loss Timing'!D$6,MATCH($A256,'Loss Timing'!$A$7:$A$36,1),0)/12/PmtFreqAdd</f>
        <v>2.7777777777777779E-3</v>
      </c>
      <c r="U256" s="79">
        <f ca="1">OFFSET('Loss Timing'!E$6,MATCH($A256,'Loss Timing'!$A$7:$A$36,1),0)/12/PmtFreqAdd</f>
        <v>0</v>
      </c>
      <c r="V256" s="79">
        <f ca="1">OFFSET('Loss Timing'!F$6,MATCH($A256,'Loss Timing'!$A$7:$A$36,1),0)/12/PmtFreqAdd</f>
        <v>0</v>
      </c>
      <c r="W256" s="79">
        <f ca="1">OFFSET('Loss Timing'!G$6,MATCH($A256,'Loss Timing'!$A$7:$A$36,1),0)/12/PmtFreqAdd</f>
        <v>6.2499999999999995E-3</v>
      </c>
      <c r="X256" s="79">
        <f ca="1">OFFSET('Loss Timing'!H$6,MATCH($A256,'Loss Timing'!$A$7:$A$36,1),0)/12/PmtFreqAdd</f>
        <v>4.1666666666666666E-3</v>
      </c>
      <c r="Y256" s="55"/>
      <c r="Z256" s="68">
        <f t="shared" ca="1" si="15"/>
        <v>2.7777777777777779E-5</v>
      </c>
      <c r="AA256" s="68">
        <f t="shared" ca="1" si="16"/>
        <v>0</v>
      </c>
      <c r="AB256" s="68">
        <f t="shared" ca="1" si="17"/>
        <v>0</v>
      </c>
      <c r="AC256" s="68">
        <f t="shared" ca="1" si="18"/>
        <v>6.2500000000000001E-5</v>
      </c>
      <c r="AD256" s="68">
        <f t="shared" ca="1" si="19"/>
        <v>4.1666666666666665E-5</v>
      </c>
      <c r="AE256" s="55"/>
      <c r="AF256" s="68">
        <v>1.2500008594873435E-5</v>
      </c>
      <c r="AG256" s="81">
        <v>2.5000034375999292E-5</v>
      </c>
      <c r="AH256" s="68">
        <v>5.0000137497008268E-5</v>
      </c>
      <c r="AI256" s="55"/>
    </row>
    <row r="257" spans="1:35" x14ac:dyDescent="0.2">
      <c r="A257" s="27">
        <f>'Cash Flow'!A257</f>
        <v>251</v>
      </c>
      <c r="B257" s="49">
        <f>'Cash Flow'!B257</f>
        <v>46753</v>
      </c>
      <c r="C257" s="56">
        <f>'Cash Flow'!C257</f>
        <v>8.3333333333333329E-2</v>
      </c>
      <c r="D257" s="55"/>
      <c r="E257" s="57">
        <v>6.9369000000000056E-2</v>
      </c>
      <c r="F257" s="57"/>
      <c r="G257" s="57"/>
      <c r="H257" s="57"/>
      <c r="I257" s="57">
        <v>0.04</v>
      </c>
      <c r="J257" s="57"/>
      <c r="K257" s="57"/>
      <c r="L257" s="55"/>
      <c r="M257" s="78">
        <v>5.1430128318229462E-3</v>
      </c>
      <c r="N257" s="78">
        <v>0.01</v>
      </c>
      <c r="Q257" s="57"/>
      <c r="S257" s="55"/>
      <c r="T257" s="79">
        <f ca="1">OFFSET('Loss Timing'!D$6,MATCH($A257,'Loss Timing'!$A$7:$A$36,1),0)/12/PmtFreqAdd</f>
        <v>2.7777777777777779E-3</v>
      </c>
      <c r="U257" s="79">
        <f ca="1">OFFSET('Loss Timing'!E$6,MATCH($A257,'Loss Timing'!$A$7:$A$36,1),0)/12/PmtFreqAdd</f>
        <v>0</v>
      </c>
      <c r="V257" s="79">
        <f ca="1">OFFSET('Loss Timing'!F$6,MATCH($A257,'Loss Timing'!$A$7:$A$36,1),0)/12/PmtFreqAdd</f>
        <v>0</v>
      </c>
      <c r="W257" s="79">
        <f ca="1">OFFSET('Loss Timing'!G$6,MATCH($A257,'Loss Timing'!$A$7:$A$36,1),0)/12/PmtFreqAdd</f>
        <v>6.2499999999999995E-3</v>
      </c>
      <c r="X257" s="79">
        <f ca="1">OFFSET('Loss Timing'!H$6,MATCH($A257,'Loss Timing'!$A$7:$A$36,1),0)/12/PmtFreqAdd</f>
        <v>4.1666666666666666E-3</v>
      </c>
      <c r="Y257" s="55"/>
      <c r="Z257" s="68">
        <f t="shared" ca="1" si="15"/>
        <v>2.7777777777777779E-5</v>
      </c>
      <c r="AA257" s="68">
        <f t="shared" ca="1" si="16"/>
        <v>0</v>
      </c>
      <c r="AB257" s="68">
        <f t="shared" ca="1" si="17"/>
        <v>0</v>
      </c>
      <c r="AC257" s="68">
        <f t="shared" ca="1" si="18"/>
        <v>6.2500000000000001E-5</v>
      </c>
      <c r="AD257" s="68">
        <f t="shared" ca="1" si="19"/>
        <v>4.1666666666666665E-5</v>
      </c>
      <c r="AE257" s="55"/>
      <c r="AF257" s="68">
        <v>1.2500008594873435E-5</v>
      </c>
      <c r="AG257" s="81">
        <v>2.5000034375999292E-5</v>
      </c>
      <c r="AH257" s="68">
        <v>5.0000137497008268E-5</v>
      </c>
      <c r="AI257" s="55"/>
    </row>
    <row r="258" spans="1:35" x14ac:dyDescent="0.2">
      <c r="A258" s="27">
        <f>'Cash Flow'!A258</f>
        <v>252</v>
      </c>
      <c r="B258" s="49">
        <f>'Cash Flow'!B258</f>
        <v>46784</v>
      </c>
      <c r="C258" s="56">
        <f>'Cash Flow'!C258</f>
        <v>8.3333333333333329E-2</v>
      </c>
      <c r="D258" s="55"/>
      <c r="E258" s="57">
        <v>6.9369000000000056E-2</v>
      </c>
      <c r="F258" s="57"/>
      <c r="G258" s="57"/>
      <c r="H258" s="57"/>
      <c r="I258" s="57">
        <v>0.04</v>
      </c>
      <c r="J258" s="57"/>
      <c r="K258" s="57"/>
      <c r="L258" s="55"/>
      <c r="M258" s="78">
        <v>5.1430128318229462E-3</v>
      </c>
      <c r="N258" s="78">
        <v>0.01</v>
      </c>
      <c r="Q258" s="57"/>
      <c r="S258" s="55"/>
      <c r="T258" s="79">
        <f ca="1">OFFSET('Loss Timing'!D$6,MATCH($A258,'Loss Timing'!$A$7:$A$36,1),0)/12/PmtFreqAdd</f>
        <v>2.7777777777777779E-3</v>
      </c>
      <c r="U258" s="79">
        <f ca="1">OFFSET('Loss Timing'!E$6,MATCH($A258,'Loss Timing'!$A$7:$A$36,1),0)/12/PmtFreqAdd</f>
        <v>0</v>
      </c>
      <c r="V258" s="79">
        <f ca="1">OFFSET('Loss Timing'!F$6,MATCH($A258,'Loss Timing'!$A$7:$A$36,1),0)/12/PmtFreqAdd</f>
        <v>0</v>
      </c>
      <c r="W258" s="79">
        <f ca="1">OFFSET('Loss Timing'!G$6,MATCH($A258,'Loss Timing'!$A$7:$A$36,1),0)/12/PmtFreqAdd</f>
        <v>6.2499999999999995E-3</v>
      </c>
      <c r="X258" s="79">
        <f ca="1">OFFSET('Loss Timing'!H$6,MATCH($A258,'Loss Timing'!$A$7:$A$36,1),0)/12/PmtFreqAdd</f>
        <v>4.1666666666666666E-3</v>
      </c>
      <c r="Y258" s="55"/>
      <c r="Z258" s="68">
        <f t="shared" ca="1" si="15"/>
        <v>2.7777777777777779E-5</v>
      </c>
      <c r="AA258" s="68">
        <f t="shared" ca="1" si="16"/>
        <v>0</v>
      </c>
      <c r="AB258" s="68">
        <f t="shared" ca="1" si="17"/>
        <v>0</v>
      </c>
      <c r="AC258" s="68">
        <f t="shared" ca="1" si="18"/>
        <v>6.2500000000000001E-5</v>
      </c>
      <c r="AD258" s="68">
        <f t="shared" ca="1" si="19"/>
        <v>4.1666666666666665E-5</v>
      </c>
      <c r="AE258" s="55"/>
      <c r="AF258" s="68">
        <v>1.2500008594873435E-5</v>
      </c>
      <c r="AG258" s="81">
        <v>2.5000034375999292E-5</v>
      </c>
      <c r="AH258" s="68">
        <v>5.0000137497008268E-5</v>
      </c>
      <c r="AI258" s="55"/>
    </row>
    <row r="259" spans="1:35" x14ac:dyDescent="0.2">
      <c r="A259" s="27">
        <f>'Cash Flow'!A259</f>
        <v>253</v>
      </c>
      <c r="B259" s="49">
        <f>'Cash Flow'!B259</f>
        <v>46813</v>
      </c>
      <c r="C259" s="56">
        <f>'Cash Flow'!C259</f>
        <v>8.3333333333333329E-2</v>
      </c>
      <c r="D259" s="55"/>
      <c r="E259" s="57">
        <v>6.9369000000000056E-2</v>
      </c>
      <c r="F259" s="57"/>
      <c r="G259" s="57"/>
      <c r="H259" s="57"/>
      <c r="I259" s="57">
        <v>0.04</v>
      </c>
      <c r="J259" s="57"/>
      <c r="K259" s="57"/>
      <c r="L259" s="55"/>
      <c r="M259" s="78">
        <v>5.1430128318229462E-3</v>
      </c>
      <c r="N259" s="78">
        <v>0.01</v>
      </c>
      <c r="Q259" s="57"/>
      <c r="S259" s="55"/>
      <c r="T259" s="79">
        <f ca="1">OFFSET('Loss Timing'!D$6,MATCH($A259,'Loss Timing'!$A$7:$A$36,1),0)/12/PmtFreqAdd</f>
        <v>2.7777777777777779E-3</v>
      </c>
      <c r="U259" s="79">
        <f ca="1">OFFSET('Loss Timing'!E$6,MATCH($A259,'Loss Timing'!$A$7:$A$36,1),0)/12/PmtFreqAdd</f>
        <v>0</v>
      </c>
      <c r="V259" s="79">
        <f ca="1">OFFSET('Loss Timing'!F$6,MATCH($A259,'Loss Timing'!$A$7:$A$36,1),0)/12/PmtFreqAdd</f>
        <v>0</v>
      </c>
      <c r="W259" s="79">
        <f ca="1">OFFSET('Loss Timing'!G$6,MATCH($A259,'Loss Timing'!$A$7:$A$36,1),0)/12/PmtFreqAdd</f>
        <v>4.1666666666666666E-3</v>
      </c>
      <c r="X259" s="79">
        <f ca="1">OFFSET('Loss Timing'!H$6,MATCH($A259,'Loss Timing'!$A$7:$A$36,1),0)/12/PmtFreqAdd</f>
        <v>4.1666666666666666E-3</v>
      </c>
      <c r="Y259" s="55"/>
      <c r="Z259" s="68">
        <f t="shared" ca="1" si="15"/>
        <v>2.7777777777777779E-5</v>
      </c>
      <c r="AA259" s="68">
        <f t="shared" ca="1" si="16"/>
        <v>0</v>
      </c>
      <c r="AB259" s="68">
        <f t="shared" ca="1" si="17"/>
        <v>0</v>
      </c>
      <c r="AC259" s="68">
        <f t="shared" ca="1" si="18"/>
        <v>4.1666666666666665E-5</v>
      </c>
      <c r="AD259" s="68">
        <f t="shared" ca="1" si="19"/>
        <v>4.1666666666666665E-5</v>
      </c>
      <c r="AE259" s="55"/>
      <c r="AF259" s="68">
        <v>1.2500008594873435E-5</v>
      </c>
      <c r="AG259" s="81">
        <v>2.5000034375999292E-5</v>
      </c>
      <c r="AH259" s="68">
        <v>5.0000137497008268E-5</v>
      </c>
      <c r="AI259" s="55"/>
    </row>
    <row r="260" spans="1:35" x14ac:dyDescent="0.2">
      <c r="A260" s="27">
        <f>'Cash Flow'!A260</f>
        <v>254</v>
      </c>
      <c r="B260" s="49">
        <f>'Cash Flow'!B260</f>
        <v>46844</v>
      </c>
      <c r="C260" s="56">
        <f>'Cash Flow'!C260</f>
        <v>8.3333333333333329E-2</v>
      </c>
      <c r="D260" s="55"/>
      <c r="E260" s="57">
        <v>6.9369000000000056E-2</v>
      </c>
      <c r="F260" s="57"/>
      <c r="G260" s="57"/>
      <c r="H260" s="57"/>
      <c r="I260" s="57">
        <v>0.04</v>
      </c>
      <c r="J260" s="57"/>
      <c r="K260" s="57"/>
      <c r="L260" s="55"/>
      <c r="M260" s="78">
        <v>5.1430128318229462E-3</v>
      </c>
      <c r="N260" s="78">
        <v>0.01</v>
      </c>
      <c r="Q260" s="57"/>
      <c r="S260" s="55"/>
      <c r="T260" s="79">
        <f ca="1">OFFSET('Loss Timing'!D$6,MATCH($A260,'Loss Timing'!$A$7:$A$36,1),0)/12/PmtFreqAdd</f>
        <v>2.7777777777777779E-3</v>
      </c>
      <c r="U260" s="79">
        <f ca="1">OFFSET('Loss Timing'!E$6,MATCH($A260,'Loss Timing'!$A$7:$A$36,1),0)/12/PmtFreqAdd</f>
        <v>0</v>
      </c>
      <c r="V260" s="79">
        <f ca="1">OFFSET('Loss Timing'!F$6,MATCH($A260,'Loss Timing'!$A$7:$A$36,1),0)/12/PmtFreqAdd</f>
        <v>0</v>
      </c>
      <c r="W260" s="79">
        <f ca="1">OFFSET('Loss Timing'!G$6,MATCH($A260,'Loss Timing'!$A$7:$A$36,1),0)/12/PmtFreqAdd</f>
        <v>4.1666666666666666E-3</v>
      </c>
      <c r="X260" s="79">
        <f ca="1">OFFSET('Loss Timing'!H$6,MATCH($A260,'Loss Timing'!$A$7:$A$36,1),0)/12/PmtFreqAdd</f>
        <v>4.1666666666666666E-3</v>
      </c>
      <c r="Y260" s="55"/>
      <c r="Z260" s="68">
        <f t="shared" ca="1" si="15"/>
        <v>2.7777777777777779E-5</v>
      </c>
      <c r="AA260" s="68">
        <f t="shared" ca="1" si="16"/>
        <v>0</v>
      </c>
      <c r="AB260" s="68">
        <f t="shared" ca="1" si="17"/>
        <v>0</v>
      </c>
      <c r="AC260" s="68">
        <f t="shared" ca="1" si="18"/>
        <v>4.1666666666666665E-5</v>
      </c>
      <c r="AD260" s="68">
        <f t="shared" ca="1" si="19"/>
        <v>4.1666666666666665E-5</v>
      </c>
      <c r="AE260" s="55"/>
      <c r="AF260" s="68">
        <v>1.2500008594873435E-5</v>
      </c>
      <c r="AG260" s="81">
        <v>2.5000034375999292E-5</v>
      </c>
      <c r="AH260" s="68">
        <v>5.0000137497008268E-5</v>
      </c>
      <c r="AI260" s="55"/>
    </row>
    <row r="261" spans="1:35" x14ac:dyDescent="0.2">
      <c r="A261" s="27">
        <f>'Cash Flow'!A261</f>
        <v>255</v>
      </c>
      <c r="B261" s="49">
        <f>'Cash Flow'!B261</f>
        <v>46874</v>
      </c>
      <c r="C261" s="56">
        <f>'Cash Flow'!C261</f>
        <v>8.3333333333333329E-2</v>
      </c>
      <c r="D261" s="55"/>
      <c r="E261" s="57">
        <v>6.9369000000000056E-2</v>
      </c>
      <c r="F261" s="57"/>
      <c r="G261" s="57"/>
      <c r="H261" s="57"/>
      <c r="I261" s="57">
        <v>0.04</v>
      </c>
      <c r="J261" s="57"/>
      <c r="K261" s="57"/>
      <c r="L261" s="55"/>
      <c r="M261" s="78">
        <v>5.1430128318229462E-3</v>
      </c>
      <c r="N261" s="78">
        <v>0.01</v>
      </c>
      <c r="Q261" s="57"/>
      <c r="S261" s="55"/>
      <c r="T261" s="79">
        <f ca="1">OFFSET('Loss Timing'!D$6,MATCH($A261,'Loss Timing'!$A$7:$A$36,1),0)/12/PmtFreqAdd</f>
        <v>2.7777777777777779E-3</v>
      </c>
      <c r="U261" s="79">
        <f ca="1">OFFSET('Loss Timing'!E$6,MATCH($A261,'Loss Timing'!$A$7:$A$36,1),0)/12/PmtFreqAdd</f>
        <v>0</v>
      </c>
      <c r="V261" s="79">
        <f ca="1">OFFSET('Loss Timing'!F$6,MATCH($A261,'Loss Timing'!$A$7:$A$36,1),0)/12/PmtFreqAdd</f>
        <v>0</v>
      </c>
      <c r="W261" s="79">
        <f ca="1">OFFSET('Loss Timing'!G$6,MATCH($A261,'Loss Timing'!$A$7:$A$36,1),0)/12/PmtFreqAdd</f>
        <v>4.1666666666666666E-3</v>
      </c>
      <c r="X261" s="79">
        <f ca="1">OFFSET('Loss Timing'!H$6,MATCH($A261,'Loss Timing'!$A$7:$A$36,1),0)/12/PmtFreqAdd</f>
        <v>4.1666666666666666E-3</v>
      </c>
      <c r="Y261" s="55"/>
      <c r="Z261" s="68">
        <f t="shared" ca="1" si="15"/>
        <v>2.7777777777777779E-5</v>
      </c>
      <c r="AA261" s="68">
        <f t="shared" ca="1" si="16"/>
        <v>0</v>
      </c>
      <c r="AB261" s="68">
        <f t="shared" ca="1" si="17"/>
        <v>0</v>
      </c>
      <c r="AC261" s="68">
        <f t="shared" ca="1" si="18"/>
        <v>4.1666666666666665E-5</v>
      </c>
      <c r="AD261" s="68">
        <f t="shared" ca="1" si="19"/>
        <v>4.1666666666666665E-5</v>
      </c>
      <c r="AE261" s="55"/>
      <c r="AF261" s="68">
        <v>1.2500008594873435E-5</v>
      </c>
      <c r="AG261" s="81">
        <v>2.5000034375999292E-5</v>
      </c>
      <c r="AH261" s="68">
        <v>5.0000137497008268E-5</v>
      </c>
      <c r="AI261" s="55"/>
    </row>
    <row r="262" spans="1:35" x14ac:dyDescent="0.2">
      <c r="A262" s="27">
        <f>'Cash Flow'!A262</f>
        <v>256</v>
      </c>
      <c r="B262" s="49">
        <f>'Cash Flow'!B262</f>
        <v>46905</v>
      </c>
      <c r="C262" s="56">
        <f>'Cash Flow'!C262</f>
        <v>8.3333333333333329E-2</v>
      </c>
      <c r="D262" s="55"/>
      <c r="E262" s="57">
        <v>6.9369000000000056E-2</v>
      </c>
      <c r="F262" s="57"/>
      <c r="G262" s="57"/>
      <c r="H262" s="57"/>
      <c r="I262" s="57">
        <v>0.04</v>
      </c>
      <c r="J262" s="57"/>
      <c r="K262" s="57"/>
      <c r="L262" s="55"/>
      <c r="M262" s="78">
        <v>5.1430128318229462E-3</v>
      </c>
      <c r="N262" s="78">
        <v>0.01</v>
      </c>
      <c r="Q262" s="57"/>
      <c r="S262" s="55"/>
      <c r="T262" s="79">
        <f ca="1">OFFSET('Loss Timing'!D$6,MATCH($A262,'Loss Timing'!$A$7:$A$36,1),0)/12/PmtFreqAdd</f>
        <v>2.7777777777777779E-3</v>
      </c>
      <c r="U262" s="79">
        <f ca="1">OFFSET('Loss Timing'!E$6,MATCH($A262,'Loss Timing'!$A$7:$A$36,1),0)/12/PmtFreqAdd</f>
        <v>0</v>
      </c>
      <c r="V262" s="79">
        <f ca="1">OFFSET('Loss Timing'!F$6,MATCH($A262,'Loss Timing'!$A$7:$A$36,1),0)/12/PmtFreqAdd</f>
        <v>0</v>
      </c>
      <c r="W262" s="79">
        <f ca="1">OFFSET('Loss Timing'!G$6,MATCH($A262,'Loss Timing'!$A$7:$A$36,1),0)/12/PmtFreqAdd</f>
        <v>4.1666666666666666E-3</v>
      </c>
      <c r="X262" s="79">
        <f ca="1">OFFSET('Loss Timing'!H$6,MATCH($A262,'Loss Timing'!$A$7:$A$36,1),0)/12/PmtFreqAdd</f>
        <v>4.1666666666666666E-3</v>
      </c>
      <c r="Y262" s="55"/>
      <c r="Z262" s="68">
        <f t="shared" ca="1" si="15"/>
        <v>2.7777777777777779E-5</v>
      </c>
      <c r="AA262" s="68">
        <f t="shared" ca="1" si="16"/>
        <v>0</v>
      </c>
      <c r="AB262" s="68">
        <f t="shared" ca="1" si="17"/>
        <v>0</v>
      </c>
      <c r="AC262" s="68">
        <f t="shared" ca="1" si="18"/>
        <v>4.1666666666666665E-5</v>
      </c>
      <c r="AD262" s="68">
        <f t="shared" ca="1" si="19"/>
        <v>4.1666666666666665E-5</v>
      </c>
      <c r="AE262" s="55"/>
      <c r="AF262" s="68">
        <v>1.2500008594873435E-5</v>
      </c>
      <c r="AG262" s="81">
        <v>2.5000034375999292E-5</v>
      </c>
      <c r="AH262" s="68">
        <v>5.0000137497008268E-5</v>
      </c>
      <c r="AI262" s="55"/>
    </row>
    <row r="263" spans="1:35" x14ac:dyDescent="0.2">
      <c r="A263" s="27">
        <f>'Cash Flow'!A263</f>
        <v>257</v>
      </c>
      <c r="B263" s="49">
        <f>'Cash Flow'!B263</f>
        <v>46935</v>
      </c>
      <c r="C263" s="56">
        <f>'Cash Flow'!C263</f>
        <v>8.3333333333333329E-2</v>
      </c>
      <c r="D263" s="55"/>
      <c r="E263" s="57">
        <v>6.9369000000000056E-2</v>
      </c>
      <c r="F263" s="57"/>
      <c r="G263" s="57"/>
      <c r="H263" s="57"/>
      <c r="I263" s="57">
        <v>0.04</v>
      </c>
      <c r="J263" s="57"/>
      <c r="K263" s="57"/>
      <c r="L263" s="55"/>
      <c r="M263" s="78">
        <v>5.1430128318229462E-3</v>
      </c>
      <c r="N263" s="78">
        <v>0.01</v>
      </c>
      <c r="Q263" s="57"/>
      <c r="S263" s="55"/>
      <c r="T263" s="79">
        <f ca="1">OFFSET('Loss Timing'!D$6,MATCH($A263,'Loss Timing'!$A$7:$A$36,1),0)/12/PmtFreqAdd</f>
        <v>2.7777777777777779E-3</v>
      </c>
      <c r="U263" s="79">
        <f ca="1">OFFSET('Loss Timing'!E$6,MATCH($A263,'Loss Timing'!$A$7:$A$36,1),0)/12/PmtFreqAdd</f>
        <v>0</v>
      </c>
      <c r="V263" s="79">
        <f ca="1">OFFSET('Loss Timing'!F$6,MATCH($A263,'Loss Timing'!$A$7:$A$36,1),0)/12/PmtFreqAdd</f>
        <v>0</v>
      </c>
      <c r="W263" s="79">
        <f ca="1">OFFSET('Loss Timing'!G$6,MATCH($A263,'Loss Timing'!$A$7:$A$36,1),0)/12/PmtFreqAdd</f>
        <v>4.1666666666666666E-3</v>
      </c>
      <c r="X263" s="79">
        <f ca="1">OFFSET('Loss Timing'!H$6,MATCH($A263,'Loss Timing'!$A$7:$A$36,1),0)/12/PmtFreqAdd</f>
        <v>4.1666666666666666E-3</v>
      </c>
      <c r="Y263" s="55"/>
      <c r="Z263" s="68">
        <f t="shared" ref="Z263:Z326" ca="1" si="20">(pdrCumLoss1*pdrLossStress1)*T263</f>
        <v>2.7777777777777779E-5</v>
      </c>
      <c r="AA263" s="68">
        <f t="shared" ref="AA263:AA326" ca="1" si="21">(pdrCumLoss1*pdrLossStress1)*U263</f>
        <v>0</v>
      </c>
      <c r="AB263" s="68">
        <f t="shared" ref="AB263:AB326" ca="1" si="22">(pdrCumLoss1*pdrLossStress1)*V263</f>
        <v>0</v>
      </c>
      <c r="AC263" s="68">
        <f t="shared" ref="AC263:AC326" ca="1" si="23">(pdrCumLoss1*pdrLossStress1)*W263</f>
        <v>4.1666666666666665E-5</v>
      </c>
      <c r="AD263" s="68">
        <f t="shared" ref="AD263:AD326" ca="1" si="24">(pdrCumLoss1*pdrLossStress1)*X263</f>
        <v>4.1666666666666665E-5</v>
      </c>
      <c r="AE263" s="55"/>
      <c r="AF263" s="68">
        <v>1.2500008594873435E-5</v>
      </c>
      <c r="AG263" s="81">
        <v>2.5000034375999292E-5</v>
      </c>
      <c r="AH263" s="68">
        <v>5.0000137497008268E-5</v>
      </c>
      <c r="AI263" s="55"/>
    </row>
    <row r="264" spans="1:35" x14ac:dyDescent="0.2">
      <c r="A264" s="27">
        <f>'Cash Flow'!A264</f>
        <v>258</v>
      </c>
      <c r="B264" s="49">
        <f>'Cash Flow'!B264</f>
        <v>46966</v>
      </c>
      <c r="C264" s="56">
        <f>'Cash Flow'!C264</f>
        <v>8.3333333333333329E-2</v>
      </c>
      <c r="D264" s="55"/>
      <c r="E264" s="57">
        <v>6.9369000000000056E-2</v>
      </c>
      <c r="F264" s="57"/>
      <c r="G264" s="57"/>
      <c r="H264" s="57"/>
      <c r="I264" s="57">
        <v>0.04</v>
      </c>
      <c r="J264" s="57"/>
      <c r="K264" s="57"/>
      <c r="L264" s="55"/>
      <c r="M264" s="78">
        <v>5.1430128318229462E-3</v>
      </c>
      <c r="N264" s="78">
        <v>0.01</v>
      </c>
      <c r="Q264" s="57"/>
      <c r="S264" s="55"/>
      <c r="T264" s="79">
        <f ca="1">OFFSET('Loss Timing'!D$6,MATCH($A264,'Loss Timing'!$A$7:$A$36,1),0)/12/PmtFreqAdd</f>
        <v>2.7777777777777779E-3</v>
      </c>
      <c r="U264" s="79">
        <f ca="1">OFFSET('Loss Timing'!E$6,MATCH($A264,'Loss Timing'!$A$7:$A$36,1),0)/12/PmtFreqAdd</f>
        <v>0</v>
      </c>
      <c r="V264" s="79">
        <f ca="1">OFFSET('Loss Timing'!F$6,MATCH($A264,'Loss Timing'!$A$7:$A$36,1),0)/12/PmtFreqAdd</f>
        <v>0</v>
      </c>
      <c r="W264" s="79">
        <f ca="1">OFFSET('Loss Timing'!G$6,MATCH($A264,'Loss Timing'!$A$7:$A$36,1),0)/12/PmtFreqAdd</f>
        <v>4.1666666666666666E-3</v>
      </c>
      <c r="X264" s="79">
        <f ca="1">OFFSET('Loss Timing'!H$6,MATCH($A264,'Loss Timing'!$A$7:$A$36,1),0)/12/PmtFreqAdd</f>
        <v>4.1666666666666666E-3</v>
      </c>
      <c r="Y264" s="55"/>
      <c r="Z264" s="68">
        <f t="shared" ca="1" si="20"/>
        <v>2.7777777777777779E-5</v>
      </c>
      <c r="AA264" s="68">
        <f t="shared" ca="1" si="21"/>
        <v>0</v>
      </c>
      <c r="AB264" s="68">
        <f t="shared" ca="1" si="22"/>
        <v>0</v>
      </c>
      <c r="AC264" s="68">
        <f t="shared" ca="1" si="23"/>
        <v>4.1666666666666665E-5</v>
      </c>
      <c r="AD264" s="68">
        <f t="shared" ca="1" si="24"/>
        <v>4.1666666666666665E-5</v>
      </c>
      <c r="AE264" s="55"/>
      <c r="AF264" s="68">
        <v>1.2500008594873435E-5</v>
      </c>
      <c r="AG264" s="81">
        <v>2.5000034375999292E-5</v>
      </c>
      <c r="AH264" s="68">
        <v>5.0000137497008268E-5</v>
      </c>
      <c r="AI264" s="55"/>
    </row>
    <row r="265" spans="1:35" x14ac:dyDescent="0.2">
      <c r="A265" s="27">
        <f>'Cash Flow'!A265</f>
        <v>259</v>
      </c>
      <c r="B265" s="49">
        <f>'Cash Flow'!B265</f>
        <v>46997</v>
      </c>
      <c r="C265" s="56">
        <f>'Cash Flow'!C265</f>
        <v>8.3333333333333329E-2</v>
      </c>
      <c r="D265" s="55"/>
      <c r="E265" s="57">
        <v>6.9369000000000056E-2</v>
      </c>
      <c r="F265" s="57"/>
      <c r="G265" s="57"/>
      <c r="H265" s="57"/>
      <c r="I265" s="57">
        <v>0.04</v>
      </c>
      <c r="J265" s="57"/>
      <c r="K265" s="57"/>
      <c r="L265" s="55"/>
      <c r="M265" s="78">
        <v>5.1430128318229462E-3</v>
      </c>
      <c r="N265" s="78">
        <v>0.01</v>
      </c>
      <c r="Q265" s="57"/>
      <c r="S265" s="55"/>
      <c r="T265" s="79">
        <f ca="1">OFFSET('Loss Timing'!D$6,MATCH($A265,'Loss Timing'!$A$7:$A$36,1),0)/12/PmtFreqAdd</f>
        <v>2.7777777777777779E-3</v>
      </c>
      <c r="U265" s="79">
        <f ca="1">OFFSET('Loss Timing'!E$6,MATCH($A265,'Loss Timing'!$A$7:$A$36,1),0)/12/PmtFreqAdd</f>
        <v>0</v>
      </c>
      <c r="V265" s="79">
        <f ca="1">OFFSET('Loss Timing'!F$6,MATCH($A265,'Loss Timing'!$A$7:$A$36,1),0)/12/PmtFreqAdd</f>
        <v>0</v>
      </c>
      <c r="W265" s="79">
        <f ca="1">OFFSET('Loss Timing'!G$6,MATCH($A265,'Loss Timing'!$A$7:$A$36,1),0)/12/PmtFreqAdd</f>
        <v>4.1666666666666666E-3</v>
      </c>
      <c r="X265" s="79">
        <f ca="1">OFFSET('Loss Timing'!H$6,MATCH($A265,'Loss Timing'!$A$7:$A$36,1),0)/12/PmtFreqAdd</f>
        <v>4.1666666666666666E-3</v>
      </c>
      <c r="Y265" s="55"/>
      <c r="Z265" s="68">
        <f t="shared" ca="1" si="20"/>
        <v>2.7777777777777779E-5</v>
      </c>
      <c r="AA265" s="68">
        <f t="shared" ca="1" si="21"/>
        <v>0</v>
      </c>
      <c r="AB265" s="68">
        <f t="shared" ca="1" si="22"/>
        <v>0</v>
      </c>
      <c r="AC265" s="68">
        <f t="shared" ca="1" si="23"/>
        <v>4.1666666666666665E-5</v>
      </c>
      <c r="AD265" s="68">
        <f t="shared" ca="1" si="24"/>
        <v>4.1666666666666665E-5</v>
      </c>
      <c r="AE265" s="55"/>
      <c r="AF265" s="68">
        <v>1.2500008594873435E-5</v>
      </c>
      <c r="AG265" s="81">
        <v>2.5000034375999292E-5</v>
      </c>
      <c r="AH265" s="68">
        <v>5.0000137497008268E-5</v>
      </c>
      <c r="AI265" s="55"/>
    </row>
    <row r="266" spans="1:35" x14ac:dyDescent="0.2">
      <c r="A266" s="27">
        <f>'Cash Flow'!A266</f>
        <v>260</v>
      </c>
      <c r="B266" s="49">
        <f>'Cash Flow'!B266</f>
        <v>47027</v>
      </c>
      <c r="C266" s="56">
        <f>'Cash Flow'!C266</f>
        <v>8.3333333333333329E-2</v>
      </c>
      <c r="D266" s="55"/>
      <c r="E266" s="57">
        <v>6.9369000000000056E-2</v>
      </c>
      <c r="F266" s="57"/>
      <c r="G266" s="57"/>
      <c r="H266" s="57"/>
      <c r="I266" s="57">
        <v>0.04</v>
      </c>
      <c r="J266" s="57"/>
      <c r="K266" s="57"/>
      <c r="L266" s="55"/>
      <c r="M266" s="78">
        <v>5.1430128318229462E-3</v>
      </c>
      <c r="N266" s="78">
        <v>0.01</v>
      </c>
      <c r="Q266" s="57"/>
      <c r="S266" s="55"/>
      <c r="T266" s="79">
        <f ca="1">OFFSET('Loss Timing'!D$6,MATCH($A266,'Loss Timing'!$A$7:$A$36,1),0)/12/PmtFreqAdd</f>
        <v>2.7777777777777779E-3</v>
      </c>
      <c r="U266" s="79">
        <f ca="1">OFFSET('Loss Timing'!E$6,MATCH($A266,'Loss Timing'!$A$7:$A$36,1),0)/12/PmtFreqAdd</f>
        <v>0</v>
      </c>
      <c r="V266" s="79">
        <f ca="1">OFFSET('Loss Timing'!F$6,MATCH($A266,'Loss Timing'!$A$7:$A$36,1),0)/12/PmtFreqAdd</f>
        <v>0</v>
      </c>
      <c r="W266" s="79">
        <f ca="1">OFFSET('Loss Timing'!G$6,MATCH($A266,'Loss Timing'!$A$7:$A$36,1),0)/12/PmtFreqAdd</f>
        <v>4.1666666666666666E-3</v>
      </c>
      <c r="X266" s="79">
        <f ca="1">OFFSET('Loss Timing'!H$6,MATCH($A266,'Loss Timing'!$A$7:$A$36,1),0)/12/PmtFreqAdd</f>
        <v>4.1666666666666666E-3</v>
      </c>
      <c r="Y266" s="55"/>
      <c r="Z266" s="68">
        <f t="shared" ca="1" si="20"/>
        <v>2.7777777777777779E-5</v>
      </c>
      <c r="AA266" s="68">
        <f t="shared" ca="1" si="21"/>
        <v>0</v>
      </c>
      <c r="AB266" s="68">
        <f t="shared" ca="1" si="22"/>
        <v>0</v>
      </c>
      <c r="AC266" s="68">
        <f t="shared" ca="1" si="23"/>
        <v>4.1666666666666665E-5</v>
      </c>
      <c r="AD266" s="68">
        <f t="shared" ca="1" si="24"/>
        <v>4.1666666666666665E-5</v>
      </c>
      <c r="AE266" s="55"/>
      <c r="AF266" s="68">
        <v>1.2500008594873435E-5</v>
      </c>
      <c r="AG266" s="81">
        <v>2.5000034375999292E-5</v>
      </c>
      <c r="AH266" s="68">
        <v>5.0000137497008268E-5</v>
      </c>
      <c r="AI266" s="55"/>
    </row>
    <row r="267" spans="1:35" x14ac:dyDescent="0.2">
      <c r="A267" s="27">
        <f>'Cash Flow'!A267</f>
        <v>261</v>
      </c>
      <c r="B267" s="49">
        <f>'Cash Flow'!B267</f>
        <v>47058</v>
      </c>
      <c r="C267" s="56">
        <f>'Cash Flow'!C267</f>
        <v>8.3333333333333329E-2</v>
      </c>
      <c r="D267" s="55"/>
      <c r="E267" s="57">
        <v>6.9369000000000056E-2</v>
      </c>
      <c r="F267" s="57"/>
      <c r="G267" s="57"/>
      <c r="H267" s="57"/>
      <c r="I267" s="57">
        <v>0.04</v>
      </c>
      <c r="J267" s="57"/>
      <c r="K267" s="57"/>
      <c r="L267" s="55"/>
      <c r="M267" s="78">
        <v>5.1430128318229462E-3</v>
      </c>
      <c r="N267" s="78">
        <v>0.01</v>
      </c>
      <c r="Q267" s="57"/>
      <c r="S267" s="55"/>
      <c r="T267" s="79">
        <f ca="1">OFFSET('Loss Timing'!D$6,MATCH($A267,'Loss Timing'!$A$7:$A$36,1),0)/12/PmtFreqAdd</f>
        <v>2.7777777777777779E-3</v>
      </c>
      <c r="U267" s="79">
        <f ca="1">OFFSET('Loss Timing'!E$6,MATCH($A267,'Loss Timing'!$A$7:$A$36,1),0)/12/PmtFreqAdd</f>
        <v>0</v>
      </c>
      <c r="V267" s="79">
        <f ca="1">OFFSET('Loss Timing'!F$6,MATCH($A267,'Loss Timing'!$A$7:$A$36,1),0)/12/PmtFreqAdd</f>
        <v>0</v>
      </c>
      <c r="W267" s="79">
        <f ca="1">OFFSET('Loss Timing'!G$6,MATCH($A267,'Loss Timing'!$A$7:$A$36,1),0)/12/PmtFreqAdd</f>
        <v>4.1666666666666666E-3</v>
      </c>
      <c r="X267" s="79">
        <f ca="1">OFFSET('Loss Timing'!H$6,MATCH($A267,'Loss Timing'!$A$7:$A$36,1),0)/12/PmtFreqAdd</f>
        <v>4.1666666666666666E-3</v>
      </c>
      <c r="Y267" s="55"/>
      <c r="Z267" s="68">
        <f t="shared" ca="1" si="20"/>
        <v>2.7777777777777779E-5</v>
      </c>
      <c r="AA267" s="68">
        <f t="shared" ca="1" si="21"/>
        <v>0</v>
      </c>
      <c r="AB267" s="68">
        <f t="shared" ca="1" si="22"/>
        <v>0</v>
      </c>
      <c r="AC267" s="68">
        <f t="shared" ca="1" si="23"/>
        <v>4.1666666666666665E-5</v>
      </c>
      <c r="AD267" s="68">
        <f t="shared" ca="1" si="24"/>
        <v>4.1666666666666665E-5</v>
      </c>
      <c r="AE267" s="55"/>
      <c r="AF267" s="68">
        <v>1.2500008594873435E-5</v>
      </c>
      <c r="AG267" s="81">
        <v>2.5000034375999292E-5</v>
      </c>
      <c r="AH267" s="68">
        <v>5.0000137497008268E-5</v>
      </c>
      <c r="AI267" s="55"/>
    </row>
    <row r="268" spans="1:35" x14ac:dyDescent="0.2">
      <c r="A268" s="27">
        <f>'Cash Flow'!A268</f>
        <v>262</v>
      </c>
      <c r="B268" s="49">
        <f>'Cash Flow'!B268</f>
        <v>47088</v>
      </c>
      <c r="C268" s="56">
        <f>'Cash Flow'!C268</f>
        <v>8.3333333333333329E-2</v>
      </c>
      <c r="D268" s="55"/>
      <c r="E268" s="57">
        <v>6.9369000000000056E-2</v>
      </c>
      <c r="F268" s="57"/>
      <c r="G268" s="57"/>
      <c r="H268" s="57"/>
      <c r="I268" s="57">
        <v>0.04</v>
      </c>
      <c r="J268" s="57"/>
      <c r="K268" s="57"/>
      <c r="L268" s="55"/>
      <c r="M268" s="78">
        <v>5.1430128318229462E-3</v>
      </c>
      <c r="N268" s="78">
        <v>0.01</v>
      </c>
      <c r="Q268" s="57"/>
      <c r="S268" s="55"/>
      <c r="T268" s="79">
        <f ca="1">OFFSET('Loss Timing'!D$6,MATCH($A268,'Loss Timing'!$A$7:$A$36,1),0)/12/PmtFreqAdd</f>
        <v>2.7777777777777779E-3</v>
      </c>
      <c r="U268" s="79">
        <f ca="1">OFFSET('Loss Timing'!E$6,MATCH($A268,'Loss Timing'!$A$7:$A$36,1),0)/12/PmtFreqAdd</f>
        <v>0</v>
      </c>
      <c r="V268" s="79">
        <f ca="1">OFFSET('Loss Timing'!F$6,MATCH($A268,'Loss Timing'!$A$7:$A$36,1),0)/12/PmtFreqAdd</f>
        <v>0</v>
      </c>
      <c r="W268" s="79">
        <f ca="1">OFFSET('Loss Timing'!G$6,MATCH($A268,'Loss Timing'!$A$7:$A$36,1),0)/12/PmtFreqAdd</f>
        <v>4.1666666666666666E-3</v>
      </c>
      <c r="X268" s="79">
        <f ca="1">OFFSET('Loss Timing'!H$6,MATCH($A268,'Loss Timing'!$A$7:$A$36,1),0)/12/PmtFreqAdd</f>
        <v>4.1666666666666666E-3</v>
      </c>
      <c r="Y268" s="55"/>
      <c r="Z268" s="68">
        <f t="shared" ca="1" si="20"/>
        <v>2.7777777777777779E-5</v>
      </c>
      <c r="AA268" s="68">
        <f t="shared" ca="1" si="21"/>
        <v>0</v>
      </c>
      <c r="AB268" s="68">
        <f t="shared" ca="1" si="22"/>
        <v>0</v>
      </c>
      <c r="AC268" s="68">
        <f t="shared" ca="1" si="23"/>
        <v>4.1666666666666665E-5</v>
      </c>
      <c r="AD268" s="68">
        <f t="shared" ca="1" si="24"/>
        <v>4.1666666666666665E-5</v>
      </c>
      <c r="AE268" s="55"/>
      <c r="AF268" s="68">
        <v>1.2500008594873435E-5</v>
      </c>
      <c r="AG268" s="81">
        <v>2.5000034375999292E-5</v>
      </c>
      <c r="AH268" s="68">
        <v>5.0000137497008268E-5</v>
      </c>
      <c r="AI268" s="55"/>
    </row>
    <row r="269" spans="1:35" x14ac:dyDescent="0.2">
      <c r="A269" s="27">
        <f>'Cash Flow'!A269</f>
        <v>263</v>
      </c>
      <c r="B269" s="49">
        <f>'Cash Flow'!B269</f>
        <v>47119</v>
      </c>
      <c r="C269" s="56">
        <f>'Cash Flow'!C269</f>
        <v>8.3333333333333329E-2</v>
      </c>
      <c r="D269" s="55"/>
      <c r="E269" s="57">
        <v>6.9369000000000056E-2</v>
      </c>
      <c r="F269" s="57"/>
      <c r="G269" s="57"/>
      <c r="H269" s="57"/>
      <c r="I269" s="57">
        <v>0.04</v>
      </c>
      <c r="J269" s="57"/>
      <c r="K269" s="57"/>
      <c r="L269" s="55"/>
      <c r="M269" s="78">
        <v>5.1430128318229462E-3</v>
      </c>
      <c r="N269" s="78">
        <v>0.01</v>
      </c>
      <c r="Q269" s="57"/>
      <c r="S269" s="55"/>
      <c r="T269" s="79">
        <f ca="1">OFFSET('Loss Timing'!D$6,MATCH($A269,'Loss Timing'!$A$7:$A$36,1),0)/12/PmtFreqAdd</f>
        <v>2.7777777777777779E-3</v>
      </c>
      <c r="U269" s="79">
        <f ca="1">OFFSET('Loss Timing'!E$6,MATCH($A269,'Loss Timing'!$A$7:$A$36,1),0)/12/PmtFreqAdd</f>
        <v>0</v>
      </c>
      <c r="V269" s="79">
        <f ca="1">OFFSET('Loss Timing'!F$6,MATCH($A269,'Loss Timing'!$A$7:$A$36,1),0)/12/PmtFreqAdd</f>
        <v>0</v>
      </c>
      <c r="W269" s="79">
        <f ca="1">OFFSET('Loss Timing'!G$6,MATCH($A269,'Loss Timing'!$A$7:$A$36,1),0)/12/PmtFreqAdd</f>
        <v>4.1666666666666666E-3</v>
      </c>
      <c r="X269" s="79">
        <f ca="1">OFFSET('Loss Timing'!H$6,MATCH($A269,'Loss Timing'!$A$7:$A$36,1),0)/12/PmtFreqAdd</f>
        <v>4.1666666666666666E-3</v>
      </c>
      <c r="Y269" s="55"/>
      <c r="Z269" s="68">
        <f t="shared" ca="1" si="20"/>
        <v>2.7777777777777779E-5</v>
      </c>
      <c r="AA269" s="68">
        <f t="shared" ca="1" si="21"/>
        <v>0</v>
      </c>
      <c r="AB269" s="68">
        <f t="shared" ca="1" si="22"/>
        <v>0</v>
      </c>
      <c r="AC269" s="68">
        <f t="shared" ca="1" si="23"/>
        <v>4.1666666666666665E-5</v>
      </c>
      <c r="AD269" s="68">
        <f t="shared" ca="1" si="24"/>
        <v>4.1666666666666665E-5</v>
      </c>
      <c r="AE269" s="55"/>
      <c r="AF269" s="68">
        <v>1.2500008594873435E-5</v>
      </c>
      <c r="AG269" s="81">
        <v>2.5000034375999292E-5</v>
      </c>
      <c r="AH269" s="68">
        <v>5.0000137497008268E-5</v>
      </c>
      <c r="AI269" s="55"/>
    </row>
    <row r="270" spans="1:35" x14ac:dyDescent="0.2">
      <c r="A270" s="27">
        <f>'Cash Flow'!A270</f>
        <v>264</v>
      </c>
      <c r="B270" s="49">
        <f>'Cash Flow'!B270</f>
        <v>47150</v>
      </c>
      <c r="C270" s="56">
        <f>'Cash Flow'!C270</f>
        <v>8.3333333333333329E-2</v>
      </c>
      <c r="D270" s="55"/>
      <c r="E270" s="57">
        <v>6.9369000000000056E-2</v>
      </c>
      <c r="F270" s="57"/>
      <c r="G270" s="57"/>
      <c r="H270" s="57"/>
      <c r="I270" s="57">
        <v>0.04</v>
      </c>
      <c r="J270" s="57"/>
      <c r="K270" s="57"/>
      <c r="L270" s="55"/>
      <c r="M270" s="78">
        <v>5.1430128318229462E-3</v>
      </c>
      <c r="N270" s="78">
        <v>0.01</v>
      </c>
      <c r="Q270" s="57"/>
      <c r="S270" s="55"/>
      <c r="T270" s="79">
        <f ca="1">OFFSET('Loss Timing'!D$6,MATCH($A270,'Loss Timing'!$A$7:$A$36,1),0)/12/PmtFreqAdd</f>
        <v>2.7777777777777779E-3</v>
      </c>
      <c r="U270" s="79">
        <f ca="1">OFFSET('Loss Timing'!E$6,MATCH($A270,'Loss Timing'!$A$7:$A$36,1),0)/12/PmtFreqAdd</f>
        <v>0</v>
      </c>
      <c r="V270" s="79">
        <f ca="1">OFFSET('Loss Timing'!F$6,MATCH($A270,'Loss Timing'!$A$7:$A$36,1),0)/12/PmtFreqAdd</f>
        <v>0</v>
      </c>
      <c r="W270" s="79">
        <f ca="1">OFFSET('Loss Timing'!G$6,MATCH($A270,'Loss Timing'!$A$7:$A$36,1),0)/12/PmtFreqAdd</f>
        <v>4.1666666666666666E-3</v>
      </c>
      <c r="X270" s="79">
        <f ca="1">OFFSET('Loss Timing'!H$6,MATCH($A270,'Loss Timing'!$A$7:$A$36,1),0)/12/PmtFreqAdd</f>
        <v>4.1666666666666666E-3</v>
      </c>
      <c r="Y270" s="55"/>
      <c r="Z270" s="68">
        <f t="shared" ca="1" si="20"/>
        <v>2.7777777777777779E-5</v>
      </c>
      <c r="AA270" s="68">
        <f t="shared" ca="1" si="21"/>
        <v>0</v>
      </c>
      <c r="AB270" s="68">
        <f t="shared" ca="1" si="22"/>
        <v>0</v>
      </c>
      <c r="AC270" s="68">
        <f t="shared" ca="1" si="23"/>
        <v>4.1666666666666665E-5</v>
      </c>
      <c r="AD270" s="68">
        <f t="shared" ca="1" si="24"/>
        <v>4.1666666666666665E-5</v>
      </c>
      <c r="AE270" s="55"/>
      <c r="AF270" s="68">
        <v>1.2500008594873435E-5</v>
      </c>
      <c r="AG270" s="81">
        <v>2.5000034375999292E-5</v>
      </c>
      <c r="AH270" s="68">
        <v>5.0000137497008268E-5</v>
      </c>
      <c r="AI270" s="55"/>
    </row>
    <row r="271" spans="1:35" x14ac:dyDescent="0.2">
      <c r="A271" s="27">
        <f>'Cash Flow'!A271</f>
        <v>265</v>
      </c>
      <c r="B271" s="49">
        <f>'Cash Flow'!B271</f>
        <v>47178</v>
      </c>
      <c r="C271" s="56">
        <f>'Cash Flow'!C271</f>
        <v>8.3333333333333329E-2</v>
      </c>
      <c r="D271" s="55"/>
      <c r="E271" s="57">
        <v>6.9369000000000056E-2</v>
      </c>
      <c r="F271" s="57"/>
      <c r="G271" s="57"/>
      <c r="H271" s="57"/>
      <c r="I271" s="57">
        <v>0.04</v>
      </c>
      <c r="J271" s="57"/>
      <c r="K271" s="57"/>
      <c r="L271" s="55"/>
      <c r="M271" s="78">
        <v>5.1430128318229462E-3</v>
      </c>
      <c r="N271" s="78">
        <v>0.01</v>
      </c>
      <c r="Q271" s="57"/>
      <c r="S271" s="55"/>
      <c r="T271" s="79">
        <f ca="1">OFFSET('Loss Timing'!D$6,MATCH($A271,'Loss Timing'!$A$7:$A$36,1),0)/12/PmtFreqAdd</f>
        <v>2.7777777777777779E-3</v>
      </c>
      <c r="U271" s="79">
        <f ca="1">OFFSET('Loss Timing'!E$6,MATCH($A271,'Loss Timing'!$A$7:$A$36,1),0)/12/PmtFreqAdd</f>
        <v>0</v>
      </c>
      <c r="V271" s="79">
        <f ca="1">OFFSET('Loss Timing'!F$6,MATCH($A271,'Loss Timing'!$A$7:$A$36,1),0)/12/PmtFreqAdd</f>
        <v>0</v>
      </c>
      <c r="W271" s="79">
        <f ca="1">OFFSET('Loss Timing'!G$6,MATCH($A271,'Loss Timing'!$A$7:$A$36,1),0)/12/PmtFreqAdd</f>
        <v>0</v>
      </c>
      <c r="X271" s="79">
        <f ca="1">OFFSET('Loss Timing'!H$6,MATCH($A271,'Loss Timing'!$A$7:$A$36,1),0)/12/PmtFreqAdd</f>
        <v>6.2499999999999995E-3</v>
      </c>
      <c r="Y271" s="55"/>
      <c r="Z271" s="68">
        <f t="shared" ca="1" si="20"/>
        <v>2.7777777777777779E-5</v>
      </c>
      <c r="AA271" s="68">
        <f t="shared" ca="1" si="21"/>
        <v>0</v>
      </c>
      <c r="AB271" s="68">
        <f t="shared" ca="1" si="22"/>
        <v>0</v>
      </c>
      <c r="AC271" s="68">
        <f t="shared" ca="1" si="23"/>
        <v>0</v>
      </c>
      <c r="AD271" s="68">
        <f t="shared" ca="1" si="24"/>
        <v>6.2500000000000001E-5</v>
      </c>
      <c r="AE271" s="55"/>
      <c r="AF271" s="68">
        <v>1.2500008594873435E-5</v>
      </c>
      <c r="AG271" s="81">
        <v>2.5000034375999292E-5</v>
      </c>
      <c r="AH271" s="68">
        <v>5.0000137497008268E-5</v>
      </c>
      <c r="AI271" s="55"/>
    </row>
    <row r="272" spans="1:35" x14ac:dyDescent="0.2">
      <c r="A272" s="27">
        <f>'Cash Flow'!A272</f>
        <v>266</v>
      </c>
      <c r="B272" s="49">
        <f>'Cash Flow'!B272</f>
        <v>47209</v>
      </c>
      <c r="C272" s="56">
        <f>'Cash Flow'!C272</f>
        <v>8.3333333333333329E-2</v>
      </c>
      <c r="D272" s="55"/>
      <c r="E272" s="57">
        <v>6.9369000000000056E-2</v>
      </c>
      <c r="F272" s="57"/>
      <c r="G272" s="57"/>
      <c r="H272" s="57"/>
      <c r="I272" s="57">
        <v>0.04</v>
      </c>
      <c r="J272" s="57"/>
      <c r="K272" s="57"/>
      <c r="L272" s="55"/>
      <c r="M272" s="78">
        <v>5.1430128318229462E-3</v>
      </c>
      <c r="N272" s="78">
        <v>0.01</v>
      </c>
      <c r="Q272" s="57"/>
      <c r="S272" s="55"/>
      <c r="T272" s="79">
        <f ca="1">OFFSET('Loss Timing'!D$6,MATCH($A272,'Loss Timing'!$A$7:$A$36,1),0)/12/PmtFreqAdd</f>
        <v>2.7777777777777779E-3</v>
      </c>
      <c r="U272" s="79">
        <f ca="1">OFFSET('Loss Timing'!E$6,MATCH($A272,'Loss Timing'!$A$7:$A$36,1),0)/12/PmtFreqAdd</f>
        <v>0</v>
      </c>
      <c r="V272" s="79">
        <f ca="1">OFFSET('Loss Timing'!F$6,MATCH($A272,'Loss Timing'!$A$7:$A$36,1),0)/12/PmtFreqAdd</f>
        <v>0</v>
      </c>
      <c r="W272" s="79">
        <f ca="1">OFFSET('Loss Timing'!G$6,MATCH($A272,'Loss Timing'!$A$7:$A$36,1),0)/12/PmtFreqAdd</f>
        <v>0</v>
      </c>
      <c r="X272" s="79">
        <f ca="1">OFFSET('Loss Timing'!H$6,MATCH($A272,'Loss Timing'!$A$7:$A$36,1),0)/12/PmtFreqAdd</f>
        <v>6.2499999999999995E-3</v>
      </c>
      <c r="Y272" s="55"/>
      <c r="Z272" s="68">
        <f t="shared" ca="1" si="20"/>
        <v>2.7777777777777779E-5</v>
      </c>
      <c r="AA272" s="68">
        <f t="shared" ca="1" si="21"/>
        <v>0</v>
      </c>
      <c r="AB272" s="68">
        <f t="shared" ca="1" si="22"/>
        <v>0</v>
      </c>
      <c r="AC272" s="68">
        <f t="shared" ca="1" si="23"/>
        <v>0</v>
      </c>
      <c r="AD272" s="68">
        <f t="shared" ca="1" si="24"/>
        <v>6.2500000000000001E-5</v>
      </c>
      <c r="AE272" s="55"/>
      <c r="AF272" s="68">
        <v>1.2500008594873435E-5</v>
      </c>
      <c r="AG272" s="81">
        <v>2.5000034375999292E-5</v>
      </c>
      <c r="AH272" s="68">
        <v>5.0000137497008268E-5</v>
      </c>
      <c r="AI272" s="55"/>
    </row>
    <row r="273" spans="1:35" x14ac:dyDescent="0.2">
      <c r="A273" s="27">
        <f>'Cash Flow'!A273</f>
        <v>267</v>
      </c>
      <c r="B273" s="49">
        <f>'Cash Flow'!B273</f>
        <v>47239</v>
      </c>
      <c r="C273" s="56">
        <f>'Cash Flow'!C273</f>
        <v>8.3333333333333329E-2</v>
      </c>
      <c r="D273" s="55"/>
      <c r="E273" s="57">
        <v>6.9369000000000056E-2</v>
      </c>
      <c r="F273" s="57"/>
      <c r="G273" s="57"/>
      <c r="H273" s="57"/>
      <c r="I273" s="57">
        <v>0.04</v>
      </c>
      <c r="J273" s="57"/>
      <c r="K273" s="57"/>
      <c r="L273" s="55"/>
      <c r="M273" s="78">
        <v>5.1430128318229462E-3</v>
      </c>
      <c r="N273" s="78">
        <v>0.01</v>
      </c>
      <c r="Q273" s="57"/>
      <c r="S273" s="55"/>
      <c r="T273" s="79">
        <f ca="1">OFFSET('Loss Timing'!D$6,MATCH($A273,'Loss Timing'!$A$7:$A$36,1),0)/12/PmtFreqAdd</f>
        <v>2.7777777777777779E-3</v>
      </c>
      <c r="U273" s="79">
        <f ca="1">OFFSET('Loss Timing'!E$6,MATCH($A273,'Loss Timing'!$A$7:$A$36,1),0)/12/PmtFreqAdd</f>
        <v>0</v>
      </c>
      <c r="V273" s="79">
        <f ca="1">OFFSET('Loss Timing'!F$6,MATCH($A273,'Loss Timing'!$A$7:$A$36,1),0)/12/PmtFreqAdd</f>
        <v>0</v>
      </c>
      <c r="W273" s="79">
        <f ca="1">OFFSET('Loss Timing'!G$6,MATCH($A273,'Loss Timing'!$A$7:$A$36,1),0)/12/PmtFreqAdd</f>
        <v>0</v>
      </c>
      <c r="X273" s="79">
        <f ca="1">OFFSET('Loss Timing'!H$6,MATCH($A273,'Loss Timing'!$A$7:$A$36,1),0)/12/PmtFreqAdd</f>
        <v>6.2499999999999995E-3</v>
      </c>
      <c r="Y273" s="55"/>
      <c r="Z273" s="68">
        <f t="shared" ca="1" si="20"/>
        <v>2.7777777777777779E-5</v>
      </c>
      <c r="AA273" s="68">
        <f t="shared" ca="1" si="21"/>
        <v>0</v>
      </c>
      <c r="AB273" s="68">
        <f t="shared" ca="1" si="22"/>
        <v>0</v>
      </c>
      <c r="AC273" s="68">
        <f t="shared" ca="1" si="23"/>
        <v>0</v>
      </c>
      <c r="AD273" s="68">
        <f t="shared" ca="1" si="24"/>
        <v>6.2500000000000001E-5</v>
      </c>
      <c r="AE273" s="55"/>
      <c r="AF273" s="68">
        <v>1.2500008594873435E-5</v>
      </c>
      <c r="AG273" s="81">
        <v>2.5000034375999292E-5</v>
      </c>
      <c r="AH273" s="68">
        <v>5.0000137497008268E-5</v>
      </c>
      <c r="AI273" s="55"/>
    </row>
    <row r="274" spans="1:35" x14ac:dyDescent="0.2">
      <c r="A274" s="27">
        <f>'Cash Flow'!A274</f>
        <v>268</v>
      </c>
      <c r="B274" s="49">
        <f>'Cash Flow'!B274</f>
        <v>47270</v>
      </c>
      <c r="C274" s="56">
        <f>'Cash Flow'!C274</f>
        <v>8.3333333333333329E-2</v>
      </c>
      <c r="D274" s="55"/>
      <c r="E274" s="57">
        <v>6.9369000000000056E-2</v>
      </c>
      <c r="F274" s="57"/>
      <c r="G274" s="57"/>
      <c r="H274" s="57"/>
      <c r="I274" s="57">
        <v>0.04</v>
      </c>
      <c r="J274" s="57"/>
      <c r="K274" s="57"/>
      <c r="L274" s="55"/>
      <c r="M274" s="78">
        <v>5.1430128318229462E-3</v>
      </c>
      <c r="N274" s="78">
        <v>0.01</v>
      </c>
      <c r="Q274" s="57"/>
      <c r="S274" s="55"/>
      <c r="T274" s="79">
        <f ca="1">OFFSET('Loss Timing'!D$6,MATCH($A274,'Loss Timing'!$A$7:$A$36,1),0)/12/PmtFreqAdd</f>
        <v>2.7777777777777779E-3</v>
      </c>
      <c r="U274" s="79">
        <f ca="1">OFFSET('Loss Timing'!E$6,MATCH($A274,'Loss Timing'!$A$7:$A$36,1),0)/12/PmtFreqAdd</f>
        <v>0</v>
      </c>
      <c r="V274" s="79">
        <f ca="1">OFFSET('Loss Timing'!F$6,MATCH($A274,'Loss Timing'!$A$7:$A$36,1),0)/12/PmtFreqAdd</f>
        <v>0</v>
      </c>
      <c r="W274" s="79">
        <f ca="1">OFFSET('Loss Timing'!G$6,MATCH($A274,'Loss Timing'!$A$7:$A$36,1),0)/12/PmtFreqAdd</f>
        <v>0</v>
      </c>
      <c r="X274" s="79">
        <f ca="1">OFFSET('Loss Timing'!H$6,MATCH($A274,'Loss Timing'!$A$7:$A$36,1),0)/12/PmtFreqAdd</f>
        <v>6.2499999999999995E-3</v>
      </c>
      <c r="Y274" s="55"/>
      <c r="Z274" s="68">
        <f t="shared" ca="1" si="20"/>
        <v>2.7777777777777779E-5</v>
      </c>
      <c r="AA274" s="68">
        <f t="shared" ca="1" si="21"/>
        <v>0</v>
      </c>
      <c r="AB274" s="68">
        <f t="shared" ca="1" si="22"/>
        <v>0</v>
      </c>
      <c r="AC274" s="68">
        <f t="shared" ca="1" si="23"/>
        <v>0</v>
      </c>
      <c r="AD274" s="68">
        <f t="shared" ca="1" si="24"/>
        <v>6.2500000000000001E-5</v>
      </c>
      <c r="AE274" s="55"/>
      <c r="AF274" s="68">
        <v>1.2500008594873435E-5</v>
      </c>
      <c r="AG274" s="81">
        <v>2.5000034375999292E-5</v>
      </c>
      <c r="AH274" s="68">
        <v>5.0000137497008268E-5</v>
      </c>
      <c r="AI274" s="55"/>
    </row>
    <row r="275" spans="1:35" x14ac:dyDescent="0.2">
      <c r="A275" s="27">
        <f>'Cash Flow'!A275</f>
        <v>269</v>
      </c>
      <c r="B275" s="49">
        <f>'Cash Flow'!B275</f>
        <v>47300</v>
      </c>
      <c r="C275" s="56">
        <f>'Cash Flow'!C275</f>
        <v>8.3333333333333329E-2</v>
      </c>
      <c r="D275" s="55"/>
      <c r="E275" s="57">
        <v>6.9369000000000056E-2</v>
      </c>
      <c r="F275" s="57"/>
      <c r="G275" s="57"/>
      <c r="H275" s="57"/>
      <c r="I275" s="57">
        <v>0.04</v>
      </c>
      <c r="J275" s="57"/>
      <c r="K275" s="57"/>
      <c r="L275" s="55"/>
      <c r="M275" s="78">
        <v>5.1430128318229462E-3</v>
      </c>
      <c r="N275" s="78">
        <v>0.01</v>
      </c>
      <c r="Q275" s="57"/>
      <c r="S275" s="55"/>
      <c r="T275" s="79">
        <f ca="1">OFFSET('Loss Timing'!D$6,MATCH($A275,'Loss Timing'!$A$7:$A$36,1),0)/12/PmtFreqAdd</f>
        <v>2.7777777777777779E-3</v>
      </c>
      <c r="U275" s="79">
        <f ca="1">OFFSET('Loss Timing'!E$6,MATCH($A275,'Loss Timing'!$A$7:$A$36,1),0)/12/PmtFreqAdd</f>
        <v>0</v>
      </c>
      <c r="V275" s="79">
        <f ca="1">OFFSET('Loss Timing'!F$6,MATCH($A275,'Loss Timing'!$A$7:$A$36,1),0)/12/PmtFreqAdd</f>
        <v>0</v>
      </c>
      <c r="W275" s="79">
        <f ca="1">OFFSET('Loss Timing'!G$6,MATCH($A275,'Loss Timing'!$A$7:$A$36,1),0)/12/PmtFreqAdd</f>
        <v>0</v>
      </c>
      <c r="X275" s="79">
        <f ca="1">OFFSET('Loss Timing'!H$6,MATCH($A275,'Loss Timing'!$A$7:$A$36,1),0)/12/PmtFreqAdd</f>
        <v>6.2499999999999995E-3</v>
      </c>
      <c r="Y275" s="55"/>
      <c r="Z275" s="68">
        <f t="shared" ca="1" si="20"/>
        <v>2.7777777777777779E-5</v>
      </c>
      <c r="AA275" s="68">
        <f t="shared" ca="1" si="21"/>
        <v>0</v>
      </c>
      <c r="AB275" s="68">
        <f t="shared" ca="1" si="22"/>
        <v>0</v>
      </c>
      <c r="AC275" s="68">
        <f t="shared" ca="1" si="23"/>
        <v>0</v>
      </c>
      <c r="AD275" s="68">
        <f t="shared" ca="1" si="24"/>
        <v>6.2500000000000001E-5</v>
      </c>
      <c r="AE275" s="55"/>
      <c r="AF275" s="68">
        <v>1.2500008594873435E-5</v>
      </c>
      <c r="AG275" s="81">
        <v>2.5000034375999292E-5</v>
      </c>
      <c r="AH275" s="68">
        <v>5.0000137497008268E-5</v>
      </c>
      <c r="AI275" s="55"/>
    </row>
    <row r="276" spans="1:35" x14ac:dyDescent="0.2">
      <c r="A276" s="27">
        <f>'Cash Flow'!A276</f>
        <v>270</v>
      </c>
      <c r="B276" s="49">
        <f>'Cash Flow'!B276</f>
        <v>47331</v>
      </c>
      <c r="C276" s="56">
        <f>'Cash Flow'!C276</f>
        <v>8.3333333333333329E-2</v>
      </c>
      <c r="D276" s="55"/>
      <c r="E276" s="57">
        <v>6.9369000000000056E-2</v>
      </c>
      <c r="F276" s="57"/>
      <c r="G276" s="57"/>
      <c r="H276" s="57"/>
      <c r="I276" s="57">
        <v>0.04</v>
      </c>
      <c r="J276" s="57"/>
      <c r="K276" s="57"/>
      <c r="L276" s="55"/>
      <c r="M276" s="78">
        <v>5.1430128318229462E-3</v>
      </c>
      <c r="N276" s="78">
        <v>0.01</v>
      </c>
      <c r="Q276" s="57"/>
      <c r="S276" s="55"/>
      <c r="T276" s="79">
        <f ca="1">OFFSET('Loss Timing'!D$6,MATCH($A276,'Loss Timing'!$A$7:$A$36,1),0)/12/PmtFreqAdd</f>
        <v>2.7777777777777779E-3</v>
      </c>
      <c r="U276" s="79">
        <f ca="1">OFFSET('Loss Timing'!E$6,MATCH($A276,'Loss Timing'!$A$7:$A$36,1),0)/12/PmtFreqAdd</f>
        <v>0</v>
      </c>
      <c r="V276" s="79">
        <f ca="1">OFFSET('Loss Timing'!F$6,MATCH($A276,'Loss Timing'!$A$7:$A$36,1),0)/12/PmtFreqAdd</f>
        <v>0</v>
      </c>
      <c r="W276" s="79">
        <f ca="1">OFFSET('Loss Timing'!G$6,MATCH($A276,'Loss Timing'!$A$7:$A$36,1),0)/12/PmtFreqAdd</f>
        <v>0</v>
      </c>
      <c r="X276" s="79">
        <f ca="1">OFFSET('Loss Timing'!H$6,MATCH($A276,'Loss Timing'!$A$7:$A$36,1),0)/12/PmtFreqAdd</f>
        <v>6.2499999999999995E-3</v>
      </c>
      <c r="Y276" s="55"/>
      <c r="Z276" s="68">
        <f t="shared" ca="1" si="20"/>
        <v>2.7777777777777779E-5</v>
      </c>
      <c r="AA276" s="68">
        <f t="shared" ca="1" si="21"/>
        <v>0</v>
      </c>
      <c r="AB276" s="68">
        <f t="shared" ca="1" si="22"/>
        <v>0</v>
      </c>
      <c r="AC276" s="68">
        <f t="shared" ca="1" si="23"/>
        <v>0</v>
      </c>
      <c r="AD276" s="68">
        <f t="shared" ca="1" si="24"/>
        <v>6.2500000000000001E-5</v>
      </c>
      <c r="AE276" s="55"/>
      <c r="AF276" s="68">
        <v>1.2500008594873435E-5</v>
      </c>
      <c r="AG276" s="81">
        <v>2.5000034375999292E-5</v>
      </c>
      <c r="AH276" s="68">
        <v>5.0000137497008268E-5</v>
      </c>
      <c r="AI276" s="55"/>
    </row>
    <row r="277" spans="1:35" x14ac:dyDescent="0.2">
      <c r="A277" s="27">
        <f>'Cash Flow'!A277</f>
        <v>271</v>
      </c>
      <c r="B277" s="49">
        <f>'Cash Flow'!B277</f>
        <v>47362</v>
      </c>
      <c r="C277" s="56">
        <f>'Cash Flow'!C277</f>
        <v>8.3333333333333329E-2</v>
      </c>
      <c r="D277" s="55"/>
      <c r="E277" s="57">
        <v>6.9369000000000056E-2</v>
      </c>
      <c r="F277" s="57"/>
      <c r="G277" s="57"/>
      <c r="H277" s="57"/>
      <c r="I277" s="57">
        <v>0.04</v>
      </c>
      <c r="J277" s="57"/>
      <c r="K277" s="57"/>
      <c r="L277" s="55"/>
      <c r="M277" s="78">
        <v>5.1430128318229462E-3</v>
      </c>
      <c r="N277" s="78">
        <v>0.01</v>
      </c>
      <c r="Q277" s="57"/>
      <c r="S277" s="55"/>
      <c r="T277" s="79">
        <f ca="1">OFFSET('Loss Timing'!D$6,MATCH($A277,'Loss Timing'!$A$7:$A$36,1),0)/12/PmtFreqAdd</f>
        <v>2.7777777777777779E-3</v>
      </c>
      <c r="U277" s="79">
        <f ca="1">OFFSET('Loss Timing'!E$6,MATCH($A277,'Loss Timing'!$A$7:$A$36,1),0)/12/PmtFreqAdd</f>
        <v>0</v>
      </c>
      <c r="V277" s="79">
        <f ca="1">OFFSET('Loss Timing'!F$6,MATCH($A277,'Loss Timing'!$A$7:$A$36,1),0)/12/PmtFreqAdd</f>
        <v>0</v>
      </c>
      <c r="W277" s="79">
        <f ca="1">OFFSET('Loss Timing'!G$6,MATCH($A277,'Loss Timing'!$A$7:$A$36,1),0)/12/PmtFreqAdd</f>
        <v>0</v>
      </c>
      <c r="X277" s="79">
        <f ca="1">OFFSET('Loss Timing'!H$6,MATCH($A277,'Loss Timing'!$A$7:$A$36,1),0)/12/PmtFreqAdd</f>
        <v>6.2499999999999995E-3</v>
      </c>
      <c r="Y277" s="55"/>
      <c r="Z277" s="68">
        <f t="shared" ca="1" si="20"/>
        <v>2.7777777777777779E-5</v>
      </c>
      <c r="AA277" s="68">
        <f t="shared" ca="1" si="21"/>
        <v>0</v>
      </c>
      <c r="AB277" s="68">
        <f t="shared" ca="1" si="22"/>
        <v>0</v>
      </c>
      <c r="AC277" s="68">
        <f t="shared" ca="1" si="23"/>
        <v>0</v>
      </c>
      <c r="AD277" s="68">
        <f t="shared" ca="1" si="24"/>
        <v>6.2500000000000001E-5</v>
      </c>
      <c r="AE277" s="55"/>
      <c r="AF277" s="68">
        <v>1.2500008594873435E-5</v>
      </c>
      <c r="AG277" s="81">
        <v>2.5000034375999292E-5</v>
      </c>
      <c r="AH277" s="68">
        <v>5.0000137497008268E-5</v>
      </c>
      <c r="AI277" s="55"/>
    </row>
    <row r="278" spans="1:35" x14ac:dyDescent="0.2">
      <c r="A278" s="27">
        <f>'Cash Flow'!A278</f>
        <v>272</v>
      </c>
      <c r="B278" s="49">
        <f>'Cash Flow'!B278</f>
        <v>47392</v>
      </c>
      <c r="C278" s="56">
        <f>'Cash Flow'!C278</f>
        <v>8.3333333333333329E-2</v>
      </c>
      <c r="D278" s="55"/>
      <c r="E278" s="57">
        <v>6.9369000000000056E-2</v>
      </c>
      <c r="F278" s="57"/>
      <c r="G278" s="57"/>
      <c r="H278" s="57"/>
      <c r="I278" s="57">
        <v>0.04</v>
      </c>
      <c r="J278" s="57"/>
      <c r="K278" s="57"/>
      <c r="L278" s="55"/>
      <c r="M278" s="78">
        <v>5.1430128318229462E-3</v>
      </c>
      <c r="N278" s="78">
        <v>0.01</v>
      </c>
      <c r="Q278" s="57"/>
      <c r="S278" s="55"/>
      <c r="T278" s="79">
        <f ca="1">OFFSET('Loss Timing'!D$6,MATCH($A278,'Loss Timing'!$A$7:$A$36,1),0)/12/PmtFreqAdd</f>
        <v>2.7777777777777779E-3</v>
      </c>
      <c r="U278" s="79">
        <f ca="1">OFFSET('Loss Timing'!E$6,MATCH($A278,'Loss Timing'!$A$7:$A$36,1),0)/12/PmtFreqAdd</f>
        <v>0</v>
      </c>
      <c r="V278" s="79">
        <f ca="1">OFFSET('Loss Timing'!F$6,MATCH($A278,'Loss Timing'!$A$7:$A$36,1),0)/12/PmtFreqAdd</f>
        <v>0</v>
      </c>
      <c r="W278" s="79">
        <f ca="1">OFFSET('Loss Timing'!G$6,MATCH($A278,'Loss Timing'!$A$7:$A$36,1),0)/12/PmtFreqAdd</f>
        <v>0</v>
      </c>
      <c r="X278" s="79">
        <f ca="1">OFFSET('Loss Timing'!H$6,MATCH($A278,'Loss Timing'!$A$7:$A$36,1),0)/12/PmtFreqAdd</f>
        <v>6.2499999999999995E-3</v>
      </c>
      <c r="Y278" s="55"/>
      <c r="Z278" s="68">
        <f t="shared" ca="1" si="20"/>
        <v>2.7777777777777779E-5</v>
      </c>
      <c r="AA278" s="68">
        <f t="shared" ca="1" si="21"/>
        <v>0</v>
      </c>
      <c r="AB278" s="68">
        <f t="shared" ca="1" si="22"/>
        <v>0</v>
      </c>
      <c r="AC278" s="68">
        <f t="shared" ca="1" si="23"/>
        <v>0</v>
      </c>
      <c r="AD278" s="68">
        <f t="shared" ca="1" si="24"/>
        <v>6.2500000000000001E-5</v>
      </c>
      <c r="AE278" s="55"/>
      <c r="AF278" s="68">
        <v>1.2500008594873435E-5</v>
      </c>
      <c r="AG278" s="81">
        <v>2.5000034375999292E-5</v>
      </c>
      <c r="AH278" s="68">
        <v>5.0000137497008268E-5</v>
      </c>
      <c r="AI278" s="55"/>
    </row>
    <row r="279" spans="1:35" x14ac:dyDescent="0.2">
      <c r="A279" s="27">
        <f>'Cash Flow'!A279</f>
        <v>273</v>
      </c>
      <c r="B279" s="49">
        <f>'Cash Flow'!B279</f>
        <v>47423</v>
      </c>
      <c r="C279" s="56">
        <f>'Cash Flow'!C279</f>
        <v>8.3333333333333329E-2</v>
      </c>
      <c r="D279" s="55"/>
      <c r="E279" s="57">
        <v>6.9369000000000056E-2</v>
      </c>
      <c r="F279" s="57"/>
      <c r="G279" s="57"/>
      <c r="H279" s="57"/>
      <c r="I279" s="57">
        <v>0.04</v>
      </c>
      <c r="J279" s="57"/>
      <c r="K279" s="57"/>
      <c r="L279" s="55"/>
      <c r="M279" s="78">
        <v>5.1430128318229462E-3</v>
      </c>
      <c r="N279" s="78">
        <v>0.01</v>
      </c>
      <c r="Q279" s="57"/>
      <c r="S279" s="55"/>
      <c r="T279" s="79">
        <f ca="1">OFFSET('Loss Timing'!D$6,MATCH($A279,'Loss Timing'!$A$7:$A$36,1),0)/12/PmtFreqAdd</f>
        <v>2.7777777777777779E-3</v>
      </c>
      <c r="U279" s="79">
        <f ca="1">OFFSET('Loss Timing'!E$6,MATCH($A279,'Loss Timing'!$A$7:$A$36,1),0)/12/PmtFreqAdd</f>
        <v>0</v>
      </c>
      <c r="V279" s="79">
        <f ca="1">OFFSET('Loss Timing'!F$6,MATCH($A279,'Loss Timing'!$A$7:$A$36,1),0)/12/PmtFreqAdd</f>
        <v>0</v>
      </c>
      <c r="W279" s="79">
        <f ca="1">OFFSET('Loss Timing'!G$6,MATCH($A279,'Loss Timing'!$A$7:$A$36,1),0)/12/PmtFreqAdd</f>
        <v>0</v>
      </c>
      <c r="X279" s="79">
        <f ca="1">OFFSET('Loss Timing'!H$6,MATCH($A279,'Loss Timing'!$A$7:$A$36,1),0)/12/PmtFreqAdd</f>
        <v>6.2499999999999995E-3</v>
      </c>
      <c r="Y279" s="55"/>
      <c r="Z279" s="68">
        <f t="shared" ca="1" si="20"/>
        <v>2.7777777777777779E-5</v>
      </c>
      <c r="AA279" s="68">
        <f t="shared" ca="1" si="21"/>
        <v>0</v>
      </c>
      <c r="AB279" s="68">
        <f t="shared" ca="1" si="22"/>
        <v>0</v>
      </c>
      <c r="AC279" s="68">
        <f t="shared" ca="1" si="23"/>
        <v>0</v>
      </c>
      <c r="AD279" s="68">
        <f t="shared" ca="1" si="24"/>
        <v>6.2500000000000001E-5</v>
      </c>
      <c r="AE279" s="55"/>
      <c r="AF279" s="68">
        <v>1.2500008594873435E-5</v>
      </c>
      <c r="AG279" s="81">
        <v>2.5000034375999292E-5</v>
      </c>
      <c r="AH279" s="68">
        <v>5.0000137497008268E-5</v>
      </c>
      <c r="AI279" s="55"/>
    </row>
    <row r="280" spans="1:35" x14ac:dyDescent="0.2">
      <c r="A280" s="27">
        <f>'Cash Flow'!A280</f>
        <v>274</v>
      </c>
      <c r="B280" s="49">
        <f>'Cash Flow'!B280</f>
        <v>47453</v>
      </c>
      <c r="C280" s="56">
        <f>'Cash Flow'!C280</f>
        <v>8.3333333333333329E-2</v>
      </c>
      <c r="D280" s="55"/>
      <c r="E280" s="57">
        <v>6.9369000000000056E-2</v>
      </c>
      <c r="F280" s="57"/>
      <c r="G280" s="57"/>
      <c r="H280" s="57"/>
      <c r="I280" s="57">
        <v>0.04</v>
      </c>
      <c r="J280" s="57"/>
      <c r="K280" s="57"/>
      <c r="L280" s="55"/>
      <c r="M280" s="78">
        <v>5.1430128318229462E-3</v>
      </c>
      <c r="N280" s="78">
        <v>0.01</v>
      </c>
      <c r="Q280" s="57"/>
      <c r="S280" s="55"/>
      <c r="T280" s="79">
        <f ca="1">OFFSET('Loss Timing'!D$6,MATCH($A280,'Loss Timing'!$A$7:$A$36,1),0)/12/PmtFreqAdd</f>
        <v>2.7777777777777779E-3</v>
      </c>
      <c r="U280" s="79">
        <f ca="1">OFFSET('Loss Timing'!E$6,MATCH($A280,'Loss Timing'!$A$7:$A$36,1),0)/12/PmtFreqAdd</f>
        <v>0</v>
      </c>
      <c r="V280" s="79">
        <f ca="1">OFFSET('Loss Timing'!F$6,MATCH($A280,'Loss Timing'!$A$7:$A$36,1),0)/12/PmtFreqAdd</f>
        <v>0</v>
      </c>
      <c r="W280" s="79">
        <f ca="1">OFFSET('Loss Timing'!G$6,MATCH($A280,'Loss Timing'!$A$7:$A$36,1),0)/12/PmtFreqAdd</f>
        <v>0</v>
      </c>
      <c r="X280" s="79">
        <f ca="1">OFFSET('Loss Timing'!H$6,MATCH($A280,'Loss Timing'!$A$7:$A$36,1),0)/12/PmtFreqAdd</f>
        <v>6.2499999999999995E-3</v>
      </c>
      <c r="Y280" s="55"/>
      <c r="Z280" s="68">
        <f t="shared" ca="1" si="20"/>
        <v>2.7777777777777779E-5</v>
      </c>
      <c r="AA280" s="68">
        <f t="shared" ca="1" si="21"/>
        <v>0</v>
      </c>
      <c r="AB280" s="68">
        <f t="shared" ca="1" si="22"/>
        <v>0</v>
      </c>
      <c r="AC280" s="68">
        <f t="shared" ca="1" si="23"/>
        <v>0</v>
      </c>
      <c r="AD280" s="68">
        <f t="shared" ca="1" si="24"/>
        <v>6.2500000000000001E-5</v>
      </c>
      <c r="AE280" s="55"/>
      <c r="AF280" s="68">
        <v>1.2500008594873435E-5</v>
      </c>
      <c r="AG280" s="81">
        <v>2.5000034375999292E-5</v>
      </c>
      <c r="AH280" s="68">
        <v>5.0000137497008268E-5</v>
      </c>
      <c r="AI280" s="55"/>
    </row>
    <row r="281" spans="1:35" x14ac:dyDescent="0.2">
      <c r="A281" s="27">
        <f>'Cash Flow'!A281</f>
        <v>275</v>
      </c>
      <c r="B281" s="49">
        <f>'Cash Flow'!B281</f>
        <v>47484</v>
      </c>
      <c r="C281" s="56">
        <f>'Cash Flow'!C281</f>
        <v>8.3333333333333329E-2</v>
      </c>
      <c r="D281" s="55"/>
      <c r="E281" s="57">
        <v>6.9369000000000056E-2</v>
      </c>
      <c r="F281" s="57"/>
      <c r="G281" s="57"/>
      <c r="H281" s="57"/>
      <c r="I281" s="57">
        <v>0.04</v>
      </c>
      <c r="J281" s="57"/>
      <c r="K281" s="57"/>
      <c r="L281" s="55"/>
      <c r="M281" s="78">
        <v>5.1430128318229462E-3</v>
      </c>
      <c r="N281" s="78">
        <v>0.01</v>
      </c>
      <c r="Q281" s="57"/>
      <c r="S281" s="55"/>
      <c r="T281" s="79">
        <f ca="1">OFFSET('Loss Timing'!D$6,MATCH($A281,'Loss Timing'!$A$7:$A$36,1),0)/12/PmtFreqAdd</f>
        <v>2.7777777777777779E-3</v>
      </c>
      <c r="U281" s="79">
        <f ca="1">OFFSET('Loss Timing'!E$6,MATCH($A281,'Loss Timing'!$A$7:$A$36,1),0)/12/PmtFreqAdd</f>
        <v>0</v>
      </c>
      <c r="V281" s="79">
        <f ca="1">OFFSET('Loss Timing'!F$6,MATCH($A281,'Loss Timing'!$A$7:$A$36,1),0)/12/PmtFreqAdd</f>
        <v>0</v>
      </c>
      <c r="W281" s="79">
        <f ca="1">OFFSET('Loss Timing'!G$6,MATCH($A281,'Loss Timing'!$A$7:$A$36,1),0)/12/PmtFreqAdd</f>
        <v>0</v>
      </c>
      <c r="X281" s="79">
        <f ca="1">OFFSET('Loss Timing'!H$6,MATCH($A281,'Loss Timing'!$A$7:$A$36,1),0)/12/PmtFreqAdd</f>
        <v>6.2499999999999995E-3</v>
      </c>
      <c r="Y281" s="55"/>
      <c r="Z281" s="68">
        <f t="shared" ca="1" si="20"/>
        <v>2.7777777777777779E-5</v>
      </c>
      <c r="AA281" s="68">
        <f t="shared" ca="1" si="21"/>
        <v>0</v>
      </c>
      <c r="AB281" s="68">
        <f t="shared" ca="1" si="22"/>
        <v>0</v>
      </c>
      <c r="AC281" s="68">
        <f t="shared" ca="1" si="23"/>
        <v>0</v>
      </c>
      <c r="AD281" s="68">
        <f t="shared" ca="1" si="24"/>
        <v>6.2500000000000001E-5</v>
      </c>
      <c r="AE281" s="55"/>
      <c r="AF281" s="68">
        <v>1.2500008594873435E-5</v>
      </c>
      <c r="AG281" s="81">
        <v>2.5000034375999292E-5</v>
      </c>
      <c r="AH281" s="68">
        <v>5.0000137497008268E-5</v>
      </c>
      <c r="AI281" s="55"/>
    </row>
    <row r="282" spans="1:35" x14ac:dyDescent="0.2">
      <c r="A282" s="27">
        <f>'Cash Flow'!A282</f>
        <v>276</v>
      </c>
      <c r="B282" s="49">
        <f>'Cash Flow'!B282</f>
        <v>47515</v>
      </c>
      <c r="C282" s="56">
        <f>'Cash Flow'!C282</f>
        <v>8.3333333333333329E-2</v>
      </c>
      <c r="D282" s="55"/>
      <c r="E282" s="57">
        <v>6.9369000000000056E-2</v>
      </c>
      <c r="F282" s="57"/>
      <c r="G282" s="57"/>
      <c r="H282" s="57"/>
      <c r="I282" s="57">
        <v>0.04</v>
      </c>
      <c r="J282" s="57"/>
      <c r="K282" s="57"/>
      <c r="L282" s="55"/>
      <c r="M282" s="78">
        <v>5.1430128318229462E-3</v>
      </c>
      <c r="N282" s="78">
        <v>0.01</v>
      </c>
      <c r="Q282" s="57"/>
      <c r="S282" s="55"/>
      <c r="T282" s="79">
        <f ca="1">OFFSET('Loss Timing'!D$6,MATCH($A282,'Loss Timing'!$A$7:$A$36,1),0)/12/PmtFreqAdd</f>
        <v>2.7777777777777779E-3</v>
      </c>
      <c r="U282" s="79">
        <f ca="1">OFFSET('Loss Timing'!E$6,MATCH($A282,'Loss Timing'!$A$7:$A$36,1),0)/12/PmtFreqAdd</f>
        <v>0</v>
      </c>
      <c r="V282" s="79">
        <f ca="1">OFFSET('Loss Timing'!F$6,MATCH($A282,'Loss Timing'!$A$7:$A$36,1),0)/12/PmtFreqAdd</f>
        <v>0</v>
      </c>
      <c r="W282" s="79">
        <f ca="1">OFFSET('Loss Timing'!G$6,MATCH($A282,'Loss Timing'!$A$7:$A$36,1),0)/12/PmtFreqAdd</f>
        <v>0</v>
      </c>
      <c r="X282" s="79">
        <f ca="1">OFFSET('Loss Timing'!H$6,MATCH($A282,'Loss Timing'!$A$7:$A$36,1),0)/12/PmtFreqAdd</f>
        <v>6.2499999999999995E-3</v>
      </c>
      <c r="Y282" s="55"/>
      <c r="Z282" s="68">
        <f t="shared" ca="1" si="20"/>
        <v>2.7777777777777779E-5</v>
      </c>
      <c r="AA282" s="68">
        <f t="shared" ca="1" si="21"/>
        <v>0</v>
      </c>
      <c r="AB282" s="68">
        <f t="shared" ca="1" si="22"/>
        <v>0</v>
      </c>
      <c r="AC282" s="68">
        <f t="shared" ca="1" si="23"/>
        <v>0</v>
      </c>
      <c r="AD282" s="68">
        <f t="shared" ca="1" si="24"/>
        <v>6.2500000000000001E-5</v>
      </c>
      <c r="AE282" s="55"/>
      <c r="AF282" s="68">
        <v>1.2500008594873435E-5</v>
      </c>
      <c r="AG282" s="81">
        <v>2.5000034375999292E-5</v>
      </c>
      <c r="AH282" s="68">
        <v>5.0000137497008268E-5</v>
      </c>
      <c r="AI282" s="55"/>
    </row>
    <row r="283" spans="1:35" x14ac:dyDescent="0.2">
      <c r="A283" s="27">
        <f>'Cash Flow'!A283</f>
        <v>277</v>
      </c>
      <c r="B283" s="49">
        <f>'Cash Flow'!B283</f>
        <v>47543</v>
      </c>
      <c r="C283" s="56">
        <f>'Cash Flow'!C283</f>
        <v>8.3333333333333329E-2</v>
      </c>
      <c r="D283" s="55"/>
      <c r="E283" s="57">
        <v>6.9369000000000056E-2</v>
      </c>
      <c r="F283" s="57"/>
      <c r="G283" s="57"/>
      <c r="H283" s="57"/>
      <c r="I283" s="57">
        <v>0.04</v>
      </c>
      <c r="J283" s="57"/>
      <c r="K283" s="57"/>
      <c r="L283" s="55"/>
      <c r="M283" s="78">
        <v>5.1430128318229462E-3</v>
      </c>
      <c r="N283" s="78">
        <v>0.01</v>
      </c>
      <c r="Q283" s="57"/>
      <c r="S283" s="55"/>
      <c r="T283" s="79">
        <f ca="1">OFFSET('Loss Timing'!D$6,MATCH($A283,'Loss Timing'!$A$7:$A$36,1),0)/12/PmtFreqAdd</f>
        <v>2.7777777777777779E-3</v>
      </c>
      <c r="U283" s="79">
        <f ca="1">OFFSET('Loss Timing'!E$6,MATCH($A283,'Loss Timing'!$A$7:$A$36,1),0)/12/PmtFreqAdd</f>
        <v>0</v>
      </c>
      <c r="V283" s="79">
        <f ca="1">OFFSET('Loss Timing'!F$6,MATCH($A283,'Loss Timing'!$A$7:$A$36,1),0)/12/PmtFreqAdd</f>
        <v>0</v>
      </c>
      <c r="W283" s="79">
        <f ca="1">OFFSET('Loss Timing'!G$6,MATCH($A283,'Loss Timing'!$A$7:$A$36,1),0)/12/PmtFreqAdd</f>
        <v>0</v>
      </c>
      <c r="X283" s="79">
        <f ca="1">OFFSET('Loss Timing'!H$6,MATCH($A283,'Loss Timing'!$A$7:$A$36,1),0)/12/PmtFreqAdd</f>
        <v>6.2499999999999995E-3</v>
      </c>
      <c r="Y283" s="55"/>
      <c r="Z283" s="68">
        <f t="shared" ca="1" si="20"/>
        <v>2.7777777777777779E-5</v>
      </c>
      <c r="AA283" s="68">
        <f t="shared" ca="1" si="21"/>
        <v>0</v>
      </c>
      <c r="AB283" s="68">
        <f t="shared" ca="1" si="22"/>
        <v>0</v>
      </c>
      <c r="AC283" s="68">
        <f t="shared" ca="1" si="23"/>
        <v>0</v>
      </c>
      <c r="AD283" s="68">
        <f t="shared" ca="1" si="24"/>
        <v>6.2500000000000001E-5</v>
      </c>
      <c r="AE283" s="55"/>
      <c r="AF283" s="68">
        <v>1.2500008594873435E-5</v>
      </c>
      <c r="AG283" s="81">
        <v>2.5000034375999292E-5</v>
      </c>
      <c r="AH283" s="68">
        <v>5.0000137497008268E-5</v>
      </c>
      <c r="AI283" s="55"/>
    </row>
    <row r="284" spans="1:35" x14ac:dyDescent="0.2">
      <c r="A284" s="27">
        <f>'Cash Flow'!A284</f>
        <v>278</v>
      </c>
      <c r="B284" s="49">
        <f>'Cash Flow'!B284</f>
        <v>47574</v>
      </c>
      <c r="C284" s="56">
        <f>'Cash Flow'!C284</f>
        <v>8.3333333333333329E-2</v>
      </c>
      <c r="D284" s="55"/>
      <c r="E284" s="57">
        <v>6.9369000000000056E-2</v>
      </c>
      <c r="F284" s="57"/>
      <c r="G284" s="57"/>
      <c r="H284" s="57"/>
      <c r="I284" s="57">
        <v>0.04</v>
      </c>
      <c r="J284" s="57"/>
      <c r="K284" s="57"/>
      <c r="L284" s="55"/>
      <c r="M284" s="78">
        <v>5.1430128318229462E-3</v>
      </c>
      <c r="N284" s="78">
        <v>0.01</v>
      </c>
      <c r="Q284" s="57"/>
      <c r="S284" s="55"/>
      <c r="T284" s="79">
        <f ca="1">OFFSET('Loss Timing'!D$6,MATCH($A284,'Loss Timing'!$A$7:$A$36,1),0)/12/PmtFreqAdd</f>
        <v>2.7777777777777779E-3</v>
      </c>
      <c r="U284" s="79">
        <f ca="1">OFFSET('Loss Timing'!E$6,MATCH($A284,'Loss Timing'!$A$7:$A$36,1),0)/12/PmtFreqAdd</f>
        <v>0</v>
      </c>
      <c r="V284" s="79">
        <f ca="1">OFFSET('Loss Timing'!F$6,MATCH($A284,'Loss Timing'!$A$7:$A$36,1),0)/12/PmtFreqAdd</f>
        <v>0</v>
      </c>
      <c r="W284" s="79">
        <f ca="1">OFFSET('Loss Timing'!G$6,MATCH($A284,'Loss Timing'!$A$7:$A$36,1),0)/12/PmtFreqAdd</f>
        <v>0</v>
      </c>
      <c r="X284" s="79">
        <f ca="1">OFFSET('Loss Timing'!H$6,MATCH($A284,'Loss Timing'!$A$7:$A$36,1),0)/12/PmtFreqAdd</f>
        <v>6.2499999999999995E-3</v>
      </c>
      <c r="Y284" s="55"/>
      <c r="Z284" s="68">
        <f t="shared" ca="1" si="20"/>
        <v>2.7777777777777779E-5</v>
      </c>
      <c r="AA284" s="68">
        <f t="shared" ca="1" si="21"/>
        <v>0</v>
      </c>
      <c r="AB284" s="68">
        <f t="shared" ca="1" si="22"/>
        <v>0</v>
      </c>
      <c r="AC284" s="68">
        <f t="shared" ca="1" si="23"/>
        <v>0</v>
      </c>
      <c r="AD284" s="68">
        <f t="shared" ca="1" si="24"/>
        <v>6.2500000000000001E-5</v>
      </c>
      <c r="AE284" s="55"/>
      <c r="AF284" s="68">
        <v>1.2500008594873435E-5</v>
      </c>
      <c r="AG284" s="81">
        <v>2.5000034375999292E-5</v>
      </c>
      <c r="AH284" s="68">
        <v>5.0000137497008268E-5</v>
      </c>
      <c r="AI284" s="55"/>
    </row>
    <row r="285" spans="1:35" x14ac:dyDescent="0.2">
      <c r="A285" s="27">
        <f>'Cash Flow'!A285</f>
        <v>279</v>
      </c>
      <c r="B285" s="49">
        <f>'Cash Flow'!B285</f>
        <v>47604</v>
      </c>
      <c r="C285" s="56">
        <f>'Cash Flow'!C285</f>
        <v>8.3333333333333329E-2</v>
      </c>
      <c r="D285" s="55"/>
      <c r="E285" s="57">
        <v>6.9369000000000056E-2</v>
      </c>
      <c r="F285" s="57"/>
      <c r="G285" s="57"/>
      <c r="H285" s="57"/>
      <c r="I285" s="57">
        <v>0.04</v>
      </c>
      <c r="J285" s="57"/>
      <c r="K285" s="57"/>
      <c r="L285" s="55"/>
      <c r="M285" s="78">
        <v>5.1430128318229462E-3</v>
      </c>
      <c r="N285" s="78">
        <v>0.01</v>
      </c>
      <c r="Q285" s="57"/>
      <c r="S285" s="55"/>
      <c r="T285" s="79">
        <f ca="1">OFFSET('Loss Timing'!D$6,MATCH($A285,'Loss Timing'!$A$7:$A$36,1),0)/12/PmtFreqAdd</f>
        <v>2.7777777777777779E-3</v>
      </c>
      <c r="U285" s="79">
        <f ca="1">OFFSET('Loss Timing'!E$6,MATCH($A285,'Loss Timing'!$A$7:$A$36,1),0)/12/PmtFreqAdd</f>
        <v>0</v>
      </c>
      <c r="V285" s="79">
        <f ca="1">OFFSET('Loss Timing'!F$6,MATCH($A285,'Loss Timing'!$A$7:$A$36,1),0)/12/PmtFreqAdd</f>
        <v>0</v>
      </c>
      <c r="W285" s="79">
        <f ca="1">OFFSET('Loss Timing'!G$6,MATCH($A285,'Loss Timing'!$A$7:$A$36,1),0)/12/PmtFreqAdd</f>
        <v>0</v>
      </c>
      <c r="X285" s="79">
        <f ca="1">OFFSET('Loss Timing'!H$6,MATCH($A285,'Loss Timing'!$A$7:$A$36,1),0)/12/PmtFreqAdd</f>
        <v>6.2499999999999995E-3</v>
      </c>
      <c r="Y285" s="55"/>
      <c r="Z285" s="68">
        <f t="shared" ca="1" si="20"/>
        <v>2.7777777777777779E-5</v>
      </c>
      <c r="AA285" s="68">
        <f t="shared" ca="1" si="21"/>
        <v>0</v>
      </c>
      <c r="AB285" s="68">
        <f t="shared" ca="1" si="22"/>
        <v>0</v>
      </c>
      <c r="AC285" s="68">
        <f t="shared" ca="1" si="23"/>
        <v>0</v>
      </c>
      <c r="AD285" s="68">
        <f t="shared" ca="1" si="24"/>
        <v>6.2500000000000001E-5</v>
      </c>
      <c r="AE285" s="55"/>
      <c r="AF285" s="68">
        <v>1.2500008594873435E-5</v>
      </c>
      <c r="AG285" s="81">
        <v>2.5000034375999292E-5</v>
      </c>
      <c r="AH285" s="68">
        <v>5.0000137497008268E-5</v>
      </c>
      <c r="AI285" s="55"/>
    </row>
    <row r="286" spans="1:35" x14ac:dyDescent="0.2">
      <c r="A286" s="27">
        <f>'Cash Flow'!A286</f>
        <v>280</v>
      </c>
      <c r="B286" s="49">
        <f>'Cash Flow'!B286</f>
        <v>47635</v>
      </c>
      <c r="C286" s="56">
        <f>'Cash Flow'!C286</f>
        <v>8.3333333333333329E-2</v>
      </c>
      <c r="D286" s="55"/>
      <c r="E286" s="57">
        <v>6.9369000000000056E-2</v>
      </c>
      <c r="F286" s="57"/>
      <c r="G286" s="57"/>
      <c r="H286" s="57"/>
      <c r="I286" s="57">
        <v>0.04</v>
      </c>
      <c r="J286" s="57"/>
      <c r="K286" s="57"/>
      <c r="L286" s="55"/>
      <c r="M286" s="78">
        <v>5.1430128318229462E-3</v>
      </c>
      <c r="N286" s="78">
        <v>0.01</v>
      </c>
      <c r="Q286" s="57"/>
      <c r="S286" s="55"/>
      <c r="T286" s="79">
        <f ca="1">OFFSET('Loss Timing'!D$6,MATCH($A286,'Loss Timing'!$A$7:$A$36,1),0)/12/PmtFreqAdd</f>
        <v>2.7777777777777779E-3</v>
      </c>
      <c r="U286" s="79">
        <f ca="1">OFFSET('Loss Timing'!E$6,MATCH($A286,'Loss Timing'!$A$7:$A$36,1),0)/12/PmtFreqAdd</f>
        <v>0</v>
      </c>
      <c r="V286" s="79">
        <f ca="1">OFFSET('Loss Timing'!F$6,MATCH($A286,'Loss Timing'!$A$7:$A$36,1),0)/12/PmtFreqAdd</f>
        <v>0</v>
      </c>
      <c r="W286" s="79">
        <f ca="1">OFFSET('Loss Timing'!G$6,MATCH($A286,'Loss Timing'!$A$7:$A$36,1),0)/12/PmtFreqAdd</f>
        <v>0</v>
      </c>
      <c r="X286" s="79">
        <f ca="1">OFFSET('Loss Timing'!H$6,MATCH($A286,'Loss Timing'!$A$7:$A$36,1),0)/12/PmtFreqAdd</f>
        <v>6.2499999999999995E-3</v>
      </c>
      <c r="Y286" s="55"/>
      <c r="Z286" s="68">
        <f t="shared" ca="1" si="20"/>
        <v>2.7777777777777779E-5</v>
      </c>
      <c r="AA286" s="68">
        <f t="shared" ca="1" si="21"/>
        <v>0</v>
      </c>
      <c r="AB286" s="68">
        <f t="shared" ca="1" si="22"/>
        <v>0</v>
      </c>
      <c r="AC286" s="68">
        <f t="shared" ca="1" si="23"/>
        <v>0</v>
      </c>
      <c r="AD286" s="68">
        <f t="shared" ca="1" si="24"/>
        <v>6.2500000000000001E-5</v>
      </c>
      <c r="AE286" s="55"/>
      <c r="AF286" s="68">
        <v>1.2500008594873435E-5</v>
      </c>
      <c r="AG286" s="81">
        <v>2.5000034375999292E-5</v>
      </c>
      <c r="AH286" s="68">
        <v>5.0000137497008268E-5</v>
      </c>
      <c r="AI286" s="55"/>
    </row>
    <row r="287" spans="1:35" x14ac:dyDescent="0.2">
      <c r="A287" s="27">
        <f>'Cash Flow'!A287</f>
        <v>281</v>
      </c>
      <c r="B287" s="49">
        <f>'Cash Flow'!B287</f>
        <v>47665</v>
      </c>
      <c r="C287" s="56">
        <f>'Cash Flow'!C287</f>
        <v>8.3333333333333329E-2</v>
      </c>
      <c r="D287" s="55"/>
      <c r="E287" s="57">
        <v>6.9369000000000056E-2</v>
      </c>
      <c r="F287" s="57"/>
      <c r="G287" s="57"/>
      <c r="H287" s="57"/>
      <c r="I287" s="57">
        <v>0.04</v>
      </c>
      <c r="J287" s="57"/>
      <c r="K287" s="57"/>
      <c r="L287" s="55"/>
      <c r="M287" s="78">
        <v>5.1430128318229462E-3</v>
      </c>
      <c r="N287" s="78">
        <v>0.01</v>
      </c>
      <c r="Q287" s="57"/>
      <c r="S287" s="55"/>
      <c r="T287" s="79">
        <f ca="1">OFFSET('Loss Timing'!D$6,MATCH($A287,'Loss Timing'!$A$7:$A$36,1),0)/12/PmtFreqAdd</f>
        <v>2.7777777777777779E-3</v>
      </c>
      <c r="U287" s="79">
        <f ca="1">OFFSET('Loss Timing'!E$6,MATCH($A287,'Loss Timing'!$A$7:$A$36,1),0)/12/PmtFreqAdd</f>
        <v>0</v>
      </c>
      <c r="V287" s="79">
        <f ca="1">OFFSET('Loss Timing'!F$6,MATCH($A287,'Loss Timing'!$A$7:$A$36,1),0)/12/PmtFreqAdd</f>
        <v>0</v>
      </c>
      <c r="W287" s="79">
        <f ca="1">OFFSET('Loss Timing'!G$6,MATCH($A287,'Loss Timing'!$A$7:$A$36,1),0)/12/PmtFreqAdd</f>
        <v>0</v>
      </c>
      <c r="X287" s="79">
        <f ca="1">OFFSET('Loss Timing'!H$6,MATCH($A287,'Loss Timing'!$A$7:$A$36,1),0)/12/PmtFreqAdd</f>
        <v>6.2499999999999995E-3</v>
      </c>
      <c r="Y287" s="55"/>
      <c r="Z287" s="68">
        <f t="shared" ca="1" si="20"/>
        <v>2.7777777777777779E-5</v>
      </c>
      <c r="AA287" s="68">
        <f t="shared" ca="1" si="21"/>
        <v>0</v>
      </c>
      <c r="AB287" s="68">
        <f t="shared" ca="1" si="22"/>
        <v>0</v>
      </c>
      <c r="AC287" s="68">
        <f t="shared" ca="1" si="23"/>
        <v>0</v>
      </c>
      <c r="AD287" s="68">
        <f t="shared" ca="1" si="24"/>
        <v>6.2500000000000001E-5</v>
      </c>
      <c r="AE287" s="55"/>
      <c r="AF287" s="68">
        <v>1.2500008594873435E-5</v>
      </c>
      <c r="AG287" s="81">
        <v>2.5000034375999292E-5</v>
      </c>
      <c r="AH287" s="68">
        <v>5.0000137497008268E-5</v>
      </c>
      <c r="AI287" s="55"/>
    </row>
    <row r="288" spans="1:35" x14ac:dyDescent="0.2">
      <c r="A288" s="27">
        <f>'Cash Flow'!A288</f>
        <v>282</v>
      </c>
      <c r="B288" s="49">
        <f>'Cash Flow'!B288</f>
        <v>47696</v>
      </c>
      <c r="C288" s="56">
        <f>'Cash Flow'!C288</f>
        <v>8.3333333333333329E-2</v>
      </c>
      <c r="D288" s="55"/>
      <c r="E288" s="57">
        <v>6.9369000000000056E-2</v>
      </c>
      <c r="F288" s="57"/>
      <c r="G288" s="57"/>
      <c r="H288" s="57"/>
      <c r="I288" s="57">
        <v>0.04</v>
      </c>
      <c r="J288" s="57"/>
      <c r="K288" s="57"/>
      <c r="L288" s="55"/>
      <c r="M288" s="78">
        <v>5.1430128318229462E-3</v>
      </c>
      <c r="N288" s="78">
        <v>0.01</v>
      </c>
      <c r="Q288" s="57"/>
      <c r="S288" s="55"/>
      <c r="T288" s="79">
        <f ca="1">OFFSET('Loss Timing'!D$6,MATCH($A288,'Loss Timing'!$A$7:$A$36,1),0)/12/PmtFreqAdd</f>
        <v>2.7777777777777779E-3</v>
      </c>
      <c r="U288" s="79">
        <f ca="1">OFFSET('Loss Timing'!E$6,MATCH($A288,'Loss Timing'!$A$7:$A$36,1),0)/12/PmtFreqAdd</f>
        <v>0</v>
      </c>
      <c r="V288" s="79">
        <f ca="1">OFFSET('Loss Timing'!F$6,MATCH($A288,'Loss Timing'!$A$7:$A$36,1),0)/12/PmtFreqAdd</f>
        <v>0</v>
      </c>
      <c r="W288" s="79">
        <f ca="1">OFFSET('Loss Timing'!G$6,MATCH($A288,'Loss Timing'!$A$7:$A$36,1),0)/12/PmtFreqAdd</f>
        <v>0</v>
      </c>
      <c r="X288" s="79">
        <f ca="1">OFFSET('Loss Timing'!H$6,MATCH($A288,'Loss Timing'!$A$7:$A$36,1),0)/12/PmtFreqAdd</f>
        <v>6.2499999999999995E-3</v>
      </c>
      <c r="Y288" s="55"/>
      <c r="Z288" s="68">
        <f t="shared" ca="1" si="20"/>
        <v>2.7777777777777779E-5</v>
      </c>
      <c r="AA288" s="68">
        <f t="shared" ca="1" si="21"/>
        <v>0</v>
      </c>
      <c r="AB288" s="68">
        <f t="shared" ca="1" si="22"/>
        <v>0</v>
      </c>
      <c r="AC288" s="68">
        <f t="shared" ca="1" si="23"/>
        <v>0</v>
      </c>
      <c r="AD288" s="68">
        <f t="shared" ca="1" si="24"/>
        <v>6.2500000000000001E-5</v>
      </c>
      <c r="AE288" s="55"/>
      <c r="AF288" s="68">
        <v>1.2500008594873435E-5</v>
      </c>
      <c r="AG288" s="81">
        <v>2.5000034375999292E-5</v>
      </c>
      <c r="AH288" s="68">
        <v>5.0000137497008268E-5</v>
      </c>
      <c r="AI288" s="55"/>
    </row>
    <row r="289" spans="1:35" x14ac:dyDescent="0.2">
      <c r="A289" s="27">
        <f>'Cash Flow'!A289</f>
        <v>283</v>
      </c>
      <c r="B289" s="49">
        <f>'Cash Flow'!B289</f>
        <v>47727</v>
      </c>
      <c r="C289" s="56">
        <f>'Cash Flow'!C289</f>
        <v>8.3333333333333329E-2</v>
      </c>
      <c r="D289" s="55"/>
      <c r="E289" s="57">
        <v>6.9369000000000056E-2</v>
      </c>
      <c r="F289" s="57"/>
      <c r="G289" s="57"/>
      <c r="H289" s="57"/>
      <c r="I289" s="57">
        <v>0.04</v>
      </c>
      <c r="J289" s="57"/>
      <c r="K289" s="57"/>
      <c r="L289" s="55"/>
      <c r="M289" s="78">
        <v>5.1430128318229462E-3</v>
      </c>
      <c r="N289" s="78">
        <v>0.01</v>
      </c>
      <c r="Q289" s="57"/>
      <c r="S289" s="55"/>
      <c r="T289" s="79">
        <f ca="1">OFFSET('Loss Timing'!D$6,MATCH($A289,'Loss Timing'!$A$7:$A$36,1),0)/12/PmtFreqAdd</f>
        <v>2.7777777777777779E-3</v>
      </c>
      <c r="U289" s="79">
        <f ca="1">OFFSET('Loss Timing'!E$6,MATCH($A289,'Loss Timing'!$A$7:$A$36,1),0)/12/PmtFreqAdd</f>
        <v>0</v>
      </c>
      <c r="V289" s="79">
        <f ca="1">OFFSET('Loss Timing'!F$6,MATCH($A289,'Loss Timing'!$A$7:$A$36,1),0)/12/PmtFreqAdd</f>
        <v>0</v>
      </c>
      <c r="W289" s="79">
        <f ca="1">OFFSET('Loss Timing'!G$6,MATCH($A289,'Loss Timing'!$A$7:$A$36,1),0)/12/PmtFreqAdd</f>
        <v>0</v>
      </c>
      <c r="X289" s="79">
        <f ca="1">OFFSET('Loss Timing'!H$6,MATCH($A289,'Loss Timing'!$A$7:$A$36,1),0)/12/PmtFreqAdd</f>
        <v>6.2499999999999995E-3</v>
      </c>
      <c r="Y289" s="55"/>
      <c r="Z289" s="68">
        <f t="shared" ca="1" si="20"/>
        <v>2.7777777777777779E-5</v>
      </c>
      <c r="AA289" s="68">
        <f t="shared" ca="1" si="21"/>
        <v>0</v>
      </c>
      <c r="AB289" s="68">
        <f t="shared" ca="1" si="22"/>
        <v>0</v>
      </c>
      <c r="AC289" s="68">
        <f t="shared" ca="1" si="23"/>
        <v>0</v>
      </c>
      <c r="AD289" s="68">
        <f t="shared" ca="1" si="24"/>
        <v>6.2500000000000001E-5</v>
      </c>
      <c r="AE289" s="55"/>
      <c r="AF289" s="68">
        <v>1.2500008594873435E-5</v>
      </c>
      <c r="AG289" s="81">
        <v>2.5000034375999292E-5</v>
      </c>
      <c r="AH289" s="68">
        <v>5.0000137497008268E-5</v>
      </c>
      <c r="AI289" s="55"/>
    </row>
    <row r="290" spans="1:35" x14ac:dyDescent="0.2">
      <c r="A290" s="27">
        <f>'Cash Flow'!A290</f>
        <v>284</v>
      </c>
      <c r="B290" s="49">
        <f>'Cash Flow'!B290</f>
        <v>47757</v>
      </c>
      <c r="C290" s="56">
        <f>'Cash Flow'!C290</f>
        <v>8.3333333333333329E-2</v>
      </c>
      <c r="D290" s="55"/>
      <c r="E290" s="57">
        <v>6.9369000000000056E-2</v>
      </c>
      <c r="F290" s="57"/>
      <c r="G290" s="57"/>
      <c r="H290" s="57"/>
      <c r="I290" s="57">
        <v>0.04</v>
      </c>
      <c r="J290" s="57"/>
      <c r="K290" s="57"/>
      <c r="L290" s="55"/>
      <c r="M290" s="78">
        <v>5.1430128318229462E-3</v>
      </c>
      <c r="N290" s="78">
        <v>0.01</v>
      </c>
      <c r="Q290" s="57"/>
      <c r="S290" s="55"/>
      <c r="T290" s="79">
        <f ca="1">OFFSET('Loss Timing'!D$6,MATCH($A290,'Loss Timing'!$A$7:$A$36,1),0)/12/PmtFreqAdd</f>
        <v>2.7777777777777779E-3</v>
      </c>
      <c r="U290" s="79">
        <f ca="1">OFFSET('Loss Timing'!E$6,MATCH($A290,'Loss Timing'!$A$7:$A$36,1),0)/12/PmtFreqAdd</f>
        <v>0</v>
      </c>
      <c r="V290" s="79">
        <f ca="1">OFFSET('Loss Timing'!F$6,MATCH($A290,'Loss Timing'!$A$7:$A$36,1),0)/12/PmtFreqAdd</f>
        <v>0</v>
      </c>
      <c r="W290" s="79">
        <f ca="1">OFFSET('Loss Timing'!G$6,MATCH($A290,'Loss Timing'!$A$7:$A$36,1),0)/12/PmtFreqAdd</f>
        <v>0</v>
      </c>
      <c r="X290" s="79">
        <f ca="1">OFFSET('Loss Timing'!H$6,MATCH($A290,'Loss Timing'!$A$7:$A$36,1),0)/12/PmtFreqAdd</f>
        <v>6.2499999999999995E-3</v>
      </c>
      <c r="Y290" s="55"/>
      <c r="Z290" s="68">
        <f t="shared" ca="1" si="20"/>
        <v>2.7777777777777779E-5</v>
      </c>
      <c r="AA290" s="68">
        <f t="shared" ca="1" si="21"/>
        <v>0</v>
      </c>
      <c r="AB290" s="68">
        <f t="shared" ca="1" si="22"/>
        <v>0</v>
      </c>
      <c r="AC290" s="68">
        <f t="shared" ca="1" si="23"/>
        <v>0</v>
      </c>
      <c r="AD290" s="68">
        <f t="shared" ca="1" si="24"/>
        <v>6.2500000000000001E-5</v>
      </c>
      <c r="AE290" s="55"/>
      <c r="AF290" s="68">
        <v>1.2500008594873435E-5</v>
      </c>
      <c r="AG290" s="81">
        <v>2.5000034375999292E-5</v>
      </c>
      <c r="AH290" s="68">
        <v>5.0000137497008268E-5</v>
      </c>
      <c r="AI290" s="55"/>
    </row>
    <row r="291" spans="1:35" x14ac:dyDescent="0.2">
      <c r="A291" s="27">
        <f>'Cash Flow'!A291</f>
        <v>285</v>
      </c>
      <c r="B291" s="49">
        <f>'Cash Flow'!B291</f>
        <v>47788</v>
      </c>
      <c r="C291" s="56">
        <f>'Cash Flow'!C291</f>
        <v>8.3333333333333329E-2</v>
      </c>
      <c r="D291" s="55"/>
      <c r="E291" s="57">
        <v>6.9369000000000056E-2</v>
      </c>
      <c r="F291" s="57"/>
      <c r="G291" s="57"/>
      <c r="H291" s="57"/>
      <c r="I291" s="57">
        <v>0.04</v>
      </c>
      <c r="J291" s="57"/>
      <c r="K291" s="57"/>
      <c r="L291" s="55"/>
      <c r="M291" s="78">
        <v>5.1430128318229462E-3</v>
      </c>
      <c r="N291" s="78">
        <v>0.01</v>
      </c>
      <c r="Q291" s="57"/>
      <c r="S291" s="55"/>
      <c r="T291" s="79">
        <f ca="1">OFFSET('Loss Timing'!D$6,MATCH($A291,'Loss Timing'!$A$7:$A$36,1),0)/12/PmtFreqAdd</f>
        <v>2.7777777777777779E-3</v>
      </c>
      <c r="U291" s="79">
        <f ca="1">OFFSET('Loss Timing'!E$6,MATCH($A291,'Loss Timing'!$A$7:$A$36,1),0)/12/PmtFreqAdd</f>
        <v>0</v>
      </c>
      <c r="V291" s="79">
        <f ca="1">OFFSET('Loss Timing'!F$6,MATCH($A291,'Loss Timing'!$A$7:$A$36,1),0)/12/PmtFreqAdd</f>
        <v>0</v>
      </c>
      <c r="W291" s="79">
        <f ca="1">OFFSET('Loss Timing'!G$6,MATCH($A291,'Loss Timing'!$A$7:$A$36,1),0)/12/PmtFreqAdd</f>
        <v>0</v>
      </c>
      <c r="X291" s="79">
        <f ca="1">OFFSET('Loss Timing'!H$6,MATCH($A291,'Loss Timing'!$A$7:$A$36,1),0)/12/PmtFreqAdd</f>
        <v>6.2499999999999995E-3</v>
      </c>
      <c r="Y291" s="55"/>
      <c r="Z291" s="68">
        <f t="shared" ca="1" si="20"/>
        <v>2.7777777777777779E-5</v>
      </c>
      <c r="AA291" s="68">
        <f t="shared" ca="1" si="21"/>
        <v>0</v>
      </c>
      <c r="AB291" s="68">
        <f t="shared" ca="1" si="22"/>
        <v>0</v>
      </c>
      <c r="AC291" s="68">
        <f t="shared" ca="1" si="23"/>
        <v>0</v>
      </c>
      <c r="AD291" s="68">
        <f t="shared" ca="1" si="24"/>
        <v>6.2500000000000001E-5</v>
      </c>
      <c r="AE291" s="55"/>
      <c r="AF291" s="68">
        <v>1.2500008594873435E-5</v>
      </c>
      <c r="AG291" s="81">
        <v>2.5000034375999292E-5</v>
      </c>
      <c r="AH291" s="68">
        <v>5.0000137497008268E-5</v>
      </c>
      <c r="AI291" s="55"/>
    </row>
    <row r="292" spans="1:35" x14ac:dyDescent="0.2">
      <c r="A292" s="27">
        <f>'Cash Flow'!A292</f>
        <v>286</v>
      </c>
      <c r="B292" s="49">
        <f>'Cash Flow'!B292</f>
        <v>47818</v>
      </c>
      <c r="C292" s="56">
        <f>'Cash Flow'!C292</f>
        <v>8.3333333333333329E-2</v>
      </c>
      <c r="D292" s="55"/>
      <c r="E292" s="57">
        <v>6.9369000000000056E-2</v>
      </c>
      <c r="F292" s="57"/>
      <c r="G292" s="57"/>
      <c r="H292" s="57"/>
      <c r="I292" s="57">
        <v>0.04</v>
      </c>
      <c r="J292" s="57"/>
      <c r="K292" s="57"/>
      <c r="L292" s="55"/>
      <c r="M292" s="78">
        <v>5.1430128318229462E-3</v>
      </c>
      <c r="N292" s="78">
        <v>0.01</v>
      </c>
      <c r="Q292" s="57"/>
      <c r="S292" s="55"/>
      <c r="T292" s="79">
        <f ca="1">OFFSET('Loss Timing'!D$6,MATCH($A292,'Loss Timing'!$A$7:$A$36,1),0)/12/PmtFreqAdd</f>
        <v>2.7777777777777779E-3</v>
      </c>
      <c r="U292" s="79">
        <f ca="1">OFFSET('Loss Timing'!E$6,MATCH($A292,'Loss Timing'!$A$7:$A$36,1),0)/12/PmtFreqAdd</f>
        <v>0</v>
      </c>
      <c r="V292" s="79">
        <f ca="1">OFFSET('Loss Timing'!F$6,MATCH($A292,'Loss Timing'!$A$7:$A$36,1),0)/12/PmtFreqAdd</f>
        <v>0</v>
      </c>
      <c r="W292" s="79">
        <f ca="1">OFFSET('Loss Timing'!G$6,MATCH($A292,'Loss Timing'!$A$7:$A$36,1),0)/12/PmtFreqAdd</f>
        <v>0</v>
      </c>
      <c r="X292" s="79">
        <f ca="1">OFFSET('Loss Timing'!H$6,MATCH($A292,'Loss Timing'!$A$7:$A$36,1),0)/12/PmtFreqAdd</f>
        <v>6.2499999999999995E-3</v>
      </c>
      <c r="Y292" s="55"/>
      <c r="Z292" s="68">
        <f t="shared" ca="1" si="20"/>
        <v>2.7777777777777779E-5</v>
      </c>
      <c r="AA292" s="68">
        <f t="shared" ca="1" si="21"/>
        <v>0</v>
      </c>
      <c r="AB292" s="68">
        <f t="shared" ca="1" si="22"/>
        <v>0</v>
      </c>
      <c r="AC292" s="68">
        <f t="shared" ca="1" si="23"/>
        <v>0</v>
      </c>
      <c r="AD292" s="68">
        <f t="shared" ca="1" si="24"/>
        <v>6.2500000000000001E-5</v>
      </c>
      <c r="AE292" s="55"/>
      <c r="AF292" s="68">
        <v>1.2500008594873435E-5</v>
      </c>
      <c r="AG292" s="81">
        <v>2.5000034375999292E-5</v>
      </c>
      <c r="AH292" s="68">
        <v>5.0000137497008268E-5</v>
      </c>
      <c r="AI292" s="55"/>
    </row>
    <row r="293" spans="1:35" x14ac:dyDescent="0.2">
      <c r="A293" s="27">
        <f>'Cash Flow'!A293</f>
        <v>287</v>
      </c>
      <c r="B293" s="49">
        <f>'Cash Flow'!B293</f>
        <v>47849</v>
      </c>
      <c r="C293" s="56">
        <f>'Cash Flow'!C293</f>
        <v>8.3333333333333329E-2</v>
      </c>
      <c r="D293" s="55"/>
      <c r="E293" s="57">
        <v>6.9369000000000056E-2</v>
      </c>
      <c r="F293" s="57"/>
      <c r="G293" s="57"/>
      <c r="H293" s="57"/>
      <c r="I293" s="57">
        <v>0.04</v>
      </c>
      <c r="J293" s="57"/>
      <c r="K293" s="57"/>
      <c r="L293" s="55"/>
      <c r="M293" s="78">
        <v>5.1430128318229462E-3</v>
      </c>
      <c r="N293" s="78">
        <v>0.01</v>
      </c>
      <c r="Q293" s="57"/>
      <c r="S293" s="55"/>
      <c r="T293" s="79">
        <f ca="1">OFFSET('Loss Timing'!D$6,MATCH($A293,'Loss Timing'!$A$7:$A$36,1),0)/12/PmtFreqAdd</f>
        <v>2.7777777777777779E-3</v>
      </c>
      <c r="U293" s="79">
        <f ca="1">OFFSET('Loss Timing'!E$6,MATCH($A293,'Loss Timing'!$A$7:$A$36,1),0)/12/PmtFreqAdd</f>
        <v>0</v>
      </c>
      <c r="V293" s="79">
        <f ca="1">OFFSET('Loss Timing'!F$6,MATCH($A293,'Loss Timing'!$A$7:$A$36,1),0)/12/PmtFreqAdd</f>
        <v>0</v>
      </c>
      <c r="W293" s="79">
        <f ca="1">OFFSET('Loss Timing'!G$6,MATCH($A293,'Loss Timing'!$A$7:$A$36,1),0)/12/PmtFreqAdd</f>
        <v>0</v>
      </c>
      <c r="X293" s="79">
        <f ca="1">OFFSET('Loss Timing'!H$6,MATCH($A293,'Loss Timing'!$A$7:$A$36,1),0)/12/PmtFreqAdd</f>
        <v>6.2499999999999995E-3</v>
      </c>
      <c r="Y293" s="55"/>
      <c r="Z293" s="68">
        <f t="shared" ca="1" si="20"/>
        <v>2.7777777777777779E-5</v>
      </c>
      <c r="AA293" s="68">
        <f t="shared" ca="1" si="21"/>
        <v>0</v>
      </c>
      <c r="AB293" s="68">
        <f t="shared" ca="1" si="22"/>
        <v>0</v>
      </c>
      <c r="AC293" s="68">
        <f t="shared" ca="1" si="23"/>
        <v>0</v>
      </c>
      <c r="AD293" s="68">
        <f t="shared" ca="1" si="24"/>
        <v>6.2500000000000001E-5</v>
      </c>
      <c r="AE293" s="55"/>
      <c r="AF293" s="68">
        <v>1.2500008594873435E-5</v>
      </c>
      <c r="AG293" s="81">
        <v>2.5000034375999292E-5</v>
      </c>
      <c r="AH293" s="68">
        <v>5.0000137497008268E-5</v>
      </c>
      <c r="AI293" s="55"/>
    </row>
    <row r="294" spans="1:35" x14ac:dyDescent="0.2">
      <c r="A294" s="27">
        <f>'Cash Flow'!A294</f>
        <v>288</v>
      </c>
      <c r="B294" s="49">
        <f>'Cash Flow'!B294</f>
        <v>47880</v>
      </c>
      <c r="C294" s="56">
        <f>'Cash Flow'!C294</f>
        <v>8.3333333333333329E-2</v>
      </c>
      <c r="D294" s="55"/>
      <c r="E294" s="57">
        <v>6.9369000000000056E-2</v>
      </c>
      <c r="F294" s="57"/>
      <c r="G294" s="57"/>
      <c r="H294" s="57"/>
      <c r="I294" s="57">
        <v>0.04</v>
      </c>
      <c r="J294" s="57"/>
      <c r="K294" s="57"/>
      <c r="L294" s="55"/>
      <c r="M294" s="78">
        <v>5.1430128318229462E-3</v>
      </c>
      <c r="N294" s="78">
        <v>0.01</v>
      </c>
      <c r="Q294" s="57"/>
      <c r="S294" s="55"/>
      <c r="T294" s="79">
        <f ca="1">OFFSET('Loss Timing'!D$6,MATCH($A294,'Loss Timing'!$A$7:$A$36,1),0)/12/PmtFreqAdd</f>
        <v>2.7777777777777779E-3</v>
      </c>
      <c r="U294" s="79">
        <f ca="1">OFFSET('Loss Timing'!E$6,MATCH($A294,'Loss Timing'!$A$7:$A$36,1),0)/12/PmtFreqAdd</f>
        <v>0</v>
      </c>
      <c r="V294" s="79">
        <f ca="1">OFFSET('Loss Timing'!F$6,MATCH($A294,'Loss Timing'!$A$7:$A$36,1),0)/12/PmtFreqAdd</f>
        <v>0</v>
      </c>
      <c r="W294" s="79">
        <f ca="1">OFFSET('Loss Timing'!G$6,MATCH($A294,'Loss Timing'!$A$7:$A$36,1),0)/12/PmtFreqAdd</f>
        <v>0</v>
      </c>
      <c r="X294" s="79">
        <f ca="1">OFFSET('Loss Timing'!H$6,MATCH($A294,'Loss Timing'!$A$7:$A$36,1),0)/12/PmtFreqAdd</f>
        <v>6.2499999999999995E-3</v>
      </c>
      <c r="Y294" s="55"/>
      <c r="Z294" s="68">
        <f t="shared" ca="1" si="20"/>
        <v>2.7777777777777779E-5</v>
      </c>
      <c r="AA294" s="68">
        <f t="shared" ca="1" si="21"/>
        <v>0</v>
      </c>
      <c r="AB294" s="68">
        <f t="shared" ca="1" si="22"/>
        <v>0</v>
      </c>
      <c r="AC294" s="68">
        <f t="shared" ca="1" si="23"/>
        <v>0</v>
      </c>
      <c r="AD294" s="68">
        <f t="shared" ca="1" si="24"/>
        <v>6.2500000000000001E-5</v>
      </c>
      <c r="AE294" s="55"/>
      <c r="AF294" s="68">
        <v>1.2500008594873435E-5</v>
      </c>
      <c r="AG294" s="81">
        <v>2.5000034375999292E-5</v>
      </c>
      <c r="AH294" s="68">
        <v>5.0000137497008268E-5</v>
      </c>
      <c r="AI294" s="55"/>
    </row>
    <row r="295" spans="1:35" x14ac:dyDescent="0.2">
      <c r="A295" s="27">
        <f>'Cash Flow'!A295</f>
        <v>289</v>
      </c>
      <c r="B295" s="49">
        <f>'Cash Flow'!B295</f>
        <v>47908</v>
      </c>
      <c r="C295" s="56">
        <f>'Cash Flow'!C295</f>
        <v>8.3333333333333329E-2</v>
      </c>
      <c r="D295" s="55"/>
      <c r="E295" s="57">
        <v>6.9369000000000056E-2</v>
      </c>
      <c r="F295" s="57"/>
      <c r="G295" s="57"/>
      <c r="H295" s="57"/>
      <c r="I295" s="57">
        <v>0.04</v>
      </c>
      <c r="J295" s="57"/>
      <c r="K295" s="57"/>
      <c r="L295" s="55"/>
      <c r="M295" s="78">
        <v>5.1430128318229462E-3</v>
      </c>
      <c r="N295" s="78">
        <v>0.01</v>
      </c>
      <c r="Q295" s="57"/>
      <c r="S295" s="55"/>
      <c r="T295" s="79">
        <f ca="1">OFFSET('Loss Timing'!D$6,MATCH($A295,'Loss Timing'!$A$7:$A$36,1),0)/12/PmtFreqAdd</f>
        <v>2.7777777777777779E-3</v>
      </c>
      <c r="U295" s="79">
        <f ca="1">OFFSET('Loss Timing'!E$6,MATCH($A295,'Loss Timing'!$A$7:$A$36,1),0)/12/PmtFreqAdd</f>
        <v>0</v>
      </c>
      <c r="V295" s="79">
        <f ca="1">OFFSET('Loss Timing'!F$6,MATCH($A295,'Loss Timing'!$A$7:$A$36,1),0)/12/PmtFreqAdd</f>
        <v>0</v>
      </c>
      <c r="W295" s="79">
        <f ca="1">OFFSET('Loss Timing'!G$6,MATCH($A295,'Loss Timing'!$A$7:$A$36,1),0)/12/PmtFreqAdd</f>
        <v>0</v>
      </c>
      <c r="X295" s="79">
        <f ca="1">OFFSET('Loss Timing'!H$6,MATCH($A295,'Loss Timing'!$A$7:$A$36,1),0)/12/PmtFreqAdd</f>
        <v>6.2499999999999995E-3</v>
      </c>
      <c r="Y295" s="55"/>
      <c r="Z295" s="68">
        <f t="shared" ca="1" si="20"/>
        <v>2.7777777777777779E-5</v>
      </c>
      <c r="AA295" s="68">
        <f t="shared" ca="1" si="21"/>
        <v>0</v>
      </c>
      <c r="AB295" s="68">
        <f t="shared" ca="1" si="22"/>
        <v>0</v>
      </c>
      <c r="AC295" s="68">
        <f t="shared" ca="1" si="23"/>
        <v>0</v>
      </c>
      <c r="AD295" s="68">
        <f t="shared" ca="1" si="24"/>
        <v>6.2500000000000001E-5</v>
      </c>
      <c r="AE295" s="55"/>
      <c r="AF295" s="68">
        <v>1.2500008594873435E-5</v>
      </c>
      <c r="AG295" s="81">
        <v>2.5000034375999292E-5</v>
      </c>
      <c r="AH295" s="68">
        <v>5.0000137497008268E-5</v>
      </c>
      <c r="AI295" s="55"/>
    </row>
    <row r="296" spans="1:35" x14ac:dyDescent="0.2">
      <c r="A296" s="27">
        <f>'Cash Flow'!A296</f>
        <v>290</v>
      </c>
      <c r="B296" s="49">
        <f>'Cash Flow'!B296</f>
        <v>47939</v>
      </c>
      <c r="C296" s="56">
        <f>'Cash Flow'!C296</f>
        <v>8.3333333333333329E-2</v>
      </c>
      <c r="D296" s="55"/>
      <c r="E296" s="57">
        <v>6.9369000000000056E-2</v>
      </c>
      <c r="F296" s="57"/>
      <c r="G296" s="57"/>
      <c r="H296" s="57"/>
      <c r="I296" s="57">
        <v>0.04</v>
      </c>
      <c r="J296" s="57"/>
      <c r="K296" s="57"/>
      <c r="L296" s="55"/>
      <c r="M296" s="78">
        <v>5.1430128318229462E-3</v>
      </c>
      <c r="N296" s="78">
        <v>0.01</v>
      </c>
      <c r="Q296" s="57"/>
      <c r="S296" s="55"/>
      <c r="T296" s="79">
        <f ca="1">OFFSET('Loss Timing'!D$6,MATCH($A296,'Loss Timing'!$A$7:$A$36,1),0)/12/PmtFreqAdd</f>
        <v>2.7777777777777779E-3</v>
      </c>
      <c r="U296" s="79">
        <f ca="1">OFFSET('Loss Timing'!E$6,MATCH($A296,'Loss Timing'!$A$7:$A$36,1),0)/12/PmtFreqAdd</f>
        <v>0</v>
      </c>
      <c r="V296" s="79">
        <f ca="1">OFFSET('Loss Timing'!F$6,MATCH($A296,'Loss Timing'!$A$7:$A$36,1),0)/12/PmtFreqAdd</f>
        <v>0</v>
      </c>
      <c r="W296" s="79">
        <f ca="1">OFFSET('Loss Timing'!G$6,MATCH($A296,'Loss Timing'!$A$7:$A$36,1),0)/12/PmtFreqAdd</f>
        <v>0</v>
      </c>
      <c r="X296" s="79">
        <f ca="1">OFFSET('Loss Timing'!H$6,MATCH($A296,'Loss Timing'!$A$7:$A$36,1),0)/12/PmtFreqAdd</f>
        <v>6.2499999999999995E-3</v>
      </c>
      <c r="Y296" s="55"/>
      <c r="Z296" s="68">
        <f t="shared" ca="1" si="20"/>
        <v>2.7777777777777779E-5</v>
      </c>
      <c r="AA296" s="68">
        <f t="shared" ca="1" si="21"/>
        <v>0</v>
      </c>
      <c r="AB296" s="68">
        <f t="shared" ca="1" si="22"/>
        <v>0</v>
      </c>
      <c r="AC296" s="68">
        <f t="shared" ca="1" si="23"/>
        <v>0</v>
      </c>
      <c r="AD296" s="68">
        <f t="shared" ca="1" si="24"/>
        <v>6.2500000000000001E-5</v>
      </c>
      <c r="AE296" s="55"/>
      <c r="AF296" s="68">
        <v>1.2500008594873435E-5</v>
      </c>
      <c r="AG296" s="81">
        <v>2.5000034375999292E-5</v>
      </c>
      <c r="AH296" s="68">
        <v>5.0000137497008268E-5</v>
      </c>
      <c r="AI296" s="55"/>
    </row>
    <row r="297" spans="1:35" x14ac:dyDescent="0.2">
      <c r="A297" s="27">
        <f>'Cash Flow'!A297</f>
        <v>291</v>
      </c>
      <c r="B297" s="49">
        <f>'Cash Flow'!B297</f>
        <v>47969</v>
      </c>
      <c r="C297" s="56">
        <f>'Cash Flow'!C297</f>
        <v>8.3333333333333329E-2</v>
      </c>
      <c r="D297" s="55"/>
      <c r="E297" s="57">
        <v>6.9369000000000056E-2</v>
      </c>
      <c r="F297" s="57"/>
      <c r="G297" s="57"/>
      <c r="H297" s="57"/>
      <c r="I297" s="57">
        <v>0.04</v>
      </c>
      <c r="J297" s="57"/>
      <c r="K297" s="57"/>
      <c r="L297" s="55"/>
      <c r="M297" s="78">
        <v>5.1430128318229462E-3</v>
      </c>
      <c r="N297" s="78">
        <v>0.01</v>
      </c>
      <c r="Q297" s="57"/>
      <c r="S297" s="55"/>
      <c r="T297" s="79">
        <f ca="1">OFFSET('Loss Timing'!D$6,MATCH($A297,'Loss Timing'!$A$7:$A$36,1),0)/12/PmtFreqAdd</f>
        <v>2.7777777777777779E-3</v>
      </c>
      <c r="U297" s="79">
        <f ca="1">OFFSET('Loss Timing'!E$6,MATCH($A297,'Loss Timing'!$A$7:$A$36,1),0)/12/PmtFreqAdd</f>
        <v>0</v>
      </c>
      <c r="V297" s="79">
        <f ca="1">OFFSET('Loss Timing'!F$6,MATCH($A297,'Loss Timing'!$A$7:$A$36,1),0)/12/PmtFreqAdd</f>
        <v>0</v>
      </c>
      <c r="W297" s="79">
        <f ca="1">OFFSET('Loss Timing'!G$6,MATCH($A297,'Loss Timing'!$A$7:$A$36,1),0)/12/PmtFreqAdd</f>
        <v>0</v>
      </c>
      <c r="X297" s="79">
        <f ca="1">OFFSET('Loss Timing'!H$6,MATCH($A297,'Loss Timing'!$A$7:$A$36,1),0)/12/PmtFreqAdd</f>
        <v>6.2499999999999995E-3</v>
      </c>
      <c r="Y297" s="55"/>
      <c r="Z297" s="68">
        <f t="shared" ca="1" si="20"/>
        <v>2.7777777777777779E-5</v>
      </c>
      <c r="AA297" s="68">
        <f t="shared" ca="1" si="21"/>
        <v>0</v>
      </c>
      <c r="AB297" s="68">
        <f t="shared" ca="1" si="22"/>
        <v>0</v>
      </c>
      <c r="AC297" s="68">
        <f t="shared" ca="1" si="23"/>
        <v>0</v>
      </c>
      <c r="AD297" s="68">
        <f t="shared" ca="1" si="24"/>
        <v>6.2500000000000001E-5</v>
      </c>
      <c r="AE297" s="55"/>
      <c r="AF297" s="68">
        <v>1.2500008594873435E-5</v>
      </c>
      <c r="AG297" s="81">
        <v>2.5000034375999292E-5</v>
      </c>
      <c r="AH297" s="68">
        <v>5.0000137497008268E-5</v>
      </c>
      <c r="AI297" s="55"/>
    </row>
    <row r="298" spans="1:35" x14ac:dyDescent="0.2">
      <c r="A298" s="27">
        <f>'Cash Flow'!A298</f>
        <v>292</v>
      </c>
      <c r="B298" s="49">
        <f>'Cash Flow'!B298</f>
        <v>48000</v>
      </c>
      <c r="C298" s="56">
        <f>'Cash Flow'!C298</f>
        <v>8.3333333333333329E-2</v>
      </c>
      <c r="D298" s="55"/>
      <c r="E298" s="57">
        <v>6.9369000000000056E-2</v>
      </c>
      <c r="F298" s="57"/>
      <c r="G298" s="57"/>
      <c r="H298" s="57"/>
      <c r="I298" s="57">
        <v>0.04</v>
      </c>
      <c r="J298" s="57"/>
      <c r="K298" s="57"/>
      <c r="L298" s="55"/>
      <c r="M298" s="78">
        <v>5.1430128318229462E-3</v>
      </c>
      <c r="N298" s="78">
        <v>0.01</v>
      </c>
      <c r="Q298" s="57"/>
      <c r="S298" s="55"/>
      <c r="T298" s="79">
        <f ca="1">OFFSET('Loss Timing'!D$6,MATCH($A298,'Loss Timing'!$A$7:$A$36,1),0)/12/PmtFreqAdd</f>
        <v>2.7777777777777779E-3</v>
      </c>
      <c r="U298" s="79">
        <f ca="1">OFFSET('Loss Timing'!E$6,MATCH($A298,'Loss Timing'!$A$7:$A$36,1),0)/12/PmtFreqAdd</f>
        <v>0</v>
      </c>
      <c r="V298" s="79">
        <f ca="1">OFFSET('Loss Timing'!F$6,MATCH($A298,'Loss Timing'!$A$7:$A$36,1),0)/12/PmtFreqAdd</f>
        <v>0</v>
      </c>
      <c r="W298" s="79">
        <f ca="1">OFFSET('Loss Timing'!G$6,MATCH($A298,'Loss Timing'!$A$7:$A$36,1),0)/12/PmtFreqAdd</f>
        <v>0</v>
      </c>
      <c r="X298" s="79">
        <f ca="1">OFFSET('Loss Timing'!H$6,MATCH($A298,'Loss Timing'!$A$7:$A$36,1),0)/12/PmtFreqAdd</f>
        <v>6.2499999999999995E-3</v>
      </c>
      <c r="Y298" s="55"/>
      <c r="Z298" s="68">
        <f t="shared" ca="1" si="20"/>
        <v>2.7777777777777779E-5</v>
      </c>
      <c r="AA298" s="68">
        <f t="shared" ca="1" si="21"/>
        <v>0</v>
      </c>
      <c r="AB298" s="68">
        <f t="shared" ca="1" si="22"/>
        <v>0</v>
      </c>
      <c r="AC298" s="68">
        <f t="shared" ca="1" si="23"/>
        <v>0</v>
      </c>
      <c r="AD298" s="68">
        <f t="shared" ca="1" si="24"/>
        <v>6.2500000000000001E-5</v>
      </c>
      <c r="AE298" s="55"/>
      <c r="AF298" s="68">
        <v>1.2500008594873435E-5</v>
      </c>
      <c r="AG298" s="81">
        <v>2.5000034375999292E-5</v>
      </c>
      <c r="AH298" s="68">
        <v>5.0000137497008268E-5</v>
      </c>
      <c r="AI298" s="55"/>
    </row>
    <row r="299" spans="1:35" x14ac:dyDescent="0.2">
      <c r="A299" s="27">
        <f>'Cash Flow'!A299</f>
        <v>293</v>
      </c>
      <c r="B299" s="49">
        <f>'Cash Flow'!B299</f>
        <v>48030</v>
      </c>
      <c r="C299" s="56">
        <f>'Cash Flow'!C299</f>
        <v>8.3333333333333329E-2</v>
      </c>
      <c r="D299" s="55"/>
      <c r="E299" s="57">
        <v>6.9369000000000056E-2</v>
      </c>
      <c r="F299" s="57"/>
      <c r="G299" s="57"/>
      <c r="H299" s="57"/>
      <c r="I299" s="57">
        <v>0.04</v>
      </c>
      <c r="J299" s="57"/>
      <c r="K299" s="57"/>
      <c r="L299" s="55"/>
      <c r="M299" s="78">
        <v>5.1430128318229462E-3</v>
      </c>
      <c r="N299" s="78">
        <v>0.01</v>
      </c>
      <c r="Q299" s="57"/>
      <c r="S299" s="55"/>
      <c r="T299" s="79">
        <f ca="1">OFFSET('Loss Timing'!D$6,MATCH($A299,'Loss Timing'!$A$7:$A$36,1),0)/12/PmtFreqAdd</f>
        <v>2.7777777777777779E-3</v>
      </c>
      <c r="U299" s="79">
        <f ca="1">OFFSET('Loss Timing'!E$6,MATCH($A299,'Loss Timing'!$A$7:$A$36,1),0)/12/PmtFreqAdd</f>
        <v>0</v>
      </c>
      <c r="V299" s="79">
        <f ca="1">OFFSET('Loss Timing'!F$6,MATCH($A299,'Loss Timing'!$A$7:$A$36,1),0)/12/PmtFreqAdd</f>
        <v>0</v>
      </c>
      <c r="W299" s="79">
        <f ca="1">OFFSET('Loss Timing'!G$6,MATCH($A299,'Loss Timing'!$A$7:$A$36,1),0)/12/PmtFreqAdd</f>
        <v>0</v>
      </c>
      <c r="X299" s="79">
        <f ca="1">OFFSET('Loss Timing'!H$6,MATCH($A299,'Loss Timing'!$A$7:$A$36,1),0)/12/PmtFreqAdd</f>
        <v>6.2499999999999995E-3</v>
      </c>
      <c r="Y299" s="55"/>
      <c r="Z299" s="68">
        <f t="shared" ca="1" si="20"/>
        <v>2.7777777777777779E-5</v>
      </c>
      <c r="AA299" s="68">
        <f t="shared" ca="1" si="21"/>
        <v>0</v>
      </c>
      <c r="AB299" s="68">
        <f t="shared" ca="1" si="22"/>
        <v>0</v>
      </c>
      <c r="AC299" s="68">
        <f t="shared" ca="1" si="23"/>
        <v>0</v>
      </c>
      <c r="AD299" s="68">
        <f t="shared" ca="1" si="24"/>
        <v>6.2500000000000001E-5</v>
      </c>
      <c r="AE299" s="55"/>
      <c r="AF299" s="68">
        <v>1.2500008594873435E-5</v>
      </c>
      <c r="AG299" s="81">
        <v>2.5000034375999292E-5</v>
      </c>
      <c r="AH299" s="68">
        <v>5.0000137497008268E-5</v>
      </c>
      <c r="AI299" s="55"/>
    </row>
    <row r="300" spans="1:35" x14ac:dyDescent="0.2">
      <c r="A300" s="27">
        <f>'Cash Flow'!A300</f>
        <v>294</v>
      </c>
      <c r="B300" s="49">
        <f>'Cash Flow'!B300</f>
        <v>48061</v>
      </c>
      <c r="C300" s="56">
        <f>'Cash Flow'!C300</f>
        <v>8.3333333333333329E-2</v>
      </c>
      <c r="D300" s="55"/>
      <c r="E300" s="57">
        <v>6.9369000000000056E-2</v>
      </c>
      <c r="F300" s="57"/>
      <c r="G300" s="57"/>
      <c r="H300" s="57"/>
      <c r="I300" s="57">
        <v>0.04</v>
      </c>
      <c r="J300" s="57"/>
      <c r="K300" s="57"/>
      <c r="L300" s="55"/>
      <c r="M300" s="78">
        <v>5.1430128318229462E-3</v>
      </c>
      <c r="N300" s="78">
        <v>0.01</v>
      </c>
      <c r="Q300" s="57"/>
      <c r="S300" s="55"/>
      <c r="T300" s="79">
        <f ca="1">OFFSET('Loss Timing'!D$6,MATCH($A300,'Loss Timing'!$A$7:$A$36,1),0)/12/PmtFreqAdd</f>
        <v>2.7777777777777779E-3</v>
      </c>
      <c r="U300" s="79">
        <f ca="1">OFFSET('Loss Timing'!E$6,MATCH($A300,'Loss Timing'!$A$7:$A$36,1),0)/12/PmtFreqAdd</f>
        <v>0</v>
      </c>
      <c r="V300" s="79">
        <f ca="1">OFFSET('Loss Timing'!F$6,MATCH($A300,'Loss Timing'!$A$7:$A$36,1),0)/12/PmtFreqAdd</f>
        <v>0</v>
      </c>
      <c r="W300" s="79">
        <f ca="1">OFFSET('Loss Timing'!G$6,MATCH($A300,'Loss Timing'!$A$7:$A$36,1),0)/12/PmtFreqAdd</f>
        <v>0</v>
      </c>
      <c r="X300" s="79">
        <f ca="1">OFFSET('Loss Timing'!H$6,MATCH($A300,'Loss Timing'!$A$7:$A$36,1),0)/12/PmtFreqAdd</f>
        <v>6.2499999999999995E-3</v>
      </c>
      <c r="Y300" s="55"/>
      <c r="Z300" s="68">
        <f t="shared" ca="1" si="20"/>
        <v>2.7777777777777779E-5</v>
      </c>
      <c r="AA300" s="68">
        <f t="shared" ca="1" si="21"/>
        <v>0</v>
      </c>
      <c r="AB300" s="68">
        <f t="shared" ca="1" si="22"/>
        <v>0</v>
      </c>
      <c r="AC300" s="68">
        <f t="shared" ca="1" si="23"/>
        <v>0</v>
      </c>
      <c r="AD300" s="68">
        <f t="shared" ca="1" si="24"/>
        <v>6.2500000000000001E-5</v>
      </c>
      <c r="AE300" s="55"/>
      <c r="AF300" s="68">
        <v>1.2500008594873435E-5</v>
      </c>
      <c r="AG300" s="81">
        <v>2.5000034375999292E-5</v>
      </c>
      <c r="AH300" s="68">
        <v>5.0000137497008268E-5</v>
      </c>
      <c r="AI300" s="55"/>
    </row>
    <row r="301" spans="1:35" x14ac:dyDescent="0.2">
      <c r="A301" s="27">
        <f>'Cash Flow'!A301</f>
        <v>295</v>
      </c>
      <c r="B301" s="49">
        <f>'Cash Flow'!B301</f>
        <v>48092</v>
      </c>
      <c r="C301" s="56">
        <f>'Cash Flow'!C301</f>
        <v>8.3333333333333329E-2</v>
      </c>
      <c r="D301" s="55"/>
      <c r="E301" s="57">
        <v>6.9369000000000056E-2</v>
      </c>
      <c r="F301" s="57"/>
      <c r="G301" s="57"/>
      <c r="H301" s="57"/>
      <c r="I301" s="57">
        <v>0.04</v>
      </c>
      <c r="J301" s="57"/>
      <c r="K301" s="57"/>
      <c r="L301" s="55"/>
      <c r="M301" s="78">
        <v>5.1430128318229462E-3</v>
      </c>
      <c r="N301" s="78">
        <v>0.01</v>
      </c>
      <c r="Q301" s="57"/>
      <c r="S301" s="55"/>
      <c r="T301" s="79">
        <f ca="1">OFFSET('Loss Timing'!D$6,MATCH($A301,'Loss Timing'!$A$7:$A$36,1),0)/12/PmtFreqAdd</f>
        <v>2.7777777777777779E-3</v>
      </c>
      <c r="U301" s="79">
        <f ca="1">OFFSET('Loss Timing'!E$6,MATCH($A301,'Loss Timing'!$A$7:$A$36,1),0)/12/PmtFreqAdd</f>
        <v>0</v>
      </c>
      <c r="V301" s="79">
        <f ca="1">OFFSET('Loss Timing'!F$6,MATCH($A301,'Loss Timing'!$A$7:$A$36,1),0)/12/PmtFreqAdd</f>
        <v>0</v>
      </c>
      <c r="W301" s="79">
        <f ca="1">OFFSET('Loss Timing'!G$6,MATCH($A301,'Loss Timing'!$A$7:$A$36,1),0)/12/PmtFreqAdd</f>
        <v>0</v>
      </c>
      <c r="X301" s="79">
        <f ca="1">OFFSET('Loss Timing'!H$6,MATCH($A301,'Loss Timing'!$A$7:$A$36,1),0)/12/PmtFreqAdd</f>
        <v>6.2499999999999995E-3</v>
      </c>
      <c r="Y301" s="55"/>
      <c r="Z301" s="68">
        <f t="shared" ca="1" si="20"/>
        <v>2.7777777777777779E-5</v>
      </c>
      <c r="AA301" s="68">
        <f t="shared" ca="1" si="21"/>
        <v>0</v>
      </c>
      <c r="AB301" s="68">
        <f t="shared" ca="1" si="22"/>
        <v>0</v>
      </c>
      <c r="AC301" s="68">
        <f t="shared" ca="1" si="23"/>
        <v>0</v>
      </c>
      <c r="AD301" s="68">
        <f t="shared" ca="1" si="24"/>
        <v>6.2500000000000001E-5</v>
      </c>
      <c r="AE301" s="55"/>
      <c r="AF301" s="68">
        <v>1.2500008594873435E-5</v>
      </c>
      <c r="AG301" s="81">
        <v>2.5000034375999292E-5</v>
      </c>
      <c r="AH301" s="68">
        <v>5.0000137497008268E-5</v>
      </c>
      <c r="AI301" s="55"/>
    </row>
    <row r="302" spans="1:35" x14ac:dyDescent="0.2">
      <c r="A302" s="27">
        <f>'Cash Flow'!A302</f>
        <v>296</v>
      </c>
      <c r="B302" s="49">
        <f>'Cash Flow'!B302</f>
        <v>48122</v>
      </c>
      <c r="C302" s="56">
        <f>'Cash Flow'!C302</f>
        <v>8.3333333333333329E-2</v>
      </c>
      <c r="D302" s="55"/>
      <c r="E302" s="57">
        <v>6.9369000000000056E-2</v>
      </c>
      <c r="F302" s="57"/>
      <c r="G302" s="57"/>
      <c r="H302" s="57"/>
      <c r="I302" s="57">
        <v>0.04</v>
      </c>
      <c r="J302" s="57"/>
      <c r="K302" s="57"/>
      <c r="L302" s="55"/>
      <c r="M302" s="78">
        <v>5.1430128318229462E-3</v>
      </c>
      <c r="N302" s="78">
        <v>0.01</v>
      </c>
      <c r="Q302" s="57"/>
      <c r="S302" s="55"/>
      <c r="T302" s="79">
        <f ca="1">OFFSET('Loss Timing'!D$6,MATCH($A302,'Loss Timing'!$A$7:$A$36,1),0)/12/PmtFreqAdd</f>
        <v>2.7777777777777779E-3</v>
      </c>
      <c r="U302" s="79">
        <f ca="1">OFFSET('Loss Timing'!E$6,MATCH($A302,'Loss Timing'!$A$7:$A$36,1),0)/12/PmtFreqAdd</f>
        <v>0</v>
      </c>
      <c r="V302" s="79">
        <f ca="1">OFFSET('Loss Timing'!F$6,MATCH($A302,'Loss Timing'!$A$7:$A$36,1),0)/12/PmtFreqAdd</f>
        <v>0</v>
      </c>
      <c r="W302" s="79">
        <f ca="1">OFFSET('Loss Timing'!G$6,MATCH($A302,'Loss Timing'!$A$7:$A$36,1),0)/12/PmtFreqAdd</f>
        <v>0</v>
      </c>
      <c r="X302" s="79">
        <f ca="1">OFFSET('Loss Timing'!H$6,MATCH($A302,'Loss Timing'!$A$7:$A$36,1),0)/12/PmtFreqAdd</f>
        <v>6.2499999999999995E-3</v>
      </c>
      <c r="Y302" s="55"/>
      <c r="Z302" s="68">
        <f t="shared" ca="1" si="20"/>
        <v>2.7777777777777779E-5</v>
      </c>
      <c r="AA302" s="68">
        <f t="shared" ca="1" si="21"/>
        <v>0</v>
      </c>
      <c r="AB302" s="68">
        <f t="shared" ca="1" si="22"/>
        <v>0</v>
      </c>
      <c r="AC302" s="68">
        <f t="shared" ca="1" si="23"/>
        <v>0</v>
      </c>
      <c r="AD302" s="68">
        <f t="shared" ca="1" si="24"/>
        <v>6.2500000000000001E-5</v>
      </c>
      <c r="AE302" s="55"/>
      <c r="AF302" s="68">
        <v>1.2500008594873435E-5</v>
      </c>
      <c r="AG302" s="81">
        <v>2.5000034375999292E-5</v>
      </c>
      <c r="AH302" s="68">
        <v>5.0000137497008268E-5</v>
      </c>
      <c r="AI302" s="55"/>
    </row>
    <row r="303" spans="1:35" x14ac:dyDescent="0.2">
      <c r="A303" s="27">
        <f>'Cash Flow'!A303</f>
        <v>297</v>
      </c>
      <c r="B303" s="49">
        <f>'Cash Flow'!B303</f>
        <v>48153</v>
      </c>
      <c r="C303" s="56">
        <f>'Cash Flow'!C303</f>
        <v>8.3333333333333329E-2</v>
      </c>
      <c r="D303" s="55"/>
      <c r="E303" s="57">
        <v>6.9369000000000056E-2</v>
      </c>
      <c r="F303" s="57"/>
      <c r="G303" s="57"/>
      <c r="H303" s="57"/>
      <c r="I303" s="57">
        <v>0.04</v>
      </c>
      <c r="J303" s="57"/>
      <c r="K303" s="57"/>
      <c r="L303" s="55"/>
      <c r="M303" s="78">
        <v>5.1430128318229462E-3</v>
      </c>
      <c r="N303" s="78">
        <v>0.01</v>
      </c>
      <c r="Q303" s="57"/>
      <c r="S303" s="55"/>
      <c r="T303" s="79">
        <f ca="1">OFFSET('Loss Timing'!D$6,MATCH($A303,'Loss Timing'!$A$7:$A$36,1),0)/12/PmtFreqAdd</f>
        <v>2.7777777777777779E-3</v>
      </c>
      <c r="U303" s="79">
        <f ca="1">OFFSET('Loss Timing'!E$6,MATCH($A303,'Loss Timing'!$A$7:$A$36,1),0)/12/PmtFreqAdd</f>
        <v>0</v>
      </c>
      <c r="V303" s="79">
        <f ca="1">OFFSET('Loss Timing'!F$6,MATCH($A303,'Loss Timing'!$A$7:$A$36,1),0)/12/PmtFreqAdd</f>
        <v>0</v>
      </c>
      <c r="W303" s="79">
        <f ca="1">OFFSET('Loss Timing'!G$6,MATCH($A303,'Loss Timing'!$A$7:$A$36,1),0)/12/PmtFreqAdd</f>
        <v>0</v>
      </c>
      <c r="X303" s="79">
        <f ca="1">OFFSET('Loss Timing'!H$6,MATCH($A303,'Loss Timing'!$A$7:$A$36,1),0)/12/PmtFreqAdd</f>
        <v>6.2499999999999995E-3</v>
      </c>
      <c r="Y303" s="55"/>
      <c r="Z303" s="68">
        <f t="shared" ca="1" si="20"/>
        <v>2.7777777777777779E-5</v>
      </c>
      <c r="AA303" s="68">
        <f t="shared" ca="1" si="21"/>
        <v>0</v>
      </c>
      <c r="AB303" s="68">
        <f t="shared" ca="1" si="22"/>
        <v>0</v>
      </c>
      <c r="AC303" s="68">
        <f t="shared" ca="1" si="23"/>
        <v>0</v>
      </c>
      <c r="AD303" s="68">
        <f t="shared" ca="1" si="24"/>
        <v>6.2500000000000001E-5</v>
      </c>
      <c r="AE303" s="55"/>
      <c r="AF303" s="68">
        <v>1.2500008594873435E-5</v>
      </c>
      <c r="AG303" s="81">
        <v>2.5000034375999292E-5</v>
      </c>
      <c r="AH303" s="68">
        <v>5.0000137497008268E-5</v>
      </c>
      <c r="AI303" s="55"/>
    </row>
    <row r="304" spans="1:35" x14ac:dyDescent="0.2">
      <c r="A304" s="27">
        <f>'Cash Flow'!A304</f>
        <v>298</v>
      </c>
      <c r="B304" s="49">
        <f>'Cash Flow'!B304</f>
        <v>48183</v>
      </c>
      <c r="C304" s="56">
        <f>'Cash Flow'!C304</f>
        <v>8.3333333333333329E-2</v>
      </c>
      <c r="D304" s="55"/>
      <c r="E304" s="57">
        <v>6.9369000000000056E-2</v>
      </c>
      <c r="F304" s="57"/>
      <c r="G304" s="57"/>
      <c r="H304" s="57"/>
      <c r="I304" s="57">
        <v>0.04</v>
      </c>
      <c r="J304" s="57"/>
      <c r="K304" s="57"/>
      <c r="L304" s="55"/>
      <c r="M304" s="78">
        <v>5.1430128318229462E-3</v>
      </c>
      <c r="N304" s="78">
        <v>0.01</v>
      </c>
      <c r="Q304" s="57"/>
      <c r="S304" s="55"/>
      <c r="T304" s="79">
        <f ca="1">OFFSET('Loss Timing'!D$6,MATCH($A304,'Loss Timing'!$A$7:$A$36,1),0)/12/PmtFreqAdd</f>
        <v>2.7777777777777779E-3</v>
      </c>
      <c r="U304" s="79">
        <f ca="1">OFFSET('Loss Timing'!E$6,MATCH($A304,'Loss Timing'!$A$7:$A$36,1),0)/12/PmtFreqAdd</f>
        <v>0</v>
      </c>
      <c r="V304" s="79">
        <f ca="1">OFFSET('Loss Timing'!F$6,MATCH($A304,'Loss Timing'!$A$7:$A$36,1),0)/12/PmtFreqAdd</f>
        <v>0</v>
      </c>
      <c r="W304" s="79">
        <f ca="1">OFFSET('Loss Timing'!G$6,MATCH($A304,'Loss Timing'!$A$7:$A$36,1),0)/12/PmtFreqAdd</f>
        <v>0</v>
      </c>
      <c r="X304" s="79">
        <f ca="1">OFFSET('Loss Timing'!H$6,MATCH($A304,'Loss Timing'!$A$7:$A$36,1),0)/12/PmtFreqAdd</f>
        <v>6.2499999999999995E-3</v>
      </c>
      <c r="Y304" s="55"/>
      <c r="Z304" s="68">
        <f t="shared" ca="1" si="20"/>
        <v>2.7777777777777779E-5</v>
      </c>
      <c r="AA304" s="68">
        <f t="shared" ca="1" si="21"/>
        <v>0</v>
      </c>
      <c r="AB304" s="68">
        <f t="shared" ca="1" si="22"/>
        <v>0</v>
      </c>
      <c r="AC304" s="68">
        <f t="shared" ca="1" si="23"/>
        <v>0</v>
      </c>
      <c r="AD304" s="68">
        <f t="shared" ca="1" si="24"/>
        <v>6.2500000000000001E-5</v>
      </c>
      <c r="AE304" s="55"/>
      <c r="AF304" s="68">
        <v>1.2500008594873435E-5</v>
      </c>
      <c r="AG304" s="81">
        <v>2.5000034375999292E-5</v>
      </c>
      <c r="AH304" s="68">
        <v>5.0000137497008268E-5</v>
      </c>
      <c r="AI304" s="55"/>
    </row>
    <row r="305" spans="1:35" x14ac:dyDescent="0.2">
      <c r="A305" s="27">
        <f>'Cash Flow'!A305</f>
        <v>299</v>
      </c>
      <c r="B305" s="49">
        <f>'Cash Flow'!B305</f>
        <v>48214</v>
      </c>
      <c r="C305" s="56">
        <f>'Cash Flow'!C305</f>
        <v>8.3333333333333329E-2</v>
      </c>
      <c r="D305" s="55"/>
      <c r="E305" s="57">
        <v>6.9369000000000056E-2</v>
      </c>
      <c r="F305" s="57"/>
      <c r="G305" s="57"/>
      <c r="H305" s="57"/>
      <c r="I305" s="57">
        <v>0.04</v>
      </c>
      <c r="J305" s="57"/>
      <c r="K305" s="57"/>
      <c r="L305" s="55"/>
      <c r="M305" s="78">
        <v>5.1430128318229462E-3</v>
      </c>
      <c r="N305" s="78">
        <v>0.01</v>
      </c>
      <c r="Q305" s="57"/>
      <c r="S305" s="55"/>
      <c r="T305" s="79">
        <f ca="1">OFFSET('Loss Timing'!D$6,MATCH($A305,'Loss Timing'!$A$7:$A$36,1),0)/12/PmtFreqAdd</f>
        <v>2.7777777777777779E-3</v>
      </c>
      <c r="U305" s="79">
        <f ca="1">OFFSET('Loss Timing'!E$6,MATCH($A305,'Loss Timing'!$A$7:$A$36,1),0)/12/PmtFreqAdd</f>
        <v>0</v>
      </c>
      <c r="V305" s="79">
        <f ca="1">OFFSET('Loss Timing'!F$6,MATCH($A305,'Loss Timing'!$A$7:$A$36,1),0)/12/PmtFreqAdd</f>
        <v>0</v>
      </c>
      <c r="W305" s="79">
        <f ca="1">OFFSET('Loss Timing'!G$6,MATCH($A305,'Loss Timing'!$A$7:$A$36,1),0)/12/PmtFreqAdd</f>
        <v>0</v>
      </c>
      <c r="X305" s="79">
        <f ca="1">OFFSET('Loss Timing'!H$6,MATCH($A305,'Loss Timing'!$A$7:$A$36,1),0)/12/PmtFreqAdd</f>
        <v>6.2499999999999995E-3</v>
      </c>
      <c r="Y305" s="55"/>
      <c r="Z305" s="68">
        <f t="shared" ca="1" si="20"/>
        <v>2.7777777777777779E-5</v>
      </c>
      <c r="AA305" s="68">
        <f t="shared" ca="1" si="21"/>
        <v>0</v>
      </c>
      <c r="AB305" s="68">
        <f t="shared" ca="1" si="22"/>
        <v>0</v>
      </c>
      <c r="AC305" s="68">
        <f t="shared" ca="1" si="23"/>
        <v>0</v>
      </c>
      <c r="AD305" s="68">
        <f t="shared" ca="1" si="24"/>
        <v>6.2500000000000001E-5</v>
      </c>
      <c r="AE305" s="55"/>
      <c r="AF305" s="68">
        <v>1.2500008594873435E-5</v>
      </c>
      <c r="AG305" s="81">
        <v>2.5000034375999292E-5</v>
      </c>
      <c r="AH305" s="68">
        <v>5.0000137497008268E-5</v>
      </c>
      <c r="AI305" s="55"/>
    </row>
    <row r="306" spans="1:35" x14ac:dyDescent="0.2">
      <c r="A306" s="27">
        <f>'Cash Flow'!A306</f>
        <v>300</v>
      </c>
      <c r="B306" s="49">
        <f>'Cash Flow'!B306</f>
        <v>48245</v>
      </c>
      <c r="C306" s="56">
        <f>'Cash Flow'!C306</f>
        <v>8.3333333333333329E-2</v>
      </c>
      <c r="D306" s="55"/>
      <c r="E306" s="57">
        <v>6.9369000000000056E-2</v>
      </c>
      <c r="F306" s="57"/>
      <c r="G306" s="57"/>
      <c r="H306" s="57"/>
      <c r="I306" s="57">
        <v>0.04</v>
      </c>
      <c r="J306" s="57"/>
      <c r="K306" s="57"/>
      <c r="L306" s="55"/>
      <c r="M306" s="78">
        <v>5.1430128318229462E-3</v>
      </c>
      <c r="N306" s="78">
        <v>0.01</v>
      </c>
      <c r="Q306" s="57"/>
      <c r="S306" s="55"/>
      <c r="T306" s="79">
        <f ca="1">OFFSET('Loss Timing'!D$6,MATCH($A306,'Loss Timing'!$A$7:$A$36,1),0)/12/PmtFreqAdd</f>
        <v>2.7777777777777779E-3</v>
      </c>
      <c r="U306" s="79">
        <f ca="1">OFFSET('Loss Timing'!E$6,MATCH($A306,'Loss Timing'!$A$7:$A$36,1),0)/12/PmtFreqAdd</f>
        <v>0</v>
      </c>
      <c r="V306" s="79">
        <f ca="1">OFFSET('Loss Timing'!F$6,MATCH($A306,'Loss Timing'!$A$7:$A$36,1),0)/12/PmtFreqAdd</f>
        <v>0</v>
      </c>
      <c r="W306" s="79">
        <f ca="1">OFFSET('Loss Timing'!G$6,MATCH($A306,'Loss Timing'!$A$7:$A$36,1),0)/12/PmtFreqAdd</f>
        <v>0</v>
      </c>
      <c r="X306" s="79">
        <f ca="1">OFFSET('Loss Timing'!H$6,MATCH($A306,'Loss Timing'!$A$7:$A$36,1),0)/12/PmtFreqAdd</f>
        <v>6.2499999999999995E-3</v>
      </c>
      <c r="Y306" s="55"/>
      <c r="Z306" s="68">
        <f t="shared" ca="1" si="20"/>
        <v>2.7777777777777779E-5</v>
      </c>
      <c r="AA306" s="68">
        <f t="shared" ca="1" si="21"/>
        <v>0</v>
      </c>
      <c r="AB306" s="68">
        <f t="shared" ca="1" si="22"/>
        <v>0</v>
      </c>
      <c r="AC306" s="68">
        <f t="shared" ca="1" si="23"/>
        <v>0</v>
      </c>
      <c r="AD306" s="68">
        <f t="shared" ca="1" si="24"/>
        <v>6.2500000000000001E-5</v>
      </c>
      <c r="AE306" s="55"/>
      <c r="AF306" s="68">
        <v>1.2500008594873435E-5</v>
      </c>
      <c r="AG306" s="81">
        <v>2.5000034375999292E-5</v>
      </c>
      <c r="AH306" s="68">
        <v>5.0000137497008268E-5</v>
      </c>
      <c r="AI306" s="55"/>
    </row>
    <row r="307" spans="1:35" x14ac:dyDescent="0.2">
      <c r="A307" s="27">
        <f>'Cash Flow'!A307</f>
        <v>301</v>
      </c>
      <c r="B307" s="49">
        <f>'Cash Flow'!B307</f>
        <v>48274</v>
      </c>
      <c r="C307" s="56">
        <f>'Cash Flow'!C307</f>
        <v>8.3333333333333329E-2</v>
      </c>
      <c r="D307" s="55"/>
      <c r="E307" s="57">
        <v>6.9369000000000056E-2</v>
      </c>
      <c r="F307" s="57"/>
      <c r="G307" s="57"/>
      <c r="H307" s="57"/>
      <c r="I307" s="57">
        <v>0.04</v>
      </c>
      <c r="J307" s="57"/>
      <c r="K307" s="57"/>
      <c r="L307" s="55"/>
      <c r="M307" s="78">
        <v>5.1430128318229462E-3</v>
      </c>
      <c r="N307" s="78">
        <v>0.01</v>
      </c>
      <c r="Q307" s="57"/>
      <c r="S307" s="55"/>
      <c r="T307" s="79">
        <f ca="1">OFFSET('Loss Timing'!D$6,MATCH($A307,'Loss Timing'!$A$7:$A$36,1),0)/12/PmtFreqAdd</f>
        <v>2.7777777777777779E-3</v>
      </c>
      <c r="U307" s="79">
        <f ca="1">OFFSET('Loss Timing'!E$6,MATCH($A307,'Loss Timing'!$A$7:$A$36,1),0)/12/PmtFreqAdd</f>
        <v>0</v>
      </c>
      <c r="V307" s="79">
        <f ca="1">OFFSET('Loss Timing'!F$6,MATCH($A307,'Loss Timing'!$A$7:$A$36,1),0)/12/PmtFreqAdd</f>
        <v>0</v>
      </c>
      <c r="W307" s="79">
        <f ca="1">OFFSET('Loss Timing'!G$6,MATCH($A307,'Loss Timing'!$A$7:$A$36,1),0)/12/PmtFreqAdd</f>
        <v>0</v>
      </c>
      <c r="X307" s="79">
        <f ca="1">OFFSET('Loss Timing'!H$6,MATCH($A307,'Loss Timing'!$A$7:$A$36,1),0)/12/PmtFreqAdd</f>
        <v>6.2499999999999995E-3</v>
      </c>
      <c r="Y307" s="55"/>
      <c r="Z307" s="68">
        <f t="shared" ca="1" si="20"/>
        <v>2.7777777777777779E-5</v>
      </c>
      <c r="AA307" s="68">
        <f t="shared" ca="1" si="21"/>
        <v>0</v>
      </c>
      <c r="AB307" s="68">
        <f t="shared" ca="1" si="22"/>
        <v>0</v>
      </c>
      <c r="AC307" s="68">
        <f t="shared" ca="1" si="23"/>
        <v>0</v>
      </c>
      <c r="AD307" s="68">
        <f t="shared" ca="1" si="24"/>
        <v>6.2500000000000001E-5</v>
      </c>
      <c r="AE307" s="55"/>
      <c r="AF307" s="68">
        <v>1.2500008594873435E-5</v>
      </c>
      <c r="AG307" s="81">
        <v>2.5000034375999292E-5</v>
      </c>
      <c r="AH307" s="68">
        <v>5.0000137497008268E-5</v>
      </c>
      <c r="AI307" s="55"/>
    </row>
    <row r="308" spans="1:35" x14ac:dyDescent="0.2">
      <c r="A308" s="27">
        <f>'Cash Flow'!A308</f>
        <v>302</v>
      </c>
      <c r="B308" s="49">
        <f>'Cash Flow'!B308</f>
        <v>48305</v>
      </c>
      <c r="C308" s="56">
        <f>'Cash Flow'!C308</f>
        <v>8.3333333333333329E-2</v>
      </c>
      <c r="D308" s="55"/>
      <c r="E308" s="57">
        <v>6.9369000000000056E-2</v>
      </c>
      <c r="F308" s="57"/>
      <c r="G308" s="57"/>
      <c r="H308" s="57"/>
      <c r="I308" s="57">
        <v>0.04</v>
      </c>
      <c r="J308" s="57"/>
      <c r="K308" s="57"/>
      <c r="L308" s="55"/>
      <c r="M308" s="78">
        <v>5.1430128318229462E-3</v>
      </c>
      <c r="N308" s="78">
        <v>0.01</v>
      </c>
      <c r="Q308" s="57"/>
      <c r="S308" s="55"/>
      <c r="T308" s="79">
        <f ca="1">OFFSET('Loss Timing'!D$6,MATCH($A308,'Loss Timing'!$A$7:$A$36,1),0)/12/PmtFreqAdd</f>
        <v>2.7777777777777779E-3</v>
      </c>
      <c r="U308" s="79">
        <f ca="1">OFFSET('Loss Timing'!E$6,MATCH($A308,'Loss Timing'!$A$7:$A$36,1),0)/12/PmtFreqAdd</f>
        <v>0</v>
      </c>
      <c r="V308" s="79">
        <f ca="1">OFFSET('Loss Timing'!F$6,MATCH($A308,'Loss Timing'!$A$7:$A$36,1),0)/12/PmtFreqAdd</f>
        <v>0</v>
      </c>
      <c r="W308" s="79">
        <f ca="1">OFFSET('Loss Timing'!G$6,MATCH($A308,'Loss Timing'!$A$7:$A$36,1),0)/12/PmtFreqAdd</f>
        <v>0</v>
      </c>
      <c r="X308" s="79">
        <f ca="1">OFFSET('Loss Timing'!H$6,MATCH($A308,'Loss Timing'!$A$7:$A$36,1),0)/12/PmtFreqAdd</f>
        <v>6.2499999999999995E-3</v>
      </c>
      <c r="Y308" s="55"/>
      <c r="Z308" s="68">
        <f t="shared" ca="1" si="20"/>
        <v>2.7777777777777779E-5</v>
      </c>
      <c r="AA308" s="68">
        <f t="shared" ca="1" si="21"/>
        <v>0</v>
      </c>
      <c r="AB308" s="68">
        <f t="shared" ca="1" si="22"/>
        <v>0</v>
      </c>
      <c r="AC308" s="68">
        <f t="shared" ca="1" si="23"/>
        <v>0</v>
      </c>
      <c r="AD308" s="68">
        <f t="shared" ca="1" si="24"/>
        <v>6.2500000000000001E-5</v>
      </c>
      <c r="AE308" s="55"/>
      <c r="AF308" s="68">
        <v>1.2500008594873435E-5</v>
      </c>
      <c r="AG308" s="81">
        <v>2.5000034375999292E-5</v>
      </c>
      <c r="AH308" s="68">
        <v>5.0000137497008268E-5</v>
      </c>
      <c r="AI308" s="55"/>
    </row>
    <row r="309" spans="1:35" x14ac:dyDescent="0.2">
      <c r="A309" s="27">
        <f>'Cash Flow'!A309</f>
        <v>303</v>
      </c>
      <c r="B309" s="49">
        <f>'Cash Flow'!B309</f>
        <v>48335</v>
      </c>
      <c r="C309" s="56">
        <f>'Cash Flow'!C309</f>
        <v>8.3333333333333329E-2</v>
      </c>
      <c r="D309" s="55"/>
      <c r="E309" s="57">
        <v>6.9369000000000056E-2</v>
      </c>
      <c r="F309" s="57"/>
      <c r="G309" s="57"/>
      <c r="H309" s="57"/>
      <c r="I309" s="57">
        <v>0.04</v>
      </c>
      <c r="J309" s="57"/>
      <c r="K309" s="57"/>
      <c r="L309" s="55"/>
      <c r="M309" s="78">
        <v>5.1430128318229462E-3</v>
      </c>
      <c r="N309" s="78">
        <v>0.01</v>
      </c>
      <c r="Q309" s="57"/>
      <c r="S309" s="55"/>
      <c r="T309" s="79">
        <f ca="1">OFFSET('Loss Timing'!D$6,MATCH($A309,'Loss Timing'!$A$7:$A$36,1),0)/12/PmtFreqAdd</f>
        <v>2.7777777777777779E-3</v>
      </c>
      <c r="U309" s="79">
        <f ca="1">OFFSET('Loss Timing'!E$6,MATCH($A309,'Loss Timing'!$A$7:$A$36,1),0)/12/PmtFreqAdd</f>
        <v>0</v>
      </c>
      <c r="V309" s="79">
        <f ca="1">OFFSET('Loss Timing'!F$6,MATCH($A309,'Loss Timing'!$A$7:$A$36,1),0)/12/PmtFreqAdd</f>
        <v>0</v>
      </c>
      <c r="W309" s="79">
        <f ca="1">OFFSET('Loss Timing'!G$6,MATCH($A309,'Loss Timing'!$A$7:$A$36,1),0)/12/PmtFreqAdd</f>
        <v>0</v>
      </c>
      <c r="X309" s="79">
        <f ca="1">OFFSET('Loss Timing'!H$6,MATCH($A309,'Loss Timing'!$A$7:$A$36,1),0)/12/PmtFreqAdd</f>
        <v>6.2499999999999995E-3</v>
      </c>
      <c r="Y309" s="55"/>
      <c r="Z309" s="68">
        <f t="shared" ca="1" si="20"/>
        <v>2.7777777777777779E-5</v>
      </c>
      <c r="AA309" s="68">
        <f t="shared" ca="1" si="21"/>
        <v>0</v>
      </c>
      <c r="AB309" s="68">
        <f t="shared" ca="1" si="22"/>
        <v>0</v>
      </c>
      <c r="AC309" s="68">
        <f t="shared" ca="1" si="23"/>
        <v>0</v>
      </c>
      <c r="AD309" s="68">
        <f t="shared" ca="1" si="24"/>
        <v>6.2500000000000001E-5</v>
      </c>
      <c r="AE309" s="55"/>
      <c r="AF309" s="68">
        <v>1.2500008594873435E-5</v>
      </c>
      <c r="AG309" s="81">
        <v>2.5000034375999292E-5</v>
      </c>
      <c r="AH309" s="68">
        <v>5.0000137497008268E-5</v>
      </c>
      <c r="AI309" s="55"/>
    </row>
    <row r="310" spans="1:35" x14ac:dyDescent="0.2">
      <c r="A310" s="27">
        <f>'Cash Flow'!A310</f>
        <v>304</v>
      </c>
      <c r="B310" s="49">
        <f>'Cash Flow'!B310</f>
        <v>48366</v>
      </c>
      <c r="C310" s="56">
        <f>'Cash Flow'!C310</f>
        <v>8.3333333333333329E-2</v>
      </c>
      <c r="D310" s="55"/>
      <c r="E310" s="57">
        <v>6.9369000000000056E-2</v>
      </c>
      <c r="F310" s="57"/>
      <c r="G310" s="57"/>
      <c r="H310" s="57"/>
      <c r="I310" s="57">
        <v>0.04</v>
      </c>
      <c r="J310" s="57"/>
      <c r="K310" s="57"/>
      <c r="L310" s="55"/>
      <c r="M310" s="78">
        <v>5.1430128318229462E-3</v>
      </c>
      <c r="N310" s="78">
        <v>0.01</v>
      </c>
      <c r="Q310" s="57"/>
      <c r="S310" s="55"/>
      <c r="T310" s="79">
        <f ca="1">OFFSET('Loss Timing'!D$6,MATCH($A310,'Loss Timing'!$A$7:$A$36,1),0)/12/PmtFreqAdd</f>
        <v>2.7777777777777779E-3</v>
      </c>
      <c r="U310" s="79">
        <f ca="1">OFFSET('Loss Timing'!E$6,MATCH($A310,'Loss Timing'!$A$7:$A$36,1),0)/12/PmtFreqAdd</f>
        <v>0</v>
      </c>
      <c r="V310" s="79">
        <f ca="1">OFFSET('Loss Timing'!F$6,MATCH($A310,'Loss Timing'!$A$7:$A$36,1),0)/12/PmtFreqAdd</f>
        <v>0</v>
      </c>
      <c r="W310" s="79">
        <f ca="1">OFFSET('Loss Timing'!G$6,MATCH($A310,'Loss Timing'!$A$7:$A$36,1),0)/12/PmtFreqAdd</f>
        <v>0</v>
      </c>
      <c r="X310" s="79">
        <f ca="1">OFFSET('Loss Timing'!H$6,MATCH($A310,'Loss Timing'!$A$7:$A$36,1),0)/12/PmtFreqAdd</f>
        <v>6.2499999999999995E-3</v>
      </c>
      <c r="Y310" s="55"/>
      <c r="Z310" s="68">
        <f t="shared" ca="1" si="20"/>
        <v>2.7777777777777779E-5</v>
      </c>
      <c r="AA310" s="68">
        <f t="shared" ca="1" si="21"/>
        <v>0</v>
      </c>
      <c r="AB310" s="68">
        <f t="shared" ca="1" si="22"/>
        <v>0</v>
      </c>
      <c r="AC310" s="68">
        <f t="shared" ca="1" si="23"/>
        <v>0</v>
      </c>
      <c r="AD310" s="68">
        <f t="shared" ca="1" si="24"/>
        <v>6.2500000000000001E-5</v>
      </c>
      <c r="AE310" s="55"/>
      <c r="AF310" s="68">
        <v>1.2500008594873435E-5</v>
      </c>
      <c r="AG310" s="81">
        <v>2.5000034375999292E-5</v>
      </c>
      <c r="AH310" s="68">
        <v>5.0000137497008268E-5</v>
      </c>
      <c r="AI310" s="55"/>
    </row>
    <row r="311" spans="1:35" x14ac:dyDescent="0.2">
      <c r="A311" s="27">
        <f>'Cash Flow'!A311</f>
        <v>305</v>
      </c>
      <c r="B311" s="49">
        <f>'Cash Flow'!B311</f>
        <v>48396</v>
      </c>
      <c r="C311" s="56">
        <f>'Cash Flow'!C311</f>
        <v>8.3333333333333329E-2</v>
      </c>
      <c r="D311" s="55"/>
      <c r="E311" s="57">
        <v>6.9369000000000056E-2</v>
      </c>
      <c r="F311" s="57"/>
      <c r="G311" s="57"/>
      <c r="H311" s="57"/>
      <c r="I311" s="57">
        <v>0.04</v>
      </c>
      <c r="J311" s="57"/>
      <c r="K311" s="57"/>
      <c r="L311" s="55"/>
      <c r="M311" s="78">
        <v>5.1430128318229462E-3</v>
      </c>
      <c r="N311" s="78">
        <v>0.01</v>
      </c>
      <c r="Q311" s="57"/>
      <c r="S311" s="55"/>
      <c r="T311" s="79">
        <f ca="1">OFFSET('Loss Timing'!D$6,MATCH($A311,'Loss Timing'!$A$7:$A$36,1),0)/12/PmtFreqAdd</f>
        <v>2.7777777777777779E-3</v>
      </c>
      <c r="U311" s="79">
        <f ca="1">OFFSET('Loss Timing'!E$6,MATCH($A311,'Loss Timing'!$A$7:$A$36,1),0)/12/PmtFreqAdd</f>
        <v>0</v>
      </c>
      <c r="V311" s="79">
        <f ca="1">OFFSET('Loss Timing'!F$6,MATCH($A311,'Loss Timing'!$A$7:$A$36,1),0)/12/PmtFreqAdd</f>
        <v>0</v>
      </c>
      <c r="W311" s="79">
        <f ca="1">OFFSET('Loss Timing'!G$6,MATCH($A311,'Loss Timing'!$A$7:$A$36,1),0)/12/PmtFreqAdd</f>
        <v>0</v>
      </c>
      <c r="X311" s="79">
        <f ca="1">OFFSET('Loss Timing'!H$6,MATCH($A311,'Loss Timing'!$A$7:$A$36,1),0)/12/PmtFreqAdd</f>
        <v>6.2499999999999995E-3</v>
      </c>
      <c r="Y311" s="55"/>
      <c r="Z311" s="68">
        <f t="shared" ca="1" si="20"/>
        <v>2.7777777777777779E-5</v>
      </c>
      <c r="AA311" s="68">
        <f t="shared" ca="1" si="21"/>
        <v>0</v>
      </c>
      <c r="AB311" s="68">
        <f t="shared" ca="1" si="22"/>
        <v>0</v>
      </c>
      <c r="AC311" s="68">
        <f t="shared" ca="1" si="23"/>
        <v>0</v>
      </c>
      <c r="AD311" s="68">
        <f t="shared" ca="1" si="24"/>
        <v>6.2500000000000001E-5</v>
      </c>
      <c r="AE311" s="55"/>
      <c r="AF311" s="68">
        <v>1.2500008594873435E-5</v>
      </c>
      <c r="AG311" s="81">
        <v>2.5000034375999292E-5</v>
      </c>
      <c r="AH311" s="68">
        <v>5.0000137497008268E-5</v>
      </c>
      <c r="AI311" s="55"/>
    </row>
    <row r="312" spans="1:35" x14ac:dyDescent="0.2">
      <c r="A312" s="27">
        <f>'Cash Flow'!A312</f>
        <v>306</v>
      </c>
      <c r="B312" s="49">
        <f>'Cash Flow'!B312</f>
        <v>48427</v>
      </c>
      <c r="C312" s="56">
        <f>'Cash Flow'!C312</f>
        <v>8.3333333333333329E-2</v>
      </c>
      <c r="D312" s="55"/>
      <c r="E312" s="57">
        <v>6.9369000000000056E-2</v>
      </c>
      <c r="F312" s="57"/>
      <c r="G312" s="57"/>
      <c r="H312" s="57"/>
      <c r="I312" s="57">
        <v>0.04</v>
      </c>
      <c r="J312" s="57"/>
      <c r="K312" s="57"/>
      <c r="L312" s="55"/>
      <c r="M312" s="78">
        <v>5.1430128318229462E-3</v>
      </c>
      <c r="N312" s="78">
        <v>0.01</v>
      </c>
      <c r="Q312" s="57"/>
      <c r="S312" s="55"/>
      <c r="T312" s="79">
        <f ca="1">OFFSET('Loss Timing'!D$6,MATCH($A312,'Loss Timing'!$A$7:$A$36,1),0)/12/PmtFreqAdd</f>
        <v>2.7777777777777779E-3</v>
      </c>
      <c r="U312" s="79">
        <f ca="1">OFFSET('Loss Timing'!E$6,MATCH($A312,'Loss Timing'!$A$7:$A$36,1),0)/12/PmtFreqAdd</f>
        <v>0</v>
      </c>
      <c r="V312" s="79">
        <f ca="1">OFFSET('Loss Timing'!F$6,MATCH($A312,'Loss Timing'!$A$7:$A$36,1),0)/12/PmtFreqAdd</f>
        <v>0</v>
      </c>
      <c r="W312" s="79">
        <f ca="1">OFFSET('Loss Timing'!G$6,MATCH($A312,'Loss Timing'!$A$7:$A$36,1),0)/12/PmtFreqAdd</f>
        <v>0</v>
      </c>
      <c r="X312" s="79">
        <f ca="1">OFFSET('Loss Timing'!H$6,MATCH($A312,'Loss Timing'!$A$7:$A$36,1),0)/12/PmtFreqAdd</f>
        <v>6.2499999999999995E-3</v>
      </c>
      <c r="Y312" s="55"/>
      <c r="Z312" s="68">
        <f t="shared" ca="1" si="20"/>
        <v>2.7777777777777779E-5</v>
      </c>
      <c r="AA312" s="68">
        <f t="shared" ca="1" si="21"/>
        <v>0</v>
      </c>
      <c r="AB312" s="68">
        <f t="shared" ca="1" si="22"/>
        <v>0</v>
      </c>
      <c r="AC312" s="68">
        <f t="shared" ca="1" si="23"/>
        <v>0</v>
      </c>
      <c r="AD312" s="68">
        <f t="shared" ca="1" si="24"/>
        <v>6.2500000000000001E-5</v>
      </c>
      <c r="AE312" s="55"/>
      <c r="AF312" s="68">
        <v>1.2500008594873435E-5</v>
      </c>
      <c r="AG312" s="81">
        <v>2.5000034375999292E-5</v>
      </c>
      <c r="AH312" s="68">
        <v>5.0000137497008268E-5</v>
      </c>
      <c r="AI312" s="55"/>
    </row>
    <row r="313" spans="1:35" x14ac:dyDescent="0.2">
      <c r="A313" s="27">
        <f>'Cash Flow'!A313</f>
        <v>307</v>
      </c>
      <c r="B313" s="49">
        <f>'Cash Flow'!B313</f>
        <v>48458</v>
      </c>
      <c r="C313" s="56">
        <f>'Cash Flow'!C313</f>
        <v>8.3333333333333329E-2</v>
      </c>
      <c r="D313" s="55"/>
      <c r="E313" s="57">
        <v>6.9369000000000056E-2</v>
      </c>
      <c r="F313" s="57"/>
      <c r="G313" s="57"/>
      <c r="H313" s="57"/>
      <c r="I313" s="57">
        <v>0.04</v>
      </c>
      <c r="J313" s="57"/>
      <c r="K313" s="57"/>
      <c r="L313" s="55"/>
      <c r="M313" s="78">
        <v>5.1430128318229462E-3</v>
      </c>
      <c r="N313" s="78">
        <v>0.01</v>
      </c>
      <c r="Q313" s="57"/>
      <c r="S313" s="55"/>
      <c r="T313" s="79">
        <f ca="1">OFFSET('Loss Timing'!D$6,MATCH($A313,'Loss Timing'!$A$7:$A$36,1),0)/12/PmtFreqAdd</f>
        <v>2.7777777777777779E-3</v>
      </c>
      <c r="U313" s="79">
        <f ca="1">OFFSET('Loss Timing'!E$6,MATCH($A313,'Loss Timing'!$A$7:$A$36,1),0)/12/PmtFreqAdd</f>
        <v>0</v>
      </c>
      <c r="V313" s="79">
        <f ca="1">OFFSET('Loss Timing'!F$6,MATCH($A313,'Loss Timing'!$A$7:$A$36,1),0)/12/PmtFreqAdd</f>
        <v>0</v>
      </c>
      <c r="W313" s="79">
        <f ca="1">OFFSET('Loss Timing'!G$6,MATCH($A313,'Loss Timing'!$A$7:$A$36,1),0)/12/PmtFreqAdd</f>
        <v>0</v>
      </c>
      <c r="X313" s="79">
        <f ca="1">OFFSET('Loss Timing'!H$6,MATCH($A313,'Loss Timing'!$A$7:$A$36,1),0)/12/PmtFreqAdd</f>
        <v>6.2499999999999995E-3</v>
      </c>
      <c r="Y313" s="55"/>
      <c r="Z313" s="68">
        <f t="shared" ca="1" si="20"/>
        <v>2.7777777777777779E-5</v>
      </c>
      <c r="AA313" s="68">
        <f t="shared" ca="1" si="21"/>
        <v>0</v>
      </c>
      <c r="AB313" s="68">
        <f t="shared" ca="1" si="22"/>
        <v>0</v>
      </c>
      <c r="AC313" s="68">
        <f t="shared" ca="1" si="23"/>
        <v>0</v>
      </c>
      <c r="AD313" s="68">
        <f t="shared" ca="1" si="24"/>
        <v>6.2500000000000001E-5</v>
      </c>
      <c r="AE313" s="55"/>
      <c r="AF313" s="68">
        <v>1.2500008594873435E-5</v>
      </c>
      <c r="AG313" s="81">
        <v>2.5000034375999292E-5</v>
      </c>
      <c r="AH313" s="68">
        <v>5.0000137497008268E-5</v>
      </c>
      <c r="AI313" s="55"/>
    </row>
    <row r="314" spans="1:35" x14ac:dyDescent="0.2">
      <c r="A314" s="27">
        <f>'Cash Flow'!A314</f>
        <v>308</v>
      </c>
      <c r="B314" s="49">
        <f>'Cash Flow'!B314</f>
        <v>48488</v>
      </c>
      <c r="C314" s="56">
        <f>'Cash Flow'!C314</f>
        <v>8.3333333333333329E-2</v>
      </c>
      <c r="D314" s="55"/>
      <c r="E314" s="57">
        <v>6.9369000000000056E-2</v>
      </c>
      <c r="F314" s="57"/>
      <c r="G314" s="57"/>
      <c r="H314" s="57"/>
      <c r="I314" s="57">
        <v>0.04</v>
      </c>
      <c r="J314" s="57"/>
      <c r="K314" s="57"/>
      <c r="L314" s="55"/>
      <c r="M314" s="78">
        <v>5.1430128318229462E-3</v>
      </c>
      <c r="N314" s="78">
        <v>0.01</v>
      </c>
      <c r="Q314" s="57"/>
      <c r="S314" s="55"/>
      <c r="T314" s="79">
        <f ca="1">OFFSET('Loss Timing'!D$6,MATCH($A314,'Loss Timing'!$A$7:$A$36,1),0)/12/PmtFreqAdd</f>
        <v>2.7777777777777779E-3</v>
      </c>
      <c r="U314" s="79">
        <f ca="1">OFFSET('Loss Timing'!E$6,MATCH($A314,'Loss Timing'!$A$7:$A$36,1),0)/12/PmtFreqAdd</f>
        <v>0</v>
      </c>
      <c r="V314" s="79">
        <f ca="1">OFFSET('Loss Timing'!F$6,MATCH($A314,'Loss Timing'!$A$7:$A$36,1),0)/12/PmtFreqAdd</f>
        <v>0</v>
      </c>
      <c r="W314" s="79">
        <f ca="1">OFFSET('Loss Timing'!G$6,MATCH($A314,'Loss Timing'!$A$7:$A$36,1),0)/12/PmtFreqAdd</f>
        <v>0</v>
      </c>
      <c r="X314" s="79">
        <f ca="1">OFFSET('Loss Timing'!H$6,MATCH($A314,'Loss Timing'!$A$7:$A$36,1),0)/12/PmtFreqAdd</f>
        <v>6.2499999999999995E-3</v>
      </c>
      <c r="Y314" s="55"/>
      <c r="Z314" s="68">
        <f t="shared" ca="1" si="20"/>
        <v>2.7777777777777779E-5</v>
      </c>
      <c r="AA314" s="68">
        <f t="shared" ca="1" si="21"/>
        <v>0</v>
      </c>
      <c r="AB314" s="68">
        <f t="shared" ca="1" si="22"/>
        <v>0</v>
      </c>
      <c r="AC314" s="68">
        <f t="shared" ca="1" si="23"/>
        <v>0</v>
      </c>
      <c r="AD314" s="68">
        <f t="shared" ca="1" si="24"/>
        <v>6.2500000000000001E-5</v>
      </c>
      <c r="AE314" s="55"/>
      <c r="AF314" s="68">
        <v>1.2500008594873435E-5</v>
      </c>
      <c r="AG314" s="81">
        <v>2.5000034375999292E-5</v>
      </c>
      <c r="AH314" s="68">
        <v>5.0000137497008268E-5</v>
      </c>
      <c r="AI314" s="55"/>
    </row>
    <row r="315" spans="1:35" x14ac:dyDescent="0.2">
      <c r="A315" s="27">
        <f>'Cash Flow'!A315</f>
        <v>309</v>
      </c>
      <c r="B315" s="49">
        <f>'Cash Flow'!B315</f>
        <v>48519</v>
      </c>
      <c r="C315" s="56">
        <f>'Cash Flow'!C315</f>
        <v>8.3333333333333329E-2</v>
      </c>
      <c r="D315" s="55"/>
      <c r="E315" s="57">
        <v>6.9369000000000056E-2</v>
      </c>
      <c r="F315" s="57"/>
      <c r="G315" s="57"/>
      <c r="H315" s="57"/>
      <c r="I315" s="57">
        <v>0.04</v>
      </c>
      <c r="J315" s="57"/>
      <c r="K315" s="57"/>
      <c r="L315" s="55"/>
      <c r="M315" s="78">
        <v>5.1430128318229462E-3</v>
      </c>
      <c r="N315" s="78">
        <v>0.01</v>
      </c>
      <c r="Q315" s="57"/>
      <c r="S315" s="55"/>
      <c r="T315" s="79">
        <f ca="1">OFFSET('Loss Timing'!D$6,MATCH($A315,'Loss Timing'!$A$7:$A$36,1),0)/12/PmtFreqAdd</f>
        <v>2.7777777777777779E-3</v>
      </c>
      <c r="U315" s="79">
        <f ca="1">OFFSET('Loss Timing'!E$6,MATCH($A315,'Loss Timing'!$A$7:$A$36,1),0)/12/PmtFreqAdd</f>
        <v>0</v>
      </c>
      <c r="V315" s="79">
        <f ca="1">OFFSET('Loss Timing'!F$6,MATCH($A315,'Loss Timing'!$A$7:$A$36,1),0)/12/PmtFreqAdd</f>
        <v>0</v>
      </c>
      <c r="W315" s="79">
        <f ca="1">OFFSET('Loss Timing'!G$6,MATCH($A315,'Loss Timing'!$A$7:$A$36,1),0)/12/PmtFreqAdd</f>
        <v>0</v>
      </c>
      <c r="X315" s="79">
        <f ca="1">OFFSET('Loss Timing'!H$6,MATCH($A315,'Loss Timing'!$A$7:$A$36,1),0)/12/PmtFreqAdd</f>
        <v>6.2499999999999995E-3</v>
      </c>
      <c r="Y315" s="55"/>
      <c r="Z315" s="68">
        <f t="shared" ca="1" si="20"/>
        <v>2.7777777777777779E-5</v>
      </c>
      <c r="AA315" s="68">
        <f t="shared" ca="1" si="21"/>
        <v>0</v>
      </c>
      <c r="AB315" s="68">
        <f t="shared" ca="1" si="22"/>
        <v>0</v>
      </c>
      <c r="AC315" s="68">
        <f t="shared" ca="1" si="23"/>
        <v>0</v>
      </c>
      <c r="AD315" s="68">
        <f t="shared" ca="1" si="24"/>
        <v>6.2500000000000001E-5</v>
      </c>
      <c r="AE315" s="55"/>
      <c r="AF315" s="68">
        <v>1.2500008594873435E-5</v>
      </c>
      <c r="AG315" s="81">
        <v>2.5000034375999292E-5</v>
      </c>
      <c r="AH315" s="68">
        <v>5.0000137497008268E-5</v>
      </c>
      <c r="AI315" s="55"/>
    </row>
    <row r="316" spans="1:35" x14ac:dyDescent="0.2">
      <c r="A316" s="27">
        <f>'Cash Flow'!A316</f>
        <v>310</v>
      </c>
      <c r="B316" s="49">
        <f>'Cash Flow'!B316</f>
        <v>48549</v>
      </c>
      <c r="C316" s="56">
        <f>'Cash Flow'!C316</f>
        <v>8.3333333333333329E-2</v>
      </c>
      <c r="D316" s="55"/>
      <c r="E316" s="57">
        <v>6.9369000000000056E-2</v>
      </c>
      <c r="F316" s="57"/>
      <c r="G316" s="57"/>
      <c r="H316" s="57"/>
      <c r="I316" s="57">
        <v>0.04</v>
      </c>
      <c r="J316" s="57"/>
      <c r="K316" s="57"/>
      <c r="L316" s="55"/>
      <c r="M316" s="78">
        <v>5.1430128318229462E-3</v>
      </c>
      <c r="N316" s="78">
        <v>0.01</v>
      </c>
      <c r="Q316" s="57"/>
      <c r="S316" s="55"/>
      <c r="T316" s="79">
        <f ca="1">OFFSET('Loss Timing'!D$6,MATCH($A316,'Loss Timing'!$A$7:$A$36,1),0)/12/PmtFreqAdd</f>
        <v>2.7777777777777779E-3</v>
      </c>
      <c r="U316" s="79">
        <f ca="1">OFFSET('Loss Timing'!E$6,MATCH($A316,'Loss Timing'!$A$7:$A$36,1),0)/12/PmtFreqAdd</f>
        <v>0</v>
      </c>
      <c r="V316" s="79">
        <f ca="1">OFFSET('Loss Timing'!F$6,MATCH($A316,'Loss Timing'!$A$7:$A$36,1),0)/12/PmtFreqAdd</f>
        <v>0</v>
      </c>
      <c r="W316" s="79">
        <f ca="1">OFFSET('Loss Timing'!G$6,MATCH($A316,'Loss Timing'!$A$7:$A$36,1),0)/12/PmtFreqAdd</f>
        <v>0</v>
      </c>
      <c r="X316" s="79">
        <f ca="1">OFFSET('Loss Timing'!H$6,MATCH($A316,'Loss Timing'!$A$7:$A$36,1),0)/12/PmtFreqAdd</f>
        <v>6.2499999999999995E-3</v>
      </c>
      <c r="Y316" s="55"/>
      <c r="Z316" s="68">
        <f t="shared" ca="1" si="20"/>
        <v>2.7777777777777779E-5</v>
      </c>
      <c r="AA316" s="68">
        <f t="shared" ca="1" si="21"/>
        <v>0</v>
      </c>
      <c r="AB316" s="68">
        <f t="shared" ca="1" si="22"/>
        <v>0</v>
      </c>
      <c r="AC316" s="68">
        <f t="shared" ca="1" si="23"/>
        <v>0</v>
      </c>
      <c r="AD316" s="68">
        <f t="shared" ca="1" si="24"/>
        <v>6.2500000000000001E-5</v>
      </c>
      <c r="AE316" s="55"/>
      <c r="AF316" s="68">
        <v>1.2500008594873435E-5</v>
      </c>
      <c r="AG316" s="81">
        <v>2.5000034375999292E-5</v>
      </c>
      <c r="AH316" s="68">
        <v>5.0000137497008268E-5</v>
      </c>
      <c r="AI316" s="55"/>
    </row>
    <row r="317" spans="1:35" x14ac:dyDescent="0.2">
      <c r="A317" s="27">
        <f>'Cash Flow'!A317</f>
        <v>311</v>
      </c>
      <c r="B317" s="49">
        <f>'Cash Flow'!B317</f>
        <v>48580</v>
      </c>
      <c r="C317" s="56">
        <f>'Cash Flow'!C317</f>
        <v>8.3333333333333329E-2</v>
      </c>
      <c r="D317" s="55"/>
      <c r="E317" s="57">
        <v>6.9369000000000056E-2</v>
      </c>
      <c r="F317" s="57"/>
      <c r="G317" s="57"/>
      <c r="H317" s="57"/>
      <c r="I317" s="57">
        <v>0.04</v>
      </c>
      <c r="J317" s="57"/>
      <c r="K317" s="57"/>
      <c r="L317" s="55"/>
      <c r="M317" s="78">
        <v>5.1430128318229462E-3</v>
      </c>
      <c r="N317" s="78">
        <v>0.01</v>
      </c>
      <c r="Q317" s="57"/>
      <c r="S317" s="55"/>
      <c r="T317" s="79">
        <f ca="1">OFFSET('Loss Timing'!D$6,MATCH($A317,'Loss Timing'!$A$7:$A$36,1),0)/12/PmtFreqAdd</f>
        <v>2.7777777777777779E-3</v>
      </c>
      <c r="U317" s="79">
        <f ca="1">OFFSET('Loss Timing'!E$6,MATCH($A317,'Loss Timing'!$A$7:$A$36,1),0)/12/PmtFreqAdd</f>
        <v>0</v>
      </c>
      <c r="V317" s="79">
        <f ca="1">OFFSET('Loss Timing'!F$6,MATCH($A317,'Loss Timing'!$A$7:$A$36,1),0)/12/PmtFreqAdd</f>
        <v>0</v>
      </c>
      <c r="W317" s="79">
        <f ca="1">OFFSET('Loss Timing'!G$6,MATCH($A317,'Loss Timing'!$A$7:$A$36,1),0)/12/PmtFreqAdd</f>
        <v>0</v>
      </c>
      <c r="X317" s="79">
        <f ca="1">OFFSET('Loss Timing'!H$6,MATCH($A317,'Loss Timing'!$A$7:$A$36,1),0)/12/PmtFreqAdd</f>
        <v>6.2499999999999995E-3</v>
      </c>
      <c r="Y317" s="55"/>
      <c r="Z317" s="68">
        <f t="shared" ca="1" si="20"/>
        <v>2.7777777777777779E-5</v>
      </c>
      <c r="AA317" s="68">
        <f t="shared" ca="1" si="21"/>
        <v>0</v>
      </c>
      <c r="AB317" s="68">
        <f t="shared" ca="1" si="22"/>
        <v>0</v>
      </c>
      <c r="AC317" s="68">
        <f t="shared" ca="1" si="23"/>
        <v>0</v>
      </c>
      <c r="AD317" s="68">
        <f t="shared" ca="1" si="24"/>
        <v>6.2500000000000001E-5</v>
      </c>
      <c r="AE317" s="55"/>
      <c r="AF317" s="68">
        <v>1.2500008594873435E-5</v>
      </c>
      <c r="AG317" s="81">
        <v>2.5000034375999292E-5</v>
      </c>
      <c r="AH317" s="68">
        <v>5.0000137497008268E-5</v>
      </c>
      <c r="AI317" s="55"/>
    </row>
    <row r="318" spans="1:35" x14ac:dyDescent="0.2">
      <c r="A318" s="27">
        <f>'Cash Flow'!A318</f>
        <v>312</v>
      </c>
      <c r="B318" s="49">
        <f>'Cash Flow'!B318</f>
        <v>48611</v>
      </c>
      <c r="C318" s="56">
        <f>'Cash Flow'!C318</f>
        <v>8.3333333333333329E-2</v>
      </c>
      <c r="D318" s="55"/>
      <c r="E318" s="57">
        <v>6.9369000000000056E-2</v>
      </c>
      <c r="F318" s="57"/>
      <c r="G318" s="57"/>
      <c r="H318" s="57"/>
      <c r="I318" s="57">
        <v>0.04</v>
      </c>
      <c r="J318" s="57"/>
      <c r="K318" s="57"/>
      <c r="L318" s="55"/>
      <c r="M318" s="78">
        <v>5.1430128318229462E-3</v>
      </c>
      <c r="N318" s="78">
        <v>0.01</v>
      </c>
      <c r="Q318" s="57"/>
      <c r="S318" s="55"/>
      <c r="T318" s="79">
        <f ca="1">OFFSET('Loss Timing'!D$6,MATCH($A318,'Loss Timing'!$A$7:$A$36,1),0)/12/PmtFreqAdd</f>
        <v>2.7777777777777779E-3</v>
      </c>
      <c r="U318" s="79">
        <f ca="1">OFFSET('Loss Timing'!E$6,MATCH($A318,'Loss Timing'!$A$7:$A$36,1),0)/12/PmtFreqAdd</f>
        <v>0</v>
      </c>
      <c r="V318" s="79">
        <f ca="1">OFFSET('Loss Timing'!F$6,MATCH($A318,'Loss Timing'!$A$7:$A$36,1),0)/12/PmtFreqAdd</f>
        <v>0</v>
      </c>
      <c r="W318" s="79">
        <f ca="1">OFFSET('Loss Timing'!G$6,MATCH($A318,'Loss Timing'!$A$7:$A$36,1),0)/12/PmtFreqAdd</f>
        <v>0</v>
      </c>
      <c r="X318" s="79">
        <f ca="1">OFFSET('Loss Timing'!H$6,MATCH($A318,'Loss Timing'!$A$7:$A$36,1),0)/12/PmtFreqAdd</f>
        <v>6.2499999999999995E-3</v>
      </c>
      <c r="Y318" s="55"/>
      <c r="Z318" s="68">
        <f t="shared" ca="1" si="20"/>
        <v>2.7777777777777779E-5</v>
      </c>
      <c r="AA318" s="68">
        <f t="shared" ca="1" si="21"/>
        <v>0</v>
      </c>
      <c r="AB318" s="68">
        <f t="shared" ca="1" si="22"/>
        <v>0</v>
      </c>
      <c r="AC318" s="68">
        <f t="shared" ca="1" si="23"/>
        <v>0</v>
      </c>
      <c r="AD318" s="68">
        <f t="shared" ca="1" si="24"/>
        <v>6.2500000000000001E-5</v>
      </c>
      <c r="AE318" s="55"/>
      <c r="AF318" s="68">
        <v>1.2500008594873435E-5</v>
      </c>
      <c r="AG318" s="81">
        <v>2.5000034375999292E-5</v>
      </c>
      <c r="AH318" s="68">
        <v>5.0000137497008268E-5</v>
      </c>
      <c r="AI318" s="55"/>
    </row>
    <row r="319" spans="1:35" x14ac:dyDescent="0.2">
      <c r="A319" s="27">
        <f>'Cash Flow'!A319</f>
        <v>313</v>
      </c>
      <c r="B319" s="49">
        <f>'Cash Flow'!B319</f>
        <v>48639</v>
      </c>
      <c r="C319" s="56">
        <f>'Cash Flow'!C319</f>
        <v>8.3333333333333329E-2</v>
      </c>
      <c r="D319" s="55"/>
      <c r="E319" s="57">
        <v>6.9369000000000056E-2</v>
      </c>
      <c r="F319" s="57"/>
      <c r="G319" s="57"/>
      <c r="H319" s="57"/>
      <c r="I319" s="57">
        <v>0.04</v>
      </c>
      <c r="J319" s="57"/>
      <c r="K319" s="57"/>
      <c r="L319" s="55"/>
      <c r="M319" s="78">
        <v>5.1430128318229462E-3</v>
      </c>
      <c r="N319" s="78">
        <v>0.01</v>
      </c>
      <c r="Q319" s="57"/>
      <c r="S319" s="55"/>
      <c r="T319" s="79">
        <f ca="1">OFFSET('Loss Timing'!D$6,MATCH($A319,'Loss Timing'!$A$7:$A$36,1),0)/12/PmtFreqAdd</f>
        <v>2.7777777777777779E-3</v>
      </c>
      <c r="U319" s="79">
        <f ca="1">OFFSET('Loss Timing'!E$6,MATCH($A319,'Loss Timing'!$A$7:$A$36,1),0)/12/PmtFreqAdd</f>
        <v>0</v>
      </c>
      <c r="V319" s="79">
        <f ca="1">OFFSET('Loss Timing'!F$6,MATCH($A319,'Loss Timing'!$A$7:$A$36,1),0)/12/PmtFreqAdd</f>
        <v>0</v>
      </c>
      <c r="W319" s="79">
        <f ca="1">OFFSET('Loss Timing'!G$6,MATCH($A319,'Loss Timing'!$A$7:$A$36,1),0)/12/PmtFreqAdd</f>
        <v>0</v>
      </c>
      <c r="X319" s="79">
        <f ca="1">OFFSET('Loss Timing'!H$6,MATCH($A319,'Loss Timing'!$A$7:$A$36,1),0)/12/PmtFreqAdd</f>
        <v>8.3333333333333332E-3</v>
      </c>
      <c r="Y319" s="55"/>
      <c r="Z319" s="68">
        <f t="shared" ca="1" si="20"/>
        <v>2.7777777777777779E-5</v>
      </c>
      <c r="AA319" s="68">
        <f t="shared" ca="1" si="21"/>
        <v>0</v>
      </c>
      <c r="AB319" s="68">
        <f t="shared" ca="1" si="22"/>
        <v>0</v>
      </c>
      <c r="AC319" s="68">
        <f t="shared" ca="1" si="23"/>
        <v>0</v>
      </c>
      <c r="AD319" s="68">
        <f t="shared" ca="1" si="24"/>
        <v>8.3333333333333331E-5</v>
      </c>
      <c r="AE319" s="55"/>
      <c r="AF319" s="68">
        <v>1.2500008594873435E-5</v>
      </c>
      <c r="AG319" s="81">
        <v>2.5000034375999292E-5</v>
      </c>
      <c r="AH319" s="68">
        <v>5.0000137497008268E-5</v>
      </c>
      <c r="AI319" s="55"/>
    </row>
    <row r="320" spans="1:35" x14ac:dyDescent="0.2">
      <c r="A320" s="27">
        <f>'Cash Flow'!A320</f>
        <v>314</v>
      </c>
      <c r="B320" s="49">
        <f>'Cash Flow'!B320</f>
        <v>48670</v>
      </c>
      <c r="C320" s="56">
        <f>'Cash Flow'!C320</f>
        <v>8.3333333333333329E-2</v>
      </c>
      <c r="D320" s="55"/>
      <c r="E320" s="57">
        <v>6.9369000000000056E-2</v>
      </c>
      <c r="F320" s="57"/>
      <c r="G320" s="57"/>
      <c r="H320" s="57"/>
      <c r="I320" s="57">
        <v>0.04</v>
      </c>
      <c r="J320" s="57"/>
      <c r="K320" s="57"/>
      <c r="L320" s="55"/>
      <c r="M320" s="78">
        <v>5.1430128318229462E-3</v>
      </c>
      <c r="N320" s="78">
        <v>0.01</v>
      </c>
      <c r="Q320" s="57"/>
      <c r="S320" s="55"/>
      <c r="T320" s="79">
        <f ca="1">OFFSET('Loss Timing'!D$6,MATCH($A320,'Loss Timing'!$A$7:$A$36,1),0)/12/PmtFreqAdd</f>
        <v>2.7777777777777779E-3</v>
      </c>
      <c r="U320" s="79">
        <f ca="1">OFFSET('Loss Timing'!E$6,MATCH($A320,'Loss Timing'!$A$7:$A$36,1),0)/12/PmtFreqAdd</f>
        <v>0</v>
      </c>
      <c r="V320" s="79">
        <f ca="1">OFFSET('Loss Timing'!F$6,MATCH($A320,'Loss Timing'!$A$7:$A$36,1),0)/12/PmtFreqAdd</f>
        <v>0</v>
      </c>
      <c r="W320" s="79">
        <f ca="1">OFFSET('Loss Timing'!G$6,MATCH($A320,'Loss Timing'!$A$7:$A$36,1),0)/12/PmtFreqAdd</f>
        <v>0</v>
      </c>
      <c r="X320" s="79">
        <f ca="1">OFFSET('Loss Timing'!H$6,MATCH($A320,'Loss Timing'!$A$7:$A$36,1),0)/12/PmtFreqAdd</f>
        <v>8.3333333333333332E-3</v>
      </c>
      <c r="Y320" s="55"/>
      <c r="Z320" s="68">
        <f t="shared" ca="1" si="20"/>
        <v>2.7777777777777779E-5</v>
      </c>
      <c r="AA320" s="68">
        <f t="shared" ca="1" si="21"/>
        <v>0</v>
      </c>
      <c r="AB320" s="68">
        <f t="shared" ca="1" si="22"/>
        <v>0</v>
      </c>
      <c r="AC320" s="68">
        <f t="shared" ca="1" si="23"/>
        <v>0</v>
      </c>
      <c r="AD320" s="68">
        <f t="shared" ca="1" si="24"/>
        <v>8.3333333333333331E-5</v>
      </c>
      <c r="AE320" s="55"/>
      <c r="AF320" s="68">
        <v>1.2500008594873435E-5</v>
      </c>
      <c r="AG320" s="81">
        <v>2.5000034375999292E-5</v>
      </c>
      <c r="AH320" s="68">
        <v>5.0000137497008268E-5</v>
      </c>
      <c r="AI320" s="55"/>
    </row>
    <row r="321" spans="1:35" x14ac:dyDescent="0.2">
      <c r="A321" s="27">
        <f>'Cash Flow'!A321</f>
        <v>315</v>
      </c>
      <c r="B321" s="49">
        <f>'Cash Flow'!B321</f>
        <v>48700</v>
      </c>
      <c r="C321" s="56">
        <f>'Cash Flow'!C321</f>
        <v>8.3333333333333329E-2</v>
      </c>
      <c r="D321" s="55"/>
      <c r="E321" s="57">
        <v>6.9369000000000056E-2</v>
      </c>
      <c r="F321" s="57"/>
      <c r="G321" s="57"/>
      <c r="H321" s="57"/>
      <c r="I321" s="57">
        <v>0.04</v>
      </c>
      <c r="J321" s="57"/>
      <c r="K321" s="57"/>
      <c r="L321" s="55"/>
      <c r="M321" s="78">
        <v>5.1430128318229462E-3</v>
      </c>
      <c r="N321" s="78">
        <v>0.01</v>
      </c>
      <c r="Q321" s="57"/>
      <c r="S321" s="55"/>
      <c r="T321" s="79">
        <f ca="1">OFFSET('Loss Timing'!D$6,MATCH($A321,'Loss Timing'!$A$7:$A$36,1),0)/12/PmtFreqAdd</f>
        <v>2.7777777777777779E-3</v>
      </c>
      <c r="U321" s="79">
        <f ca="1">OFFSET('Loss Timing'!E$6,MATCH($A321,'Loss Timing'!$A$7:$A$36,1),0)/12/PmtFreqAdd</f>
        <v>0</v>
      </c>
      <c r="V321" s="79">
        <f ca="1">OFFSET('Loss Timing'!F$6,MATCH($A321,'Loss Timing'!$A$7:$A$36,1),0)/12/PmtFreqAdd</f>
        <v>0</v>
      </c>
      <c r="W321" s="79">
        <f ca="1">OFFSET('Loss Timing'!G$6,MATCH($A321,'Loss Timing'!$A$7:$A$36,1),0)/12/PmtFreqAdd</f>
        <v>0</v>
      </c>
      <c r="X321" s="79">
        <f ca="1">OFFSET('Loss Timing'!H$6,MATCH($A321,'Loss Timing'!$A$7:$A$36,1),0)/12/PmtFreqAdd</f>
        <v>8.3333333333333332E-3</v>
      </c>
      <c r="Y321" s="55"/>
      <c r="Z321" s="68">
        <f t="shared" ca="1" si="20"/>
        <v>2.7777777777777779E-5</v>
      </c>
      <c r="AA321" s="68">
        <f t="shared" ca="1" si="21"/>
        <v>0</v>
      </c>
      <c r="AB321" s="68">
        <f t="shared" ca="1" si="22"/>
        <v>0</v>
      </c>
      <c r="AC321" s="68">
        <f t="shared" ca="1" si="23"/>
        <v>0</v>
      </c>
      <c r="AD321" s="68">
        <f t="shared" ca="1" si="24"/>
        <v>8.3333333333333331E-5</v>
      </c>
      <c r="AE321" s="55"/>
      <c r="AF321" s="68">
        <v>1.2500008594873435E-5</v>
      </c>
      <c r="AG321" s="81">
        <v>2.5000034375999292E-5</v>
      </c>
      <c r="AH321" s="68">
        <v>5.0000137497008268E-5</v>
      </c>
      <c r="AI321" s="55"/>
    </row>
    <row r="322" spans="1:35" x14ac:dyDescent="0.2">
      <c r="A322" s="27">
        <f>'Cash Flow'!A322</f>
        <v>316</v>
      </c>
      <c r="B322" s="49">
        <f>'Cash Flow'!B322</f>
        <v>48731</v>
      </c>
      <c r="C322" s="56">
        <f>'Cash Flow'!C322</f>
        <v>8.3333333333333329E-2</v>
      </c>
      <c r="D322" s="55"/>
      <c r="E322" s="57">
        <v>6.9369000000000056E-2</v>
      </c>
      <c r="F322" s="57"/>
      <c r="G322" s="57"/>
      <c r="H322" s="57"/>
      <c r="I322" s="57">
        <v>0.04</v>
      </c>
      <c r="J322" s="57"/>
      <c r="K322" s="57"/>
      <c r="L322" s="55"/>
      <c r="M322" s="78">
        <v>5.1430128318229462E-3</v>
      </c>
      <c r="N322" s="78">
        <v>0.01</v>
      </c>
      <c r="Q322" s="57"/>
      <c r="S322" s="55"/>
      <c r="T322" s="79">
        <f ca="1">OFFSET('Loss Timing'!D$6,MATCH($A322,'Loss Timing'!$A$7:$A$36,1),0)/12/PmtFreqAdd</f>
        <v>2.7777777777777779E-3</v>
      </c>
      <c r="U322" s="79">
        <f ca="1">OFFSET('Loss Timing'!E$6,MATCH($A322,'Loss Timing'!$A$7:$A$36,1),0)/12/PmtFreqAdd</f>
        <v>0</v>
      </c>
      <c r="V322" s="79">
        <f ca="1">OFFSET('Loss Timing'!F$6,MATCH($A322,'Loss Timing'!$A$7:$A$36,1),0)/12/PmtFreqAdd</f>
        <v>0</v>
      </c>
      <c r="W322" s="79">
        <f ca="1">OFFSET('Loss Timing'!G$6,MATCH($A322,'Loss Timing'!$A$7:$A$36,1),0)/12/PmtFreqAdd</f>
        <v>0</v>
      </c>
      <c r="X322" s="79">
        <f ca="1">OFFSET('Loss Timing'!H$6,MATCH($A322,'Loss Timing'!$A$7:$A$36,1),0)/12/PmtFreqAdd</f>
        <v>8.3333333333333332E-3</v>
      </c>
      <c r="Y322" s="55"/>
      <c r="Z322" s="68">
        <f t="shared" ca="1" si="20"/>
        <v>2.7777777777777779E-5</v>
      </c>
      <c r="AA322" s="68">
        <f t="shared" ca="1" si="21"/>
        <v>0</v>
      </c>
      <c r="AB322" s="68">
        <f t="shared" ca="1" si="22"/>
        <v>0</v>
      </c>
      <c r="AC322" s="68">
        <f t="shared" ca="1" si="23"/>
        <v>0</v>
      </c>
      <c r="AD322" s="68">
        <f t="shared" ca="1" si="24"/>
        <v>8.3333333333333331E-5</v>
      </c>
      <c r="AE322" s="55"/>
      <c r="AF322" s="68">
        <v>1.2500008594873435E-5</v>
      </c>
      <c r="AG322" s="81">
        <v>2.5000034375999292E-5</v>
      </c>
      <c r="AH322" s="68">
        <v>5.0000137497008268E-5</v>
      </c>
      <c r="AI322" s="55"/>
    </row>
    <row r="323" spans="1:35" x14ac:dyDescent="0.2">
      <c r="A323" s="27">
        <f>'Cash Flow'!A323</f>
        <v>317</v>
      </c>
      <c r="B323" s="49">
        <f>'Cash Flow'!B323</f>
        <v>48761</v>
      </c>
      <c r="C323" s="56">
        <f>'Cash Flow'!C323</f>
        <v>8.3333333333333329E-2</v>
      </c>
      <c r="D323" s="55"/>
      <c r="E323" s="57">
        <v>6.9369000000000056E-2</v>
      </c>
      <c r="F323" s="57"/>
      <c r="G323" s="57"/>
      <c r="H323" s="57"/>
      <c r="I323" s="57">
        <v>0.04</v>
      </c>
      <c r="J323" s="57"/>
      <c r="K323" s="57"/>
      <c r="L323" s="55"/>
      <c r="M323" s="78">
        <v>5.1430128318229462E-3</v>
      </c>
      <c r="N323" s="78">
        <v>0.01</v>
      </c>
      <c r="Q323" s="57"/>
      <c r="S323" s="55"/>
      <c r="T323" s="79">
        <f ca="1">OFFSET('Loss Timing'!D$6,MATCH($A323,'Loss Timing'!$A$7:$A$36,1),0)/12/PmtFreqAdd</f>
        <v>2.7777777777777779E-3</v>
      </c>
      <c r="U323" s="79">
        <f ca="1">OFFSET('Loss Timing'!E$6,MATCH($A323,'Loss Timing'!$A$7:$A$36,1),0)/12/PmtFreqAdd</f>
        <v>0</v>
      </c>
      <c r="V323" s="79">
        <f ca="1">OFFSET('Loss Timing'!F$6,MATCH($A323,'Loss Timing'!$A$7:$A$36,1),0)/12/PmtFreqAdd</f>
        <v>0</v>
      </c>
      <c r="W323" s="79">
        <f ca="1">OFFSET('Loss Timing'!G$6,MATCH($A323,'Loss Timing'!$A$7:$A$36,1),0)/12/PmtFreqAdd</f>
        <v>0</v>
      </c>
      <c r="X323" s="79">
        <f ca="1">OFFSET('Loss Timing'!H$6,MATCH($A323,'Loss Timing'!$A$7:$A$36,1),0)/12/PmtFreqAdd</f>
        <v>8.3333333333333332E-3</v>
      </c>
      <c r="Y323" s="55"/>
      <c r="Z323" s="68">
        <f t="shared" ca="1" si="20"/>
        <v>2.7777777777777779E-5</v>
      </c>
      <c r="AA323" s="68">
        <f t="shared" ca="1" si="21"/>
        <v>0</v>
      </c>
      <c r="AB323" s="68">
        <f t="shared" ca="1" si="22"/>
        <v>0</v>
      </c>
      <c r="AC323" s="68">
        <f t="shared" ca="1" si="23"/>
        <v>0</v>
      </c>
      <c r="AD323" s="68">
        <f t="shared" ca="1" si="24"/>
        <v>8.3333333333333331E-5</v>
      </c>
      <c r="AE323" s="55"/>
      <c r="AF323" s="68">
        <v>1.2500008594873435E-5</v>
      </c>
      <c r="AG323" s="81">
        <v>2.5000034375999292E-5</v>
      </c>
      <c r="AH323" s="68">
        <v>5.0000137497008268E-5</v>
      </c>
      <c r="AI323" s="55"/>
    </row>
    <row r="324" spans="1:35" x14ac:dyDescent="0.2">
      <c r="A324" s="27">
        <f>'Cash Flow'!A324</f>
        <v>318</v>
      </c>
      <c r="B324" s="49">
        <f>'Cash Flow'!B324</f>
        <v>48792</v>
      </c>
      <c r="C324" s="56">
        <f>'Cash Flow'!C324</f>
        <v>8.3333333333333329E-2</v>
      </c>
      <c r="D324" s="55"/>
      <c r="E324" s="57">
        <v>6.9369000000000056E-2</v>
      </c>
      <c r="F324" s="57"/>
      <c r="G324" s="57"/>
      <c r="H324" s="57"/>
      <c r="I324" s="57">
        <v>0.04</v>
      </c>
      <c r="J324" s="57"/>
      <c r="K324" s="57"/>
      <c r="L324" s="55"/>
      <c r="M324" s="78">
        <v>5.1430128318229462E-3</v>
      </c>
      <c r="N324" s="78">
        <v>0.01</v>
      </c>
      <c r="Q324" s="57"/>
      <c r="S324" s="55"/>
      <c r="T324" s="79">
        <f ca="1">OFFSET('Loss Timing'!D$6,MATCH($A324,'Loss Timing'!$A$7:$A$36,1),0)/12/PmtFreqAdd</f>
        <v>2.7777777777777779E-3</v>
      </c>
      <c r="U324" s="79">
        <f ca="1">OFFSET('Loss Timing'!E$6,MATCH($A324,'Loss Timing'!$A$7:$A$36,1),0)/12/PmtFreqAdd</f>
        <v>0</v>
      </c>
      <c r="V324" s="79">
        <f ca="1">OFFSET('Loss Timing'!F$6,MATCH($A324,'Loss Timing'!$A$7:$A$36,1),0)/12/PmtFreqAdd</f>
        <v>0</v>
      </c>
      <c r="W324" s="79">
        <f ca="1">OFFSET('Loss Timing'!G$6,MATCH($A324,'Loss Timing'!$A$7:$A$36,1),0)/12/PmtFreqAdd</f>
        <v>0</v>
      </c>
      <c r="X324" s="79">
        <f ca="1">OFFSET('Loss Timing'!H$6,MATCH($A324,'Loss Timing'!$A$7:$A$36,1),0)/12/PmtFreqAdd</f>
        <v>8.3333333333333332E-3</v>
      </c>
      <c r="Y324" s="55"/>
      <c r="Z324" s="68">
        <f t="shared" ca="1" si="20"/>
        <v>2.7777777777777779E-5</v>
      </c>
      <c r="AA324" s="68">
        <f t="shared" ca="1" si="21"/>
        <v>0</v>
      </c>
      <c r="AB324" s="68">
        <f t="shared" ca="1" si="22"/>
        <v>0</v>
      </c>
      <c r="AC324" s="68">
        <f t="shared" ca="1" si="23"/>
        <v>0</v>
      </c>
      <c r="AD324" s="68">
        <f t="shared" ca="1" si="24"/>
        <v>8.3333333333333331E-5</v>
      </c>
      <c r="AE324" s="55"/>
      <c r="AF324" s="68">
        <v>1.2500008594873435E-5</v>
      </c>
      <c r="AG324" s="81">
        <v>2.5000034375999292E-5</v>
      </c>
      <c r="AH324" s="68">
        <v>5.0000137497008268E-5</v>
      </c>
      <c r="AI324" s="55"/>
    </row>
    <row r="325" spans="1:35" x14ac:dyDescent="0.2">
      <c r="A325" s="27">
        <f>'Cash Flow'!A325</f>
        <v>319</v>
      </c>
      <c r="B325" s="49">
        <f>'Cash Flow'!B325</f>
        <v>48823</v>
      </c>
      <c r="C325" s="56">
        <f>'Cash Flow'!C325</f>
        <v>8.3333333333333329E-2</v>
      </c>
      <c r="D325" s="55"/>
      <c r="E325" s="57">
        <v>6.9369000000000056E-2</v>
      </c>
      <c r="F325" s="57"/>
      <c r="G325" s="57"/>
      <c r="H325" s="57"/>
      <c r="I325" s="57">
        <v>0.04</v>
      </c>
      <c r="J325" s="57"/>
      <c r="K325" s="57"/>
      <c r="L325" s="55"/>
      <c r="M325" s="78">
        <v>5.1430128318229462E-3</v>
      </c>
      <c r="N325" s="78">
        <v>0.01</v>
      </c>
      <c r="Q325" s="57"/>
      <c r="S325" s="55"/>
      <c r="T325" s="79">
        <f ca="1">OFFSET('Loss Timing'!D$6,MATCH($A325,'Loss Timing'!$A$7:$A$36,1),0)/12/PmtFreqAdd</f>
        <v>2.7777777777777779E-3</v>
      </c>
      <c r="U325" s="79">
        <f ca="1">OFFSET('Loss Timing'!E$6,MATCH($A325,'Loss Timing'!$A$7:$A$36,1),0)/12/PmtFreqAdd</f>
        <v>0</v>
      </c>
      <c r="V325" s="79">
        <f ca="1">OFFSET('Loss Timing'!F$6,MATCH($A325,'Loss Timing'!$A$7:$A$36,1),0)/12/PmtFreqAdd</f>
        <v>0</v>
      </c>
      <c r="W325" s="79">
        <f ca="1">OFFSET('Loss Timing'!G$6,MATCH($A325,'Loss Timing'!$A$7:$A$36,1),0)/12/PmtFreqAdd</f>
        <v>0</v>
      </c>
      <c r="X325" s="79">
        <f ca="1">OFFSET('Loss Timing'!H$6,MATCH($A325,'Loss Timing'!$A$7:$A$36,1),0)/12/PmtFreqAdd</f>
        <v>8.3333333333333332E-3</v>
      </c>
      <c r="Y325" s="55"/>
      <c r="Z325" s="68">
        <f t="shared" ca="1" si="20"/>
        <v>2.7777777777777779E-5</v>
      </c>
      <c r="AA325" s="68">
        <f t="shared" ca="1" si="21"/>
        <v>0</v>
      </c>
      <c r="AB325" s="68">
        <f t="shared" ca="1" si="22"/>
        <v>0</v>
      </c>
      <c r="AC325" s="68">
        <f t="shared" ca="1" si="23"/>
        <v>0</v>
      </c>
      <c r="AD325" s="68">
        <f t="shared" ca="1" si="24"/>
        <v>8.3333333333333331E-5</v>
      </c>
      <c r="AE325" s="55"/>
      <c r="AF325" s="68">
        <v>1.2500008594873435E-5</v>
      </c>
      <c r="AG325" s="81">
        <v>2.5000034375999292E-5</v>
      </c>
      <c r="AH325" s="68">
        <v>5.0000137497008268E-5</v>
      </c>
      <c r="AI325" s="55"/>
    </row>
    <row r="326" spans="1:35" x14ac:dyDescent="0.2">
      <c r="A326" s="27">
        <f>'Cash Flow'!A326</f>
        <v>320</v>
      </c>
      <c r="B326" s="49">
        <f>'Cash Flow'!B326</f>
        <v>48853</v>
      </c>
      <c r="C326" s="56">
        <f>'Cash Flow'!C326</f>
        <v>8.3333333333333329E-2</v>
      </c>
      <c r="D326" s="55"/>
      <c r="E326" s="57">
        <v>6.9369000000000056E-2</v>
      </c>
      <c r="F326" s="57"/>
      <c r="G326" s="57"/>
      <c r="H326" s="57"/>
      <c r="I326" s="57">
        <v>0.04</v>
      </c>
      <c r="J326" s="57"/>
      <c r="K326" s="57"/>
      <c r="L326" s="55"/>
      <c r="M326" s="78">
        <v>5.1430128318229462E-3</v>
      </c>
      <c r="N326" s="78">
        <v>0.01</v>
      </c>
      <c r="Q326" s="57"/>
      <c r="S326" s="55"/>
      <c r="T326" s="79">
        <f ca="1">OFFSET('Loss Timing'!D$6,MATCH($A326,'Loss Timing'!$A$7:$A$36,1),0)/12/PmtFreqAdd</f>
        <v>2.7777777777777779E-3</v>
      </c>
      <c r="U326" s="79">
        <f ca="1">OFFSET('Loss Timing'!E$6,MATCH($A326,'Loss Timing'!$A$7:$A$36,1),0)/12/PmtFreqAdd</f>
        <v>0</v>
      </c>
      <c r="V326" s="79">
        <f ca="1">OFFSET('Loss Timing'!F$6,MATCH($A326,'Loss Timing'!$A$7:$A$36,1),0)/12/PmtFreqAdd</f>
        <v>0</v>
      </c>
      <c r="W326" s="79">
        <f ca="1">OFFSET('Loss Timing'!G$6,MATCH($A326,'Loss Timing'!$A$7:$A$36,1),0)/12/PmtFreqAdd</f>
        <v>0</v>
      </c>
      <c r="X326" s="79">
        <f ca="1">OFFSET('Loss Timing'!H$6,MATCH($A326,'Loss Timing'!$A$7:$A$36,1),0)/12/PmtFreqAdd</f>
        <v>8.3333333333333332E-3</v>
      </c>
      <c r="Y326" s="55"/>
      <c r="Z326" s="68">
        <f t="shared" ca="1" si="20"/>
        <v>2.7777777777777779E-5</v>
      </c>
      <c r="AA326" s="68">
        <f t="shared" ca="1" si="21"/>
        <v>0</v>
      </c>
      <c r="AB326" s="68">
        <f t="shared" ca="1" si="22"/>
        <v>0</v>
      </c>
      <c r="AC326" s="68">
        <f t="shared" ca="1" si="23"/>
        <v>0</v>
      </c>
      <c r="AD326" s="68">
        <f t="shared" ca="1" si="24"/>
        <v>8.3333333333333331E-5</v>
      </c>
      <c r="AE326" s="55"/>
      <c r="AF326" s="68">
        <v>1.2500008594873435E-5</v>
      </c>
      <c r="AG326" s="81">
        <v>2.5000034375999292E-5</v>
      </c>
      <c r="AH326" s="68">
        <v>5.0000137497008268E-5</v>
      </c>
      <c r="AI326" s="55"/>
    </row>
    <row r="327" spans="1:35" x14ac:dyDescent="0.2">
      <c r="A327" s="27">
        <f>'Cash Flow'!A327</f>
        <v>321</v>
      </c>
      <c r="B327" s="49">
        <f>'Cash Flow'!B327</f>
        <v>48884</v>
      </c>
      <c r="C327" s="56">
        <f>'Cash Flow'!C327</f>
        <v>8.3333333333333329E-2</v>
      </c>
      <c r="D327" s="55"/>
      <c r="E327" s="57">
        <v>6.9369000000000056E-2</v>
      </c>
      <c r="F327" s="57"/>
      <c r="G327" s="57"/>
      <c r="H327" s="57"/>
      <c r="I327" s="57">
        <v>0.04</v>
      </c>
      <c r="J327" s="57"/>
      <c r="K327" s="57"/>
      <c r="L327" s="55"/>
      <c r="M327" s="78">
        <v>5.1430128318229462E-3</v>
      </c>
      <c r="N327" s="78">
        <v>0.01</v>
      </c>
      <c r="Q327" s="57"/>
      <c r="S327" s="55"/>
      <c r="T327" s="79">
        <f ca="1">OFFSET('Loss Timing'!D$6,MATCH($A327,'Loss Timing'!$A$7:$A$36,1),0)/12/PmtFreqAdd</f>
        <v>2.7777777777777779E-3</v>
      </c>
      <c r="U327" s="79">
        <f ca="1">OFFSET('Loss Timing'!E$6,MATCH($A327,'Loss Timing'!$A$7:$A$36,1),0)/12/PmtFreqAdd</f>
        <v>0</v>
      </c>
      <c r="V327" s="79">
        <f ca="1">OFFSET('Loss Timing'!F$6,MATCH($A327,'Loss Timing'!$A$7:$A$36,1),0)/12/PmtFreqAdd</f>
        <v>0</v>
      </c>
      <c r="W327" s="79">
        <f ca="1">OFFSET('Loss Timing'!G$6,MATCH($A327,'Loss Timing'!$A$7:$A$36,1),0)/12/PmtFreqAdd</f>
        <v>0</v>
      </c>
      <c r="X327" s="79">
        <f ca="1">OFFSET('Loss Timing'!H$6,MATCH($A327,'Loss Timing'!$A$7:$A$36,1),0)/12/PmtFreqAdd</f>
        <v>8.3333333333333332E-3</v>
      </c>
      <c r="Y327" s="55"/>
      <c r="Z327" s="68">
        <f t="shared" ref="Z327:Z365" ca="1" si="25">(pdrCumLoss1*pdrLossStress1)*T327</f>
        <v>2.7777777777777779E-5</v>
      </c>
      <c r="AA327" s="68">
        <f t="shared" ref="AA327:AA365" ca="1" si="26">(pdrCumLoss1*pdrLossStress1)*U327</f>
        <v>0</v>
      </c>
      <c r="AB327" s="68">
        <f t="shared" ref="AB327:AB365" ca="1" si="27">(pdrCumLoss1*pdrLossStress1)*V327</f>
        <v>0</v>
      </c>
      <c r="AC327" s="68">
        <f t="shared" ref="AC327:AC365" ca="1" si="28">(pdrCumLoss1*pdrLossStress1)*W327</f>
        <v>0</v>
      </c>
      <c r="AD327" s="68">
        <f t="shared" ref="AD327:AD365" ca="1" si="29">(pdrCumLoss1*pdrLossStress1)*X327</f>
        <v>8.3333333333333331E-5</v>
      </c>
      <c r="AE327" s="55"/>
      <c r="AF327" s="68">
        <v>1.2500008594873435E-5</v>
      </c>
      <c r="AG327" s="81">
        <v>2.5000034375999292E-5</v>
      </c>
      <c r="AH327" s="68">
        <v>5.0000137497008268E-5</v>
      </c>
      <c r="AI327" s="55"/>
    </row>
    <row r="328" spans="1:35" x14ac:dyDescent="0.2">
      <c r="A328" s="27">
        <f>'Cash Flow'!A328</f>
        <v>322</v>
      </c>
      <c r="B328" s="49">
        <f>'Cash Flow'!B328</f>
        <v>48914</v>
      </c>
      <c r="C328" s="56">
        <f>'Cash Flow'!C328</f>
        <v>8.3333333333333329E-2</v>
      </c>
      <c r="D328" s="55"/>
      <c r="E328" s="57">
        <v>6.9369000000000056E-2</v>
      </c>
      <c r="F328" s="57"/>
      <c r="G328" s="57"/>
      <c r="H328" s="57"/>
      <c r="I328" s="57">
        <v>0.04</v>
      </c>
      <c r="J328" s="57"/>
      <c r="K328" s="57"/>
      <c r="L328" s="55"/>
      <c r="M328" s="78">
        <v>5.1430128318229462E-3</v>
      </c>
      <c r="N328" s="78">
        <v>0.01</v>
      </c>
      <c r="Q328" s="57"/>
      <c r="S328" s="55"/>
      <c r="T328" s="79">
        <f ca="1">OFFSET('Loss Timing'!D$6,MATCH($A328,'Loss Timing'!$A$7:$A$36,1),0)/12/PmtFreqAdd</f>
        <v>2.7777777777777779E-3</v>
      </c>
      <c r="U328" s="79">
        <f ca="1">OFFSET('Loss Timing'!E$6,MATCH($A328,'Loss Timing'!$A$7:$A$36,1),0)/12/PmtFreqAdd</f>
        <v>0</v>
      </c>
      <c r="V328" s="79">
        <f ca="1">OFFSET('Loss Timing'!F$6,MATCH($A328,'Loss Timing'!$A$7:$A$36,1),0)/12/PmtFreqAdd</f>
        <v>0</v>
      </c>
      <c r="W328" s="79">
        <f ca="1">OFFSET('Loss Timing'!G$6,MATCH($A328,'Loss Timing'!$A$7:$A$36,1),0)/12/PmtFreqAdd</f>
        <v>0</v>
      </c>
      <c r="X328" s="79">
        <f ca="1">OFFSET('Loss Timing'!H$6,MATCH($A328,'Loss Timing'!$A$7:$A$36,1),0)/12/PmtFreqAdd</f>
        <v>8.3333333333333332E-3</v>
      </c>
      <c r="Y328" s="55"/>
      <c r="Z328" s="68">
        <f t="shared" ca="1" si="25"/>
        <v>2.7777777777777779E-5</v>
      </c>
      <c r="AA328" s="68">
        <f t="shared" ca="1" si="26"/>
        <v>0</v>
      </c>
      <c r="AB328" s="68">
        <f t="shared" ca="1" si="27"/>
        <v>0</v>
      </c>
      <c r="AC328" s="68">
        <f t="shared" ca="1" si="28"/>
        <v>0</v>
      </c>
      <c r="AD328" s="68">
        <f t="shared" ca="1" si="29"/>
        <v>8.3333333333333331E-5</v>
      </c>
      <c r="AE328" s="55"/>
      <c r="AF328" s="68">
        <v>1.2500008594873435E-5</v>
      </c>
      <c r="AG328" s="81">
        <v>2.5000034375999292E-5</v>
      </c>
      <c r="AH328" s="68">
        <v>5.0000137497008268E-5</v>
      </c>
      <c r="AI328" s="55"/>
    </row>
    <row r="329" spans="1:35" x14ac:dyDescent="0.2">
      <c r="A329" s="27">
        <f>'Cash Flow'!A329</f>
        <v>323</v>
      </c>
      <c r="B329" s="49">
        <f>'Cash Flow'!B329</f>
        <v>48945</v>
      </c>
      <c r="C329" s="56">
        <f>'Cash Flow'!C329</f>
        <v>8.3333333333333329E-2</v>
      </c>
      <c r="D329" s="55"/>
      <c r="E329" s="57">
        <v>6.9369000000000056E-2</v>
      </c>
      <c r="F329" s="57"/>
      <c r="G329" s="57"/>
      <c r="H329" s="57"/>
      <c r="I329" s="57">
        <v>0.04</v>
      </c>
      <c r="J329" s="57"/>
      <c r="K329" s="57"/>
      <c r="L329" s="55"/>
      <c r="M329" s="78">
        <v>5.1430128318229462E-3</v>
      </c>
      <c r="N329" s="78">
        <v>0.01</v>
      </c>
      <c r="Q329" s="57"/>
      <c r="S329" s="55"/>
      <c r="T329" s="79">
        <f ca="1">OFFSET('Loss Timing'!D$6,MATCH($A329,'Loss Timing'!$A$7:$A$36,1),0)/12/PmtFreqAdd</f>
        <v>2.7777777777777779E-3</v>
      </c>
      <c r="U329" s="79">
        <f ca="1">OFFSET('Loss Timing'!E$6,MATCH($A329,'Loss Timing'!$A$7:$A$36,1),0)/12/PmtFreqAdd</f>
        <v>0</v>
      </c>
      <c r="V329" s="79">
        <f ca="1">OFFSET('Loss Timing'!F$6,MATCH($A329,'Loss Timing'!$A$7:$A$36,1),0)/12/PmtFreqAdd</f>
        <v>0</v>
      </c>
      <c r="W329" s="79">
        <f ca="1">OFFSET('Loss Timing'!G$6,MATCH($A329,'Loss Timing'!$A$7:$A$36,1),0)/12/PmtFreqAdd</f>
        <v>0</v>
      </c>
      <c r="X329" s="79">
        <f ca="1">OFFSET('Loss Timing'!H$6,MATCH($A329,'Loss Timing'!$A$7:$A$36,1),0)/12/PmtFreqAdd</f>
        <v>8.3333333333333332E-3</v>
      </c>
      <c r="Y329" s="55"/>
      <c r="Z329" s="68">
        <f t="shared" ca="1" si="25"/>
        <v>2.7777777777777779E-5</v>
      </c>
      <c r="AA329" s="68">
        <f t="shared" ca="1" si="26"/>
        <v>0</v>
      </c>
      <c r="AB329" s="68">
        <f t="shared" ca="1" si="27"/>
        <v>0</v>
      </c>
      <c r="AC329" s="68">
        <f t="shared" ca="1" si="28"/>
        <v>0</v>
      </c>
      <c r="AD329" s="68">
        <f t="shared" ca="1" si="29"/>
        <v>8.3333333333333331E-5</v>
      </c>
      <c r="AE329" s="55"/>
      <c r="AF329" s="68">
        <v>1.2500008594873435E-5</v>
      </c>
      <c r="AG329" s="81">
        <v>2.5000034375999292E-5</v>
      </c>
      <c r="AH329" s="68">
        <v>5.0000137497008268E-5</v>
      </c>
      <c r="AI329" s="55"/>
    </row>
    <row r="330" spans="1:35" x14ac:dyDescent="0.2">
      <c r="A330" s="27">
        <f>'Cash Flow'!A330</f>
        <v>324</v>
      </c>
      <c r="B330" s="49">
        <f>'Cash Flow'!B330</f>
        <v>48976</v>
      </c>
      <c r="C330" s="56">
        <f>'Cash Flow'!C330</f>
        <v>8.3333333333333329E-2</v>
      </c>
      <c r="D330" s="55"/>
      <c r="E330" s="57">
        <v>6.9369000000000056E-2</v>
      </c>
      <c r="F330" s="57"/>
      <c r="G330" s="57"/>
      <c r="H330" s="57"/>
      <c r="I330" s="57">
        <v>0.04</v>
      </c>
      <c r="J330" s="57"/>
      <c r="K330" s="57"/>
      <c r="L330" s="55"/>
      <c r="M330" s="78">
        <v>5.1430128318229462E-3</v>
      </c>
      <c r="N330" s="78">
        <v>0.01</v>
      </c>
      <c r="Q330" s="57"/>
      <c r="S330" s="55"/>
      <c r="T330" s="79">
        <f ca="1">OFFSET('Loss Timing'!D$6,MATCH($A330,'Loss Timing'!$A$7:$A$36,1),0)/12/PmtFreqAdd</f>
        <v>2.7777777777777779E-3</v>
      </c>
      <c r="U330" s="79">
        <f ca="1">OFFSET('Loss Timing'!E$6,MATCH($A330,'Loss Timing'!$A$7:$A$36,1),0)/12/PmtFreqAdd</f>
        <v>0</v>
      </c>
      <c r="V330" s="79">
        <f ca="1">OFFSET('Loss Timing'!F$6,MATCH($A330,'Loss Timing'!$A$7:$A$36,1),0)/12/PmtFreqAdd</f>
        <v>0</v>
      </c>
      <c r="W330" s="79">
        <f ca="1">OFFSET('Loss Timing'!G$6,MATCH($A330,'Loss Timing'!$A$7:$A$36,1),0)/12/PmtFreqAdd</f>
        <v>0</v>
      </c>
      <c r="X330" s="79">
        <f ca="1">OFFSET('Loss Timing'!H$6,MATCH($A330,'Loss Timing'!$A$7:$A$36,1),0)/12/PmtFreqAdd</f>
        <v>8.3333333333333332E-3</v>
      </c>
      <c r="Y330" s="55"/>
      <c r="Z330" s="68">
        <f t="shared" ca="1" si="25"/>
        <v>2.7777777777777779E-5</v>
      </c>
      <c r="AA330" s="68">
        <f t="shared" ca="1" si="26"/>
        <v>0</v>
      </c>
      <c r="AB330" s="68">
        <f t="shared" ca="1" si="27"/>
        <v>0</v>
      </c>
      <c r="AC330" s="68">
        <f t="shared" ca="1" si="28"/>
        <v>0</v>
      </c>
      <c r="AD330" s="68">
        <f t="shared" ca="1" si="29"/>
        <v>8.3333333333333331E-5</v>
      </c>
      <c r="AE330" s="55"/>
      <c r="AF330" s="68">
        <v>1.2500008594873435E-5</v>
      </c>
      <c r="AG330" s="81">
        <v>2.5000034375999292E-5</v>
      </c>
      <c r="AH330" s="68">
        <v>5.0000137497008268E-5</v>
      </c>
      <c r="AI330" s="55"/>
    </row>
    <row r="331" spans="1:35" x14ac:dyDescent="0.2">
      <c r="A331" s="27">
        <f>'Cash Flow'!A331</f>
        <v>325</v>
      </c>
      <c r="B331" s="49">
        <f>'Cash Flow'!B331</f>
        <v>49004</v>
      </c>
      <c r="C331" s="56">
        <f>'Cash Flow'!C331</f>
        <v>8.3333333333333329E-2</v>
      </c>
      <c r="D331" s="55"/>
      <c r="E331" s="57">
        <v>6.9369000000000056E-2</v>
      </c>
      <c r="F331" s="57"/>
      <c r="G331" s="57"/>
      <c r="H331" s="57"/>
      <c r="I331" s="57">
        <v>0.04</v>
      </c>
      <c r="J331" s="57"/>
      <c r="K331" s="57"/>
      <c r="L331" s="55"/>
      <c r="M331" s="78">
        <v>5.1430128318229462E-3</v>
      </c>
      <c r="N331" s="78">
        <v>0.01</v>
      </c>
      <c r="Q331" s="57"/>
      <c r="S331" s="55"/>
      <c r="T331" s="79">
        <f ca="1">OFFSET('Loss Timing'!D$6,MATCH($A331,'Loss Timing'!$A$7:$A$36,1),0)/12/PmtFreqAdd</f>
        <v>2.7777777777777779E-3</v>
      </c>
      <c r="U331" s="79">
        <f ca="1">OFFSET('Loss Timing'!E$6,MATCH($A331,'Loss Timing'!$A$7:$A$36,1),0)/12/PmtFreqAdd</f>
        <v>0</v>
      </c>
      <c r="V331" s="79">
        <f ca="1">OFFSET('Loss Timing'!F$6,MATCH($A331,'Loss Timing'!$A$7:$A$36,1),0)/12/PmtFreqAdd</f>
        <v>0</v>
      </c>
      <c r="W331" s="79">
        <f ca="1">OFFSET('Loss Timing'!G$6,MATCH($A331,'Loss Timing'!$A$7:$A$36,1),0)/12/PmtFreqAdd</f>
        <v>0</v>
      </c>
      <c r="X331" s="79">
        <f ca="1">OFFSET('Loss Timing'!H$6,MATCH($A331,'Loss Timing'!$A$7:$A$36,1),0)/12/PmtFreqAdd</f>
        <v>8.3333333333333332E-3</v>
      </c>
      <c r="Y331" s="55"/>
      <c r="Z331" s="68">
        <f t="shared" ca="1" si="25"/>
        <v>2.7777777777777779E-5</v>
      </c>
      <c r="AA331" s="68">
        <f t="shared" ca="1" si="26"/>
        <v>0</v>
      </c>
      <c r="AB331" s="68">
        <f t="shared" ca="1" si="27"/>
        <v>0</v>
      </c>
      <c r="AC331" s="68">
        <f t="shared" ca="1" si="28"/>
        <v>0</v>
      </c>
      <c r="AD331" s="68">
        <f t="shared" ca="1" si="29"/>
        <v>8.3333333333333331E-5</v>
      </c>
      <c r="AE331" s="55"/>
      <c r="AF331" s="68">
        <v>1.2500008594873435E-5</v>
      </c>
      <c r="AG331" s="81">
        <v>2.5000034375999292E-5</v>
      </c>
      <c r="AH331" s="68">
        <v>5.0000137497008268E-5</v>
      </c>
      <c r="AI331" s="55"/>
    </row>
    <row r="332" spans="1:35" x14ac:dyDescent="0.2">
      <c r="A332" s="27">
        <f>'Cash Flow'!A332</f>
        <v>326</v>
      </c>
      <c r="B332" s="49">
        <f>'Cash Flow'!B332</f>
        <v>49035</v>
      </c>
      <c r="C332" s="56">
        <f>'Cash Flow'!C332</f>
        <v>8.3333333333333329E-2</v>
      </c>
      <c r="D332" s="55"/>
      <c r="E332" s="57">
        <v>6.9369000000000056E-2</v>
      </c>
      <c r="F332" s="57"/>
      <c r="G332" s="57"/>
      <c r="H332" s="57"/>
      <c r="I332" s="57">
        <v>0.04</v>
      </c>
      <c r="J332" s="57"/>
      <c r="K332" s="57"/>
      <c r="L332" s="55"/>
      <c r="M332" s="78">
        <v>5.1430128318229462E-3</v>
      </c>
      <c r="N332" s="78">
        <v>0.01</v>
      </c>
      <c r="Q332" s="57"/>
      <c r="S332" s="55"/>
      <c r="T332" s="79">
        <f ca="1">OFFSET('Loss Timing'!D$6,MATCH($A332,'Loss Timing'!$A$7:$A$36,1),0)/12/PmtFreqAdd</f>
        <v>2.7777777777777779E-3</v>
      </c>
      <c r="U332" s="79">
        <f ca="1">OFFSET('Loss Timing'!E$6,MATCH($A332,'Loss Timing'!$A$7:$A$36,1),0)/12/PmtFreqAdd</f>
        <v>0</v>
      </c>
      <c r="V332" s="79">
        <f ca="1">OFFSET('Loss Timing'!F$6,MATCH($A332,'Loss Timing'!$A$7:$A$36,1),0)/12/PmtFreqAdd</f>
        <v>0</v>
      </c>
      <c r="W332" s="79">
        <f ca="1">OFFSET('Loss Timing'!G$6,MATCH($A332,'Loss Timing'!$A$7:$A$36,1),0)/12/PmtFreqAdd</f>
        <v>0</v>
      </c>
      <c r="X332" s="79">
        <f ca="1">OFFSET('Loss Timing'!H$6,MATCH($A332,'Loss Timing'!$A$7:$A$36,1),0)/12/PmtFreqAdd</f>
        <v>8.3333333333333332E-3</v>
      </c>
      <c r="Y332" s="55"/>
      <c r="Z332" s="68">
        <f t="shared" ca="1" si="25"/>
        <v>2.7777777777777779E-5</v>
      </c>
      <c r="AA332" s="68">
        <f t="shared" ca="1" si="26"/>
        <v>0</v>
      </c>
      <c r="AB332" s="68">
        <f t="shared" ca="1" si="27"/>
        <v>0</v>
      </c>
      <c r="AC332" s="68">
        <f t="shared" ca="1" si="28"/>
        <v>0</v>
      </c>
      <c r="AD332" s="68">
        <f t="shared" ca="1" si="29"/>
        <v>8.3333333333333331E-5</v>
      </c>
      <c r="AE332" s="55"/>
      <c r="AF332" s="68">
        <v>1.2500008594873435E-5</v>
      </c>
      <c r="AG332" s="81">
        <v>2.5000034375999292E-5</v>
      </c>
      <c r="AH332" s="68">
        <v>5.0000137497008268E-5</v>
      </c>
      <c r="AI332" s="55"/>
    </row>
    <row r="333" spans="1:35" x14ac:dyDescent="0.2">
      <c r="A333" s="27">
        <f>'Cash Flow'!A333</f>
        <v>327</v>
      </c>
      <c r="B333" s="49">
        <f>'Cash Flow'!B333</f>
        <v>49065</v>
      </c>
      <c r="C333" s="56">
        <f>'Cash Flow'!C333</f>
        <v>8.3333333333333329E-2</v>
      </c>
      <c r="D333" s="55"/>
      <c r="E333" s="57">
        <v>6.9369000000000056E-2</v>
      </c>
      <c r="F333" s="57"/>
      <c r="G333" s="57"/>
      <c r="H333" s="57"/>
      <c r="I333" s="57">
        <v>0.04</v>
      </c>
      <c r="J333" s="57"/>
      <c r="K333" s="57"/>
      <c r="L333" s="55"/>
      <c r="M333" s="78">
        <v>5.1430128318229462E-3</v>
      </c>
      <c r="N333" s="78">
        <v>0.01</v>
      </c>
      <c r="Q333" s="57"/>
      <c r="S333" s="55"/>
      <c r="T333" s="79">
        <f ca="1">OFFSET('Loss Timing'!D$6,MATCH($A333,'Loss Timing'!$A$7:$A$36,1),0)/12/PmtFreqAdd</f>
        <v>2.7777777777777779E-3</v>
      </c>
      <c r="U333" s="79">
        <f ca="1">OFFSET('Loss Timing'!E$6,MATCH($A333,'Loss Timing'!$A$7:$A$36,1),0)/12/PmtFreqAdd</f>
        <v>0</v>
      </c>
      <c r="V333" s="79">
        <f ca="1">OFFSET('Loss Timing'!F$6,MATCH($A333,'Loss Timing'!$A$7:$A$36,1),0)/12/PmtFreqAdd</f>
        <v>0</v>
      </c>
      <c r="W333" s="79">
        <f ca="1">OFFSET('Loss Timing'!G$6,MATCH($A333,'Loss Timing'!$A$7:$A$36,1),0)/12/PmtFreqAdd</f>
        <v>0</v>
      </c>
      <c r="X333" s="79">
        <f ca="1">OFFSET('Loss Timing'!H$6,MATCH($A333,'Loss Timing'!$A$7:$A$36,1),0)/12/PmtFreqAdd</f>
        <v>8.3333333333333332E-3</v>
      </c>
      <c r="Y333" s="55"/>
      <c r="Z333" s="68">
        <f t="shared" ca="1" si="25"/>
        <v>2.7777777777777779E-5</v>
      </c>
      <c r="AA333" s="68">
        <f t="shared" ca="1" si="26"/>
        <v>0</v>
      </c>
      <c r="AB333" s="68">
        <f t="shared" ca="1" si="27"/>
        <v>0</v>
      </c>
      <c r="AC333" s="68">
        <f t="shared" ca="1" si="28"/>
        <v>0</v>
      </c>
      <c r="AD333" s="68">
        <f t="shared" ca="1" si="29"/>
        <v>8.3333333333333331E-5</v>
      </c>
      <c r="AE333" s="55"/>
      <c r="AF333" s="68">
        <v>1.2500008594873435E-5</v>
      </c>
      <c r="AG333" s="81">
        <v>2.5000034375999292E-5</v>
      </c>
      <c r="AH333" s="68">
        <v>5.0000137497008268E-5</v>
      </c>
      <c r="AI333" s="55"/>
    </row>
    <row r="334" spans="1:35" x14ac:dyDescent="0.2">
      <c r="A334" s="27">
        <f>'Cash Flow'!A334</f>
        <v>328</v>
      </c>
      <c r="B334" s="49">
        <f>'Cash Flow'!B334</f>
        <v>49096</v>
      </c>
      <c r="C334" s="56">
        <f>'Cash Flow'!C334</f>
        <v>8.3333333333333329E-2</v>
      </c>
      <c r="D334" s="55"/>
      <c r="E334" s="57">
        <v>6.9369000000000056E-2</v>
      </c>
      <c r="F334" s="57"/>
      <c r="G334" s="57"/>
      <c r="H334" s="57"/>
      <c r="I334" s="57">
        <v>0.04</v>
      </c>
      <c r="J334" s="57"/>
      <c r="K334" s="57"/>
      <c r="L334" s="55"/>
      <c r="M334" s="78">
        <v>5.1430128318229462E-3</v>
      </c>
      <c r="N334" s="78">
        <v>0.01</v>
      </c>
      <c r="Q334" s="57"/>
      <c r="S334" s="55"/>
      <c r="T334" s="79">
        <f ca="1">OFFSET('Loss Timing'!D$6,MATCH($A334,'Loss Timing'!$A$7:$A$36,1),0)/12/PmtFreqAdd</f>
        <v>2.7777777777777779E-3</v>
      </c>
      <c r="U334" s="79">
        <f ca="1">OFFSET('Loss Timing'!E$6,MATCH($A334,'Loss Timing'!$A$7:$A$36,1),0)/12/PmtFreqAdd</f>
        <v>0</v>
      </c>
      <c r="V334" s="79">
        <f ca="1">OFFSET('Loss Timing'!F$6,MATCH($A334,'Loss Timing'!$A$7:$A$36,1),0)/12/PmtFreqAdd</f>
        <v>0</v>
      </c>
      <c r="W334" s="79">
        <f ca="1">OFFSET('Loss Timing'!G$6,MATCH($A334,'Loss Timing'!$A$7:$A$36,1),0)/12/PmtFreqAdd</f>
        <v>0</v>
      </c>
      <c r="X334" s="79">
        <f ca="1">OFFSET('Loss Timing'!H$6,MATCH($A334,'Loss Timing'!$A$7:$A$36,1),0)/12/PmtFreqAdd</f>
        <v>8.3333333333333332E-3</v>
      </c>
      <c r="Y334" s="55"/>
      <c r="Z334" s="68">
        <f t="shared" ca="1" si="25"/>
        <v>2.7777777777777779E-5</v>
      </c>
      <c r="AA334" s="68">
        <f t="shared" ca="1" si="26"/>
        <v>0</v>
      </c>
      <c r="AB334" s="68">
        <f t="shared" ca="1" si="27"/>
        <v>0</v>
      </c>
      <c r="AC334" s="68">
        <f t="shared" ca="1" si="28"/>
        <v>0</v>
      </c>
      <c r="AD334" s="68">
        <f t="shared" ca="1" si="29"/>
        <v>8.3333333333333331E-5</v>
      </c>
      <c r="AE334" s="55"/>
      <c r="AF334" s="68">
        <v>1.2500008594873435E-5</v>
      </c>
      <c r="AG334" s="81">
        <v>2.5000034375999292E-5</v>
      </c>
      <c r="AH334" s="68">
        <v>5.0000137497008268E-5</v>
      </c>
      <c r="AI334" s="55"/>
    </row>
    <row r="335" spans="1:35" x14ac:dyDescent="0.2">
      <c r="A335" s="27">
        <f>'Cash Flow'!A335</f>
        <v>329</v>
      </c>
      <c r="B335" s="49">
        <f>'Cash Flow'!B335</f>
        <v>49126</v>
      </c>
      <c r="C335" s="56">
        <f>'Cash Flow'!C335</f>
        <v>8.3333333333333329E-2</v>
      </c>
      <c r="D335" s="55"/>
      <c r="E335" s="57">
        <v>6.9369000000000056E-2</v>
      </c>
      <c r="F335" s="57"/>
      <c r="G335" s="57"/>
      <c r="H335" s="57"/>
      <c r="I335" s="57">
        <v>0.04</v>
      </c>
      <c r="J335" s="57"/>
      <c r="K335" s="57"/>
      <c r="L335" s="55"/>
      <c r="M335" s="78">
        <v>5.1430128318229462E-3</v>
      </c>
      <c r="N335" s="78">
        <v>0.01</v>
      </c>
      <c r="Q335" s="57"/>
      <c r="S335" s="55"/>
      <c r="T335" s="79">
        <f ca="1">OFFSET('Loss Timing'!D$6,MATCH($A335,'Loss Timing'!$A$7:$A$36,1),0)/12/PmtFreqAdd</f>
        <v>2.7777777777777779E-3</v>
      </c>
      <c r="U335" s="79">
        <f ca="1">OFFSET('Loss Timing'!E$6,MATCH($A335,'Loss Timing'!$A$7:$A$36,1),0)/12/PmtFreqAdd</f>
        <v>0</v>
      </c>
      <c r="V335" s="79">
        <f ca="1">OFFSET('Loss Timing'!F$6,MATCH($A335,'Loss Timing'!$A$7:$A$36,1),0)/12/PmtFreqAdd</f>
        <v>0</v>
      </c>
      <c r="W335" s="79">
        <f ca="1">OFFSET('Loss Timing'!G$6,MATCH($A335,'Loss Timing'!$A$7:$A$36,1),0)/12/PmtFreqAdd</f>
        <v>0</v>
      </c>
      <c r="X335" s="79">
        <f ca="1">OFFSET('Loss Timing'!H$6,MATCH($A335,'Loss Timing'!$A$7:$A$36,1),0)/12/PmtFreqAdd</f>
        <v>8.3333333333333332E-3</v>
      </c>
      <c r="Y335" s="55"/>
      <c r="Z335" s="68">
        <f t="shared" ca="1" si="25"/>
        <v>2.7777777777777779E-5</v>
      </c>
      <c r="AA335" s="68">
        <f t="shared" ca="1" si="26"/>
        <v>0</v>
      </c>
      <c r="AB335" s="68">
        <f t="shared" ca="1" si="27"/>
        <v>0</v>
      </c>
      <c r="AC335" s="68">
        <f t="shared" ca="1" si="28"/>
        <v>0</v>
      </c>
      <c r="AD335" s="68">
        <f t="shared" ca="1" si="29"/>
        <v>8.3333333333333331E-5</v>
      </c>
      <c r="AE335" s="55"/>
      <c r="AF335" s="68">
        <v>1.2500008594873435E-5</v>
      </c>
      <c r="AG335" s="81">
        <v>2.5000034375999292E-5</v>
      </c>
      <c r="AH335" s="68">
        <v>5.0000137497008268E-5</v>
      </c>
      <c r="AI335" s="55"/>
    </row>
    <row r="336" spans="1:35" x14ac:dyDescent="0.2">
      <c r="A336" s="27">
        <f>'Cash Flow'!A336</f>
        <v>330</v>
      </c>
      <c r="B336" s="49">
        <f>'Cash Flow'!B336</f>
        <v>49157</v>
      </c>
      <c r="C336" s="56">
        <f>'Cash Flow'!C336</f>
        <v>8.3333333333333329E-2</v>
      </c>
      <c r="D336" s="55"/>
      <c r="E336" s="57">
        <v>6.9369000000000056E-2</v>
      </c>
      <c r="F336" s="57"/>
      <c r="G336" s="57"/>
      <c r="H336" s="57"/>
      <c r="I336" s="57">
        <v>0.04</v>
      </c>
      <c r="J336" s="57"/>
      <c r="K336" s="57"/>
      <c r="L336" s="55"/>
      <c r="M336" s="78">
        <v>5.1430128318229462E-3</v>
      </c>
      <c r="N336" s="78">
        <v>0.01</v>
      </c>
      <c r="Q336" s="57"/>
      <c r="S336" s="55"/>
      <c r="T336" s="79">
        <f ca="1">OFFSET('Loss Timing'!D$6,MATCH($A336,'Loss Timing'!$A$7:$A$36,1),0)/12/PmtFreqAdd</f>
        <v>2.7777777777777779E-3</v>
      </c>
      <c r="U336" s="79">
        <f ca="1">OFFSET('Loss Timing'!E$6,MATCH($A336,'Loss Timing'!$A$7:$A$36,1),0)/12/PmtFreqAdd</f>
        <v>0</v>
      </c>
      <c r="V336" s="79">
        <f ca="1">OFFSET('Loss Timing'!F$6,MATCH($A336,'Loss Timing'!$A$7:$A$36,1),0)/12/PmtFreqAdd</f>
        <v>0</v>
      </c>
      <c r="W336" s="79">
        <f ca="1">OFFSET('Loss Timing'!G$6,MATCH($A336,'Loss Timing'!$A$7:$A$36,1),0)/12/PmtFreqAdd</f>
        <v>0</v>
      </c>
      <c r="X336" s="79">
        <f ca="1">OFFSET('Loss Timing'!H$6,MATCH($A336,'Loss Timing'!$A$7:$A$36,1),0)/12/PmtFreqAdd</f>
        <v>8.3333333333333332E-3</v>
      </c>
      <c r="Y336" s="55"/>
      <c r="Z336" s="68">
        <f t="shared" ca="1" si="25"/>
        <v>2.7777777777777779E-5</v>
      </c>
      <c r="AA336" s="68">
        <f t="shared" ca="1" si="26"/>
        <v>0</v>
      </c>
      <c r="AB336" s="68">
        <f t="shared" ca="1" si="27"/>
        <v>0</v>
      </c>
      <c r="AC336" s="68">
        <f t="shared" ca="1" si="28"/>
        <v>0</v>
      </c>
      <c r="AD336" s="68">
        <f t="shared" ca="1" si="29"/>
        <v>8.3333333333333331E-5</v>
      </c>
      <c r="AE336" s="55"/>
      <c r="AF336" s="68">
        <v>1.2500008594873435E-5</v>
      </c>
      <c r="AG336" s="81">
        <v>2.5000034375999292E-5</v>
      </c>
      <c r="AH336" s="68">
        <v>5.0000137497008268E-5</v>
      </c>
      <c r="AI336" s="55"/>
    </row>
    <row r="337" spans="1:35" x14ac:dyDescent="0.2">
      <c r="A337" s="27">
        <f>'Cash Flow'!A337</f>
        <v>331</v>
      </c>
      <c r="B337" s="49">
        <f>'Cash Flow'!B337</f>
        <v>49188</v>
      </c>
      <c r="C337" s="56">
        <f>'Cash Flow'!C337</f>
        <v>8.3333333333333329E-2</v>
      </c>
      <c r="D337" s="55"/>
      <c r="E337" s="57">
        <v>6.9369000000000056E-2</v>
      </c>
      <c r="F337" s="57"/>
      <c r="G337" s="57"/>
      <c r="H337" s="57"/>
      <c r="I337" s="57">
        <v>0.04</v>
      </c>
      <c r="J337" s="57"/>
      <c r="K337" s="57"/>
      <c r="L337" s="55"/>
      <c r="M337" s="78">
        <v>5.1430128318229462E-3</v>
      </c>
      <c r="N337" s="78">
        <v>0.01</v>
      </c>
      <c r="Q337" s="57"/>
      <c r="S337" s="55"/>
      <c r="T337" s="79">
        <f ca="1">OFFSET('Loss Timing'!D$6,MATCH($A337,'Loss Timing'!$A$7:$A$36,1),0)/12/PmtFreqAdd</f>
        <v>2.7777777777777779E-3</v>
      </c>
      <c r="U337" s="79">
        <f ca="1">OFFSET('Loss Timing'!E$6,MATCH($A337,'Loss Timing'!$A$7:$A$36,1),0)/12/PmtFreqAdd</f>
        <v>0</v>
      </c>
      <c r="V337" s="79">
        <f ca="1">OFFSET('Loss Timing'!F$6,MATCH($A337,'Loss Timing'!$A$7:$A$36,1),0)/12/PmtFreqAdd</f>
        <v>0</v>
      </c>
      <c r="W337" s="79">
        <f ca="1">OFFSET('Loss Timing'!G$6,MATCH($A337,'Loss Timing'!$A$7:$A$36,1),0)/12/PmtFreqAdd</f>
        <v>0</v>
      </c>
      <c r="X337" s="79">
        <f ca="1">OFFSET('Loss Timing'!H$6,MATCH($A337,'Loss Timing'!$A$7:$A$36,1),0)/12/PmtFreqAdd</f>
        <v>8.3333333333333332E-3</v>
      </c>
      <c r="Y337" s="55"/>
      <c r="Z337" s="68">
        <f t="shared" ca="1" si="25"/>
        <v>2.7777777777777779E-5</v>
      </c>
      <c r="AA337" s="68">
        <f t="shared" ca="1" si="26"/>
        <v>0</v>
      </c>
      <c r="AB337" s="68">
        <f t="shared" ca="1" si="27"/>
        <v>0</v>
      </c>
      <c r="AC337" s="68">
        <f t="shared" ca="1" si="28"/>
        <v>0</v>
      </c>
      <c r="AD337" s="68">
        <f t="shared" ca="1" si="29"/>
        <v>8.3333333333333331E-5</v>
      </c>
      <c r="AE337" s="55"/>
      <c r="AF337" s="68">
        <v>1.2500008594873435E-5</v>
      </c>
      <c r="AG337" s="81">
        <v>2.5000034375999292E-5</v>
      </c>
      <c r="AH337" s="68">
        <v>5.0000137497008268E-5</v>
      </c>
      <c r="AI337" s="55"/>
    </row>
    <row r="338" spans="1:35" x14ac:dyDescent="0.2">
      <c r="A338" s="27">
        <f>'Cash Flow'!A338</f>
        <v>332</v>
      </c>
      <c r="B338" s="49">
        <f>'Cash Flow'!B338</f>
        <v>49218</v>
      </c>
      <c r="C338" s="56">
        <f>'Cash Flow'!C338</f>
        <v>8.3333333333333329E-2</v>
      </c>
      <c r="D338" s="55"/>
      <c r="E338" s="57">
        <v>6.9369000000000056E-2</v>
      </c>
      <c r="F338" s="57"/>
      <c r="G338" s="57"/>
      <c r="H338" s="57"/>
      <c r="I338" s="57">
        <v>0.04</v>
      </c>
      <c r="J338" s="57"/>
      <c r="K338" s="57"/>
      <c r="L338" s="55"/>
      <c r="M338" s="78">
        <v>5.1430128318229462E-3</v>
      </c>
      <c r="N338" s="78">
        <v>0.01</v>
      </c>
      <c r="Q338" s="57"/>
      <c r="S338" s="55"/>
      <c r="T338" s="79">
        <f ca="1">OFFSET('Loss Timing'!D$6,MATCH($A338,'Loss Timing'!$A$7:$A$36,1),0)/12/PmtFreqAdd</f>
        <v>2.7777777777777779E-3</v>
      </c>
      <c r="U338" s="79">
        <f ca="1">OFFSET('Loss Timing'!E$6,MATCH($A338,'Loss Timing'!$A$7:$A$36,1),0)/12/PmtFreqAdd</f>
        <v>0</v>
      </c>
      <c r="V338" s="79">
        <f ca="1">OFFSET('Loss Timing'!F$6,MATCH($A338,'Loss Timing'!$A$7:$A$36,1),0)/12/PmtFreqAdd</f>
        <v>0</v>
      </c>
      <c r="W338" s="79">
        <f ca="1">OFFSET('Loss Timing'!G$6,MATCH($A338,'Loss Timing'!$A$7:$A$36,1),0)/12/PmtFreqAdd</f>
        <v>0</v>
      </c>
      <c r="X338" s="79">
        <f ca="1">OFFSET('Loss Timing'!H$6,MATCH($A338,'Loss Timing'!$A$7:$A$36,1),0)/12/PmtFreqAdd</f>
        <v>8.3333333333333332E-3</v>
      </c>
      <c r="Y338" s="55"/>
      <c r="Z338" s="68">
        <f t="shared" ca="1" si="25"/>
        <v>2.7777777777777779E-5</v>
      </c>
      <c r="AA338" s="68">
        <f t="shared" ca="1" si="26"/>
        <v>0</v>
      </c>
      <c r="AB338" s="68">
        <f t="shared" ca="1" si="27"/>
        <v>0</v>
      </c>
      <c r="AC338" s="68">
        <f t="shared" ca="1" si="28"/>
        <v>0</v>
      </c>
      <c r="AD338" s="68">
        <f t="shared" ca="1" si="29"/>
        <v>8.3333333333333331E-5</v>
      </c>
      <c r="AE338" s="55"/>
      <c r="AF338" s="68">
        <v>1.2500008594873435E-5</v>
      </c>
      <c r="AG338" s="81">
        <v>2.5000034375999292E-5</v>
      </c>
      <c r="AH338" s="68">
        <v>5.0000137497008268E-5</v>
      </c>
      <c r="AI338" s="55"/>
    </row>
    <row r="339" spans="1:35" x14ac:dyDescent="0.2">
      <c r="A339" s="27">
        <f>'Cash Flow'!A339</f>
        <v>333</v>
      </c>
      <c r="B339" s="49">
        <f>'Cash Flow'!B339</f>
        <v>49249</v>
      </c>
      <c r="C339" s="56">
        <f>'Cash Flow'!C339</f>
        <v>8.3333333333333329E-2</v>
      </c>
      <c r="D339" s="55"/>
      <c r="E339" s="57">
        <v>6.9369000000000056E-2</v>
      </c>
      <c r="F339" s="57"/>
      <c r="G339" s="57"/>
      <c r="H339" s="57"/>
      <c r="I339" s="57">
        <v>0.04</v>
      </c>
      <c r="J339" s="57"/>
      <c r="K339" s="57"/>
      <c r="L339" s="55"/>
      <c r="M339" s="78">
        <v>5.1430128318229462E-3</v>
      </c>
      <c r="N339" s="78">
        <v>0.01</v>
      </c>
      <c r="Q339" s="57"/>
      <c r="S339" s="55"/>
      <c r="T339" s="79">
        <f ca="1">OFFSET('Loss Timing'!D$6,MATCH($A339,'Loss Timing'!$A$7:$A$36,1),0)/12/PmtFreqAdd</f>
        <v>2.7777777777777779E-3</v>
      </c>
      <c r="U339" s="79">
        <f ca="1">OFFSET('Loss Timing'!E$6,MATCH($A339,'Loss Timing'!$A$7:$A$36,1),0)/12/PmtFreqAdd</f>
        <v>0</v>
      </c>
      <c r="V339" s="79">
        <f ca="1">OFFSET('Loss Timing'!F$6,MATCH($A339,'Loss Timing'!$A$7:$A$36,1),0)/12/PmtFreqAdd</f>
        <v>0</v>
      </c>
      <c r="W339" s="79">
        <f ca="1">OFFSET('Loss Timing'!G$6,MATCH($A339,'Loss Timing'!$A$7:$A$36,1),0)/12/PmtFreqAdd</f>
        <v>0</v>
      </c>
      <c r="X339" s="79">
        <f ca="1">OFFSET('Loss Timing'!H$6,MATCH($A339,'Loss Timing'!$A$7:$A$36,1),0)/12/PmtFreqAdd</f>
        <v>8.3333333333333332E-3</v>
      </c>
      <c r="Y339" s="55"/>
      <c r="Z339" s="68">
        <f t="shared" ca="1" si="25"/>
        <v>2.7777777777777779E-5</v>
      </c>
      <c r="AA339" s="68">
        <f t="shared" ca="1" si="26"/>
        <v>0</v>
      </c>
      <c r="AB339" s="68">
        <f t="shared" ca="1" si="27"/>
        <v>0</v>
      </c>
      <c r="AC339" s="68">
        <f t="shared" ca="1" si="28"/>
        <v>0</v>
      </c>
      <c r="AD339" s="68">
        <f t="shared" ca="1" si="29"/>
        <v>8.3333333333333331E-5</v>
      </c>
      <c r="AE339" s="55"/>
      <c r="AF339" s="68">
        <v>1.2500008594873435E-5</v>
      </c>
      <c r="AG339" s="81">
        <v>2.5000034375999292E-5</v>
      </c>
      <c r="AH339" s="68">
        <v>5.0000137497008268E-5</v>
      </c>
      <c r="AI339" s="55"/>
    </row>
    <row r="340" spans="1:35" x14ac:dyDescent="0.2">
      <c r="A340" s="27">
        <f>'Cash Flow'!A340</f>
        <v>334</v>
      </c>
      <c r="B340" s="49">
        <f>'Cash Flow'!B340</f>
        <v>49279</v>
      </c>
      <c r="C340" s="56">
        <f>'Cash Flow'!C340</f>
        <v>8.3333333333333329E-2</v>
      </c>
      <c r="D340" s="55"/>
      <c r="E340" s="57">
        <v>6.9369000000000056E-2</v>
      </c>
      <c r="F340" s="57"/>
      <c r="G340" s="57"/>
      <c r="H340" s="57"/>
      <c r="I340" s="57">
        <v>0.04</v>
      </c>
      <c r="J340" s="57"/>
      <c r="K340" s="57"/>
      <c r="L340" s="55"/>
      <c r="M340" s="78">
        <v>5.1430128318229462E-3</v>
      </c>
      <c r="N340" s="78">
        <v>0.01</v>
      </c>
      <c r="Q340" s="57"/>
      <c r="S340" s="55"/>
      <c r="T340" s="79">
        <f ca="1">OFFSET('Loss Timing'!D$6,MATCH($A340,'Loss Timing'!$A$7:$A$36,1),0)/12/PmtFreqAdd</f>
        <v>2.7777777777777779E-3</v>
      </c>
      <c r="U340" s="79">
        <f ca="1">OFFSET('Loss Timing'!E$6,MATCH($A340,'Loss Timing'!$A$7:$A$36,1),0)/12/PmtFreqAdd</f>
        <v>0</v>
      </c>
      <c r="V340" s="79">
        <f ca="1">OFFSET('Loss Timing'!F$6,MATCH($A340,'Loss Timing'!$A$7:$A$36,1),0)/12/PmtFreqAdd</f>
        <v>0</v>
      </c>
      <c r="W340" s="79">
        <f ca="1">OFFSET('Loss Timing'!G$6,MATCH($A340,'Loss Timing'!$A$7:$A$36,1),0)/12/PmtFreqAdd</f>
        <v>0</v>
      </c>
      <c r="X340" s="79">
        <f ca="1">OFFSET('Loss Timing'!H$6,MATCH($A340,'Loss Timing'!$A$7:$A$36,1),0)/12/PmtFreqAdd</f>
        <v>8.3333333333333332E-3</v>
      </c>
      <c r="Y340" s="55"/>
      <c r="Z340" s="68">
        <f t="shared" ca="1" si="25"/>
        <v>2.7777777777777779E-5</v>
      </c>
      <c r="AA340" s="68">
        <f t="shared" ca="1" si="26"/>
        <v>0</v>
      </c>
      <c r="AB340" s="68">
        <f t="shared" ca="1" si="27"/>
        <v>0</v>
      </c>
      <c r="AC340" s="68">
        <f t="shared" ca="1" si="28"/>
        <v>0</v>
      </c>
      <c r="AD340" s="68">
        <f t="shared" ca="1" si="29"/>
        <v>8.3333333333333331E-5</v>
      </c>
      <c r="AE340" s="55"/>
      <c r="AF340" s="68">
        <v>1.2500008594873435E-5</v>
      </c>
      <c r="AG340" s="81">
        <v>2.5000034375999292E-5</v>
      </c>
      <c r="AH340" s="68">
        <v>5.0000137497008268E-5</v>
      </c>
      <c r="AI340" s="55"/>
    </row>
    <row r="341" spans="1:35" x14ac:dyDescent="0.2">
      <c r="A341" s="27">
        <f>'Cash Flow'!A341</f>
        <v>335</v>
      </c>
      <c r="B341" s="49">
        <f>'Cash Flow'!B341</f>
        <v>49310</v>
      </c>
      <c r="C341" s="56">
        <f>'Cash Flow'!C341</f>
        <v>8.3333333333333329E-2</v>
      </c>
      <c r="D341" s="55"/>
      <c r="E341" s="57">
        <v>6.9369000000000056E-2</v>
      </c>
      <c r="F341" s="57"/>
      <c r="G341" s="57"/>
      <c r="H341" s="57"/>
      <c r="I341" s="57">
        <v>0.04</v>
      </c>
      <c r="J341" s="57"/>
      <c r="K341" s="57"/>
      <c r="L341" s="55"/>
      <c r="M341" s="78">
        <v>5.1430128318229462E-3</v>
      </c>
      <c r="N341" s="78">
        <v>0.01</v>
      </c>
      <c r="Q341" s="57"/>
      <c r="S341" s="55"/>
      <c r="T341" s="79">
        <f ca="1">OFFSET('Loss Timing'!D$6,MATCH($A341,'Loss Timing'!$A$7:$A$36,1),0)/12/PmtFreqAdd</f>
        <v>2.7777777777777779E-3</v>
      </c>
      <c r="U341" s="79">
        <f ca="1">OFFSET('Loss Timing'!E$6,MATCH($A341,'Loss Timing'!$A$7:$A$36,1),0)/12/PmtFreqAdd</f>
        <v>0</v>
      </c>
      <c r="V341" s="79">
        <f ca="1">OFFSET('Loss Timing'!F$6,MATCH($A341,'Loss Timing'!$A$7:$A$36,1),0)/12/PmtFreqAdd</f>
        <v>0</v>
      </c>
      <c r="W341" s="79">
        <f ca="1">OFFSET('Loss Timing'!G$6,MATCH($A341,'Loss Timing'!$A$7:$A$36,1),0)/12/PmtFreqAdd</f>
        <v>0</v>
      </c>
      <c r="X341" s="79">
        <f ca="1">OFFSET('Loss Timing'!H$6,MATCH($A341,'Loss Timing'!$A$7:$A$36,1),0)/12/PmtFreqAdd</f>
        <v>8.3333333333333332E-3</v>
      </c>
      <c r="Y341" s="55"/>
      <c r="Z341" s="68">
        <f t="shared" ca="1" si="25"/>
        <v>2.7777777777777779E-5</v>
      </c>
      <c r="AA341" s="68">
        <f t="shared" ca="1" si="26"/>
        <v>0</v>
      </c>
      <c r="AB341" s="68">
        <f t="shared" ca="1" si="27"/>
        <v>0</v>
      </c>
      <c r="AC341" s="68">
        <f t="shared" ca="1" si="28"/>
        <v>0</v>
      </c>
      <c r="AD341" s="68">
        <f t="shared" ca="1" si="29"/>
        <v>8.3333333333333331E-5</v>
      </c>
      <c r="AE341" s="55"/>
      <c r="AF341" s="68">
        <v>1.2500008594873435E-5</v>
      </c>
      <c r="AG341" s="81">
        <v>2.5000034375999292E-5</v>
      </c>
      <c r="AH341" s="68">
        <v>5.0000137497008268E-5</v>
      </c>
      <c r="AI341" s="55"/>
    </row>
    <row r="342" spans="1:35" x14ac:dyDescent="0.2">
      <c r="A342" s="27">
        <f>'Cash Flow'!A342</f>
        <v>336</v>
      </c>
      <c r="B342" s="49">
        <f>'Cash Flow'!B342</f>
        <v>49341</v>
      </c>
      <c r="C342" s="56">
        <f>'Cash Flow'!C342</f>
        <v>8.3333333333333329E-2</v>
      </c>
      <c r="D342" s="55"/>
      <c r="E342" s="57">
        <v>6.9369000000000056E-2</v>
      </c>
      <c r="F342" s="57"/>
      <c r="G342" s="57"/>
      <c r="H342" s="57"/>
      <c r="I342" s="57">
        <v>0.04</v>
      </c>
      <c r="J342" s="57"/>
      <c r="K342" s="57"/>
      <c r="L342" s="55"/>
      <c r="M342" s="78">
        <v>5.1430128318229462E-3</v>
      </c>
      <c r="N342" s="78">
        <v>0.01</v>
      </c>
      <c r="Q342" s="57"/>
      <c r="S342" s="55"/>
      <c r="T342" s="79">
        <f ca="1">OFFSET('Loss Timing'!D$6,MATCH($A342,'Loss Timing'!$A$7:$A$36,1),0)/12/PmtFreqAdd</f>
        <v>2.7777777777777779E-3</v>
      </c>
      <c r="U342" s="79">
        <f ca="1">OFFSET('Loss Timing'!E$6,MATCH($A342,'Loss Timing'!$A$7:$A$36,1),0)/12/PmtFreqAdd</f>
        <v>0</v>
      </c>
      <c r="V342" s="79">
        <f ca="1">OFFSET('Loss Timing'!F$6,MATCH($A342,'Loss Timing'!$A$7:$A$36,1),0)/12/PmtFreqAdd</f>
        <v>0</v>
      </c>
      <c r="W342" s="79">
        <f ca="1">OFFSET('Loss Timing'!G$6,MATCH($A342,'Loss Timing'!$A$7:$A$36,1),0)/12/PmtFreqAdd</f>
        <v>0</v>
      </c>
      <c r="X342" s="79">
        <f ca="1">OFFSET('Loss Timing'!H$6,MATCH($A342,'Loss Timing'!$A$7:$A$36,1),0)/12/PmtFreqAdd</f>
        <v>8.3333333333333332E-3</v>
      </c>
      <c r="Y342" s="55"/>
      <c r="Z342" s="68">
        <f t="shared" ca="1" si="25"/>
        <v>2.7777777777777779E-5</v>
      </c>
      <c r="AA342" s="68">
        <f t="shared" ca="1" si="26"/>
        <v>0</v>
      </c>
      <c r="AB342" s="68">
        <f t="shared" ca="1" si="27"/>
        <v>0</v>
      </c>
      <c r="AC342" s="68">
        <f t="shared" ca="1" si="28"/>
        <v>0</v>
      </c>
      <c r="AD342" s="68">
        <f t="shared" ca="1" si="29"/>
        <v>8.3333333333333331E-5</v>
      </c>
      <c r="AE342" s="55"/>
      <c r="AF342" s="68">
        <v>1.2500008594873435E-5</v>
      </c>
      <c r="AG342" s="81">
        <v>2.5000034375999292E-5</v>
      </c>
      <c r="AH342" s="68">
        <v>5.0000137497008268E-5</v>
      </c>
      <c r="AI342" s="55"/>
    </row>
    <row r="343" spans="1:35" x14ac:dyDescent="0.2">
      <c r="A343" s="27">
        <f>'Cash Flow'!A343</f>
        <v>337</v>
      </c>
      <c r="B343" s="49">
        <f>'Cash Flow'!B343</f>
        <v>49369</v>
      </c>
      <c r="C343" s="56">
        <f>'Cash Flow'!C343</f>
        <v>8.3333333333333329E-2</v>
      </c>
      <c r="D343" s="55"/>
      <c r="E343" s="57">
        <v>6.9369000000000056E-2</v>
      </c>
      <c r="F343" s="57"/>
      <c r="G343" s="57"/>
      <c r="H343" s="57"/>
      <c r="I343" s="57">
        <v>0.04</v>
      </c>
      <c r="J343" s="57"/>
      <c r="K343" s="57"/>
      <c r="L343" s="55"/>
      <c r="M343" s="78">
        <v>5.1430128318229462E-3</v>
      </c>
      <c r="N343" s="78">
        <v>0.01</v>
      </c>
      <c r="Q343" s="57"/>
      <c r="S343" s="55"/>
      <c r="T343" s="79">
        <f ca="1">OFFSET('Loss Timing'!D$6,MATCH($A343,'Loss Timing'!$A$7:$A$36,1),0)/12/PmtFreqAdd</f>
        <v>2.7777777777777779E-3</v>
      </c>
      <c r="U343" s="79">
        <f ca="1">OFFSET('Loss Timing'!E$6,MATCH($A343,'Loss Timing'!$A$7:$A$36,1),0)/12/PmtFreqAdd</f>
        <v>0</v>
      </c>
      <c r="V343" s="79">
        <f ca="1">OFFSET('Loss Timing'!F$6,MATCH($A343,'Loss Timing'!$A$7:$A$36,1),0)/12/PmtFreqAdd</f>
        <v>0</v>
      </c>
      <c r="W343" s="79">
        <f ca="1">OFFSET('Loss Timing'!G$6,MATCH($A343,'Loss Timing'!$A$7:$A$36,1),0)/12/PmtFreqAdd</f>
        <v>0</v>
      </c>
      <c r="X343" s="79">
        <f ca="1">OFFSET('Loss Timing'!H$6,MATCH($A343,'Loss Timing'!$A$7:$A$36,1),0)/12/PmtFreqAdd</f>
        <v>8.3333333333333332E-3</v>
      </c>
      <c r="Y343" s="55"/>
      <c r="Z343" s="68">
        <f t="shared" ca="1" si="25"/>
        <v>2.7777777777777779E-5</v>
      </c>
      <c r="AA343" s="68">
        <f t="shared" ca="1" si="26"/>
        <v>0</v>
      </c>
      <c r="AB343" s="68">
        <f t="shared" ca="1" si="27"/>
        <v>0</v>
      </c>
      <c r="AC343" s="68">
        <f t="shared" ca="1" si="28"/>
        <v>0</v>
      </c>
      <c r="AD343" s="68">
        <f t="shared" ca="1" si="29"/>
        <v>8.3333333333333331E-5</v>
      </c>
      <c r="AE343" s="55"/>
      <c r="AF343" s="68">
        <v>1.2500008594873435E-5</v>
      </c>
      <c r="AG343" s="81">
        <v>2.5000034375999292E-5</v>
      </c>
      <c r="AH343" s="68">
        <v>5.0000137497008268E-5</v>
      </c>
      <c r="AI343" s="55"/>
    </row>
    <row r="344" spans="1:35" x14ac:dyDescent="0.2">
      <c r="A344" s="27">
        <f>'Cash Flow'!A344</f>
        <v>338</v>
      </c>
      <c r="B344" s="49">
        <f>'Cash Flow'!B344</f>
        <v>49400</v>
      </c>
      <c r="C344" s="56">
        <f>'Cash Flow'!C344</f>
        <v>8.3333333333333329E-2</v>
      </c>
      <c r="D344" s="55"/>
      <c r="E344" s="57">
        <v>6.9369000000000056E-2</v>
      </c>
      <c r="F344" s="57"/>
      <c r="G344" s="57"/>
      <c r="H344" s="57"/>
      <c r="I344" s="57">
        <v>0.04</v>
      </c>
      <c r="J344" s="57"/>
      <c r="K344" s="57"/>
      <c r="L344" s="55"/>
      <c r="M344" s="78">
        <v>5.1430128318229462E-3</v>
      </c>
      <c r="N344" s="78">
        <v>0.01</v>
      </c>
      <c r="Q344" s="57"/>
      <c r="S344" s="55"/>
      <c r="T344" s="79">
        <f ca="1">OFFSET('Loss Timing'!D$6,MATCH($A344,'Loss Timing'!$A$7:$A$36,1),0)/12/PmtFreqAdd</f>
        <v>2.7777777777777779E-3</v>
      </c>
      <c r="U344" s="79">
        <f ca="1">OFFSET('Loss Timing'!E$6,MATCH($A344,'Loss Timing'!$A$7:$A$36,1),0)/12/PmtFreqAdd</f>
        <v>0</v>
      </c>
      <c r="V344" s="79">
        <f ca="1">OFFSET('Loss Timing'!F$6,MATCH($A344,'Loss Timing'!$A$7:$A$36,1),0)/12/PmtFreqAdd</f>
        <v>0</v>
      </c>
      <c r="W344" s="79">
        <f ca="1">OFFSET('Loss Timing'!G$6,MATCH($A344,'Loss Timing'!$A$7:$A$36,1),0)/12/PmtFreqAdd</f>
        <v>0</v>
      </c>
      <c r="X344" s="79">
        <f ca="1">OFFSET('Loss Timing'!H$6,MATCH($A344,'Loss Timing'!$A$7:$A$36,1),0)/12/PmtFreqAdd</f>
        <v>8.3333333333333332E-3</v>
      </c>
      <c r="Y344" s="55"/>
      <c r="Z344" s="68">
        <f t="shared" ca="1" si="25"/>
        <v>2.7777777777777779E-5</v>
      </c>
      <c r="AA344" s="68">
        <f t="shared" ca="1" si="26"/>
        <v>0</v>
      </c>
      <c r="AB344" s="68">
        <f t="shared" ca="1" si="27"/>
        <v>0</v>
      </c>
      <c r="AC344" s="68">
        <f t="shared" ca="1" si="28"/>
        <v>0</v>
      </c>
      <c r="AD344" s="68">
        <f t="shared" ca="1" si="29"/>
        <v>8.3333333333333331E-5</v>
      </c>
      <c r="AE344" s="55"/>
      <c r="AF344" s="68">
        <v>1.2500008594873435E-5</v>
      </c>
      <c r="AG344" s="81">
        <v>2.5000034375999292E-5</v>
      </c>
      <c r="AH344" s="68">
        <v>5.0000137497008268E-5</v>
      </c>
      <c r="AI344" s="55"/>
    </row>
    <row r="345" spans="1:35" x14ac:dyDescent="0.2">
      <c r="A345" s="27">
        <f>'Cash Flow'!A345</f>
        <v>339</v>
      </c>
      <c r="B345" s="49">
        <f>'Cash Flow'!B345</f>
        <v>49430</v>
      </c>
      <c r="C345" s="56">
        <f>'Cash Flow'!C345</f>
        <v>8.3333333333333329E-2</v>
      </c>
      <c r="D345" s="55"/>
      <c r="E345" s="57">
        <v>6.9369000000000056E-2</v>
      </c>
      <c r="F345" s="57"/>
      <c r="G345" s="57"/>
      <c r="H345" s="57"/>
      <c r="I345" s="57">
        <v>0.04</v>
      </c>
      <c r="J345" s="57"/>
      <c r="K345" s="57"/>
      <c r="L345" s="55"/>
      <c r="M345" s="78">
        <v>5.1430128318229462E-3</v>
      </c>
      <c r="N345" s="78">
        <v>0.01</v>
      </c>
      <c r="Q345" s="57"/>
      <c r="S345" s="55"/>
      <c r="T345" s="79">
        <f ca="1">OFFSET('Loss Timing'!D$6,MATCH($A345,'Loss Timing'!$A$7:$A$36,1),0)/12/PmtFreqAdd</f>
        <v>2.7777777777777779E-3</v>
      </c>
      <c r="U345" s="79">
        <f ca="1">OFFSET('Loss Timing'!E$6,MATCH($A345,'Loss Timing'!$A$7:$A$36,1),0)/12/PmtFreqAdd</f>
        <v>0</v>
      </c>
      <c r="V345" s="79">
        <f ca="1">OFFSET('Loss Timing'!F$6,MATCH($A345,'Loss Timing'!$A$7:$A$36,1),0)/12/PmtFreqAdd</f>
        <v>0</v>
      </c>
      <c r="W345" s="79">
        <f ca="1">OFFSET('Loss Timing'!G$6,MATCH($A345,'Loss Timing'!$A$7:$A$36,1),0)/12/PmtFreqAdd</f>
        <v>0</v>
      </c>
      <c r="X345" s="79">
        <f ca="1">OFFSET('Loss Timing'!H$6,MATCH($A345,'Loss Timing'!$A$7:$A$36,1),0)/12/PmtFreqAdd</f>
        <v>8.3333333333333332E-3</v>
      </c>
      <c r="Y345" s="55"/>
      <c r="Z345" s="68">
        <f t="shared" ca="1" si="25"/>
        <v>2.7777777777777779E-5</v>
      </c>
      <c r="AA345" s="68">
        <f t="shared" ca="1" si="26"/>
        <v>0</v>
      </c>
      <c r="AB345" s="68">
        <f t="shared" ca="1" si="27"/>
        <v>0</v>
      </c>
      <c r="AC345" s="68">
        <f t="shared" ca="1" si="28"/>
        <v>0</v>
      </c>
      <c r="AD345" s="68">
        <f t="shared" ca="1" si="29"/>
        <v>8.3333333333333331E-5</v>
      </c>
      <c r="AE345" s="55"/>
      <c r="AF345" s="68">
        <v>1.2500008594873435E-5</v>
      </c>
      <c r="AG345" s="81">
        <v>2.5000034375999292E-5</v>
      </c>
      <c r="AH345" s="68">
        <v>5.0000137497008268E-5</v>
      </c>
      <c r="AI345" s="55"/>
    </row>
    <row r="346" spans="1:35" x14ac:dyDescent="0.2">
      <c r="A346" s="27">
        <f>'Cash Flow'!A346</f>
        <v>340</v>
      </c>
      <c r="B346" s="49">
        <f>'Cash Flow'!B346</f>
        <v>49461</v>
      </c>
      <c r="C346" s="56">
        <f>'Cash Flow'!C346</f>
        <v>8.3333333333333329E-2</v>
      </c>
      <c r="D346" s="55"/>
      <c r="E346" s="57">
        <v>6.9369000000000056E-2</v>
      </c>
      <c r="F346" s="57"/>
      <c r="G346" s="57"/>
      <c r="H346" s="57"/>
      <c r="I346" s="57">
        <v>0.04</v>
      </c>
      <c r="J346" s="57"/>
      <c r="K346" s="57"/>
      <c r="L346" s="55"/>
      <c r="M346" s="78">
        <v>5.1430128318229462E-3</v>
      </c>
      <c r="N346" s="78">
        <v>0.01</v>
      </c>
      <c r="Q346" s="57"/>
      <c r="S346" s="55"/>
      <c r="T346" s="79">
        <f ca="1">OFFSET('Loss Timing'!D$6,MATCH($A346,'Loss Timing'!$A$7:$A$36,1),0)/12/PmtFreqAdd</f>
        <v>2.7777777777777779E-3</v>
      </c>
      <c r="U346" s="79">
        <f ca="1">OFFSET('Loss Timing'!E$6,MATCH($A346,'Loss Timing'!$A$7:$A$36,1),0)/12/PmtFreqAdd</f>
        <v>0</v>
      </c>
      <c r="V346" s="79">
        <f ca="1">OFFSET('Loss Timing'!F$6,MATCH($A346,'Loss Timing'!$A$7:$A$36,1),0)/12/PmtFreqAdd</f>
        <v>0</v>
      </c>
      <c r="W346" s="79">
        <f ca="1">OFFSET('Loss Timing'!G$6,MATCH($A346,'Loss Timing'!$A$7:$A$36,1),0)/12/PmtFreqAdd</f>
        <v>0</v>
      </c>
      <c r="X346" s="79">
        <f ca="1">OFFSET('Loss Timing'!H$6,MATCH($A346,'Loss Timing'!$A$7:$A$36,1),0)/12/PmtFreqAdd</f>
        <v>8.3333333333333332E-3</v>
      </c>
      <c r="Y346" s="55"/>
      <c r="Z346" s="68">
        <f t="shared" ca="1" si="25"/>
        <v>2.7777777777777779E-5</v>
      </c>
      <c r="AA346" s="68">
        <f t="shared" ca="1" si="26"/>
        <v>0</v>
      </c>
      <c r="AB346" s="68">
        <f t="shared" ca="1" si="27"/>
        <v>0</v>
      </c>
      <c r="AC346" s="68">
        <f t="shared" ca="1" si="28"/>
        <v>0</v>
      </c>
      <c r="AD346" s="68">
        <f t="shared" ca="1" si="29"/>
        <v>8.3333333333333331E-5</v>
      </c>
      <c r="AE346" s="55"/>
      <c r="AF346" s="68">
        <v>1.2500008594873435E-5</v>
      </c>
      <c r="AG346" s="81">
        <v>2.5000034375999292E-5</v>
      </c>
      <c r="AH346" s="68">
        <v>5.0000137497008268E-5</v>
      </c>
      <c r="AI346" s="55"/>
    </row>
    <row r="347" spans="1:35" x14ac:dyDescent="0.2">
      <c r="A347" s="27">
        <f>'Cash Flow'!A347</f>
        <v>341</v>
      </c>
      <c r="B347" s="49">
        <f>'Cash Flow'!B347</f>
        <v>49491</v>
      </c>
      <c r="C347" s="56">
        <f>'Cash Flow'!C347</f>
        <v>8.3333333333333329E-2</v>
      </c>
      <c r="D347" s="55"/>
      <c r="E347" s="57">
        <v>6.9369000000000056E-2</v>
      </c>
      <c r="F347" s="57"/>
      <c r="G347" s="57"/>
      <c r="H347" s="57"/>
      <c r="I347" s="57">
        <v>0.04</v>
      </c>
      <c r="J347" s="57"/>
      <c r="K347" s="57"/>
      <c r="L347" s="55"/>
      <c r="M347" s="78">
        <v>5.1430128318229462E-3</v>
      </c>
      <c r="N347" s="78">
        <v>0.01</v>
      </c>
      <c r="Q347" s="57"/>
      <c r="S347" s="55"/>
      <c r="T347" s="79">
        <f ca="1">OFFSET('Loss Timing'!D$6,MATCH($A347,'Loss Timing'!$A$7:$A$36,1),0)/12/PmtFreqAdd</f>
        <v>2.7777777777777779E-3</v>
      </c>
      <c r="U347" s="79">
        <f ca="1">OFFSET('Loss Timing'!E$6,MATCH($A347,'Loss Timing'!$A$7:$A$36,1),0)/12/PmtFreqAdd</f>
        <v>0</v>
      </c>
      <c r="V347" s="79">
        <f ca="1">OFFSET('Loss Timing'!F$6,MATCH($A347,'Loss Timing'!$A$7:$A$36,1),0)/12/PmtFreqAdd</f>
        <v>0</v>
      </c>
      <c r="W347" s="79">
        <f ca="1">OFFSET('Loss Timing'!G$6,MATCH($A347,'Loss Timing'!$A$7:$A$36,1),0)/12/PmtFreqAdd</f>
        <v>0</v>
      </c>
      <c r="X347" s="79">
        <f ca="1">OFFSET('Loss Timing'!H$6,MATCH($A347,'Loss Timing'!$A$7:$A$36,1),0)/12/PmtFreqAdd</f>
        <v>8.3333333333333332E-3</v>
      </c>
      <c r="Y347" s="55"/>
      <c r="Z347" s="68">
        <f t="shared" ca="1" si="25"/>
        <v>2.7777777777777779E-5</v>
      </c>
      <c r="AA347" s="68">
        <f t="shared" ca="1" si="26"/>
        <v>0</v>
      </c>
      <c r="AB347" s="68">
        <f t="shared" ca="1" si="27"/>
        <v>0</v>
      </c>
      <c r="AC347" s="68">
        <f t="shared" ca="1" si="28"/>
        <v>0</v>
      </c>
      <c r="AD347" s="68">
        <f t="shared" ca="1" si="29"/>
        <v>8.3333333333333331E-5</v>
      </c>
      <c r="AE347" s="55"/>
      <c r="AF347" s="68">
        <v>1.2500008594873435E-5</v>
      </c>
      <c r="AG347" s="81">
        <v>2.5000034375999292E-5</v>
      </c>
      <c r="AH347" s="68">
        <v>5.0000137497008268E-5</v>
      </c>
      <c r="AI347" s="55"/>
    </row>
    <row r="348" spans="1:35" x14ac:dyDescent="0.2">
      <c r="A348" s="27">
        <f>'Cash Flow'!A348</f>
        <v>342</v>
      </c>
      <c r="B348" s="49">
        <f>'Cash Flow'!B348</f>
        <v>49522</v>
      </c>
      <c r="C348" s="56">
        <f>'Cash Flow'!C348</f>
        <v>8.3333333333333329E-2</v>
      </c>
      <c r="D348" s="55"/>
      <c r="E348" s="57">
        <v>6.9369000000000056E-2</v>
      </c>
      <c r="F348" s="57"/>
      <c r="G348" s="57"/>
      <c r="H348" s="57"/>
      <c r="I348" s="57">
        <v>0.04</v>
      </c>
      <c r="J348" s="57"/>
      <c r="K348" s="57"/>
      <c r="L348" s="55"/>
      <c r="M348" s="78">
        <v>5.1430128318229462E-3</v>
      </c>
      <c r="N348" s="78">
        <v>0.01</v>
      </c>
      <c r="Q348" s="57"/>
      <c r="S348" s="55"/>
      <c r="T348" s="79">
        <f ca="1">OFFSET('Loss Timing'!D$6,MATCH($A348,'Loss Timing'!$A$7:$A$36,1),0)/12/PmtFreqAdd</f>
        <v>2.7777777777777779E-3</v>
      </c>
      <c r="U348" s="79">
        <f ca="1">OFFSET('Loss Timing'!E$6,MATCH($A348,'Loss Timing'!$A$7:$A$36,1),0)/12/PmtFreqAdd</f>
        <v>0</v>
      </c>
      <c r="V348" s="79">
        <f ca="1">OFFSET('Loss Timing'!F$6,MATCH($A348,'Loss Timing'!$A$7:$A$36,1),0)/12/PmtFreqAdd</f>
        <v>0</v>
      </c>
      <c r="W348" s="79">
        <f ca="1">OFFSET('Loss Timing'!G$6,MATCH($A348,'Loss Timing'!$A$7:$A$36,1),0)/12/PmtFreqAdd</f>
        <v>0</v>
      </c>
      <c r="X348" s="79">
        <f ca="1">OFFSET('Loss Timing'!H$6,MATCH($A348,'Loss Timing'!$A$7:$A$36,1),0)/12/PmtFreqAdd</f>
        <v>8.3333333333333332E-3</v>
      </c>
      <c r="Y348" s="55"/>
      <c r="Z348" s="68">
        <f t="shared" ca="1" si="25"/>
        <v>2.7777777777777779E-5</v>
      </c>
      <c r="AA348" s="68">
        <f t="shared" ca="1" si="26"/>
        <v>0</v>
      </c>
      <c r="AB348" s="68">
        <f t="shared" ca="1" si="27"/>
        <v>0</v>
      </c>
      <c r="AC348" s="68">
        <f t="shared" ca="1" si="28"/>
        <v>0</v>
      </c>
      <c r="AD348" s="68">
        <f t="shared" ca="1" si="29"/>
        <v>8.3333333333333331E-5</v>
      </c>
      <c r="AE348" s="55"/>
      <c r="AF348" s="68">
        <v>1.2500008594873435E-5</v>
      </c>
      <c r="AG348" s="81">
        <v>2.5000034375999292E-5</v>
      </c>
      <c r="AH348" s="68">
        <v>5.0000137497008268E-5</v>
      </c>
      <c r="AI348" s="55"/>
    </row>
    <row r="349" spans="1:35" x14ac:dyDescent="0.2">
      <c r="A349" s="27">
        <f>'Cash Flow'!A349</f>
        <v>343</v>
      </c>
      <c r="B349" s="49">
        <f>'Cash Flow'!B349</f>
        <v>49553</v>
      </c>
      <c r="C349" s="56">
        <f>'Cash Flow'!C349</f>
        <v>8.3333333333333329E-2</v>
      </c>
      <c r="D349" s="55"/>
      <c r="E349" s="57">
        <v>6.9369000000000056E-2</v>
      </c>
      <c r="F349" s="57"/>
      <c r="G349" s="57"/>
      <c r="H349" s="57"/>
      <c r="I349" s="57">
        <v>0.04</v>
      </c>
      <c r="J349" s="57"/>
      <c r="K349" s="57"/>
      <c r="L349" s="55"/>
      <c r="M349" s="78">
        <v>5.1430128318229462E-3</v>
      </c>
      <c r="N349" s="78">
        <v>0.01</v>
      </c>
      <c r="Q349" s="57"/>
      <c r="S349" s="55"/>
      <c r="T349" s="79">
        <f ca="1">OFFSET('Loss Timing'!D$6,MATCH($A349,'Loss Timing'!$A$7:$A$36,1),0)/12/PmtFreqAdd</f>
        <v>2.7777777777777779E-3</v>
      </c>
      <c r="U349" s="79">
        <f ca="1">OFFSET('Loss Timing'!E$6,MATCH($A349,'Loss Timing'!$A$7:$A$36,1),0)/12/PmtFreqAdd</f>
        <v>0</v>
      </c>
      <c r="V349" s="79">
        <f ca="1">OFFSET('Loss Timing'!F$6,MATCH($A349,'Loss Timing'!$A$7:$A$36,1),0)/12/PmtFreqAdd</f>
        <v>0</v>
      </c>
      <c r="W349" s="79">
        <f ca="1">OFFSET('Loss Timing'!G$6,MATCH($A349,'Loss Timing'!$A$7:$A$36,1),0)/12/PmtFreqAdd</f>
        <v>0</v>
      </c>
      <c r="X349" s="79">
        <f ca="1">OFFSET('Loss Timing'!H$6,MATCH($A349,'Loss Timing'!$A$7:$A$36,1),0)/12/PmtFreqAdd</f>
        <v>8.3333333333333332E-3</v>
      </c>
      <c r="Y349" s="55"/>
      <c r="Z349" s="68">
        <f t="shared" ca="1" si="25"/>
        <v>2.7777777777777779E-5</v>
      </c>
      <c r="AA349" s="68">
        <f t="shared" ca="1" si="26"/>
        <v>0</v>
      </c>
      <c r="AB349" s="68">
        <f t="shared" ca="1" si="27"/>
        <v>0</v>
      </c>
      <c r="AC349" s="68">
        <f t="shared" ca="1" si="28"/>
        <v>0</v>
      </c>
      <c r="AD349" s="68">
        <f t="shared" ca="1" si="29"/>
        <v>8.3333333333333331E-5</v>
      </c>
      <c r="AE349" s="55"/>
      <c r="AF349" s="68">
        <v>1.2500008594873435E-5</v>
      </c>
      <c r="AG349" s="81">
        <v>2.5000034375999292E-5</v>
      </c>
      <c r="AH349" s="68">
        <v>5.0000137497008268E-5</v>
      </c>
      <c r="AI349" s="55"/>
    </row>
    <row r="350" spans="1:35" x14ac:dyDescent="0.2">
      <c r="A350" s="27">
        <f>'Cash Flow'!A350</f>
        <v>344</v>
      </c>
      <c r="B350" s="49">
        <f>'Cash Flow'!B350</f>
        <v>49583</v>
      </c>
      <c r="C350" s="56">
        <f>'Cash Flow'!C350</f>
        <v>8.3333333333333329E-2</v>
      </c>
      <c r="D350" s="55"/>
      <c r="E350" s="57">
        <v>6.9369000000000056E-2</v>
      </c>
      <c r="F350" s="57"/>
      <c r="G350" s="57"/>
      <c r="H350" s="57"/>
      <c r="I350" s="57">
        <v>0.04</v>
      </c>
      <c r="J350" s="57"/>
      <c r="K350" s="57"/>
      <c r="L350" s="55"/>
      <c r="M350" s="78">
        <v>5.1430128318229462E-3</v>
      </c>
      <c r="N350" s="78">
        <v>0.01</v>
      </c>
      <c r="Q350" s="57"/>
      <c r="S350" s="55"/>
      <c r="T350" s="79">
        <f ca="1">OFFSET('Loss Timing'!D$6,MATCH($A350,'Loss Timing'!$A$7:$A$36,1),0)/12/PmtFreqAdd</f>
        <v>2.7777777777777779E-3</v>
      </c>
      <c r="U350" s="79">
        <f ca="1">OFFSET('Loss Timing'!E$6,MATCH($A350,'Loss Timing'!$A$7:$A$36,1),0)/12/PmtFreqAdd</f>
        <v>0</v>
      </c>
      <c r="V350" s="79">
        <f ca="1">OFFSET('Loss Timing'!F$6,MATCH($A350,'Loss Timing'!$A$7:$A$36,1),0)/12/PmtFreqAdd</f>
        <v>0</v>
      </c>
      <c r="W350" s="79">
        <f ca="1">OFFSET('Loss Timing'!G$6,MATCH($A350,'Loss Timing'!$A$7:$A$36,1),0)/12/PmtFreqAdd</f>
        <v>0</v>
      </c>
      <c r="X350" s="79">
        <f ca="1">OFFSET('Loss Timing'!H$6,MATCH($A350,'Loss Timing'!$A$7:$A$36,1),0)/12/PmtFreqAdd</f>
        <v>8.3333333333333332E-3</v>
      </c>
      <c r="Y350" s="55"/>
      <c r="Z350" s="68">
        <f t="shared" ca="1" si="25"/>
        <v>2.7777777777777779E-5</v>
      </c>
      <c r="AA350" s="68">
        <f t="shared" ca="1" si="26"/>
        <v>0</v>
      </c>
      <c r="AB350" s="68">
        <f t="shared" ca="1" si="27"/>
        <v>0</v>
      </c>
      <c r="AC350" s="68">
        <f t="shared" ca="1" si="28"/>
        <v>0</v>
      </c>
      <c r="AD350" s="68">
        <f t="shared" ca="1" si="29"/>
        <v>8.3333333333333331E-5</v>
      </c>
      <c r="AE350" s="55"/>
      <c r="AF350" s="68">
        <v>1.2500008594873435E-5</v>
      </c>
      <c r="AG350" s="81">
        <v>2.5000034375999292E-5</v>
      </c>
      <c r="AH350" s="68">
        <v>5.0000137497008268E-5</v>
      </c>
      <c r="AI350" s="55"/>
    </row>
    <row r="351" spans="1:35" x14ac:dyDescent="0.2">
      <c r="A351" s="27">
        <f>'Cash Flow'!A351</f>
        <v>345</v>
      </c>
      <c r="B351" s="49">
        <f>'Cash Flow'!B351</f>
        <v>49614</v>
      </c>
      <c r="C351" s="56">
        <f>'Cash Flow'!C351</f>
        <v>8.3333333333333329E-2</v>
      </c>
      <c r="D351" s="55"/>
      <c r="E351" s="57">
        <v>6.9369000000000056E-2</v>
      </c>
      <c r="F351" s="57"/>
      <c r="G351" s="57"/>
      <c r="H351" s="57"/>
      <c r="I351" s="57">
        <v>0.04</v>
      </c>
      <c r="J351" s="57"/>
      <c r="K351" s="57"/>
      <c r="L351" s="55"/>
      <c r="M351" s="78">
        <v>5.1430128318229462E-3</v>
      </c>
      <c r="N351" s="78">
        <v>0.01</v>
      </c>
      <c r="Q351" s="57"/>
      <c r="S351" s="55"/>
      <c r="T351" s="79">
        <f ca="1">OFFSET('Loss Timing'!D$6,MATCH($A351,'Loss Timing'!$A$7:$A$36,1),0)/12/PmtFreqAdd</f>
        <v>2.7777777777777779E-3</v>
      </c>
      <c r="U351" s="79">
        <f ca="1">OFFSET('Loss Timing'!E$6,MATCH($A351,'Loss Timing'!$A$7:$A$36,1),0)/12/PmtFreqAdd</f>
        <v>0</v>
      </c>
      <c r="V351" s="79">
        <f ca="1">OFFSET('Loss Timing'!F$6,MATCH($A351,'Loss Timing'!$A$7:$A$36,1),0)/12/PmtFreqAdd</f>
        <v>0</v>
      </c>
      <c r="W351" s="79">
        <f ca="1">OFFSET('Loss Timing'!G$6,MATCH($A351,'Loss Timing'!$A$7:$A$36,1),0)/12/PmtFreqAdd</f>
        <v>0</v>
      </c>
      <c r="X351" s="79">
        <f ca="1">OFFSET('Loss Timing'!H$6,MATCH($A351,'Loss Timing'!$A$7:$A$36,1),0)/12/PmtFreqAdd</f>
        <v>8.3333333333333332E-3</v>
      </c>
      <c r="Y351" s="55"/>
      <c r="Z351" s="68">
        <f t="shared" ca="1" si="25"/>
        <v>2.7777777777777779E-5</v>
      </c>
      <c r="AA351" s="68">
        <f t="shared" ca="1" si="26"/>
        <v>0</v>
      </c>
      <c r="AB351" s="68">
        <f t="shared" ca="1" si="27"/>
        <v>0</v>
      </c>
      <c r="AC351" s="68">
        <f t="shared" ca="1" si="28"/>
        <v>0</v>
      </c>
      <c r="AD351" s="68">
        <f t="shared" ca="1" si="29"/>
        <v>8.3333333333333331E-5</v>
      </c>
      <c r="AE351" s="55"/>
      <c r="AF351" s="68">
        <v>1.2500008594873435E-5</v>
      </c>
      <c r="AG351" s="81">
        <v>2.5000034375999292E-5</v>
      </c>
      <c r="AH351" s="68">
        <v>5.0000137497008268E-5</v>
      </c>
      <c r="AI351" s="55"/>
    </row>
    <row r="352" spans="1:35" x14ac:dyDescent="0.2">
      <c r="A352" s="27">
        <f>'Cash Flow'!A352</f>
        <v>346</v>
      </c>
      <c r="B352" s="49">
        <f>'Cash Flow'!B352</f>
        <v>49644</v>
      </c>
      <c r="C352" s="56">
        <f>'Cash Flow'!C352</f>
        <v>8.3333333333333329E-2</v>
      </c>
      <c r="D352" s="55"/>
      <c r="E352" s="57">
        <v>6.9369000000000056E-2</v>
      </c>
      <c r="F352" s="57"/>
      <c r="G352" s="57"/>
      <c r="H352" s="57"/>
      <c r="I352" s="57">
        <v>0.04</v>
      </c>
      <c r="J352" s="57"/>
      <c r="K352" s="57"/>
      <c r="L352" s="55"/>
      <c r="M352" s="78">
        <v>5.1430128318229462E-3</v>
      </c>
      <c r="N352" s="78">
        <v>0.01</v>
      </c>
      <c r="Q352" s="57"/>
      <c r="S352" s="55"/>
      <c r="T352" s="79">
        <f ca="1">OFFSET('Loss Timing'!D$6,MATCH($A352,'Loss Timing'!$A$7:$A$36,1),0)/12/PmtFreqAdd</f>
        <v>2.7777777777777779E-3</v>
      </c>
      <c r="U352" s="79">
        <f ca="1">OFFSET('Loss Timing'!E$6,MATCH($A352,'Loss Timing'!$A$7:$A$36,1),0)/12/PmtFreqAdd</f>
        <v>0</v>
      </c>
      <c r="V352" s="79">
        <f ca="1">OFFSET('Loss Timing'!F$6,MATCH($A352,'Loss Timing'!$A$7:$A$36,1),0)/12/PmtFreqAdd</f>
        <v>0</v>
      </c>
      <c r="W352" s="79">
        <f ca="1">OFFSET('Loss Timing'!G$6,MATCH($A352,'Loss Timing'!$A$7:$A$36,1),0)/12/PmtFreqAdd</f>
        <v>0</v>
      </c>
      <c r="X352" s="79">
        <f ca="1">OFFSET('Loss Timing'!H$6,MATCH($A352,'Loss Timing'!$A$7:$A$36,1),0)/12/PmtFreqAdd</f>
        <v>8.3333333333333332E-3</v>
      </c>
      <c r="Y352" s="55"/>
      <c r="Z352" s="68">
        <f t="shared" ca="1" si="25"/>
        <v>2.7777777777777779E-5</v>
      </c>
      <c r="AA352" s="68">
        <f t="shared" ca="1" si="26"/>
        <v>0</v>
      </c>
      <c r="AB352" s="68">
        <f t="shared" ca="1" si="27"/>
        <v>0</v>
      </c>
      <c r="AC352" s="68">
        <f t="shared" ca="1" si="28"/>
        <v>0</v>
      </c>
      <c r="AD352" s="68">
        <f t="shared" ca="1" si="29"/>
        <v>8.3333333333333331E-5</v>
      </c>
      <c r="AE352" s="55"/>
      <c r="AF352" s="68">
        <v>1.2500008594873435E-5</v>
      </c>
      <c r="AG352" s="81">
        <v>2.5000034375999292E-5</v>
      </c>
      <c r="AH352" s="68">
        <v>5.0000137497008268E-5</v>
      </c>
      <c r="AI352" s="55"/>
    </row>
    <row r="353" spans="1:35" x14ac:dyDescent="0.2">
      <c r="A353" s="27">
        <f>'Cash Flow'!A353</f>
        <v>347</v>
      </c>
      <c r="B353" s="49">
        <f>'Cash Flow'!B353</f>
        <v>49675</v>
      </c>
      <c r="C353" s="56">
        <f>'Cash Flow'!C353</f>
        <v>8.3333333333333329E-2</v>
      </c>
      <c r="D353" s="55"/>
      <c r="E353" s="57">
        <v>6.9369000000000056E-2</v>
      </c>
      <c r="F353" s="57"/>
      <c r="G353" s="57"/>
      <c r="H353" s="57"/>
      <c r="I353" s="57">
        <v>0.04</v>
      </c>
      <c r="J353" s="57"/>
      <c r="K353" s="57"/>
      <c r="L353" s="55"/>
      <c r="M353" s="78">
        <v>5.1430128318229462E-3</v>
      </c>
      <c r="N353" s="78">
        <v>0.01</v>
      </c>
      <c r="Q353" s="57"/>
      <c r="S353" s="55"/>
      <c r="T353" s="79">
        <f ca="1">OFFSET('Loss Timing'!D$6,MATCH($A353,'Loss Timing'!$A$7:$A$36,1),0)/12/PmtFreqAdd</f>
        <v>2.7777777777777779E-3</v>
      </c>
      <c r="U353" s="79">
        <f ca="1">OFFSET('Loss Timing'!E$6,MATCH($A353,'Loss Timing'!$A$7:$A$36,1),0)/12/PmtFreqAdd</f>
        <v>0</v>
      </c>
      <c r="V353" s="79">
        <f ca="1">OFFSET('Loss Timing'!F$6,MATCH($A353,'Loss Timing'!$A$7:$A$36,1),0)/12/PmtFreqAdd</f>
        <v>0</v>
      </c>
      <c r="W353" s="79">
        <f ca="1">OFFSET('Loss Timing'!G$6,MATCH($A353,'Loss Timing'!$A$7:$A$36,1),0)/12/PmtFreqAdd</f>
        <v>0</v>
      </c>
      <c r="X353" s="79">
        <f ca="1">OFFSET('Loss Timing'!H$6,MATCH($A353,'Loss Timing'!$A$7:$A$36,1),0)/12/PmtFreqAdd</f>
        <v>8.3333333333333332E-3</v>
      </c>
      <c r="Y353" s="55"/>
      <c r="Z353" s="68">
        <f t="shared" ca="1" si="25"/>
        <v>2.7777777777777779E-5</v>
      </c>
      <c r="AA353" s="68">
        <f t="shared" ca="1" si="26"/>
        <v>0</v>
      </c>
      <c r="AB353" s="68">
        <f t="shared" ca="1" si="27"/>
        <v>0</v>
      </c>
      <c r="AC353" s="68">
        <f t="shared" ca="1" si="28"/>
        <v>0</v>
      </c>
      <c r="AD353" s="68">
        <f t="shared" ca="1" si="29"/>
        <v>8.3333333333333331E-5</v>
      </c>
      <c r="AE353" s="55"/>
      <c r="AF353" s="68">
        <v>1.2500008594873435E-5</v>
      </c>
      <c r="AG353" s="81">
        <v>2.5000034375999292E-5</v>
      </c>
      <c r="AH353" s="68">
        <v>5.0000137497008268E-5</v>
      </c>
      <c r="AI353" s="55"/>
    </row>
    <row r="354" spans="1:35" x14ac:dyDescent="0.2">
      <c r="A354" s="27">
        <f>'Cash Flow'!A354</f>
        <v>348</v>
      </c>
      <c r="B354" s="49">
        <f>'Cash Flow'!B354</f>
        <v>49706</v>
      </c>
      <c r="C354" s="56">
        <f>'Cash Flow'!C354</f>
        <v>8.3333333333333329E-2</v>
      </c>
      <c r="D354" s="55"/>
      <c r="E354" s="57">
        <v>6.9369000000000056E-2</v>
      </c>
      <c r="F354" s="57"/>
      <c r="G354" s="57"/>
      <c r="H354" s="57"/>
      <c r="I354" s="57">
        <v>0.04</v>
      </c>
      <c r="J354" s="57"/>
      <c r="K354" s="57"/>
      <c r="L354" s="55"/>
      <c r="M354" s="78">
        <v>5.1430128318229462E-3</v>
      </c>
      <c r="N354" s="78">
        <v>0.01</v>
      </c>
      <c r="Q354" s="57"/>
      <c r="S354" s="55"/>
      <c r="T354" s="79">
        <f ca="1">OFFSET('Loss Timing'!D$6,MATCH($A354,'Loss Timing'!$A$7:$A$36,1),0)/12/PmtFreqAdd</f>
        <v>2.7777777777777779E-3</v>
      </c>
      <c r="U354" s="79">
        <f ca="1">OFFSET('Loss Timing'!E$6,MATCH($A354,'Loss Timing'!$A$7:$A$36,1),0)/12/PmtFreqAdd</f>
        <v>0</v>
      </c>
      <c r="V354" s="79">
        <f ca="1">OFFSET('Loss Timing'!F$6,MATCH($A354,'Loss Timing'!$A$7:$A$36,1),0)/12/PmtFreqAdd</f>
        <v>0</v>
      </c>
      <c r="W354" s="79">
        <f ca="1">OFFSET('Loss Timing'!G$6,MATCH($A354,'Loss Timing'!$A$7:$A$36,1),0)/12/PmtFreqAdd</f>
        <v>0</v>
      </c>
      <c r="X354" s="79">
        <f ca="1">OFFSET('Loss Timing'!H$6,MATCH($A354,'Loss Timing'!$A$7:$A$36,1),0)/12/PmtFreqAdd</f>
        <v>8.3333333333333332E-3</v>
      </c>
      <c r="Y354" s="55"/>
      <c r="Z354" s="68">
        <f t="shared" ca="1" si="25"/>
        <v>2.7777777777777779E-5</v>
      </c>
      <c r="AA354" s="68">
        <f t="shared" ca="1" si="26"/>
        <v>0</v>
      </c>
      <c r="AB354" s="68">
        <f t="shared" ca="1" si="27"/>
        <v>0</v>
      </c>
      <c r="AC354" s="68">
        <f t="shared" ca="1" si="28"/>
        <v>0</v>
      </c>
      <c r="AD354" s="68">
        <f t="shared" ca="1" si="29"/>
        <v>8.3333333333333331E-5</v>
      </c>
      <c r="AE354" s="55"/>
      <c r="AF354" s="68">
        <v>1.2500008594873435E-5</v>
      </c>
      <c r="AG354" s="81">
        <v>2.5000034375999292E-5</v>
      </c>
      <c r="AH354" s="68">
        <v>5.0000137497008268E-5</v>
      </c>
      <c r="AI354" s="55"/>
    </row>
    <row r="355" spans="1:35" x14ac:dyDescent="0.2">
      <c r="A355" s="27">
        <f>'Cash Flow'!A355</f>
        <v>349</v>
      </c>
      <c r="B355" s="49">
        <f>'Cash Flow'!B355</f>
        <v>49735</v>
      </c>
      <c r="C355" s="56">
        <f>'Cash Flow'!C355</f>
        <v>8.3333333333333329E-2</v>
      </c>
      <c r="D355" s="55"/>
      <c r="E355" s="57">
        <v>6.9369000000000056E-2</v>
      </c>
      <c r="F355" s="57"/>
      <c r="G355" s="57"/>
      <c r="H355" s="57"/>
      <c r="I355" s="57">
        <v>0.04</v>
      </c>
      <c r="J355" s="57"/>
      <c r="K355" s="57"/>
      <c r="L355" s="55"/>
      <c r="M355" s="78">
        <v>5.1430128318229462E-3</v>
      </c>
      <c r="N355" s="78">
        <v>0.01</v>
      </c>
      <c r="Q355" s="57"/>
      <c r="S355" s="55"/>
      <c r="T355" s="79">
        <f ca="1">OFFSET('Loss Timing'!D$6,MATCH($A355,'Loss Timing'!$A$7:$A$36,1),0)/12/PmtFreqAdd</f>
        <v>2.7777777777777779E-3</v>
      </c>
      <c r="U355" s="79">
        <f ca="1">OFFSET('Loss Timing'!E$6,MATCH($A355,'Loss Timing'!$A$7:$A$36,1),0)/12/PmtFreqAdd</f>
        <v>0</v>
      </c>
      <c r="V355" s="79">
        <f ca="1">OFFSET('Loss Timing'!F$6,MATCH($A355,'Loss Timing'!$A$7:$A$36,1),0)/12/PmtFreqAdd</f>
        <v>0</v>
      </c>
      <c r="W355" s="79">
        <f ca="1">OFFSET('Loss Timing'!G$6,MATCH($A355,'Loss Timing'!$A$7:$A$36,1),0)/12/PmtFreqAdd</f>
        <v>0</v>
      </c>
      <c r="X355" s="79">
        <f ca="1">OFFSET('Loss Timing'!H$6,MATCH($A355,'Loss Timing'!$A$7:$A$36,1),0)/12/PmtFreqAdd</f>
        <v>8.3333333333333332E-3</v>
      </c>
      <c r="Y355" s="55"/>
      <c r="Z355" s="68">
        <f t="shared" ca="1" si="25"/>
        <v>2.7777777777777779E-5</v>
      </c>
      <c r="AA355" s="68">
        <f t="shared" ca="1" si="26"/>
        <v>0</v>
      </c>
      <c r="AB355" s="68">
        <f t="shared" ca="1" si="27"/>
        <v>0</v>
      </c>
      <c r="AC355" s="68">
        <f t="shared" ca="1" si="28"/>
        <v>0</v>
      </c>
      <c r="AD355" s="68">
        <f t="shared" ca="1" si="29"/>
        <v>8.3333333333333331E-5</v>
      </c>
      <c r="AE355" s="55"/>
      <c r="AF355" s="68">
        <v>1.2500008594873435E-5</v>
      </c>
      <c r="AG355" s="81">
        <v>2.5000034375999292E-5</v>
      </c>
      <c r="AH355" s="68">
        <v>5.0000137497008268E-5</v>
      </c>
      <c r="AI355" s="55"/>
    </row>
    <row r="356" spans="1:35" x14ac:dyDescent="0.2">
      <c r="A356" s="27">
        <f>'Cash Flow'!A356</f>
        <v>350</v>
      </c>
      <c r="B356" s="49">
        <f>'Cash Flow'!B356</f>
        <v>49766</v>
      </c>
      <c r="C356" s="56">
        <f>'Cash Flow'!C356</f>
        <v>8.3333333333333329E-2</v>
      </c>
      <c r="D356" s="55"/>
      <c r="E356" s="57">
        <v>6.9369000000000056E-2</v>
      </c>
      <c r="F356" s="57"/>
      <c r="G356" s="57"/>
      <c r="H356" s="57"/>
      <c r="I356" s="57">
        <v>0.04</v>
      </c>
      <c r="J356" s="57"/>
      <c r="K356" s="57"/>
      <c r="L356" s="55"/>
      <c r="M356" s="78">
        <v>5.1430128318229462E-3</v>
      </c>
      <c r="N356" s="78">
        <v>0.01</v>
      </c>
      <c r="Q356" s="57"/>
      <c r="S356" s="55"/>
      <c r="T356" s="79">
        <f ca="1">OFFSET('Loss Timing'!D$6,MATCH($A356,'Loss Timing'!$A$7:$A$36,1),0)/12/PmtFreqAdd</f>
        <v>2.7777777777777779E-3</v>
      </c>
      <c r="U356" s="79">
        <f ca="1">OFFSET('Loss Timing'!E$6,MATCH($A356,'Loss Timing'!$A$7:$A$36,1),0)/12/PmtFreqAdd</f>
        <v>0</v>
      </c>
      <c r="V356" s="79">
        <f ca="1">OFFSET('Loss Timing'!F$6,MATCH($A356,'Loss Timing'!$A$7:$A$36,1),0)/12/PmtFreqAdd</f>
        <v>0</v>
      </c>
      <c r="W356" s="79">
        <f ca="1">OFFSET('Loss Timing'!G$6,MATCH($A356,'Loss Timing'!$A$7:$A$36,1),0)/12/PmtFreqAdd</f>
        <v>0</v>
      </c>
      <c r="X356" s="79">
        <f ca="1">OFFSET('Loss Timing'!H$6,MATCH($A356,'Loss Timing'!$A$7:$A$36,1),0)/12/PmtFreqAdd</f>
        <v>8.3333333333333332E-3</v>
      </c>
      <c r="Y356" s="55"/>
      <c r="Z356" s="68">
        <f t="shared" ca="1" si="25"/>
        <v>2.7777777777777779E-5</v>
      </c>
      <c r="AA356" s="68">
        <f t="shared" ca="1" si="26"/>
        <v>0</v>
      </c>
      <c r="AB356" s="68">
        <f t="shared" ca="1" si="27"/>
        <v>0</v>
      </c>
      <c r="AC356" s="68">
        <f t="shared" ca="1" si="28"/>
        <v>0</v>
      </c>
      <c r="AD356" s="68">
        <f t="shared" ca="1" si="29"/>
        <v>8.3333333333333331E-5</v>
      </c>
      <c r="AE356" s="55"/>
      <c r="AF356" s="68">
        <v>1.2500008594873435E-5</v>
      </c>
      <c r="AG356" s="81">
        <v>2.5000034375999292E-5</v>
      </c>
      <c r="AH356" s="68">
        <v>5.0000137497008268E-5</v>
      </c>
      <c r="AI356" s="55"/>
    </row>
    <row r="357" spans="1:35" x14ac:dyDescent="0.2">
      <c r="A357" s="27">
        <f>'Cash Flow'!A357</f>
        <v>351</v>
      </c>
      <c r="B357" s="49">
        <f>'Cash Flow'!B357</f>
        <v>49796</v>
      </c>
      <c r="C357" s="56">
        <f>'Cash Flow'!C357</f>
        <v>8.3333333333333329E-2</v>
      </c>
      <c r="D357" s="55"/>
      <c r="E357" s="57">
        <v>6.9369000000000056E-2</v>
      </c>
      <c r="F357" s="57"/>
      <c r="G357" s="57"/>
      <c r="H357" s="57"/>
      <c r="I357" s="57">
        <v>0.04</v>
      </c>
      <c r="J357" s="57"/>
      <c r="K357" s="57"/>
      <c r="L357" s="55"/>
      <c r="M357" s="78">
        <v>5.1430128318229462E-3</v>
      </c>
      <c r="N357" s="78">
        <v>0.01</v>
      </c>
      <c r="Q357" s="57"/>
      <c r="S357" s="55"/>
      <c r="T357" s="79">
        <f ca="1">OFFSET('Loss Timing'!D$6,MATCH($A357,'Loss Timing'!$A$7:$A$36,1),0)/12/PmtFreqAdd</f>
        <v>2.7777777777777779E-3</v>
      </c>
      <c r="U357" s="79">
        <f ca="1">OFFSET('Loss Timing'!E$6,MATCH($A357,'Loss Timing'!$A$7:$A$36,1),0)/12/PmtFreqAdd</f>
        <v>0</v>
      </c>
      <c r="V357" s="79">
        <f ca="1">OFFSET('Loss Timing'!F$6,MATCH($A357,'Loss Timing'!$A$7:$A$36,1),0)/12/PmtFreqAdd</f>
        <v>0</v>
      </c>
      <c r="W357" s="79">
        <f ca="1">OFFSET('Loss Timing'!G$6,MATCH($A357,'Loss Timing'!$A$7:$A$36,1),0)/12/PmtFreqAdd</f>
        <v>0</v>
      </c>
      <c r="X357" s="79">
        <f ca="1">OFFSET('Loss Timing'!H$6,MATCH($A357,'Loss Timing'!$A$7:$A$36,1),0)/12/PmtFreqAdd</f>
        <v>8.3333333333333332E-3</v>
      </c>
      <c r="Y357" s="55"/>
      <c r="Z357" s="68">
        <f t="shared" ca="1" si="25"/>
        <v>2.7777777777777779E-5</v>
      </c>
      <c r="AA357" s="68">
        <f t="shared" ca="1" si="26"/>
        <v>0</v>
      </c>
      <c r="AB357" s="68">
        <f t="shared" ca="1" si="27"/>
        <v>0</v>
      </c>
      <c r="AC357" s="68">
        <f t="shared" ca="1" si="28"/>
        <v>0</v>
      </c>
      <c r="AD357" s="68">
        <f t="shared" ca="1" si="29"/>
        <v>8.3333333333333331E-5</v>
      </c>
      <c r="AE357" s="55"/>
      <c r="AF357" s="68">
        <v>1.2500008594873435E-5</v>
      </c>
      <c r="AG357" s="81">
        <v>2.5000034375999292E-5</v>
      </c>
      <c r="AH357" s="68">
        <v>5.0000137497008268E-5</v>
      </c>
      <c r="AI357" s="55"/>
    </row>
    <row r="358" spans="1:35" x14ac:dyDescent="0.2">
      <c r="A358" s="27">
        <f>'Cash Flow'!A358</f>
        <v>352</v>
      </c>
      <c r="B358" s="49">
        <f>'Cash Flow'!B358</f>
        <v>49827</v>
      </c>
      <c r="C358" s="56">
        <f>'Cash Flow'!C358</f>
        <v>8.3333333333333329E-2</v>
      </c>
      <c r="D358" s="55"/>
      <c r="E358" s="57">
        <v>6.9369000000000056E-2</v>
      </c>
      <c r="F358" s="57"/>
      <c r="G358" s="57"/>
      <c r="H358" s="57"/>
      <c r="I358" s="57">
        <v>0.04</v>
      </c>
      <c r="J358" s="57"/>
      <c r="K358" s="57"/>
      <c r="L358" s="55"/>
      <c r="M358" s="78">
        <v>5.1430128318229462E-3</v>
      </c>
      <c r="N358" s="78">
        <v>0.01</v>
      </c>
      <c r="Q358" s="57"/>
      <c r="S358" s="55"/>
      <c r="T358" s="79">
        <f ca="1">OFFSET('Loss Timing'!D$6,MATCH($A358,'Loss Timing'!$A$7:$A$36,1),0)/12/PmtFreqAdd</f>
        <v>2.7777777777777779E-3</v>
      </c>
      <c r="U358" s="79">
        <f ca="1">OFFSET('Loss Timing'!E$6,MATCH($A358,'Loss Timing'!$A$7:$A$36,1),0)/12/PmtFreqAdd</f>
        <v>0</v>
      </c>
      <c r="V358" s="79">
        <f ca="1">OFFSET('Loss Timing'!F$6,MATCH($A358,'Loss Timing'!$A$7:$A$36,1),0)/12/PmtFreqAdd</f>
        <v>0</v>
      </c>
      <c r="W358" s="79">
        <f ca="1">OFFSET('Loss Timing'!G$6,MATCH($A358,'Loss Timing'!$A$7:$A$36,1),0)/12/PmtFreqAdd</f>
        <v>0</v>
      </c>
      <c r="X358" s="79">
        <f ca="1">OFFSET('Loss Timing'!H$6,MATCH($A358,'Loss Timing'!$A$7:$A$36,1),0)/12/PmtFreqAdd</f>
        <v>8.3333333333333332E-3</v>
      </c>
      <c r="Y358" s="55"/>
      <c r="Z358" s="68">
        <f t="shared" ca="1" si="25"/>
        <v>2.7777777777777779E-5</v>
      </c>
      <c r="AA358" s="68">
        <f t="shared" ca="1" si="26"/>
        <v>0</v>
      </c>
      <c r="AB358" s="68">
        <f t="shared" ca="1" si="27"/>
        <v>0</v>
      </c>
      <c r="AC358" s="68">
        <f t="shared" ca="1" si="28"/>
        <v>0</v>
      </c>
      <c r="AD358" s="68">
        <f t="shared" ca="1" si="29"/>
        <v>8.3333333333333331E-5</v>
      </c>
      <c r="AE358" s="55"/>
      <c r="AF358" s="68">
        <v>1.2500008594873435E-5</v>
      </c>
      <c r="AG358" s="81">
        <v>2.5000034375999292E-5</v>
      </c>
      <c r="AH358" s="68">
        <v>5.0000137497008268E-5</v>
      </c>
      <c r="AI358" s="55"/>
    </row>
    <row r="359" spans="1:35" x14ac:dyDescent="0.2">
      <c r="A359" s="27">
        <f>'Cash Flow'!A359</f>
        <v>353</v>
      </c>
      <c r="B359" s="49">
        <f>'Cash Flow'!B359</f>
        <v>49857</v>
      </c>
      <c r="C359" s="56">
        <f>'Cash Flow'!C359</f>
        <v>8.3333333333333329E-2</v>
      </c>
      <c r="D359" s="55"/>
      <c r="E359" s="57">
        <v>6.9369000000000056E-2</v>
      </c>
      <c r="F359" s="57"/>
      <c r="G359" s="57"/>
      <c r="H359" s="57"/>
      <c r="I359" s="57">
        <v>0.04</v>
      </c>
      <c r="J359" s="57"/>
      <c r="K359" s="57"/>
      <c r="L359" s="55"/>
      <c r="M359" s="78">
        <v>5.1430128318229462E-3</v>
      </c>
      <c r="N359" s="78">
        <v>0.01</v>
      </c>
      <c r="Q359" s="57"/>
      <c r="S359" s="55"/>
      <c r="T359" s="79">
        <f ca="1">OFFSET('Loss Timing'!D$6,MATCH($A359,'Loss Timing'!$A$7:$A$36,1),0)/12/PmtFreqAdd</f>
        <v>2.7777777777777779E-3</v>
      </c>
      <c r="U359" s="79">
        <f ca="1">OFFSET('Loss Timing'!E$6,MATCH($A359,'Loss Timing'!$A$7:$A$36,1),0)/12/PmtFreqAdd</f>
        <v>0</v>
      </c>
      <c r="V359" s="79">
        <f ca="1">OFFSET('Loss Timing'!F$6,MATCH($A359,'Loss Timing'!$A$7:$A$36,1),0)/12/PmtFreqAdd</f>
        <v>0</v>
      </c>
      <c r="W359" s="79">
        <f ca="1">OFFSET('Loss Timing'!G$6,MATCH($A359,'Loss Timing'!$A$7:$A$36,1),0)/12/PmtFreqAdd</f>
        <v>0</v>
      </c>
      <c r="X359" s="79">
        <f ca="1">OFFSET('Loss Timing'!H$6,MATCH($A359,'Loss Timing'!$A$7:$A$36,1),0)/12/PmtFreqAdd</f>
        <v>8.3333333333333332E-3</v>
      </c>
      <c r="Y359" s="55"/>
      <c r="Z359" s="68">
        <f t="shared" ca="1" si="25"/>
        <v>2.7777777777777779E-5</v>
      </c>
      <c r="AA359" s="68">
        <f t="shared" ca="1" si="26"/>
        <v>0</v>
      </c>
      <c r="AB359" s="68">
        <f t="shared" ca="1" si="27"/>
        <v>0</v>
      </c>
      <c r="AC359" s="68">
        <f t="shared" ca="1" si="28"/>
        <v>0</v>
      </c>
      <c r="AD359" s="68">
        <f t="shared" ca="1" si="29"/>
        <v>8.3333333333333331E-5</v>
      </c>
      <c r="AE359" s="55"/>
      <c r="AF359" s="68">
        <v>1.2500008594873435E-5</v>
      </c>
      <c r="AG359" s="81">
        <v>2.5000034375999292E-5</v>
      </c>
      <c r="AH359" s="68">
        <v>5.0000137497008268E-5</v>
      </c>
      <c r="AI359" s="55"/>
    </row>
    <row r="360" spans="1:35" x14ac:dyDescent="0.2">
      <c r="A360" s="27">
        <f>'Cash Flow'!A360</f>
        <v>354</v>
      </c>
      <c r="B360" s="49">
        <f>'Cash Flow'!B360</f>
        <v>49888</v>
      </c>
      <c r="C360" s="56">
        <f>'Cash Flow'!C360</f>
        <v>8.3333333333333329E-2</v>
      </c>
      <c r="D360" s="55"/>
      <c r="E360" s="57">
        <v>6.9369000000000056E-2</v>
      </c>
      <c r="F360" s="57"/>
      <c r="G360" s="57"/>
      <c r="H360" s="57"/>
      <c r="I360" s="57">
        <v>0.04</v>
      </c>
      <c r="J360" s="57"/>
      <c r="K360" s="57"/>
      <c r="L360" s="55"/>
      <c r="M360" s="78">
        <v>5.1430128318229462E-3</v>
      </c>
      <c r="N360" s="78">
        <v>0.01</v>
      </c>
      <c r="Q360" s="57"/>
      <c r="S360" s="55"/>
      <c r="T360" s="79">
        <f ca="1">OFFSET('Loss Timing'!D$6,MATCH($A360,'Loss Timing'!$A$7:$A$36,1),0)/12/PmtFreqAdd</f>
        <v>2.7777777777777779E-3</v>
      </c>
      <c r="U360" s="79">
        <f ca="1">OFFSET('Loss Timing'!E$6,MATCH($A360,'Loss Timing'!$A$7:$A$36,1),0)/12/PmtFreqAdd</f>
        <v>0</v>
      </c>
      <c r="V360" s="79">
        <f ca="1">OFFSET('Loss Timing'!F$6,MATCH($A360,'Loss Timing'!$A$7:$A$36,1),0)/12/PmtFreqAdd</f>
        <v>0</v>
      </c>
      <c r="W360" s="79">
        <f ca="1">OFFSET('Loss Timing'!G$6,MATCH($A360,'Loss Timing'!$A$7:$A$36,1),0)/12/PmtFreqAdd</f>
        <v>0</v>
      </c>
      <c r="X360" s="79">
        <f ca="1">OFFSET('Loss Timing'!H$6,MATCH($A360,'Loss Timing'!$A$7:$A$36,1),0)/12/PmtFreqAdd</f>
        <v>8.3333333333333332E-3</v>
      </c>
      <c r="Y360" s="55"/>
      <c r="Z360" s="68">
        <f t="shared" ca="1" si="25"/>
        <v>2.7777777777777779E-5</v>
      </c>
      <c r="AA360" s="68">
        <f t="shared" ca="1" si="26"/>
        <v>0</v>
      </c>
      <c r="AB360" s="68">
        <f t="shared" ca="1" si="27"/>
        <v>0</v>
      </c>
      <c r="AC360" s="68">
        <f t="shared" ca="1" si="28"/>
        <v>0</v>
      </c>
      <c r="AD360" s="68">
        <f t="shared" ca="1" si="29"/>
        <v>8.3333333333333331E-5</v>
      </c>
      <c r="AE360" s="55"/>
      <c r="AF360" s="68">
        <v>1.2500008594873435E-5</v>
      </c>
      <c r="AG360" s="81">
        <v>2.5000034375999292E-5</v>
      </c>
      <c r="AH360" s="68">
        <v>5.0000137497008268E-5</v>
      </c>
      <c r="AI360" s="55"/>
    </row>
    <row r="361" spans="1:35" x14ac:dyDescent="0.2">
      <c r="A361" s="27">
        <f>'Cash Flow'!A361</f>
        <v>355</v>
      </c>
      <c r="B361" s="49">
        <f>'Cash Flow'!B361</f>
        <v>49919</v>
      </c>
      <c r="C361" s="56">
        <f>'Cash Flow'!C361</f>
        <v>8.3333333333333329E-2</v>
      </c>
      <c r="D361" s="55"/>
      <c r="E361" s="57">
        <v>6.9369000000000056E-2</v>
      </c>
      <c r="F361" s="57"/>
      <c r="G361" s="57"/>
      <c r="H361" s="57"/>
      <c r="I361" s="57">
        <v>0.04</v>
      </c>
      <c r="J361" s="57"/>
      <c r="K361" s="57"/>
      <c r="L361" s="55"/>
      <c r="M361" s="78">
        <v>5.1430128318229462E-3</v>
      </c>
      <c r="N361" s="78">
        <v>0.01</v>
      </c>
      <c r="Q361" s="57"/>
      <c r="S361" s="55"/>
      <c r="T361" s="79">
        <f ca="1">OFFSET('Loss Timing'!D$6,MATCH($A361,'Loss Timing'!$A$7:$A$36,1),0)/12/PmtFreqAdd</f>
        <v>2.7777777777777779E-3</v>
      </c>
      <c r="U361" s="79">
        <f ca="1">OFFSET('Loss Timing'!E$6,MATCH($A361,'Loss Timing'!$A$7:$A$36,1),0)/12/PmtFreqAdd</f>
        <v>0</v>
      </c>
      <c r="V361" s="79">
        <f ca="1">OFFSET('Loss Timing'!F$6,MATCH($A361,'Loss Timing'!$A$7:$A$36,1),0)/12/PmtFreqAdd</f>
        <v>0</v>
      </c>
      <c r="W361" s="79">
        <f ca="1">OFFSET('Loss Timing'!G$6,MATCH($A361,'Loss Timing'!$A$7:$A$36,1),0)/12/PmtFreqAdd</f>
        <v>0</v>
      </c>
      <c r="X361" s="79">
        <f ca="1">OFFSET('Loss Timing'!H$6,MATCH($A361,'Loss Timing'!$A$7:$A$36,1),0)/12/PmtFreqAdd</f>
        <v>8.3333333333333332E-3</v>
      </c>
      <c r="Y361" s="55"/>
      <c r="Z361" s="68">
        <f t="shared" ca="1" si="25"/>
        <v>2.7777777777777779E-5</v>
      </c>
      <c r="AA361" s="68">
        <f t="shared" ca="1" si="26"/>
        <v>0</v>
      </c>
      <c r="AB361" s="68">
        <f t="shared" ca="1" si="27"/>
        <v>0</v>
      </c>
      <c r="AC361" s="68">
        <f t="shared" ca="1" si="28"/>
        <v>0</v>
      </c>
      <c r="AD361" s="68">
        <f t="shared" ca="1" si="29"/>
        <v>8.3333333333333331E-5</v>
      </c>
      <c r="AE361" s="55"/>
      <c r="AF361" s="68">
        <v>1.2500008594873435E-5</v>
      </c>
      <c r="AG361" s="81">
        <v>2.5000034375999292E-5</v>
      </c>
      <c r="AH361" s="68">
        <v>5.0000137497008268E-5</v>
      </c>
      <c r="AI361" s="55"/>
    </row>
    <row r="362" spans="1:35" x14ac:dyDescent="0.2">
      <c r="A362" s="27">
        <f>'Cash Flow'!A362</f>
        <v>356</v>
      </c>
      <c r="B362" s="49">
        <f>'Cash Flow'!B362</f>
        <v>49949</v>
      </c>
      <c r="C362" s="56">
        <f>'Cash Flow'!C362</f>
        <v>8.3333333333333329E-2</v>
      </c>
      <c r="D362" s="55"/>
      <c r="E362" s="57">
        <v>6.9369000000000056E-2</v>
      </c>
      <c r="F362" s="57"/>
      <c r="G362" s="57"/>
      <c r="H362" s="57"/>
      <c r="I362" s="57">
        <v>0.04</v>
      </c>
      <c r="J362" s="57"/>
      <c r="K362" s="57"/>
      <c r="L362" s="55"/>
      <c r="M362" s="78">
        <v>5.1430128318229462E-3</v>
      </c>
      <c r="N362" s="78">
        <v>0.01</v>
      </c>
      <c r="Q362" s="57"/>
      <c r="S362" s="55"/>
      <c r="T362" s="79">
        <f ca="1">OFFSET('Loss Timing'!D$6,MATCH($A362,'Loss Timing'!$A$7:$A$36,1),0)/12/PmtFreqAdd</f>
        <v>2.7777777777777779E-3</v>
      </c>
      <c r="U362" s="79">
        <f ca="1">OFFSET('Loss Timing'!E$6,MATCH($A362,'Loss Timing'!$A$7:$A$36,1),0)/12/PmtFreqAdd</f>
        <v>0</v>
      </c>
      <c r="V362" s="79">
        <f ca="1">OFFSET('Loss Timing'!F$6,MATCH($A362,'Loss Timing'!$A$7:$A$36,1),0)/12/PmtFreqAdd</f>
        <v>0</v>
      </c>
      <c r="W362" s="79">
        <f ca="1">OFFSET('Loss Timing'!G$6,MATCH($A362,'Loss Timing'!$A$7:$A$36,1),0)/12/PmtFreqAdd</f>
        <v>0</v>
      </c>
      <c r="X362" s="79">
        <f ca="1">OFFSET('Loss Timing'!H$6,MATCH($A362,'Loss Timing'!$A$7:$A$36,1),0)/12/PmtFreqAdd</f>
        <v>8.3333333333333332E-3</v>
      </c>
      <c r="Y362" s="55"/>
      <c r="Z362" s="68">
        <f t="shared" ca="1" si="25"/>
        <v>2.7777777777777779E-5</v>
      </c>
      <c r="AA362" s="68">
        <f t="shared" ca="1" si="26"/>
        <v>0</v>
      </c>
      <c r="AB362" s="68">
        <f t="shared" ca="1" si="27"/>
        <v>0</v>
      </c>
      <c r="AC362" s="68">
        <f t="shared" ca="1" si="28"/>
        <v>0</v>
      </c>
      <c r="AD362" s="68">
        <f t="shared" ca="1" si="29"/>
        <v>8.3333333333333331E-5</v>
      </c>
      <c r="AE362" s="55"/>
      <c r="AF362" s="68">
        <v>1.2500008594873435E-5</v>
      </c>
      <c r="AG362" s="81">
        <v>2.5000034375999292E-5</v>
      </c>
      <c r="AH362" s="68">
        <v>5.0000137497008268E-5</v>
      </c>
      <c r="AI362" s="55"/>
    </row>
    <row r="363" spans="1:35" x14ac:dyDescent="0.2">
      <c r="A363" s="27">
        <f>'Cash Flow'!A363</f>
        <v>357</v>
      </c>
      <c r="B363" s="49">
        <f>'Cash Flow'!B363</f>
        <v>49980</v>
      </c>
      <c r="C363" s="56">
        <f>'Cash Flow'!C363</f>
        <v>8.3333333333333329E-2</v>
      </c>
      <c r="D363" s="55"/>
      <c r="E363" s="57">
        <v>6.9369000000000056E-2</v>
      </c>
      <c r="F363" s="57"/>
      <c r="G363" s="57"/>
      <c r="H363" s="57"/>
      <c r="I363" s="57">
        <v>0.04</v>
      </c>
      <c r="J363" s="57"/>
      <c r="K363" s="57"/>
      <c r="L363" s="55"/>
      <c r="M363" s="78">
        <v>5.1430128318229462E-3</v>
      </c>
      <c r="N363" s="78">
        <v>0.01</v>
      </c>
      <c r="Q363" s="57"/>
      <c r="S363" s="55"/>
      <c r="T363" s="79">
        <f ca="1">OFFSET('Loss Timing'!D$6,MATCH($A363,'Loss Timing'!$A$7:$A$36,1),0)/12/PmtFreqAdd</f>
        <v>2.7777777777777779E-3</v>
      </c>
      <c r="U363" s="79">
        <f ca="1">OFFSET('Loss Timing'!E$6,MATCH($A363,'Loss Timing'!$A$7:$A$36,1),0)/12/PmtFreqAdd</f>
        <v>0</v>
      </c>
      <c r="V363" s="79">
        <f ca="1">OFFSET('Loss Timing'!F$6,MATCH($A363,'Loss Timing'!$A$7:$A$36,1),0)/12/PmtFreqAdd</f>
        <v>0</v>
      </c>
      <c r="W363" s="79">
        <f ca="1">OFFSET('Loss Timing'!G$6,MATCH($A363,'Loss Timing'!$A$7:$A$36,1),0)/12/PmtFreqAdd</f>
        <v>0</v>
      </c>
      <c r="X363" s="79">
        <f ca="1">OFFSET('Loss Timing'!H$6,MATCH($A363,'Loss Timing'!$A$7:$A$36,1),0)/12/PmtFreqAdd</f>
        <v>8.3333333333333332E-3</v>
      </c>
      <c r="Y363" s="55"/>
      <c r="Z363" s="68">
        <f t="shared" ca="1" si="25"/>
        <v>2.7777777777777779E-5</v>
      </c>
      <c r="AA363" s="68">
        <f t="shared" ca="1" si="26"/>
        <v>0</v>
      </c>
      <c r="AB363" s="68">
        <f t="shared" ca="1" si="27"/>
        <v>0</v>
      </c>
      <c r="AC363" s="68">
        <f t="shared" ca="1" si="28"/>
        <v>0</v>
      </c>
      <c r="AD363" s="68">
        <f t="shared" ca="1" si="29"/>
        <v>8.3333333333333331E-5</v>
      </c>
      <c r="AE363" s="55"/>
      <c r="AF363" s="68">
        <v>1.2500008594873435E-5</v>
      </c>
      <c r="AG363" s="81">
        <v>2.5000034375999292E-5</v>
      </c>
      <c r="AH363" s="68">
        <v>5.0000137497008268E-5</v>
      </c>
      <c r="AI363" s="55"/>
    </row>
    <row r="364" spans="1:35" x14ac:dyDescent="0.2">
      <c r="A364" s="27">
        <f>'Cash Flow'!A364</f>
        <v>358</v>
      </c>
      <c r="B364" s="49">
        <f>'Cash Flow'!B364</f>
        <v>50010</v>
      </c>
      <c r="C364" s="56">
        <f>'Cash Flow'!C364</f>
        <v>8.3333333333333329E-2</v>
      </c>
      <c r="D364" s="55"/>
      <c r="E364" s="57">
        <v>6.9369000000000056E-2</v>
      </c>
      <c r="F364" s="57"/>
      <c r="G364" s="57"/>
      <c r="H364" s="57"/>
      <c r="I364" s="57">
        <v>0.04</v>
      </c>
      <c r="J364" s="57"/>
      <c r="K364" s="57"/>
      <c r="L364" s="55"/>
      <c r="M364" s="78">
        <v>5.1430128318229462E-3</v>
      </c>
      <c r="N364" s="78">
        <v>0.01</v>
      </c>
      <c r="Q364" s="57"/>
      <c r="S364" s="55"/>
      <c r="T364" s="79">
        <f ca="1">OFFSET('Loss Timing'!D$6,MATCH($A364,'Loss Timing'!$A$7:$A$36,1),0)/12/PmtFreqAdd</f>
        <v>2.7777777777777779E-3</v>
      </c>
      <c r="U364" s="79">
        <f ca="1">OFFSET('Loss Timing'!E$6,MATCH($A364,'Loss Timing'!$A$7:$A$36,1),0)/12/PmtFreqAdd</f>
        <v>0</v>
      </c>
      <c r="V364" s="79">
        <f ca="1">OFFSET('Loss Timing'!F$6,MATCH($A364,'Loss Timing'!$A$7:$A$36,1),0)/12/PmtFreqAdd</f>
        <v>0</v>
      </c>
      <c r="W364" s="79">
        <f ca="1">OFFSET('Loss Timing'!G$6,MATCH($A364,'Loss Timing'!$A$7:$A$36,1),0)/12/PmtFreqAdd</f>
        <v>0</v>
      </c>
      <c r="X364" s="79">
        <f ca="1">OFFSET('Loss Timing'!H$6,MATCH($A364,'Loss Timing'!$A$7:$A$36,1),0)/12/PmtFreqAdd</f>
        <v>8.3333333333333332E-3</v>
      </c>
      <c r="Y364" s="55"/>
      <c r="Z364" s="68">
        <f t="shared" ca="1" si="25"/>
        <v>2.7777777777777779E-5</v>
      </c>
      <c r="AA364" s="68">
        <f t="shared" ca="1" si="26"/>
        <v>0</v>
      </c>
      <c r="AB364" s="68">
        <f t="shared" ca="1" si="27"/>
        <v>0</v>
      </c>
      <c r="AC364" s="68">
        <f t="shared" ca="1" si="28"/>
        <v>0</v>
      </c>
      <c r="AD364" s="68">
        <f t="shared" ca="1" si="29"/>
        <v>8.3333333333333331E-5</v>
      </c>
      <c r="AE364" s="55"/>
      <c r="AF364" s="68">
        <v>1.2500008594873435E-5</v>
      </c>
      <c r="AG364" s="81">
        <v>2.5000034375999292E-5</v>
      </c>
      <c r="AH364" s="68">
        <v>5.0000137497008268E-5</v>
      </c>
      <c r="AI364" s="55"/>
    </row>
    <row r="365" spans="1:35" x14ac:dyDescent="0.2">
      <c r="A365" s="27">
        <f>'Cash Flow'!A365</f>
        <v>359</v>
      </c>
      <c r="B365" s="49">
        <f>'Cash Flow'!B365</f>
        <v>50041</v>
      </c>
      <c r="C365" s="56">
        <f>'Cash Flow'!C365</f>
        <v>8.3333333333333329E-2</v>
      </c>
      <c r="D365" s="55"/>
      <c r="E365" s="57">
        <v>6.9369000000000056E-2</v>
      </c>
      <c r="F365" s="57"/>
      <c r="G365" s="57"/>
      <c r="H365" s="57"/>
      <c r="I365" s="57">
        <v>0.04</v>
      </c>
      <c r="J365" s="57"/>
      <c r="K365" s="57"/>
      <c r="L365" s="55"/>
      <c r="M365" s="78">
        <v>5.1430128318229462E-3</v>
      </c>
      <c r="N365" s="78">
        <v>0.01</v>
      </c>
      <c r="Q365" s="57"/>
      <c r="S365" s="55"/>
      <c r="T365" s="79">
        <f ca="1">OFFSET('Loss Timing'!D$6,MATCH($A365,'Loss Timing'!$A$7:$A$36,1),0)/12/PmtFreqAdd</f>
        <v>2.7777777777777779E-3</v>
      </c>
      <c r="U365" s="79">
        <f ca="1">OFFSET('Loss Timing'!E$6,MATCH($A365,'Loss Timing'!$A$7:$A$36,1),0)/12/PmtFreqAdd</f>
        <v>0</v>
      </c>
      <c r="V365" s="79">
        <f ca="1">OFFSET('Loss Timing'!F$6,MATCH($A365,'Loss Timing'!$A$7:$A$36,1),0)/12/PmtFreqAdd</f>
        <v>0</v>
      </c>
      <c r="W365" s="79">
        <f ca="1">OFFSET('Loss Timing'!G$6,MATCH($A365,'Loss Timing'!$A$7:$A$36,1),0)/12/PmtFreqAdd</f>
        <v>0</v>
      </c>
      <c r="X365" s="79">
        <f ca="1">OFFSET('Loss Timing'!H$6,MATCH($A365,'Loss Timing'!$A$7:$A$36,1),0)/12/PmtFreqAdd</f>
        <v>8.3333333333333332E-3</v>
      </c>
      <c r="Y365" s="55"/>
      <c r="Z365" s="68">
        <f t="shared" ca="1" si="25"/>
        <v>2.7777777777777779E-5</v>
      </c>
      <c r="AA365" s="68">
        <f t="shared" ca="1" si="26"/>
        <v>0</v>
      </c>
      <c r="AB365" s="68">
        <f t="shared" ca="1" si="27"/>
        <v>0</v>
      </c>
      <c r="AC365" s="68">
        <f t="shared" ca="1" si="28"/>
        <v>0</v>
      </c>
      <c r="AD365" s="68">
        <f t="shared" ca="1" si="29"/>
        <v>8.3333333333333331E-5</v>
      </c>
      <c r="AE365" s="55"/>
      <c r="AF365" s="68">
        <v>1.2500008594873435E-5</v>
      </c>
      <c r="AG365" s="81">
        <v>2.5000034375999292E-5</v>
      </c>
      <c r="AH365" s="68">
        <v>5.0000137497008268E-5</v>
      </c>
      <c r="AI365" s="55"/>
    </row>
    <row r="366" spans="1:35" ht="13.5" thickBot="1" x14ac:dyDescent="0.25">
      <c r="A366" s="50">
        <f>'Cash Flow'!A366</f>
        <v>360</v>
      </c>
      <c r="B366" s="51">
        <f>'Cash Flow'!B366</f>
        <v>50072</v>
      </c>
      <c r="C366" s="56">
        <f>'Cash Flow'!C366</f>
        <v>8.3333333333333329E-2</v>
      </c>
      <c r="D366" s="55"/>
      <c r="E366" s="57">
        <v>6.9369000000000056E-2</v>
      </c>
      <c r="F366" s="57"/>
      <c r="G366" s="57"/>
      <c r="H366" s="57"/>
      <c r="I366" s="57">
        <v>0.04</v>
      </c>
      <c r="J366" s="57"/>
      <c r="K366" s="57"/>
      <c r="L366" s="55"/>
      <c r="M366" s="78">
        <v>5.1430128318229462E-3</v>
      </c>
      <c r="N366" s="78">
        <v>0.01</v>
      </c>
      <c r="Q366" s="57"/>
      <c r="S366" s="55"/>
      <c r="T366" s="79">
        <f ca="1">OFFSET('Loss Timing'!D$6,MATCH($A366,'Loss Timing'!$A$7:$A$36,1),0)/12/PmtFreqAdd</f>
        <v>2.7777777777777779E-3</v>
      </c>
      <c r="U366" s="79">
        <f ca="1">OFFSET('Loss Timing'!E$6,MATCH($A366,'Loss Timing'!$A$7:$A$36,1),0)/12/PmtFreqAdd</f>
        <v>0</v>
      </c>
      <c r="V366" s="79">
        <f ca="1">OFFSET('Loss Timing'!F$6,MATCH($A366,'Loss Timing'!$A$7:$A$36,1),0)/12/PmtFreqAdd</f>
        <v>0</v>
      </c>
      <c r="W366" s="79">
        <f ca="1">OFFSET('Loss Timing'!G$6,MATCH($A366,'Loss Timing'!$A$7:$A$36,1),0)/12/PmtFreqAdd</f>
        <v>0</v>
      </c>
      <c r="X366" s="79">
        <f ca="1">OFFSET('Loss Timing'!H$6,MATCH($A366,'Loss Timing'!$A$7:$A$36,1),0)/12/PmtFreqAdd</f>
        <v>8.3333333333333332E-3</v>
      </c>
      <c r="Y366" s="55"/>
      <c r="Z366" s="68">
        <f ca="1">(pdrCumLoss1*pdrLossStress1)*T366</f>
        <v>2.7777777777777779E-5</v>
      </c>
      <c r="AA366" s="68">
        <f ca="1">(pdrCumLoss1*pdrLossStress1)*U366</f>
        <v>0</v>
      </c>
      <c r="AB366" s="68">
        <f ca="1">(pdrCumLoss1*pdrLossStress1)*V366</f>
        <v>0</v>
      </c>
      <c r="AC366" s="68">
        <f ca="1">(pdrCumLoss1*pdrLossStress1)*W366</f>
        <v>0</v>
      </c>
      <c r="AD366" s="68">
        <f ca="1">(pdrCumLoss1*pdrLossStress1)*X366</f>
        <v>8.3333333333333331E-5</v>
      </c>
      <c r="AE366" s="55"/>
      <c r="AF366" s="68">
        <v>1.2500008594873435E-5</v>
      </c>
      <c r="AG366" s="81">
        <v>2.5000034375999292E-5</v>
      </c>
      <c r="AH366" s="68">
        <v>5.0000137497008268E-5</v>
      </c>
      <c r="AI366" s="55"/>
    </row>
    <row r="367" spans="1:35" x14ac:dyDescent="0.2">
      <c r="AF367" s="68"/>
      <c r="AG367" s="81"/>
      <c r="AH367" s="68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N366"/>
  <sheetViews>
    <sheetView workbookViewId="0"/>
  </sheetViews>
  <sheetFormatPr defaultRowHeight="12.75" x14ac:dyDescent="0.2"/>
  <cols>
    <col min="2" max="2" width="10.140625" customWidth="1"/>
    <col min="4" max="4" width="1.7109375" customWidth="1"/>
    <col min="5" max="5" width="12.5703125" customWidth="1"/>
    <col min="6" max="9" width="9.28515625" bestFit="1" customWidth="1"/>
    <col min="10" max="10" width="12.28515625" bestFit="1" customWidth="1"/>
    <col min="11" max="11" width="1.7109375" customWidth="1"/>
    <col min="12" max="12" width="12.7109375" customWidth="1"/>
    <col min="14" max="14" width="11.28515625" bestFit="1" customWidth="1"/>
    <col min="17" max="17" width="11" customWidth="1"/>
    <col min="18" max="18" width="11.28515625" bestFit="1" customWidth="1"/>
    <col min="22" max="22" width="12.5703125" customWidth="1"/>
    <col min="23" max="23" width="1.85546875" customWidth="1"/>
    <col min="24" max="24" width="10.85546875" customWidth="1"/>
    <col min="25" max="25" width="1.7109375" customWidth="1"/>
    <col min="30" max="30" width="1.7109375" customWidth="1"/>
    <col min="31" max="31" width="11.28515625" bestFit="1" customWidth="1"/>
    <col min="37" max="37" width="10" customWidth="1"/>
    <col min="38" max="38" width="1.7109375" customWidth="1"/>
    <col min="39" max="39" width="12.85546875" bestFit="1" customWidth="1"/>
    <col min="40" max="40" width="11.140625" customWidth="1"/>
    <col min="42" max="42" width="13.140625" customWidth="1"/>
    <col min="43" max="43" width="1.7109375" customWidth="1"/>
    <col min="44" max="44" width="11.28515625" customWidth="1"/>
    <col min="45" max="45" width="12.7109375" bestFit="1" customWidth="1"/>
    <col min="46" max="46" width="12.140625" customWidth="1"/>
    <col min="47" max="47" width="9.85546875" bestFit="1" customWidth="1"/>
    <col min="50" max="50" width="10.85546875" customWidth="1"/>
    <col min="51" max="51" width="1.7109375" customWidth="1"/>
    <col min="52" max="52" width="12.5703125" customWidth="1"/>
    <col min="53" max="53" width="11" bestFit="1" customWidth="1"/>
    <col min="54" max="54" width="9.85546875" bestFit="1" customWidth="1"/>
    <col min="57" max="57" width="11" customWidth="1"/>
    <col min="58" max="58" width="1.7109375" customWidth="1"/>
    <col min="59" max="60" width="11.42578125" customWidth="1"/>
    <col min="61" max="61" width="11.140625" customWidth="1"/>
    <col min="62" max="62" width="16.140625" customWidth="1"/>
    <col min="63" max="63" width="11.85546875" customWidth="1"/>
    <col min="64" max="64" width="10.85546875" customWidth="1"/>
    <col min="65" max="65" width="1.85546875" customWidth="1"/>
    <col min="66" max="66" width="10.5703125" customWidth="1"/>
    <col min="67" max="67" width="12.28515625" customWidth="1"/>
    <col min="68" max="68" width="13" customWidth="1"/>
    <col min="70" max="70" width="11.140625" customWidth="1"/>
    <col min="71" max="71" width="1.7109375" customWidth="1"/>
    <col min="72" max="72" width="12.42578125" customWidth="1"/>
    <col min="73" max="75" width="13" customWidth="1"/>
    <col min="76" max="76" width="1.7109375" customWidth="1"/>
    <col min="77" max="77" width="11.28515625" customWidth="1"/>
    <col min="79" max="79" width="1.7109375" customWidth="1"/>
    <col min="80" max="80" width="14.5703125" bestFit="1" customWidth="1"/>
    <col min="81" max="81" width="11.42578125" customWidth="1"/>
    <col min="82" max="82" width="11.85546875" customWidth="1"/>
    <col min="83" max="83" width="1.7109375" customWidth="1"/>
    <col min="84" max="84" width="11.42578125" customWidth="1"/>
    <col min="87" max="87" width="1.7109375" customWidth="1"/>
    <col min="88" max="88" width="12" bestFit="1" customWidth="1"/>
    <col min="89" max="89" width="10.28515625" bestFit="1" customWidth="1"/>
    <col min="90" max="90" width="11.7109375" customWidth="1"/>
    <col min="91" max="91" width="1.7109375" customWidth="1"/>
    <col min="92" max="92" width="10.5703125" bestFit="1" customWidth="1"/>
    <col min="93" max="93" width="11" customWidth="1"/>
    <col min="94" max="94" width="13.85546875" customWidth="1"/>
  </cols>
  <sheetData>
    <row r="1" spans="1:118" s="31" customFormat="1" ht="19.5" thickBot="1" x14ac:dyDescent="0.35">
      <c r="A1" s="5" t="s">
        <v>19</v>
      </c>
    </row>
    <row r="3" spans="1:118" ht="16.5" thickBot="1" x14ac:dyDescent="0.3">
      <c r="E3" s="52" t="s">
        <v>48</v>
      </c>
      <c r="L3" s="52" t="s">
        <v>56</v>
      </c>
      <c r="N3" s="64"/>
      <c r="O3" s="64"/>
      <c r="R3" s="64"/>
      <c r="AE3" s="52" t="s">
        <v>154</v>
      </c>
      <c r="AF3" s="52"/>
      <c r="AM3" s="52" t="s">
        <v>105</v>
      </c>
      <c r="AR3" s="52" t="s">
        <v>116</v>
      </c>
      <c r="AZ3" s="52" t="s">
        <v>133</v>
      </c>
      <c r="BG3" s="52" t="s">
        <v>162</v>
      </c>
      <c r="BN3" s="52" t="s">
        <v>117</v>
      </c>
      <c r="BT3" s="52" t="s">
        <v>136</v>
      </c>
      <c r="CB3" s="52" t="s">
        <v>126</v>
      </c>
      <c r="CJ3" s="52" t="s">
        <v>170</v>
      </c>
      <c r="CN3" s="52" t="s">
        <v>197</v>
      </c>
      <c r="CO3" s="52"/>
    </row>
    <row r="4" spans="1:118" ht="51.75" thickBot="1" x14ac:dyDescent="0.25">
      <c r="A4" s="25" t="s">
        <v>16</v>
      </c>
      <c r="B4" s="25" t="s">
        <v>17</v>
      </c>
      <c r="C4" s="25" t="s">
        <v>18</v>
      </c>
      <c r="D4" s="28"/>
      <c r="E4" s="60" t="s">
        <v>49</v>
      </c>
      <c r="F4" s="60" t="s">
        <v>50</v>
      </c>
      <c r="G4" s="61" t="s">
        <v>51</v>
      </c>
      <c r="H4" s="61" t="s">
        <v>52</v>
      </c>
      <c r="I4" s="60" t="s">
        <v>53</v>
      </c>
      <c r="J4" s="60" t="s">
        <v>54</v>
      </c>
      <c r="K4" s="28"/>
      <c r="L4" s="65" t="s">
        <v>49</v>
      </c>
      <c r="M4" s="65" t="s">
        <v>57</v>
      </c>
      <c r="N4" s="65" t="s">
        <v>58</v>
      </c>
      <c r="O4" s="65" t="s">
        <v>59</v>
      </c>
      <c r="P4" s="65" t="s">
        <v>60</v>
      </c>
      <c r="Q4" s="66" t="s">
        <v>61</v>
      </c>
      <c r="R4" s="65" t="s">
        <v>62</v>
      </c>
      <c r="S4" s="65" t="s">
        <v>63</v>
      </c>
      <c r="T4" s="65" t="s">
        <v>64</v>
      </c>
      <c r="U4" s="65" t="s">
        <v>65</v>
      </c>
      <c r="V4" s="65" t="s">
        <v>54</v>
      </c>
      <c r="W4" s="28"/>
      <c r="X4" s="104" t="s">
        <v>99</v>
      </c>
      <c r="Y4" s="28"/>
      <c r="Z4" s="115" t="s">
        <v>149</v>
      </c>
      <c r="AA4" s="115" t="s">
        <v>143</v>
      </c>
      <c r="AB4" s="115" t="s">
        <v>146</v>
      </c>
      <c r="AC4" s="115" t="s">
        <v>147</v>
      </c>
      <c r="AD4" s="28"/>
      <c r="AE4" s="128" t="s">
        <v>155</v>
      </c>
      <c r="AF4" s="128" t="s">
        <v>152</v>
      </c>
      <c r="AG4" s="128" t="s">
        <v>156</v>
      </c>
      <c r="AH4" s="128" t="s">
        <v>153</v>
      </c>
      <c r="AI4" s="128" t="s">
        <v>157</v>
      </c>
      <c r="AJ4" s="128" t="s">
        <v>158</v>
      </c>
      <c r="AK4" s="128" t="s">
        <v>159</v>
      </c>
      <c r="AL4" s="28"/>
      <c r="AM4" s="113" t="s">
        <v>109</v>
      </c>
      <c r="AN4" s="113" t="s">
        <v>110</v>
      </c>
      <c r="AO4" s="113" t="s">
        <v>111</v>
      </c>
      <c r="AP4" s="113" t="s">
        <v>112</v>
      </c>
      <c r="AQ4" s="28"/>
      <c r="AR4" s="114" t="s">
        <v>113</v>
      </c>
      <c r="AS4" s="114" t="s">
        <v>114</v>
      </c>
      <c r="AT4" s="114" t="s">
        <v>115</v>
      </c>
      <c r="AU4" s="114" t="s">
        <v>111</v>
      </c>
      <c r="AV4" s="114" t="s">
        <v>168</v>
      </c>
      <c r="AW4" s="114" t="s">
        <v>111</v>
      </c>
      <c r="AX4" s="114" t="s">
        <v>112</v>
      </c>
      <c r="AY4" s="28"/>
      <c r="AZ4" s="114" t="s">
        <v>134</v>
      </c>
      <c r="BA4" s="114" t="s">
        <v>135</v>
      </c>
      <c r="BB4" s="114" t="s">
        <v>111</v>
      </c>
      <c r="BC4" s="114" t="s">
        <v>168</v>
      </c>
      <c r="BD4" s="114" t="s">
        <v>111</v>
      </c>
      <c r="BE4" s="114" t="s">
        <v>112</v>
      </c>
      <c r="BF4" s="28"/>
      <c r="BG4" s="130" t="s">
        <v>163</v>
      </c>
      <c r="BH4" s="130" t="s">
        <v>164</v>
      </c>
      <c r="BI4" s="130" t="s">
        <v>165</v>
      </c>
      <c r="BJ4" s="130" t="s">
        <v>166</v>
      </c>
      <c r="BK4" s="130" t="s">
        <v>167</v>
      </c>
      <c r="BL4" s="130" t="s">
        <v>112</v>
      </c>
      <c r="BM4" s="28"/>
      <c r="BN4" s="104" t="s">
        <v>118</v>
      </c>
      <c r="BO4" s="104" t="s">
        <v>119</v>
      </c>
      <c r="BP4" s="104" t="s">
        <v>120</v>
      </c>
      <c r="BQ4" s="104" t="s">
        <v>121</v>
      </c>
      <c r="BR4" s="104" t="s">
        <v>112</v>
      </c>
      <c r="BS4" s="28"/>
      <c r="BT4" s="104" t="s">
        <v>137</v>
      </c>
      <c r="BU4" s="104" t="s">
        <v>138</v>
      </c>
      <c r="BV4" s="104" t="s">
        <v>111</v>
      </c>
      <c r="BW4" s="104" t="s">
        <v>112</v>
      </c>
      <c r="BX4" s="28"/>
      <c r="BY4" s="119" t="s">
        <v>150</v>
      </c>
      <c r="BZ4" s="119" t="s">
        <v>169</v>
      </c>
      <c r="CA4" s="28"/>
      <c r="CB4" s="104" t="s">
        <v>127</v>
      </c>
      <c r="CC4" s="104" t="s">
        <v>128</v>
      </c>
      <c r="CD4" s="104" t="s">
        <v>129</v>
      </c>
      <c r="CE4" s="28"/>
      <c r="CF4" s="104" t="s">
        <v>130</v>
      </c>
      <c r="CG4" s="104" t="s">
        <v>131</v>
      </c>
      <c r="CH4" s="104" t="s">
        <v>132</v>
      </c>
      <c r="CI4" s="28"/>
      <c r="CJ4" s="131" t="s">
        <v>171</v>
      </c>
      <c r="CK4" s="131" t="s">
        <v>172</v>
      </c>
      <c r="CL4" s="132" t="s">
        <v>173</v>
      </c>
      <c r="CM4" s="28"/>
      <c r="CN4" s="117" t="s">
        <v>198</v>
      </c>
      <c r="CO4" s="117" t="s">
        <v>199</v>
      </c>
      <c r="CP4" s="117" t="s">
        <v>148</v>
      </c>
    </row>
    <row r="5" spans="1:118" x14ac:dyDescent="0.2">
      <c r="A5" s="26"/>
      <c r="B5" s="26"/>
      <c r="C5" s="26"/>
      <c r="D5" s="58"/>
      <c r="K5" s="58"/>
      <c r="N5" s="62">
        <f ca="1">SUM(N7:N366)</f>
        <v>999999.99999999336</v>
      </c>
      <c r="Q5" s="62">
        <f ca="1">SUM(Q7:Q366)</f>
        <v>66583671.576433755</v>
      </c>
      <c r="R5" s="62">
        <f ca="1">SUM(R7:R366)</f>
        <v>32416328.423566479</v>
      </c>
      <c r="W5" s="58"/>
      <c r="Y5" s="58"/>
      <c r="AD5" s="58"/>
      <c r="AL5" s="58"/>
      <c r="AQ5" s="58"/>
      <c r="AY5" s="58"/>
      <c r="BF5" s="58"/>
      <c r="BM5" s="58"/>
      <c r="BS5" s="58"/>
      <c r="BX5" s="58"/>
      <c r="CA5" s="58"/>
      <c r="CE5" s="58"/>
      <c r="CI5" s="58"/>
      <c r="CL5" s="123">
        <f ca="1">SUM(CL7:CL366)</f>
        <v>0</v>
      </c>
      <c r="CM5" s="58"/>
      <c r="CN5" s="258"/>
      <c r="CO5" s="258"/>
    </row>
    <row r="6" spans="1:118" x14ac:dyDescent="0.2">
      <c r="A6" s="27">
        <v>0</v>
      </c>
      <c r="B6" s="29">
        <f t="shared" ref="B6:B69" si="0">IF(A6=0,ClosingDate,IF(A6=1,FirstPayDate,EDATE(B5,PmtFreqAdd)))</f>
        <v>39114</v>
      </c>
      <c r="C6" s="30">
        <f t="shared" ref="C6:C69" si="1">IF(A6=0,0,IF(DayCountSys="30 / 360",DAYS360(B5,B6)/360,IF(DayCountSys="Actual / 360",(B6-B5)/360,(B6-B5)/365)))</f>
        <v>0</v>
      </c>
      <c r="D6" s="55"/>
      <c r="E6" t="s">
        <v>55</v>
      </c>
      <c r="G6" s="62"/>
      <c r="H6" s="62"/>
      <c r="I6" s="62"/>
      <c r="J6" s="62">
        <f t="shared" ref="J6:J69" si="2">IF(A6=0,AssetCurBal1,E6-I6)</f>
        <v>100000000</v>
      </c>
      <c r="K6" s="55"/>
      <c r="L6" s="62"/>
      <c r="O6" s="67">
        <f>IF(A6=0,1,J6/$J$6)</f>
        <v>1</v>
      </c>
      <c r="V6" s="62">
        <f t="shared" ref="V6:V69" si="3">IF(A6=0,AssetCurBal1,L6-N6-Q6-R6)</f>
        <v>100000000</v>
      </c>
      <c r="W6" s="55"/>
      <c r="Y6" s="55"/>
      <c r="AA6" s="120"/>
      <c r="AB6" s="120"/>
      <c r="AC6" s="120"/>
      <c r="AD6" s="121"/>
      <c r="AE6" s="120"/>
      <c r="AF6" s="120"/>
      <c r="AG6" s="120"/>
      <c r="AH6" s="120"/>
      <c r="AI6" s="120"/>
      <c r="AJ6" s="120"/>
      <c r="AK6" s="120"/>
      <c r="AL6" s="121"/>
      <c r="AM6" s="120"/>
      <c r="AN6" s="120"/>
      <c r="AO6" s="120"/>
      <c r="AP6" s="120"/>
      <c r="AQ6" s="121"/>
      <c r="AR6" s="120"/>
      <c r="AS6" s="120"/>
      <c r="AT6" s="120"/>
      <c r="AU6" s="120"/>
      <c r="AV6" s="120"/>
      <c r="AW6" s="120"/>
      <c r="AX6" s="120"/>
      <c r="AY6" s="121"/>
      <c r="AZ6" s="120"/>
      <c r="BA6" s="120"/>
      <c r="BB6" s="120"/>
      <c r="BC6" s="120"/>
      <c r="BD6" s="120"/>
      <c r="BE6" s="120"/>
      <c r="BF6" s="121"/>
      <c r="BG6" s="120"/>
      <c r="BH6" s="120"/>
      <c r="BI6" s="120"/>
      <c r="BJ6" s="120"/>
      <c r="BK6" s="123">
        <f t="shared" ref="BK6:BK69" si="4">IF(A6=0,AssetCurBal1*RsrvPercent,BH6-BI6+BJ6)</f>
        <v>1000000</v>
      </c>
      <c r="BL6" s="120"/>
      <c r="BM6" s="121"/>
      <c r="BN6" s="120"/>
      <c r="BO6" s="120"/>
      <c r="BP6" s="120"/>
      <c r="BQ6" s="120"/>
      <c r="BR6" s="120"/>
      <c r="BS6" s="121"/>
      <c r="BT6" s="120"/>
      <c r="BU6" s="120"/>
      <c r="BV6" s="120"/>
      <c r="BW6" s="120"/>
      <c r="BX6" s="121"/>
      <c r="BY6" s="120"/>
      <c r="BZ6" s="120"/>
      <c r="CA6" s="121"/>
      <c r="CB6" s="122">
        <f t="shared" ref="CB6:CB69" si="5">IF(A6=0,V6*LiabAdvRate1,CB5-CD6)</f>
        <v>89747088.277657911</v>
      </c>
      <c r="CC6" s="120"/>
      <c r="CD6" s="120"/>
      <c r="CE6" s="121"/>
      <c r="CF6" s="122">
        <f t="shared" ref="CF6:CF69" si="6">IF(A6=0,V6*LiabAdvRate2,CF5-CH6)</f>
        <v>10252911.722342083</v>
      </c>
      <c r="CG6" s="120"/>
      <c r="CH6" s="120"/>
      <c r="CI6" s="121"/>
      <c r="CJ6" s="120"/>
      <c r="CK6" s="120"/>
      <c r="CL6" s="120"/>
      <c r="CM6" s="121"/>
      <c r="CP6" s="120"/>
      <c r="CQ6" s="120"/>
      <c r="CR6" s="120"/>
      <c r="CS6" s="120"/>
      <c r="CT6" s="120"/>
      <c r="CU6" s="120"/>
      <c r="CV6" s="120"/>
      <c r="CW6" s="120"/>
      <c r="CX6" s="120"/>
      <c r="CY6" s="120"/>
      <c r="CZ6" s="120"/>
      <c r="DA6" s="120"/>
      <c r="DB6" s="120"/>
      <c r="DC6" s="120"/>
      <c r="DD6" s="120"/>
      <c r="DE6" s="116"/>
      <c r="DF6" s="116"/>
      <c r="DG6" s="116"/>
      <c r="DH6" s="116"/>
      <c r="DI6" s="116"/>
      <c r="DJ6" s="116"/>
      <c r="DK6" s="116"/>
      <c r="DL6" s="116"/>
      <c r="DM6" s="116"/>
      <c r="DN6" s="116"/>
    </row>
    <row r="7" spans="1:118" x14ac:dyDescent="0.2">
      <c r="A7" s="27">
        <v>1</v>
      </c>
      <c r="B7" s="29">
        <f t="shared" si="0"/>
        <v>39142</v>
      </c>
      <c r="C7" s="30">
        <f t="shared" si="1"/>
        <v>8.3333333333333329E-2</v>
      </c>
      <c r="D7" s="55"/>
      <c r="E7" s="62">
        <f>J6</f>
        <v>100000000</v>
      </c>
      <c r="F7" s="63">
        <f ca="1">IF(AssetIntType1="Fixed",AssetFxdRate1,IF(A7=1,OFFSET(Vectors!$D$6,A7,MATCH(AssetFltIndx1,lstInterestRates,0)),IF(MOD($A7,AssetRateReset1)=0,MAX(MIN(OFFSET(Vectors!$D$6,A7,MATCH(AssetFltIndx1,lstInterestRates,0)),(F6-AssetMarg1)+AssetPdCapFl1,AssetLifeCap1-AssetMarg1),(F6-AssetMarg1)-AssetPdCapFl1,AssetLifeFloor1-AssetMarg1),F6)))+AssetMarg1</f>
        <v>0.09</v>
      </c>
      <c r="G7" s="62">
        <f t="shared" ref="G7:G70" ca="1" si="7">IF(J6&lt;=G6,H7+E7,-PMT(F7*C7,OrgTerm1,AssetOrgBal1))</f>
        <v>804622.61694478267</v>
      </c>
      <c r="H7" s="62">
        <f ca="1">F7*C7*E7</f>
        <v>750000</v>
      </c>
      <c r="I7" s="62">
        <f ca="1">G7-H7</f>
        <v>54622.616944782669</v>
      </c>
      <c r="J7" s="62">
        <f t="shared" ca="1" si="2"/>
        <v>99945377.38305521</v>
      </c>
      <c r="K7" s="55"/>
      <c r="L7" s="62">
        <f>V6</f>
        <v>100000000</v>
      </c>
      <c r="M7" s="68">
        <f ca="1">IF(pdrLossTime1="",OFFSET(Vectors!$AE$6,A7+_Age1,MATCH(SDA_Loss,lstSDA,0)),OFFSET(Vectors!$X$6,A7+_Age1,MATCH(pdrLossTime1,lstDefaultCurve,0)))</f>
        <v>2.7777777777777779E-5</v>
      </c>
      <c r="N7" s="62">
        <f t="shared" ref="N7:N70" ca="1" si="8">MIN(L7,IF(pdrLossTime1="",L7*M7,$L$7*M7))</f>
        <v>2777.7777777777778</v>
      </c>
      <c r="O7" s="67">
        <f ca="1">IF(A7=0,1,J7/$J$6)</f>
        <v>0.99945377383055212</v>
      </c>
      <c r="P7" s="68">
        <f ca="1">OFFSET(Vectors!$L$6,A7+_Age1,MATCH(pdrPrepay1,lstPrepayCurve,0))*pdrPrepayStress1</f>
        <v>1.6681963994558124E-4</v>
      </c>
      <c r="Q7" s="62">
        <f ca="1">IF(L7=0,0,MAX(MIN((L7-N7),L7*O7/O6*P7),0))</f>
        <v>16672.851869266509</v>
      </c>
      <c r="R7" s="62">
        <f ca="1">(L7-N7)*(1-O7/O6)</f>
        <v>54621.099649873184</v>
      </c>
      <c r="S7" s="69">
        <f ca="1">F7</f>
        <v>0.09</v>
      </c>
      <c r="T7" s="62">
        <f ca="1">S7*C7*(L7-N7)</f>
        <v>749979.16666666663</v>
      </c>
      <c r="U7" s="62">
        <f t="shared" ref="U7:U70" ca="1" si="9">IF(A7&lt;=pdrRecovLag1,0,OFFSET(N7,-pdrRecovLag1,0)*pdrRecovRate1)</f>
        <v>0</v>
      </c>
      <c r="V7" s="62">
        <f t="shared" ca="1" si="3"/>
        <v>99925928.270703077</v>
      </c>
      <c r="W7" s="55"/>
      <c r="X7" s="62">
        <f ca="1">Q7+R7+T7+U7</f>
        <v>821273.11818580632</v>
      </c>
      <c r="Y7" s="55"/>
      <c r="Z7" s="118" t="b">
        <v>0</v>
      </c>
      <c r="AA7" s="120" t="b">
        <f t="shared" ref="AA7:AA70" si="10">IF(GlobalTrigger="Yes",TRUE,FALSE)</f>
        <v>0</v>
      </c>
      <c r="AB7" s="120" t="b">
        <f t="shared" ref="AB7:AB70" si="11">IF(AND(A7&gt;=PostDefTriggerMo,PostDefTriggerMo&lt;&gt;0),TRUE,FALSE)</f>
        <v>0</v>
      </c>
      <c r="AC7" s="120" t="b">
        <f t="shared" ref="AC7:AC70" ca="1" si="12">IF(CP7&gt;Trigger_Def,TRUE,FALSE)</f>
        <v>0</v>
      </c>
      <c r="AD7" s="121"/>
      <c r="AE7" s="129">
        <v>94171439.145046502</v>
      </c>
      <c r="AF7" s="69">
        <f ca="1">IF(Swap_Active="No",0,OFFSET(Vectors!$D$6,Vectors!A7,MATCH(Swap_In,lstInterestRates,0)))</f>
        <v>2.5999999999999999E-2</v>
      </c>
      <c r="AG7" s="62">
        <f ca="1">AE7*AF7*C7</f>
        <v>204038.11814760073</v>
      </c>
      <c r="AH7" s="69">
        <f ca="1">IF(Swap_Active="No",0,OFFSET(Vectors!$D$6,Vectors!A7,MATCH(Swap_Out,lstInterestRates,0)))</f>
        <v>0.04</v>
      </c>
      <c r="AI7" s="62">
        <f ca="1">AE7*AH7*C7</f>
        <v>313904.79715015501</v>
      </c>
      <c r="AJ7" s="62">
        <f ca="1">AG7-AI7</f>
        <v>-109866.67900255427</v>
      </c>
      <c r="AK7" s="62">
        <f ca="1">X7+AJ7</f>
        <v>711406.43918325205</v>
      </c>
      <c r="AL7" s="121"/>
      <c r="AM7" s="123">
        <f t="shared" ref="AM7:AM70" si="13">(C7*AssetFee*L7)+(C7*LiabFees1*CB6)+(C7*LiabFees2*CF6)</f>
        <v>204061.28678235743</v>
      </c>
      <c r="AN7" s="124">
        <f ca="1">MIN(X7,AM7)</f>
        <v>204061.28678235743</v>
      </c>
      <c r="AO7" s="125">
        <f ca="1">AM7-AN7</f>
        <v>0</v>
      </c>
      <c r="AP7" s="123">
        <f ca="1">AK7-AN7</f>
        <v>507345.15240089461</v>
      </c>
      <c r="AQ7" s="121"/>
      <c r="AR7" s="126">
        <f ca="1">IF(LiabIntType1="Fixed",LiabFxdRate1,OFFSET(Vectors!$D$6,Vectors!A7,MATCH(LiabLoanIndex1,lstInterestRates,0))+LiabMarg1)</f>
        <v>3.5999999999999997E-2</v>
      </c>
      <c r="AS7" s="122">
        <f ca="1">C7*AR7*CB6</f>
        <v>269241.26483297371</v>
      </c>
      <c r="AT7" s="124">
        <f ca="1">MIN(AP7,AS7)</f>
        <v>269241.26483297371</v>
      </c>
      <c r="AU7" s="123">
        <f ca="1">AS7-AT7</f>
        <v>0</v>
      </c>
      <c r="AV7" s="123">
        <f t="shared" ref="AV7:AV70" ca="1" si="14">IF(LiabReserveOnOff1="No",0,MIN(AU7,BH7))</f>
        <v>0</v>
      </c>
      <c r="AW7" s="123">
        <f ca="1">AU7-AV7</f>
        <v>0</v>
      </c>
      <c r="AX7" s="124">
        <f ca="1">AP7-AT7</f>
        <v>238103.8875679209</v>
      </c>
      <c r="AY7" s="121"/>
      <c r="AZ7" s="122">
        <f t="shared" ref="AZ7:AZ70" ca="1" si="15">IF(OR(Z7, AB7,AC7),MIN(AX7,AX7+BH7-AV7,CB6),IF(LiabPrinType1="Sequential",MIN((N7+Q7+R7),CB6),MIN((N7+Q7+R7)*LiabAdvRate1,CB6)))</f>
        <v>66477.220280892332</v>
      </c>
      <c r="BA7" s="124">
        <f ca="1">MIN(AX7,AZ7)</f>
        <v>66477.220280892332</v>
      </c>
      <c r="BB7" s="123">
        <f ca="1">AZ7-BA7</f>
        <v>0</v>
      </c>
      <c r="BC7" s="123">
        <f t="shared" ref="BC7:BC70" ca="1" si="16">IF(LiabReserveOnOff1="No",0,MIN(BB7,BH7-AV7))</f>
        <v>0</v>
      </c>
      <c r="BD7" s="123">
        <f ca="1">BB7-BC7</f>
        <v>0</v>
      </c>
      <c r="BE7" s="124">
        <f ca="1">AX7-BA7</f>
        <v>171626.66728702857</v>
      </c>
      <c r="BF7" s="121"/>
      <c r="BG7" s="123">
        <f t="shared" ref="BG7:BG70" si="17">AssetCurBal1*RsrvPercent</f>
        <v>1000000</v>
      </c>
      <c r="BH7" s="123">
        <f>BK6</f>
        <v>1000000</v>
      </c>
      <c r="BI7" s="123">
        <f ca="1">AV7+BC7</f>
        <v>0</v>
      </c>
      <c r="BJ7" s="123">
        <f ca="1">IF(CB6&lt;1,0,MAX(MIN(BG7-BH7,BE7),0))</f>
        <v>0</v>
      </c>
      <c r="BK7" s="123">
        <f t="shared" ca="1" si="4"/>
        <v>1000000</v>
      </c>
      <c r="BL7" s="123">
        <f ca="1">BE7-BJ7</f>
        <v>171626.66728702857</v>
      </c>
      <c r="BM7" s="121"/>
      <c r="BN7" s="126">
        <f ca="1">IF(LiabIntType2="Fixed",LiabFxdRate2,OFFSET(Vectors!$D$6,Vectors!A7,MATCH(LiabLoanIndex2,lstInterestRates,0))+LiabMarg2)</f>
        <v>0.04</v>
      </c>
      <c r="BO7" s="122">
        <f ca="1">C7*BN7*CF6</f>
        <v>34176.372407806943</v>
      </c>
      <c r="BP7" s="124">
        <f ca="1">MIN(BL7,BO7)</f>
        <v>34176.372407806943</v>
      </c>
      <c r="BQ7" s="123">
        <f ca="1">BO7-BP7</f>
        <v>0</v>
      </c>
      <c r="BR7" s="123">
        <f ca="1">BL7-BP7</f>
        <v>137450.29487922162</v>
      </c>
      <c r="BS7" s="121"/>
      <c r="BT7" s="123">
        <f t="shared" ref="BT7:BT70" ca="1" si="18">IF(AND(LiabPrinType2="Sequential",CB6&gt;0),0,IF(LiabPrinType2="Sequential",MIN((N7+Q7+R7),CF6),MIN((N7+Q7+R7)*LiabAdvRate2,CF6)))</f>
        <v>7594.5090160251475</v>
      </c>
      <c r="BU7" s="123">
        <f ca="1">MIN(BR7,BT7)</f>
        <v>7594.5090160251475</v>
      </c>
      <c r="BV7" s="123">
        <f ca="1">BT7-BU7</f>
        <v>0</v>
      </c>
      <c r="BW7" s="123">
        <f ca="1">BR7-BU7</f>
        <v>129855.78586319648</v>
      </c>
      <c r="BX7" s="121"/>
      <c r="BY7" s="123">
        <f>IF(AA7,MIN(BW7,CB6-BA7),0)</f>
        <v>0</v>
      </c>
      <c r="BZ7" s="123">
        <f ca="1">BW7-BY7</f>
        <v>129855.78586319648</v>
      </c>
      <c r="CA7" s="121"/>
      <c r="CB7" s="122">
        <f t="shared" ca="1" si="5"/>
        <v>89680611.057377025</v>
      </c>
      <c r="CC7" s="122">
        <f ca="1">AT7+AV7</f>
        <v>269241.26483297371</v>
      </c>
      <c r="CD7" s="124">
        <f ca="1">BA7+BC7+BY7</f>
        <v>66477.220280892332</v>
      </c>
      <c r="CE7" s="121"/>
      <c r="CF7" s="122">
        <f t="shared" ca="1" si="6"/>
        <v>10245317.213326057</v>
      </c>
      <c r="CG7" s="124">
        <f ca="1">BP7</f>
        <v>34176.372407806943</v>
      </c>
      <c r="CH7" s="123">
        <f ca="1">BU7</f>
        <v>7594.5090160251475</v>
      </c>
      <c r="CI7" s="121"/>
      <c r="CJ7" s="123">
        <f ca="1">Q7+R7+T7+U7+AG7+BI7</f>
        <v>1025311.236333407</v>
      </c>
      <c r="CK7" s="123">
        <f ca="1">AI7+AN7+AT7+AV7+BA7+BC7+BJ7+BP7+BU7+BY7+BZ7</f>
        <v>1025311.236333407</v>
      </c>
      <c r="CL7" s="123">
        <f ca="1">CJ7-CK7</f>
        <v>0</v>
      </c>
      <c r="CM7" s="121"/>
      <c r="CN7" s="62">
        <f ca="1">N7+Q7+R7</f>
        <v>74071.729296917474</v>
      </c>
      <c r="CO7" s="62" t="b">
        <f>OR(Z7:AB7)</f>
        <v>0</v>
      </c>
      <c r="CP7" s="126">
        <f ca="1">N7/$L$7+CP6</f>
        <v>2.7777777777777779E-5</v>
      </c>
      <c r="CQ7" s="120"/>
      <c r="CR7" s="120"/>
      <c r="CS7" s="120"/>
      <c r="CT7" s="120"/>
      <c r="CU7" s="120"/>
      <c r="CV7" s="120"/>
      <c r="CW7" s="120"/>
      <c r="CX7" s="120"/>
      <c r="CY7" s="120"/>
      <c r="CZ7" s="120"/>
      <c r="DA7" s="120"/>
      <c r="DB7" s="120"/>
      <c r="DC7" s="120"/>
      <c r="DD7" s="120"/>
      <c r="DE7" s="116"/>
      <c r="DF7" s="116"/>
      <c r="DG7" s="116"/>
      <c r="DH7" s="116"/>
      <c r="DI7" s="116"/>
      <c r="DJ7" s="116"/>
      <c r="DK7" s="116"/>
      <c r="DL7" s="116"/>
      <c r="DM7" s="116"/>
      <c r="DN7" s="116"/>
    </row>
    <row r="8" spans="1:118" x14ac:dyDescent="0.2">
      <c r="A8" s="27">
        <v>2</v>
      </c>
      <c r="B8" s="29">
        <f t="shared" si="0"/>
        <v>39173</v>
      </c>
      <c r="C8" s="30">
        <f t="shared" si="1"/>
        <v>8.3333333333333329E-2</v>
      </c>
      <c r="D8" s="55"/>
      <c r="E8" s="62">
        <f t="shared" ref="E8:E71" ca="1" si="19">J7</f>
        <v>99945377.38305521</v>
      </c>
      <c r="F8" s="63">
        <f ca="1">IF(AssetIntType1="Fixed",AssetFxdRate1,IF(A8=1,OFFSET(Vectors!$D$6,A8,MATCH(AssetFltIndx1,lstInterestRates,0)),IF(MOD($A8,AssetRateReset1)=0,MAX(MIN(OFFSET(Vectors!$D$6,A8,MATCH(AssetFltIndx1,lstInterestRates,0)),(F7-AssetMarg1)+AssetPdCapFl1,AssetLifeCap1-AssetMarg1),(F7-AssetMarg1)-AssetPdCapFl1,AssetLifeFloor1-AssetMarg1),F7)))+AssetMarg1</f>
        <v>0.09</v>
      </c>
      <c r="G8" s="62">
        <f t="shared" ca="1" si="7"/>
        <v>804622.61694478267</v>
      </c>
      <c r="H8" s="62">
        <f t="shared" ref="H8:H71" ca="1" si="20">F8*C8*E8</f>
        <v>749590.33037291409</v>
      </c>
      <c r="I8" s="62">
        <f t="shared" ref="I8:I71" ca="1" si="21">G8-H8</f>
        <v>55032.286571868579</v>
      </c>
      <c r="J8" s="62">
        <f t="shared" ca="1" si="2"/>
        <v>99890345.096483335</v>
      </c>
      <c r="K8" s="55"/>
      <c r="L8" s="62">
        <f t="shared" ref="L8:L71" ca="1" si="22">V7</f>
        <v>99925928.270703077</v>
      </c>
      <c r="M8" s="68">
        <f ca="1">IF(pdrLossTime1="",OFFSET(Vectors!$AE$6,A8+_Age1,MATCH(SDA_Loss,lstSDA,0)),OFFSET(Vectors!$X$6,A8+_Age1,MATCH(pdrLossTime1,lstDefaultCurve,0)))</f>
        <v>2.7777777777777779E-5</v>
      </c>
      <c r="N8" s="62">
        <f t="shared" ca="1" si="8"/>
        <v>2777.7777777777778</v>
      </c>
      <c r="O8" s="67">
        <f t="shared" ref="O8:O71" ca="1" si="23">IF(A8=0,1,J8/$J$6)</f>
        <v>0.99890345096483335</v>
      </c>
      <c r="P8" s="68">
        <f ca="1">OFFSET(Vectors!$L$6,A8+_Age1,MATCH(pdrPrepay1,lstPrepayCurve,0))*pdrPrepayStress1</f>
        <v>3.3394601074221431E-4</v>
      </c>
      <c r="Q8" s="62">
        <f t="shared" ref="Q8:Q71" ca="1" si="24">IF(L8=0,0,MAX(MIN((L8-N8),L8*O8/O7*P8),0))</f>
        <v>33351.490879426114</v>
      </c>
      <c r="R8" s="62">
        <f t="shared" ref="R8:R71" ca="1" si="25">(L8-N8)*(1-O8/O7)</f>
        <v>55020.047920934783</v>
      </c>
      <c r="S8" s="69">
        <f t="shared" ref="S8:S71" ca="1" si="26">F8</f>
        <v>0.09</v>
      </c>
      <c r="T8" s="62">
        <f t="shared" ref="T8:T71" ca="1" si="27">S8*C8*(L8-N8)</f>
        <v>749423.62869693968</v>
      </c>
      <c r="U8" s="62">
        <f t="shared" ca="1" si="9"/>
        <v>0</v>
      </c>
      <c r="V8" s="62">
        <f t="shared" ca="1" si="3"/>
        <v>99834778.954124942</v>
      </c>
      <c r="W8" s="55"/>
      <c r="X8" s="62">
        <f t="shared" ref="X8:X71" ca="1" si="28">Q8+R8+T8+U8</f>
        <v>837795.16749730054</v>
      </c>
      <c r="Y8" s="55"/>
      <c r="Z8" s="118" t="b">
        <v>0</v>
      </c>
      <c r="AA8" s="120" t="b">
        <f t="shared" si="10"/>
        <v>0</v>
      </c>
      <c r="AB8" s="120" t="b">
        <f t="shared" si="11"/>
        <v>0</v>
      </c>
      <c r="AC8" s="120" t="b">
        <f t="shared" ca="1" si="12"/>
        <v>0</v>
      </c>
      <c r="AD8" s="121"/>
      <c r="AE8" s="129">
        <v>93117362.754271179</v>
      </c>
      <c r="AF8" s="69">
        <f ca="1">IF(Swap_Active="No",0,OFFSET(Vectors!$D$6,Vectors!A8,MATCH(Swap_In,lstInterestRates,0)))</f>
        <v>2.8118999999999998E-2</v>
      </c>
      <c r="AG8" s="62">
        <f t="shared" ref="AG8:AG71" ca="1" si="29">AE8*AF8*C8</f>
        <v>218197.26027394593</v>
      </c>
      <c r="AH8" s="69">
        <f ca="1">IF(Swap_Active="No",0,OFFSET(Vectors!$D$6,Vectors!A8,MATCH(Swap_Out,lstInterestRates,0)))</f>
        <v>0.04</v>
      </c>
      <c r="AI8" s="62">
        <f t="shared" ref="AI8:AI71" ca="1" si="30">AE8*AH8*C8</f>
        <v>310391.20918090391</v>
      </c>
      <c r="AJ8" s="62">
        <f t="shared" ref="AJ8:AJ71" ca="1" si="31">AG8-AI8</f>
        <v>-92193.948906957987</v>
      </c>
      <c r="AK8" s="62">
        <f t="shared" ref="AK8:AK71" ca="1" si="32">X8+AJ8</f>
        <v>745601.21859034256</v>
      </c>
      <c r="AL8" s="121"/>
      <c r="AM8" s="123">
        <f t="shared" ca="1" si="13"/>
        <v>203910.13505841221</v>
      </c>
      <c r="AN8" s="124">
        <f t="shared" ref="AN8:AN71" ca="1" si="33">MIN(X8,AM8)</f>
        <v>203910.13505841221</v>
      </c>
      <c r="AO8" s="125">
        <f t="shared" ref="AO8:AO71" ca="1" si="34">AM8-AN8</f>
        <v>0</v>
      </c>
      <c r="AP8" s="123">
        <f t="shared" ref="AP8:AP71" ca="1" si="35">AK8-AN8</f>
        <v>541691.08353193034</v>
      </c>
      <c r="AQ8" s="121"/>
      <c r="AR8" s="126">
        <f ca="1">IF(LiabIntType1="Fixed",LiabFxdRate1,OFFSET(Vectors!$D$6,Vectors!A8,MATCH(LiabLoanIndex1,lstInterestRates,0))+LiabMarg1)</f>
        <v>3.8119E-2</v>
      </c>
      <c r="AS8" s="122">
        <f t="shared" ref="AS8:AS71" ca="1" si="36">C8*AR8*CB7</f>
        <v>284877.93440801289</v>
      </c>
      <c r="AT8" s="124">
        <f t="shared" ref="AT8:AT71" ca="1" si="37">MIN(AP8,AS8)</f>
        <v>284877.93440801289</v>
      </c>
      <c r="AU8" s="123">
        <f t="shared" ref="AU8:AU71" ca="1" si="38">AS8-AT8</f>
        <v>0</v>
      </c>
      <c r="AV8" s="123">
        <f t="shared" ca="1" si="14"/>
        <v>0</v>
      </c>
      <c r="AW8" s="123">
        <f t="shared" ref="AW8:AW71" ca="1" si="39">AU8-AV8</f>
        <v>0</v>
      </c>
      <c r="AX8" s="124">
        <f t="shared" ref="AX8:AX71" ca="1" si="40">AP8-AT8</f>
        <v>256813.14912391745</v>
      </c>
      <c r="AY8" s="121"/>
      <c r="AZ8" s="122">
        <f t="shared" ca="1" si="15"/>
        <v>81803.857613864006</v>
      </c>
      <c r="BA8" s="124">
        <f t="shared" ref="BA8:BA71" ca="1" si="41">MIN(AX8,AZ8)</f>
        <v>81803.857613864006</v>
      </c>
      <c r="BB8" s="123">
        <f t="shared" ref="BB8:BB71" ca="1" si="42">AZ8-BA8</f>
        <v>0</v>
      </c>
      <c r="BC8" s="123">
        <f t="shared" ca="1" si="16"/>
        <v>0</v>
      </c>
      <c r="BD8" s="123">
        <f t="shared" ref="BD8:BD71" ca="1" si="43">BB8-BC8</f>
        <v>0</v>
      </c>
      <c r="BE8" s="124">
        <f t="shared" ref="BE8:BE71" ca="1" si="44">AX8-BA8</f>
        <v>175009.29151005344</v>
      </c>
      <c r="BF8" s="121"/>
      <c r="BG8" s="123">
        <f t="shared" si="17"/>
        <v>1000000</v>
      </c>
      <c r="BH8" s="123">
        <f t="shared" ref="BH8:BH71" ca="1" si="45">BK7</f>
        <v>1000000</v>
      </c>
      <c r="BI8" s="123">
        <f t="shared" ref="BI8:BI71" ca="1" si="46">AV8+BC8</f>
        <v>0</v>
      </c>
      <c r="BJ8" s="123">
        <f t="shared" ref="BJ8:BJ71" ca="1" si="47">IF(CB7&lt;1,0,MAX(MIN(BG8-BH8,BE8),0))</f>
        <v>0</v>
      </c>
      <c r="BK8" s="123">
        <f t="shared" ca="1" si="4"/>
        <v>1000000</v>
      </c>
      <c r="BL8" s="123">
        <f t="shared" ref="BL8:BL71" ca="1" si="48">BE8-BJ8</f>
        <v>175009.29151005344</v>
      </c>
      <c r="BM8" s="121"/>
      <c r="BN8" s="126">
        <f ca="1">IF(LiabIntType2="Fixed",LiabFxdRate2,OFFSET(Vectors!$D$6,Vectors!A8,MATCH(LiabLoanIndex2,lstInterestRates,0))+LiabMarg2)</f>
        <v>0.04</v>
      </c>
      <c r="BO8" s="122">
        <f t="shared" ref="BO8:BO71" ca="1" si="49">C8*BN8*CF7</f>
        <v>34151.057377753525</v>
      </c>
      <c r="BP8" s="124">
        <f t="shared" ref="BP8:BP71" ca="1" si="50">MIN(BL8,BO8)</f>
        <v>34151.057377753525</v>
      </c>
      <c r="BQ8" s="123">
        <f t="shared" ref="BQ8:BQ71" ca="1" si="51">BO8-BP8</f>
        <v>0</v>
      </c>
      <c r="BR8" s="123">
        <f t="shared" ref="BR8:BR71" ca="1" si="52">BL8-BP8</f>
        <v>140858.23413229993</v>
      </c>
      <c r="BS8" s="121"/>
      <c r="BT8" s="123">
        <f t="shared" ca="1" si="18"/>
        <v>9345.4589642746778</v>
      </c>
      <c r="BU8" s="123">
        <f t="shared" ref="BU8:BU71" ca="1" si="53">MIN(BR8,BT8)</f>
        <v>9345.4589642746778</v>
      </c>
      <c r="BV8" s="123">
        <f t="shared" ref="BV8:BV71" ca="1" si="54">BT8-BU8</f>
        <v>0</v>
      </c>
      <c r="BW8" s="123">
        <f t="shared" ref="BW8:BW71" ca="1" si="55">BR8-BU8</f>
        <v>131512.77516802525</v>
      </c>
      <c r="BX8" s="121"/>
      <c r="BY8" s="123">
        <f t="shared" ref="BY8:BY71" si="56">IF(AA8,MIN(BW8,CB7-BA8),0)</f>
        <v>0</v>
      </c>
      <c r="BZ8" s="123">
        <f t="shared" ref="BZ8:BZ71" ca="1" si="57">BW8-BY8</f>
        <v>131512.77516802525</v>
      </c>
      <c r="CA8" s="121"/>
      <c r="CB8" s="122">
        <f t="shared" ca="1" si="5"/>
        <v>89598807.199763164</v>
      </c>
      <c r="CC8" s="122">
        <f t="shared" ref="CC8:CC71" ca="1" si="58">AT8+AV8</f>
        <v>284877.93440801289</v>
      </c>
      <c r="CD8" s="124">
        <f t="shared" ref="CD8:CD71" ca="1" si="59">BA8+BC8+BY8</f>
        <v>81803.857613864006</v>
      </c>
      <c r="CE8" s="121"/>
      <c r="CF8" s="122">
        <f t="shared" ca="1" si="6"/>
        <v>10235971.754361782</v>
      </c>
      <c r="CG8" s="124">
        <f t="shared" ref="CG8:CG71" ca="1" si="60">BP8</f>
        <v>34151.057377753525</v>
      </c>
      <c r="CH8" s="123">
        <f t="shared" ref="CH8:CH71" ca="1" si="61">BU8</f>
        <v>9345.4589642746778</v>
      </c>
      <c r="CI8" s="121"/>
      <c r="CJ8" s="123">
        <f t="shared" ref="CJ8:CJ71" ca="1" si="62">Q8+R8+T8+U8+AG8+BI8</f>
        <v>1055992.4277712465</v>
      </c>
      <c r="CK8" s="123">
        <f t="shared" ref="CK8:CK71" ca="1" si="63">AI8+AN8+AT8+AV8+BA8+BC8+BJ8+BP8+BU8+BY8+BZ8</f>
        <v>1055992.4277712465</v>
      </c>
      <c r="CL8" s="123">
        <f t="shared" ref="CL8:CL71" ca="1" si="64">CJ8-CK8</f>
        <v>0</v>
      </c>
      <c r="CM8" s="121"/>
      <c r="CN8" s="62">
        <f t="shared" ref="CN8:CN71" ca="1" si="65">N8+Q8+R8</f>
        <v>91149.316578138678</v>
      </c>
      <c r="CO8" s="62" t="b">
        <f t="shared" ref="CO8:CO71" si="66">OR(Z8:AB8)</f>
        <v>0</v>
      </c>
      <c r="CP8" s="126">
        <f t="shared" ref="CP8:CP71" ca="1" si="67">N8/$L$7+CP7</f>
        <v>5.5555555555555558E-5</v>
      </c>
      <c r="CQ8" s="120"/>
      <c r="CR8" s="120"/>
      <c r="CS8" s="120"/>
      <c r="CT8" s="120"/>
      <c r="CU8" s="120"/>
      <c r="CV8" s="120"/>
      <c r="CW8" s="120"/>
      <c r="CX8" s="120"/>
      <c r="CY8" s="120"/>
      <c r="CZ8" s="120"/>
      <c r="DA8" s="120"/>
      <c r="DB8" s="120"/>
      <c r="DC8" s="120"/>
      <c r="DD8" s="120"/>
      <c r="DE8" s="116"/>
      <c r="DF8" s="116"/>
      <c r="DG8" s="116"/>
      <c r="DH8" s="116"/>
      <c r="DI8" s="116"/>
      <c r="DJ8" s="116"/>
      <c r="DK8" s="116"/>
      <c r="DL8" s="116"/>
      <c r="DM8" s="116"/>
      <c r="DN8" s="116"/>
    </row>
    <row r="9" spans="1:118" x14ac:dyDescent="0.2">
      <c r="A9" s="27">
        <v>3</v>
      </c>
      <c r="B9" s="29">
        <f t="shared" si="0"/>
        <v>39203</v>
      </c>
      <c r="C9" s="30">
        <f t="shared" si="1"/>
        <v>8.3333333333333329E-2</v>
      </c>
      <c r="D9" s="55"/>
      <c r="E9" s="62">
        <f t="shared" ca="1" si="19"/>
        <v>99890345.096483335</v>
      </c>
      <c r="F9" s="63">
        <f ca="1">IF(AssetIntType1="Fixed",AssetFxdRate1,IF(A9=1,OFFSET(Vectors!$D$6,A9,MATCH(AssetFltIndx1,lstInterestRates,0)),IF(MOD($A9,AssetRateReset1)=0,MAX(MIN(OFFSET(Vectors!$D$6,A9,MATCH(AssetFltIndx1,lstInterestRates,0)),(F8-AssetMarg1)+AssetPdCapFl1,AssetLifeCap1-AssetMarg1),(F8-AssetMarg1)-AssetPdCapFl1,AssetLifeFloor1-AssetMarg1),F8)))+AssetMarg1</f>
        <v>0.09</v>
      </c>
      <c r="G9" s="62">
        <f t="shared" ca="1" si="7"/>
        <v>804622.61694478267</v>
      </c>
      <c r="H9" s="62">
        <f t="shared" ca="1" si="20"/>
        <v>749177.58822362497</v>
      </c>
      <c r="I9" s="62">
        <f t="shared" ca="1" si="21"/>
        <v>55445.028721157694</v>
      </c>
      <c r="J9" s="62">
        <f t="shared" ca="1" si="2"/>
        <v>99834900.067762181</v>
      </c>
      <c r="K9" s="55"/>
      <c r="L9" s="62">
        <f t="shared" ca="1" si="22"/>
        <v>99834778.954124942</v>
      </c>
      <c r="M9" s="68">
        <f ca="1">IF(pdrLossTime1="",OFFSET(Vectors!$AE$6,A9+_Age1,MATCH(SDA_Loss,lstSDA,0)),OFFSET(Vectors!$X$6,A9+_Age1,MATCH(pdrLossTime1,lstDefaultCurve,0)))</f>
        <v>2.7777777777777779E-5</v>
      </c>
      <c r="N9" s="62">
        <f t="shared" ca="1" si="8"/>
        <v>2777.7777777777778</v>
      </c>
      <c r="O9" s="67">
        <f t="shared" ca="1" si="23"/>
        <v>0.99834900067762178</v>
      </c>
      <c r="P9" s="68">
        <f ca="1">OFFSET(Vectors!$L$6,A9+_Age1,MATCH(pdrPrepay1,lstPrepayCurve,0))*pdrPrepayStress1</f>
        <v>5.0138029400215167E-4</v>
      </c>
      <c r="Q9" s="62">
        <f t="shared" ca="1" si="24"/>
        <v>50027.407242671456</v>
      </c>
      <c r="R9" s="62">
        <f t="shared" ca="1" si="25"/>
        <v>55412.644406895459</v>
      </c>
      <c r="S9" s="69">
        <f t="shared" ca="1" si="26"/>
        <v>0.09</v>
      </c>
      <c r="T9" s="62">
        <f t="shared" ca="1" si="27"/>
        <v>748740.00882260373</v>
      </c>
      <c r="U9" s="62">
        <f t="shared" ca="1" si="9"/>
        <v>0</v>
      </c>
      <c r="V9" s="62">
        <f t="shared" ca="1" si="3"/>
        <v>99726561.124697596</v>
      </c>
      <c r="W9" s="55"/>
      <c r="X9" s="62">
        <f t="shared" ca="1" si="28"/>
        <v>854180.06047217059</v>
      </c>
      <c r="Y9" s="55"/>
      <c r="Z9" s="118" t="b">
        <v>0</v>
      </c>
      <c r="AA9" s="120" t="b">
        <f t="shared" si="10"/>
        <v>0</v>
      </c>
      <c r="AB9" s="120" t="b">
        <f t="shared" si="11"/>
        <v>1</v>
      </c>
      <c r="AC9" s="120" t="b">
        <f t="shared" ca="1" si="12"/>
        <v>0</v>
      </c>
      <c r="AD9" s="121"/>
      <c r="AE9" s="129">
        <v>92073966.374109849</v>
      </c>
      <c r="AF9" s="69">
        <f ca="1">IF(Swap_Active="No",0,OFFSET(Vectors!$D$6,Vectors!A9,MATCH(Swap_In,lstInterestRates,0)))</f>
        <v>2.8743999999999999E-2</v>
      </c>
      <c r="AG9" s="62">
        <f t="shared" ca="1" si="29"/>
        <v>220547.84078811776</v>
      </c>
      <c r="AH9" s="69">
        <f ca="1">IF(Swap_Active="No",0,OFFSET(Vectors!$D$6,Vectors!A9,MATCH(Swap_Out,lstInterestRates,0)))</f>
        <v>0.04</v>
      </c>
      <c r="AI9" s="62">
        <f t="shared" ca="1" si="30"/>
        <v>306913.22124703281</v>
      </c>
      <c r="AJ9" s="62">
        <f t="shared" ca="1" si="31"/>
        <v>-86365.380458915053</v>
      </c>
      <c r="AK9" s="62">
        <f t="shared" ca="1" si="32"/>
        <v>767814.68001325557</v>
      </c>
      <c r="AL9" s="121"/>
      <c r="AM9" s="123">
        <f t="shared" ca="1" si="13"/>
        <v>203724.13459010955</v>
      </c>
      <c r="AN9" s="124">
        <f t="shared" ca="1" si="33"/>
        <v>203724.13459010955</v>
      </c>
      <c r="AO9" s="125">
        <f t="shared" ca="1" si="34"/>
        <v>0</v>
      </c>
      <c r="AP9" s="123">
        <f t="shared" ca="1" si="35"/>
        <v>564090.54542314599</v>
      </c>
      <c r="AQ9" s="121"/>
      <c r="AR9" s="126">
        <f ca="1">IF(LiabIntType1="Fixed",LiabFxdRate1,OFFSET(Vectors!$D$6,Vectors!A9,MATCH(LiabLoanIndex1,lstInterestRates,0))+LiabMarg1)</f>
        <v>3.8744000000000001E-2</v>
      </c>
      <c r="AS9" s="122">
        <f t="shared" ca="1" si="36"/>
        <v>289284.68217896868</v>
      </c>
      <c r="AT9" s="124">
        <f t="shared" ca="1" si="37"/>
        <v>289284.68217896868</v>
      </c>
      <c r="AU9" s="123">
        <f t="shared" ca="1" si="38"/>
        <v>0</v>
      </c>
      <c r="AV9" s="123">
        <f t="shared" ca="1" si="14"/>
        <v>0</v>
      </c>
      <c r="AW9" s="123">
        <f t="shared" ca="1" si="39"/>
        <v>0</v>
      </c>
      <c r="AX9" s="124">
        <f t="shared" ca="1" si="40"/>
        <v>274805.86324417731</v>
      </c>
      <c r="AY9" s="121"/>
      <c r="AZ9" s="122">
        <f t="shared" ca="1" si="15"/>
        <v>274805.86324417731</v>
      </c>
      <c r="BA9" s="124">
        <f t="shared" ca="1" si="41"/>
        <v>274805.86324417731</v>
      </c>
      <c r="BB9" s="123">
        <f t="shared" ca="1" si="42"/>
        <v>0</v>
      </c>
      <c r="BC9" s="123">
        <f t="shared" ca="1" si="16"/>
        <v>0</v>
      </c>
      <c r="BD9" s="123">
        <f t="shared" ca="1" si="43"/>
        <v>0</v>
      </c>
      <c r="BE9" s="124">
        <f t="shared" ca="1" si="44"/>
        <v>0</v>
      </c>
      <c r="BF9" s="121"/>
      <c r="BG9" s="123">
        <f t="shared" si="17"/>
        <v>1000000</v>
      </c>
      <c r="BH9" s="123">
        <f t="shared" ca="1" si="45"/>
        <v>1000000</v>
      </c>
      <c r="BI9" s="123">
        <f t="shared" ca="1" si="46"/>
        <v>0</v>
      </c>
      <c r="BJ9" s="123">
        <f t="shared" ca="1" si="47"/>
        <v>0</v>
      </c>
      <c r="BK9" s="123">
        <f t="shared" ca="1" si="4"/>
        <v>1000000</v>
      </c>
      <c r="BL9" s="123">
        <f t="shared" ca="1" si="48"/>
        <v>0</v>
      </c>
      <c r="BM9" s="121"/>
      <c r="BN9" s="126">
        <f ca="1">IF(LiabIntType2="Fixed",LiabFxdRate2,OFFSET(Vectors!$D$6,Vectors!A9,MATCH(LiabLoanIndex2,lstInterestRates,0))+LiabMarg2)</f>
        <v>0.04</v>
      </c>
      <c r="BO9" s="122">
        <f t="shared" ca="1" si="49"/>
        <v>34119.905847872607</v>
      </c>
      <c r="BP9" s="124">
        <f t="shared" ca="1" si="50"/>
        <v>0</v>
      </c>
      <c r="BQ9" s="123">
        <f t="shared" ca="1" si="51"/>
        <v>34119.905847872607</v>
      </c>
      <c r="BR9" s="123">
        <f t="shared" ca="1" si="52"/>
        <v>0</v>
      </c>
      <c r="BS9" s="121"/>
      <c r="BT9" s="123">
        <f t="shared" ca="1" si="18"/>
        <v>11095.478519020386</v>
      </c>
      <c r="BU9" s="123">
        <f t="shared" ca="1" si="53"/>
        <v>0</v>
      </c>
      <c r="BV9" s="123">
        <f t="shared" ca="1" si="54"/>
        <v>11095.478519020386</v>
      </c>
      <c r="BW9" s="123">
        <f t="shared" ca="1" si="55"/>
        <v>0</v>
      </c>
      <c r="BX9" s="121"/>
      <c r="BY9" s="123">
        <f t="shared" si="56"/>
        <v>0</v>
      </c>
      <c r="BZ9" s="123">
        <f t="shared" ca="1" si="57"/>
        <v>0</v>
      </c>
      <c r="CA9" s="121"/>
      <c r="CB9" s="122">
        <f t="shared" ca="1" si="5"/>
        <v>89324001.336518988</v>
      </c>
      <c r="CC9" s="122">
        <f t="shared" ca="1" si="58"/>
        <v>289284.68217896868</v>
      </c>
      <c r="CD9" s="124">
        <f t="shared" ca="1" si="59"/>
        <v>274805.86324417731</v>
      </c>
      <c r="CE9" s="121"/>
      <c r="CF9" s="122">
        <f t="shared" ca="1" si="6"/>
        <v>10235971.754361782</v>
      </c>
      <c r="CG9" s="124">
        <f t="shared" ca="1" si="60"/>
        <v>0</v>
      </c>
      <c r="CH9" s="123">
        <f t="shared" ca="1" si="61"/>
        <v>0</v>
      </c>
      <c r="CI9" s="121"/>
      <c r="CJ9" s="123">
        <f t="shared" ca="1" si="62"/>
        <v>1074727.9012602884</v>
      </c>
      <c r="CK9" s="123">
        <f t="shared" ca="1" si="63"/>
        <v>1074727.9012602884</v>
      </c>
      <c r="CL9" s="123">
        <f t="shared" ca="1" si="64"/>
        <v>0</v>
      </c>
      <c r="CM9" s="121"/>
      <c r="CN9" s="62">
        <f t="shared" ca="1" si="65"/>
        <v>108217.8294273447</v>
      </c>
      <c r="CO9" s="62" t="b">
        <f t="shared" si="66"/>
        <v>1</v>
      </c>
      <c r="CP9" s="126">
        <f t="shared" ca="1" si="67"/>
        <v>8.3333333333333344E-5</v>
      </c>
      <c r="CQ9" s="120"/>
      <c r="CR9" s="120"/>
      <c r="CS9" s="120"/>
      <c r="CT9" s="120"/>
      <c r="CU9" s="120"/>
      <c r="CV9" s="120"/>
      <c r="CW9" s="120"/>
      <c r="CX9" s="120"/>
      <c r="CY9" s="120"/>
      <c r="CZ9" s="120"/>
      <c r="DA9" s="120"/>
      <c r="DB9" s="120"/>
      <c r="DC9" s="120"/>
      <c r="DD9" s="120"/>
      <c r="DE9" s="116"/>
      <c r="DF9" s="116"/>
      <c r="DG9" s="116"/>
      <c r="DH9" s="116"/>
      <c r="DI9" s="116"/>
      <c r="DJ9" s="116"/>
      <c r="DK9" s="116"/>
      <c r="DL9" s="116"/>
      <c r="DM9" s="116"/>
      <c r="DN9" s="116"/>
    </row>
    <row r="10" spans="1:118" x14ac:dyDescent="0.2">
      <c r="A10" s="27">
        <v>4</v>
      </c>
      <c r="B10" s="29">
        <f t="shared" si="0"/>
        <v>39234</v>
      </c>
      <c r="C10" s="30">
        <f t="shared" si="1"/>
        <v>8.3333333333333329E-2</v>
      </c>
      <c r="D10" s="55"/>
      <c r="E10" s="62">
        <f t="shared" ca="1" si="19"/>
        <v>99834900.067762181</v>
      </c>
      <c r="F10" s="63">
        <f ca="1">IF(AssetIntType1="Fixed",AssetFxdRate1,IF(A10=1,OFFSET(Vectors!$D$6,A10,MATCH(AssetFltIndx1,lstInterestRates,0)),IF(MOD($A10,AssetRateReset1)=0,MAX(MIN(OFFSET(Vectors!$D$6,A10,MATCH(AssetFltIndx1,lstInterestRates,0)),(F9-AssetMarg1)+AssetPdCapFl1,AssetLifeCap1-AssetMarg1),(F9-AssetMarg1)-AssetPdCapFl1,AssetLifeFloor1-AssetMarg1),F9)))+AssetMarg1</f>
        <v>0.09</v>
      </c>
      <c r="G10" s="62">
        <f t="shared" ca="1" si="7"/>
        <v>804622.61694478267</v>
      </c>
      <c r="H10" s="62">
        <f t="shared" ca="1" si="20"/>
        <v>748761.75050821633</v>
      </c>
      <c r="I10" s="62">
        <f t="shared" ca="1" si="21"/>
        <v>55860.866436566343</v>
      </c>
      <c r="J10" s="62">
        <f t="shared" ca="1" si="2"/>
        <v>99779039.20132561</v>
      </c>
      <c r="K10" s="55"/>
      <c r="L10" s="62">
        <f t="shared" ca="1" si="22"/>
        <v>99726561.124697596</v>
      </c>
      <c r="M10" s="68">
        <f ca="1">IF(pdrLossTime1="",OFFSET(Vectors!$AE$6,A10+_Age1,MATCH(SDA_Loss,lstSDA,0)),OFFSET(Vectors!$X$6,A10+_Age1,MATCH(pdrLossTime1,lstDefaultCurve,0)))</f>
        <v>2.7777777777777779E-5</v>
      </c>
      <c r="N10" s="62">
        <f t="shared" ca="1" si="8"/>
        <v>2777.7777777777778</v>
      </c>
      <c r="O10" s="67">
        <f t="shared" ca="1" si="23"/>
        <v>0.99779039201325614</v>
      </c>
      <c r="P10" s="68">
        <f ca="1">OFFSET(Vectors!$L$6,A10+_Age1,MATCH(pdrPrepay1,lstPrepayCurve,0))*pdrPrepayStress1</f>
        <v>6.6912367827864916E-4</v>
      </c>
      <c r="Q10" s="62">
        <f t="shared" ca="1" si="24"/>
        <v>66692.066135127941</v>
      </c>
      <c r="R10" s="62">
        <f t="shared" ca="1" si="25"/>
        <v>55798.693025286826</v>
      </c>
      <c r="S10" s="69">
        <f t="shared" ca="1" si="26"/>
        <v>0.09</v>
      </c>
      <c r="T10" s="62">
        <f t="shared" ca="1" si="27"/>
        <v>747928.37510189856</v>
      </c>
      <c r="U10" s="62">
        <f t="shared" ca="1" si="9"/>
        <v>0</v>
      </c>
      <c r="V10" s="62">
        <f t="shared" ca="1" si="3"/>
        <v>99601292.587759405</v>
      </c>
      <c r="W10" s="55"/>
      <c r="X10" s="62">
        <f t="shared" ca="1" si="28"/>
        <v>870419.13426231337</v>
      </c>
      <c r="Y10" s="55"/>
      <c r="Z10" s="118" t="b">
        <v>0</v>
      </c>
      <c r="AA10" s="120" t="b">
        <f t="shared" si="10"/>
        <v>0</v>
      </c>
      <c r="AB10" s="120" t="b">
        <f t="shared" si="11"/>
        <v>1</v>
      </c>
      <c r="AC10" s="120" t="b">
        <f t="shared" ca="1" si="12"/>
        <v>0</v>
      </c>
      <c r="AD10" s="121"/>
      <c r="AE10" s="129">
        <v>91041142.845896095</v>
      </c>
      <c r="AF10" s="69">
        <f ca="1">IF(Swap_Active="No",0,OFFSET(Vectors!$D$6,Vectors!A10,MATCH(Swap_In,lstInterestRates,0)))</f>
        <v>2.9368999999999999E-2</v>
      </c>
      <c r="AG10" s="62">
        <f t="shared" ca="1" si="29"/>
        <v>222815.61035342683</v>
      </c>
      <c r="AH10" s="69">
        <f ca="1">IF(Swap_Active="No",0,OFFSET(Vectors!$D$6,Vectors!A10,MATCH(Swap_Out,lstInterestRates,0)))</f>
        <v>0.04</v>
      </c>
      <c r="AI10" s="62">
        <f t="shared" ca="1" si="30"/>
        <v>303470.47615298699</v>
      </c>
      <c r="AJ10" s="62">
        <f t="shared" ca="1" si="31"/>
        <v>-80654.865799560153</v>
      </c>
      <c r="AK10" s="62">
        <f t="shared" ca="1" si="32"/>
        <v>789764.26846275316</v>
      </c>
      <c r="AL10" s="121"/>
      <c r="AM10" s="123">
        <f t="shared" ca="1" si="13"/>
        <v>203429.26909804557</v>
      </c>
      <c r="AN10" s="124">
        <f t="shared" ca="1" si="33"/>
        <v>203429.26909804557</v>
      </c>
      <c r="AO10" s="125">
        <f t="shared" ca="1" si="34"/>
        <v>0</v>
      </c>
      <c r="AP10" s="123">
        <f t="shared" ca="1" si="35"/>
        <v>586334.99936470762</v>
      </c>
      <c r="AQ10" s="121"/>
      <c r="AR10" s="126">
        <f ca="1">IF(LiabIntType1="Fixed",LiabFxdRate1,OFFSET(Vectors!$D$6,Vectors!A10,MATCH(LiabLoanIndex1,lstInterestRates,0))+LiabMarg1)</f>
        <v>3.9369000000000001E-2</v>
      </c>
      <c r="AS10" s="122">
        <f t="shared" ca="1" si="36"/>
        <v>293049.71738478466</v>
      </c>
      <c r="AT10" s="124">
        <f t="shared" ca="1" si="37"/>
        <v>293049.71738478466</v>
      </c>
      <c r="AU10" s="123">
        <f t="shared" ca="1" si="38"/>
        <v>0</v>
      </c>
      <c r="AV10" s="123">
        <f t="shared" ca="1" si="14"/>
        <v>0</v>
      </c>
      <c r="AW10" s="123">
        <f t="shared" ca="1" si="39"/>
        <v>0</v>
      </c>
      <c r="AX10" s="124">
        <f t="shared" ca="1" si="40"/>
        <v>293285.28197992296</v>
      </c>
      <c r="AY10" s="121"/>
      <c r="AZ10" s="122">
        <f t="shared" ca="1" si="15"/>
        <v>293285.28197992296</v>
      </c>
      <c r="BA10" s="124">
        <f t="shared" ca="1" si="41"/>
        <v>293285.28197992296</v>
      </c>
      <c r="BB10" s="123">
        <f t="shared" ca="1" si="42"/>
        <v>0</v>
      </c>
      <c r="BC10" s="123">
        <f t="shared" ca="1" si="16"/>
        <v>0</v>
      </c>
      <c r="BD10" s="123">
        <f t="shared" ca="1" si="43"/>
        <v>0</v>
      </c>
      <c r="BE10" s="124">
        <f t="shared" ca="1" si="44"/>
        <v>0</v>
      </c>
      <c r="BF10" s="121"/>
      <c r="BG10" s="123">
        <f t="shared" si="17"/>
        <v>1000000</v>
      </c>
      <c r="BH10" s="123">
        <f t="shared" ca="1" si="45"/>
        <v>1000000</v>
      </c>
      <c r="BI10" s="123">
        <f t="shared" ca="1" si="46"/>
        <v>0</v>
      </c>
      <c r="BJ10" s="123">
        <f t="shared" ca="1" si="47"/>
        <v>0</v>
      </c>
      <c r="BK10" s="123">
        <f t="shared" ca="1" si="4"/>
        <v>1000000</v>
      </c>
      <c r="BL10" s="123">
        <f t="shared" ca="1" si="48"/>
        <v>0</v>
      </c>
      <c r="BM10" s="121"/>
      <c r="BN10" s="126">
        <f ca="1">IF(LiabIntType2="Fixed",LiabFxdRate2,OFFSET(Vectors!$D$6,Vectors!A10,MATCH(LiabLoanIndex2,lstInterestRates,0))+LiabMarg2)</f>
        <v>0.04</v>
      </c>
      <c r="BO10" s="122">
        <f t="shared" ca="1" si="49"/>
        <v>34119.905847872607</v>
      </c>
      <c r="BP10" s="124">
        <f t="shared" ca="1" si="50"/>
        <v>0</v>
      </c>
      <c r="BQ10" s="123">
        <f t="shared" ca="1" si="51"/>
        <v>34119.905847872607</v>
      </c>
      <c r="BR10" s="123">
        <f t="shared" ca="1" si="52"/>
        <v>0</v>
      </c>
      <c r="BS10" s="121"/>
      <c r="BT10" s="123">
        <f t="shared" ca="1" si="18"/>
        <v>12843.672508142368</v>
      </c>
      <c r="BU10" s="123">
        <f t="shared" ca="1" si="53"/>
        <v>0</v>
      </c>
      <c r="BV10" s="123">
        <f t="shared" ca="1" si="54"/>
        <v>12843.672508142368</v>
      </c>
      <c r="BW10" s="123">
        <f t="shared" ca="1" si="55"/>
        <v>0</v>
      </c>
      <c r="BX10" s="121"/>
      <c r="BY10" s="123">
        <f t="shared" si="56"/>
        <v>0</v>
      </c>
      <c r="BZ10" s="123">
        <f t="shared" ca="1" si="57"/>
        <v>0</v>
      </c>
      <c r="CA10" s="121"/>
      <c r="CB10" s="122">
        <f t="shared" ca="1" si="5"/>
        <v>89030716.05453907</v>
      </c>
      <c r="CC10" s="122">
        <f t="shared" ca="1" si="58"/>
        <v>293049.71738478466</v>
      </c>
      <c r="CD10" s="124">
        <f t="shared" ca="1" si="59"/>
        <v>293285.28197992296</v>
      </c>
      <c r="CE10" s="121"/>
      <c r="CF10" s="122">
        <f t="shared" ca="1" si="6"/>
        <v>10235971.754361782</v>
      </c>
      <c r="CG10" s="124">
        <f t="shared" ca="1" si="60"/>
        <v>0</v>
      </c>
      <c r="CH10" s="123">
        <f t="shared" ca="1" si="61"/>
        <v>0</v>
      </c>
      <c r="CI10" s="121"/>
      <c r="CJ10" s="123">
        <f t="shared" ca="1" si="62"/>
        <v>1093234.7446157401</v>
      </c>
      <c r="CK10" s="123">
        <f t="shared" ca="1" si="63"/>
        <v>1093234.7446157401</v>
      </c>
      <c r="CL10" s="123">
        <f t="shared" ca="1" si="64"/>
        <v>0</v>
      </c>
      <c r="CM10" s="121"/>
      <c r="CN10" s="62">
        <f t="shared" ca="1" si="65"/>
        <v>125268.53693819256</v>
      </c>
      <c r="CO10" s="62" t="b">
        <f t="shared" si="66"/>
        <v>1</v>
      </c>
      <c r="CP10" s="126">
        <f t="shared" ca="1" si="67"/>
        <v>1.1111111111111112E-4</v>
      </c>
      <c r="CQ10" s="120"/>
      <c r="CR10" s="120"/>
      <c r="CS10" s="120"/>
      <c r="CT10" s="120"/>
      <c r="CU10" s="120"/>
      <c r="CV10" s="120"/>
      <c r="CW10" s="120"/>
      <c r="CX10" s="120"/>
      <c r="CY10" s="120"/>
      <c r="CZ10" s="120"/>
      <c r="DA10" s="120"/>
      <c r="DB10" s="120"/>
      <c r="DC10" s="120"/>
      <c r="DD10" s="120"/>
      <c r="DE10" s="116"/>
      <c r="DF10" s="116"/>
      <c r="DG10" s="116"/>
      <c r="DH10" s="116"/>
      <c r="DI10" s="116"/>
      <c r="DJ10" s="116"/>
      <c r="DK10" s="116"/>
      <c r="DL10" s="116"/>
      <c r="DM10" s="116"/>
      <c r="DN10" s="116"/>
    </row>
    <row r="11" spans="1:118" x14ac:dyDescent="0.2">
      <c r="A11" s="27">
        <v>5</v>
      </c>
      <c r="B11" s="29">
        <f t="shared" si="0"/>
        <v>39264</v>
      </c>
      <c r="C11" s="30">
        <f t="shared" si="1"/>
        <v>8.3333333333333329E-2</v>
      </c>
      <c r="D11" s="55"/>
      <c r="E11" s="62">
        <f t="shared" ca="1" si="19"/>
        <v>99779039.20132561</v>
      </c>
      <c r="F11" s="63">
        <f ca="1">IF(AssetIntType1="Fixed",AssetFxdRate1,IF(A11=1,OFFSET(Vectors!$D$6,A11,MATCH(AssetFltIndx1,lstInterestRates,0)),IF(MOD($A11,AssetRateReset1)=0,MAX(MIN(OFFSET(Vectors!$D$6,A11,MATCH(AssetFltIndx1,lstInterestRates,0)),(F10-AssetMarg1)+AssetPdCapFl1,AssetLifeCap1-AssetMarg1),(F10-AssetMarg1)-AssetPdCapFl1,AssetLifeFloor1-AssetMarg1),F10)))+AssetMarg1</f>
        <v>0.09</v>
      </c>
      <c r="G11" s="62">
        <f t="shared" ca="1" si="7"/>
        <v>804622.61694478267</v>
      </c>
      <c r="H11" s="62">
        <f t="shared" ca="1" si="20"/>
        <v>748342.7940099421</v>
      </c>
      <c r="I11" s="62">
        <f t="shared" ca="1" si="21"/>
        <v>56279.822934840573</v>
      </c>
      <c r="J11" s="62">
        <f t="shared" ca="1" si="2"/>
        <v>99722759.378390774</v>
      </c>
      <c r="K11" s="55"/>
      <c r="L11" s="62">
        <f t="shared" ca="1" si="22"/>
        <v>99601292.587759405</v>
      </c>
      <c r="M11" s="68">
        <f ca="1">IF(pdrLossTime1="",OFFSET(Vectors!$AE$6,A11+_Age1,MATCH(SDA_Loss,lstSDA,0)),OFFSET(Vectors!$X$6,A11+_Age1,MATCH(pdrLossTime1,lstDefaultCurve,0)))</f>
        <v>2.7777777777777779E-5</v>
      </c>
      <c r="N11" s="62">
        <f t="shared" ca="1" si="8"/>
        <v>2777.7777777777778</v>
      </c>
      <c r="O11" s="67">
        <f t="shared" ca="1" si="23"/>
        <v>0.9972275937839078</v>
      </c>
      <c r="P11" s="68">
        <f ca="1">OFFSET(Vectors!$L$6,A11+_Age1,MATCH(pdrPrepay1,lstPrepayCurve,0))*pdrPrepayStress1</f>
        <v>8.3717735912058888E-4</v>
      </c>
      <c r="Q11" s="62">
        <f t="shared" ca="1" si="24"/>
        <v>83336.914832978393</v>
      </c>
      <c r="R11" s="62">
        <f t="shared" ca="1" si="25"/>
        <v>56177.999136353224</v>
      </c>
      <c r="S11" s="69">
        <f t="shared" ca="1" si="26"/>
        <v>0.09</v>
      </c>
      <c r="T11" s="62">
        <f t="shared" ca="1" si="27"/>
        <v>746988.86107486219</v>
      </c>
      <c r="U11" s="62">
        <f t="shared" ca="1" si="9"/>
        <v>0</v>
      </c>
      <c r="V11" s="62">
        <f t="shared" ca="1" si="3"/>
        <v>99458999.896012291</v>
      </c>
      <c r="W11" s="55"/>
      <c r="X11" s="62">
        <f t="shared" ca="1" si="28"/>
        <v>886503.77504419384</v>
      </c>
      <c r="Y11" s="55"/>
      <c r="Z11" s="118" t="b">
        <v>0</v>
      </c>
      <c r="AA11" s="120" t="b">
        <f t="shared" si="10"/>
        <v>0</v>
      </c>
      <c r="AB11" s="120" t="b">
        <f t="shared" si="11"/>
        <v>1</v>
      </c>
      <c r="AC11" s="120" t="b">
        <f t="shared" ca="1" si="12"/>
        <v>0</v>
      </c>
      <c r="AD11" s="121"/>
      <c r="AE11" s="129">
        <v>90018786.083473474</v>
      </c>
      <c r="AF11" s="69">
        <f ca="1">IF(Swap_Active="No",0,OFFSET(Vectors!$D$6,Vectors!A11,MATCH(Swap_In,lstInterestRates,0)))</f>
        <v>2.9994E-2</v>
      </c>
      <c r="AG11" s="62">
        <f t="shared" ca="1" si="29"/>
        <v>225001.95581564194</v>
      </c>
      <c r="AH11" s="69">
        <f ca="1">IF(Swap_Active="No",0,OFFSET(Vectors!$D$6,Vectors!A11,MATCH(Swap_Out,lstInterestRates,0)))</f>
        <v>0.04</v>
      </c>
      <c r="AI11" s="62">
        <f t="shared" ca="1" si="30"/>
        <v>300062.6202782449</v>
      </c>
      <c r="AJ11" s="62">
        <f t="shared" ca="1" si="31"/>
        <v>-75060.664462602959</v>
      </c>
      <c r="AK11" s="62">
        <f t="shared" ca="1" si="32"/>
        <v>811443.11058159091</v>
      </c>
      <c r="AL11" s="121"/>
      <c r="AM11" s="123">
        <f t="shared" ca="1" si="13"/>
        <v>203098.28600232361</v>
      </c>
      <c r="AN11" s="124">
        <f t="shared" ca="1" si="33"/>
        <v>203098.28600232361</v>
      </c>
      <c r="AO11" s="125">
        <f t="shared" ca="1" si="34"/>
        <v>0</v>
      </c>
      <c r="AP11" s="123">
        <f t="shared" ca="1" si="35"/>
        <v>608344.8245792673</v>
      </c>
      <c r="AQ11" s="121"/>
      <c r="AR11" s="126">
        <f ca="1">IF(LiabIntType1="Fixed",LiabFxdRate1,OFFSET(Vectors!$D$6,Vectors!A11,MATCH(LiabLoanIndex1,lstInterestRates,0))+LiabMarg1)</f>
        <v>3.9994000000000002E-2</v>
      </c>
      <c r="AS11" s="122">
        <f t="shared" ca="1" si="36"/>
        <v>296724.538157103</v>
      </c>
      <c r="AT11" s="124">
        <f t="shared" ca="1" si="37"/>
        <v>296724.538157103</v>
      </c>
      <c r="AU11" s="123">
        <f t="shared" ca="1" si="38"/>
        <v>0</v>
      </c>
      <c r="AV11" s="123">
        <f t="shared" ca="1" si="14"/>
        <v>0</v>
      </c>
      <c r="AW11" s="123">
        <f t="shared" ca="1" si="39"/>
        <v>0</v>
      </c>
      <c r="AX11" s="124">
        <f t="shared" ca="1" si="40"/>
        <v>311620.2864221643</v>
      </c>
      <c r="AY11" s="121"/>
      <c r="AZ11" s="122">
        <f t="shared" ca="1" si="15"/>
        <v>311620.2864221643</v>
      </c>
      <c r="BA11" s="124">
        <f t="shared" ca="1" si="41"/>
        <v>311620.2864221643</v>
      </c>
      <c r="BB11" s="123">
        <f t="shared" ca="1" si="42"/>
        <v>0</v>
      </c>
      <c r="BC11" s="123">
        <f t="shared" ca="1" si="16"/>
        <v>0</v>
      </c>
      <c r="BD11" s="123">
        <f t="shared" ca="1" si="43"/>
        <v>0</v>
      </c>
      <c r="BE11" s="124">
        <f t="shared" ca="1" si="44"/>
        <v>0</v>
      </c>
      <c r="BF11" s="121"/>
      <c r="BG11" s="123">
        <f t="shared" si="17"/>
        <v>1000000</v>
      </c>
      <c r="BH11" s="123">
        <f t="shared" ca="1" si="45"/>
        <v>1000000</v>
      </c>
      <c r="BI11" s="123">
        <f t="shared" ca="1" si="46"/>
        <v>0</v>
      </c>
      <c r="BJ11" s="123">
        <f t="shared" ca="1" si="47"/>
        <v>0</v>
      </c>
      <c r="BK11" s="123">
        <f t="shared" ca="1" si="4"/>
        <v>1000000</v>
      </c>
      <c r="BL11" s="123">
        <f t="shared" ca="1" si="48"/>
        <v>0</v>
      </c>
      <c r="BM11" s="121"/>
      <c r="BN11" s="126">
        <f ca="1">IF(LiabIntType2="Fixed",LiabFxdRate2,OFFSET(Vectors!$D$6,Vectors!A11,MATCH(LiabLoanIndex2,lstInterestRates,0))+LiabMarg2)</f>
        <v>0.04</v>
      </c>
      <c r="BO11" s="122">
        <f t="shared" ca="1" si="49"/>
        <v>34119.905847872607</v>
      </c>
      <c r="BP11" s="124">
        <f t="shared" ca="1" si="50"/>
        <v>0</v>
      </c>
      <c r="BQ11" s="123">
        <f t="shared" ca="1" si="51"/>
        <v>34119.905847872607</v>
      </c>
      <c r="BR11" s="123">
        <f t="shared" ca="1" si="52"/>
        <v>0</v>
      </c>
      <c r="BS11" s="121"/>
      <c r="BT11" s="123">
        <f t="shared" ca="1" si="18"/>
        <v>14589.144072175468</v>
      </c>
      <c r="BU11" s="123">
        <f t="shared" ca="1" si="53"/>
        <v>0</v>
      </c>
      <c r="BV11" s="123">
        <f t="shared" ca="1" si="54"/>
        <v>14589.144072175468</v>
      </c>
      <c r="BW11" s="123">
        <f t="shared" ca="1" si="55"/>
        <v>0</v>
      </c>
      <c r="BX11" s="121"/>
      <c r="BY11" s="123">
        <f t="shared" si="56"/>
        <v>0</v>
      </c>
      <c r="BZ11" s="123">
        <f t="shared" ca="1" si="57"/>
        <v>0</v>
      </c>
      <c r="CA11" s="121"/>
      <c r="CB11" s="122">
        <f t="shared" ca="1" si="5"/>
        <v>88719095.768116906</v>
      </c>
      <c r="CC11" s="122">
        <f t="shared" ca="1" si="58"/>
        <v>296724.538157103</v>
      </c>
      <c r="CD11" s="124">
        <f t="shared" ca="1" si="59"/>
        <v>311620.2864221643</v>
      </c>
      <c r="CE11" s="121"/>
      <c r="CF11" s="122">
        <f t="shared" ca="1" si="6"/>
        <v>10235971.754361782</v>
      </c>
      <c r="CG11" s="124">
        <f t="shared" ca="1" si="60"/>
        <v>0</v>
      </c>
      <c r="CH11" s="123">
        <f t="shared" ca="1" si="61"/>
        <v>0</v>
      </c>
      <c r="CI11" s="121"/>
      <c r="CJ11" s="123">
        <f t="shared" ca="1" si="62"/>
        <v>1111505.7308598359</v>
      </c>
      <c r="CK11" s="123">
        <f t="shared" ca="1" si="63"/>
        <v>1111505.7308598356</v>
      </c>
      <c r="CL11" s="123">
        <f t="shared" ca="1" si="64"/>
        <v>0</v>
      </c>
      <c r="CM11" s="121"/>
      <c r="CN11" s="62">
        <f t="shared" ca="1" si="65"/>
        <v>142292.69174710941</v>
      </c>
      <c r="CO11" s="62" t="b">
        <f t="shared" si="66"/>
        <v>1</v>
      </c>
      <c r="CP11" s="126">
        <f t="shared" ca="1" si="67"/>
        <v>1.3888888888888889E-4</v>
      </c>
      <c r="CQ11" s="120"/>
      <c r="CR11" s="120"/>
      <c r="CS11" s="120"/>
      <c r="CT11" s="120"/>
      <c r="CU11" s="120"/>
      <c r="CV11" s="120"/>
      <c r="CW11" s="120"/>
      <c r="CX11" s="120"/>
      <c r="CY11" s="120"/>
      <c r="CZ11" s="120"/>
      <c r="DA11" s="120"/>
      <c r="DB11" s="120"/>
      <c r="DC11" s="120"/>
      <c r="DD11" s="120"/>
      <c r="DE11" s="116"/>
      <c r="DF11" s="116"/>
      <c r="DG11" s="116"/>
      <c r="DH11" s="116"/>
      <c r="DI11" s="116"/>
      <c r="DJ11" s="116"/>
      <c r="DK11" s="116"/>
      <c r="DL11" s="116"/>
      <c r="DM11" s="116"/>
      <c r="DN11" s="116"/>
    </row>
    <row r="12" spans="1:118" x14ac:dyDescent="0.2">
      <c r="A12" s="27">
        <v>6</v>
      </c>
      <c r="B12" s="29">
        <f t="shared" si="0"/>
        <v>39295</v>
      </c>
      <c r="C12" s="30">
        <f t="shared" si="1"/>
        <v>8.3333333333333329E-2</v>
      </c>
      <c r="D12" s="55"/>
      <c r="E12" s="62">
        <f t="shared" ca="1" si="19"/>
        <v>99722759.378390774</v>
      </c>
      <c r="F12" s="63">
        <f ca="1">IF(AssetIntType1="Fixed",AssetFxdRate1,IF(A12=1,OFFSET(Vectors!$D$6,A12,MATCH(AssetFltIndx1,lstInterestRates,0)),IF(MOD($A12,AssetRateReset1)=0,MAX(MIN(OFFSET(Vectors!$D$6,A12,MATCH(AssetFltIndx1,lstInterestRates,0)),(F11-AssetMarg1)+AssetPdCapFl1,AssetLifeCap1-AssetMarg1),(F11-AssetMarg1)-AssetPdCapFl1,AssetLifeFloor1-AssetMarg1),F11)))+AssetMarg1</f>
        <v>0.09</v>
      </c>
      <c r="G12" s="62">
        <f t="shared" ca="1" si="7"/>
        <v>804622.61694478267</v>
      </c>
      <c r="H12" s="62">
        <f t="shared" ca="1" si="20"/>
        <v>747920.69533793081</v>
      </c>
      <c r="I12" s="62">
        <f t="shared" ca="1" si="21"/>
        <v>56701.921606851858</v>
      </c>
      <c r="J12" s="62">
        <f t="shared" ca="1" si="2"/>
        <v>99666057.456783921</v>
      </c>
      <c r="K12" s="55"/>
      <c r="L12" s="62">
        <f t="shared" ca="1" si="22"/>
        <v>99458999.896012291</v>
      </c>
      <c r="M12" s="68">
        <f ca="1">IF(pdrLossTime1="",OFFSET(Vectors!$AE$6,A12+_Age1,MATCH(SDA_Loss,lstSDA,0)),OFFSET(Vectors!$X$6,A12+_Age1,MATCH(pdrLossTime1,lstDefaultCurve,0)))</f>
        <v>2.7777777777777779E-5</v>
      </c>
      <c r="N12" s="62">
        <f t="shared" ca="1" si="8"/>
        <v>2777.7777777777778</v>
      </c>
      <c r="O12" s="67">
        <f t="shared" ca="1" si="23"/>
        <v>0.99666057456783919</v>
      </c>
      <c r="P12" s="68">
        <f ca="1">OFFSET(Vectors!$L$6,A12+_Age1,MATCH(pdrPrepay1,lstPrepayCurve,0))*pdrPrepayStress1</f>
        <v>1.0055425391276573E-3</v>
      </c>
      <c r="Q12" s="62">
        <f t="shared" ca="1" si="24"/>
        <v>99953.389904015523</v>
      </c>
      <c r="R12" s="62">
        <f t="shared" ca="1" si="25"/>
        <v>56550.36969508708</v>
      </c>
      <c r="S12" s="69">
        <f t="shared" ca="1" si="26"/>
        <v>0.09</v>
      </c>
      <c r="T12" s="62">
        <f t="shared" ca="1" si="27"/>
        <v>745921.66588675883</v>
      </c>
      <c r="U12" s="62">
        <f t="shared" ca="1" si="9"/>
        <v>1111.1111111111111</v>
      </c>
      <c r="V12" s="62">
        <f t="shared" ca="1" si="3"/>
        <v>99299718.358635411</v>
      </c>
      <c r="W12" s="55"/>
      <c r="X12" s="62">
        <f t="shared" ca="1" si="28"/>
        <v>903536.53659697261</v>
      </c>
      <c r="Y12" s="55"/>
      <c r="Z12" s="118" t="b">
        <v>0</v>
      </c>
      <c r="AA12" s="120" t="b">
        <f t="shared" si="10"/>
        <v>0</v>
      </c>
      <c r="AB12" s="120" t="b">
        <f t="shared" si="11"/>
        <v>1</v>
      </c>
      <c r="AC12" s="120" t="b">
        <f t="shared" ca="1" si="12"/>
        <v>0</v>
      </c>
      <c r="AD12" s="121"/>
      <c r="AE12" s="129">
        <v>89006791.062468037</v>
      </c>
      <c r="AF12" s="69">
        <f ca="1">IF(Swap_Active="No",0,OFFSET(Vectors!$D$6,Vectors!A12,MATCH(Swap_In,lstInterestRates,0)))</f>
        <v>3.0619E-2</v>
      </c>
      <c r="AG12" s="62">
        <f t="shared" ca="1" si="29"/>
        <v>227108.24462847575</v>
      </c>
      <c r="AH12" s="69">
        <f ca="1">IF(Swap_Active="No",0,OFFSET(Vectors!$D$6,Vectors!A12,MATCH(Swap_Out,lstInterestRates,0)))</f>
        <v>0.04</v>
      </c>
      <c r="AI12" s="62">
        <f t="shared" ca="1" si="30"/>
        <v>296689.30354156008</v>
      </c>
      <c r="AJ12" s="62">
        <f t="shared" ca="1" si="31"/>
        <v>-69581.058913084329</v>
      </c>
      <c r="AK12" s="62">
        <f t="shared" ca="1" si="32"/>
        <v>833955.47768388828</v>
      </c>
      <c r="AL12" s="121"/>
      <c r="AM12" s="123">
        <f t="shared" ca="1" si="13"/>
        <v>202731.2897300692</v>
      </c>
      <c r="AN12" s="124">
        <f t="shared" ca="1" si="33"/>
        <v>202731.2897300692</v>
      </c>
      <c r="AO12" s="125">
        <f t="shared" ca="1" si="34"/>
        <v>0</v>
      </c>
      <c r="AP12" s="123">
        <f t="shared" ca="1" si="35"/>
        <v>631224.18795381906</v>
      </c>
      <c r="AQ12" s="121"/>
      <c r="AR12" s="126">
        <f ca="1">IF(LiabIntType1="Fixed",LiabFxdRate1,OFFSET(Vectors!$D$6,Vectors!A12,MATCH(LiabLoanIndex1,lstInterestRates,0))+LiabMarg1)</f>
        <v>4.0619000000000002E-2</v>
      </c>
      <c r="AS12" s="122">
        <f t="shared" ca="1" si="36"/>
        <v>300306.74591709505</v>
      </c>
      <c r="AT12" s="124">
        <f t="shared" ca="1" si="37"/>
        <v>300306.74591709505</v>
      </c>
      <c r="AU12" s="123">
        <f t="shared" ca="1" si="38"/>
        <v>0</v>
      </c>
      <c r="AV12" s="123">
        <f t="shared" ca="1" si="14"/>
        <v>0</v>
      </c>
      <c r="AW12" s="123">
        <f t="shared" ca="1" si="39"/>
        <v>0</v>
      </c>
      <c r="AX12" s="124">
        <f t="shared" ca="1" si="40"/>
        <v>330917.44203672401</v>
      </c>
      <c r="AY12" s="121"/>
      <c r="AZ12" s="122">
        <f t="shared" ca="1" si="15"/>
        <v>330917.44203672401</v>
      </c>
      <c r="BA12" s="124">
        <f t="shared" ca="1" si="41"/>
        <v>330917.44203672401</v>
      </c>
      <c r="BB12" s="123">
        <f t="shared" ca="1" si="42"/>
        <v>0</v>
      </c>
      <c r="BC12" s="123">
        <f t="shared" ca="1" si="16"/>
        <v>0</v>
      </c>
      <c r="BD12" s="123">
        <f t="shared" ca="1" si="43"/>
        <v>0</v>
      </c>
      <c r="BE12" s="124">
        <f t="shared" ca="1" si="44"/>
        <v>0</v>
      </c>
      <c r="BF12" s="121"/>
      <c r="BG12" s="123">
        <f t="shared" si="17"/>
        <v>1000000</v>
      </c>
      <c r="BH12" s="123">
        <f t="shared" ca="1" si="45"/>
        <v>1000000</v>
      </c>
      <c r="BI12" s="123">
        <f t="shared" ca="1" si="46"/>
        <v>0</v>
      </c>
      <c r="BJ12" s="123">
        <f t="shared" ca="1" si="47"/>
        <v>0</v>
      </c>
      <c r="BK12" s="123">
        <f t="shared" ca="1" si="4"/>
        <v>1000000</v>
      </c>
      <c r="BL12" s="123">
        <f t="shared" ca="1" si="48"/>
        <v>0</v>
      </c>
      <c r="BM12" s="121"/>
      <c r="BN12" s="126">
        <f ca="1">IF(LiabIntType2="Fixed",LiabFxdRate2,OFFSET(Vectors!$D$6,Vectors!A12,MATCH(LiabLoanIndex2,lstInterestRates,0))+LiabMarg2)</f>
        <v>0.04</v>
      </c>
      <c r="BO12" s="122">
        <f t="shared" ca="1" si="49"/>
        <v>34119.905847872607</v>
      </c>
      <c r="BP12" s="124">
        <f t="shared" ca="1" si="50"/>
        <v>0</v>
      </c>
      <c r="BQ12" s="123">
        <f t="shared" ca="1" si="51"/>
        <v>34119.905847872607</v>
      </c>
      <c r="BR12" s="123">
        <f t="shared" ca="1" si="52"/>
        <v>0</v>
      </c>
      <c r="BS12" s="121"/>
      <c r="BT12" s="123">
        <f t="shared" ca="1" si="18"/>
        <v>16330.995417240856</v>
      </c>
      <c r="BU12" s="123">
        <f t="shared" ca="1" si="53"/>
        <v>0</v>
      </c>
      <c r="BV12" s="123">
        <f t="shared" ca="1" si="54"/>
        <v>16330.995417240856</v>
      </c>
      <c r="BW12" s="123">
        <f t="shared" ca="1" si="55"/>
        <v>0</v>
      </c>
      <c r="BX12" s="121"/>
      <c r="BY12" s="123">
        <f t="shared" si="56"/>
        <v>0</v>
      </c>
      <c r="BZ12" s="123">
        <f t="shared" ca="1" si="57"/>
        <v>0</v>
      </c>
      <c r="CA12" s="121"/>
      <c r="CB12" s="122">
        <f t="shared" ca="1" si="5"/>
        <v>88388178.326080188</v>
      </c>
      <c r="CC12" s="122">
        <f t="shared" ca="1" si="58"/>
        <v>300306.74591709505</v>
      </c>
      <c r="CD12" s="124">
        <f t="shared" ca="1" si="59"/>
        <v>330917.44203672401</v>
      </c>
      <c r="CE12" s="121"/>
      <c r="CF12" s="122">
        <f t="shared" ca="1" si="6"/>
        <v>10235971.754361782</v>
      </c>
      <c r="CG12" s="124">
        <f t="shared" ca="1" si="60"/>
        <v>0</v>
      </c>
      <c r="CH12" s="123">
        <f t="shared" ca="1" si="61"/>
        <v>0</v>
      </c>
      <c r="CI12" s="121"/>
      <c r="CJ12" s="123">
        <f t="shared" ca="1" si="62"/>
        <v>1130644.7812254485</v>
      </c>
      <c r="CK12" s="123">
        <f t="shared" ca="1" si="63"/>
        <v>1130644.7812254482</v>
      </c>
      <c r="CL12" s="123">
        <f t="shared" ca="1" si="64"/>
        <v>0</v>
      </c>
      <c r="CM12" s="121"/>
      <c r="CN12" s="62">
        <f t="shared" ca="1" si="65"/>
        <v>159281.53737688038</v>
      </c>
      <c r="CO12" s="62" t="b">
        <f t="shared" si="66"/>
        <v>1</v>
      </c>
      <c r="CP12" s="126">
        <f t="shared" ca="1" si="67"/>
        <v>1.6666666666666666E-4</v>
      </c>
      <c r="CQ12" s="120"/>
      <c r="CR12" s="120"/>
      <c r="CS12" s="120"/>
      <c r="CT12" s="120"/>
      <c r="CU12" s="120"/>
      <c r="CV12" s="120"/>
      <c r="CW12" s="120"/>
      <c r="CX12" s="120"/>
      <c r="CY12" s="120"/>
      <c r="CZ12" s="120"/>
      <c r="DA12" s="120"/>
      <c r="DB12" s="120"/>
      <c r="DC12" s="120"/>
      <c r="DD12" s="120"/>
      <c r="DE12" s="116"/>
      <c r="DF12" s="116"/>
      <c r="DG12" s="116"/>
      <c r="DH12" s="116"/>
      <c r="DI12" s="116"/>
      <c r="DJ12" s="116"/>
      <c r="DK12" s="116"/>
      <c r="DL12" s="116"/>
      <c r="DM12" s="116"/>
      <c r="DN12" s="116"/>
    </row>
    <row r="13" spans="1:118" x14ac:dyDescent="0.2">
      <c r="A13" s="27">
        <v>7</v>
      </c>
      <c r="B13" s="29">
        <f t="shared" si="0"/>
        <v>39326</v>
      </c>
      <c r="C13" s="30">
        <f t="shared" si="1"/>
        <v>8.3333333333333329E-2</v>
      </c>
      <c r="D13" s="55"/>
      <c r="E13" s="62">
        <f t="shared" ca="1" si="19"/>
        <v>99666057.456783921</v>
      </c>
      <c r="F13" s="63">
        <f ca="1">IF(AssetIntType1="Fixed",AssetFxdRate1,IF(A13=1,OFFSET(Vectors!$D$6,A13,MATCH(AssetFltIndx1,lstInterestRates,0)),IF(MOD($A13,AssetRateReset1)=0,MAX(MIN(OFFSET(Vectors!$D$6,A13,MATCH(AssetFltIndx1,lstInterestRates,0)),(F12-AssetMarg1)+AssetPdCapFl1,AssetLifeCap1-AssetMarg1),(F12-AssetMarg1)-AssetPdCapFl1,AssetLifeFloor1-AssetMarg1),F12)))+AssetMarg1</f>
        <v>0.09</v>
      </c>
      <c r="G13" s="62">
        <f t="shared" ca="1" si="7"/>
        <v>804622.61694478267</v>
      </c>
      <c r="H13" s="62">
        <f t="shared" ca="1" si="20"/>
        <v>747495.43092587939</v>
      </c>
      <c r="I13" s="62">
        <f t="shared" ca="1" si="21"/>
        <v>57127.186018903274</v>
      </c>
      <c r="J13" s="62">
        <f t="shared" ca="1" si="2"/>
        <v>99608930.270765021</v>
      </c>
      <c r="K13" s="55"/>
      <c r="L13" s="62">
        <f t="shared" ca="1" si="22"/>
        <v>99299718.358635411</v>
      </c>
      <c r="M13" s="68">
        <f ca="1">IF(pdrLossTime1="",OFFSET(Vectors!$AE$6,A13+_Age1,MATCH(SDA_Loss,lstSDA,0)),OFFSET(Vectors!$X$6,A13+_Age1,MATCH(pdrLossTime1,lstDefaultCurve,0)))</f>
        <v>2.7777777777777779E-5</v>
      </c>
      <c r="N13" s="62">
        <f t="shared" ca="1" si="8"/>
        <v>2777.7777777777778</v>
      </c>
      <c r="O13" s="67">
        <f t="shared" ca="1" si="23"/>
        <v>0.99608930270765017</v>
      </c>
      <c r="P13" s="68">
        <f ca="1">OFFSET(Vectors!$L$6,A13+_Age1,MATCH(pdrPrepay1,lstPrepayCurve,0))*pdrPrepayStress1</f>
        <v>1.1742204280067448E-3</v>
      </c>
      <c r="Q13" s="62">
        <f t="shared" ca="1" si="24"/>
        <v>116532.92444652095</v>
      </c>
      <c r="R13" s="62">
        <f t="shared" ca="1" si="25"/>
        <v>56915.613403593103</v>
      </c>
      <c r="S13" s="69">
        <f t="shared" ca="1" si="26"/>
        <v>0.09</v>
      </c>
      <c r="T13" s="62">
        <f t="shared" ca="1" si="27"/>
        <v>744727.05435643229</v>
      </c>
      <c r="U13" s="62">
        <f t="shared" ca="1" si="9"/>
        <v>1111.1111111111111</v>
      </c>
      <c r="V13" s="62">
        <f t="shared" ca="1" si="3"/>
        <v>99123492.043007523</v>
      </c>
      <c r="W13" s="55"/>
      <c r="X13" s="62">
        <f t="shared" ca="1" si="28"/>
        <v>919286.70331765746</v>
      </c>
      <c r="Y13" s="55"/>
      <c r="Z13" s="118" t="b">
        <v>0</v>
      </c>
      <c r="AA13" s="120" t="b">
        <f t="shared" si="10"/>
        <v>0</v>
      </c>
      <c r="AB13" s="120" t="b">
        <f t="shared" si="11"/>
        <v>1</v>
      </c>
      <c r="AC13" s="120" t="b">
        <f t="shared" ca="1" si="12"/>
        <v>0</v>
      </c>
      <c r="AD13" s="121"/>
      <c r="AE13" s="129">
        <v>88005053.809668079</v>
      </c>
      <c r="AF13" s="69">
        <f ca="1">IF(Swap_Active="No",0,OFFSET(Vectors!$D$6,Vectors!A13,MATCH(Swap_In,lstInterestRates,0)))</f>
        <v>3.1244000000000001E-2</v>
      </c>
      <c r="AG13" s="62">
        <f t="shared" ca="1" si="29"/>
        <v>229135.82510243909</v>
      </c>
      <c r="AH13" s="69">
        <f ca="1">IF(Swap_Active="No",0,OFFSET(Vectors!$D$6,Vectors!A13,MATCH(Swap_Out,lstInterestRates,0)))</f>
        <v>0.04</v>
      </c>
      <c r="AI13" s="62">
        <f t="shared" ca="1" si="30"/>
        <v>293350.17936556024</v>
      </c>
      <c r="AJ13" s="62">
        <f t="shared" ca="1" si="31"/>
        <v>-64214.354263121146</v>
      </c>
      <c r="AK13" s="62">
        <f t="shared" ca="1" si="32"/>
        <v>855072.34905453632</v>
      </c>
      <c r="AL13" s="121"/>
      <c r="AM13" s="123">
        <f t="shared" ca="1" si="13"/>
        <v>202327.93823359243</v>
      </c>
      <c r="AN13" s="124">
        <f t="shared" ca="1" si="33"/>
        <v>202327.93823359243</v>
      </c>
      <c r="AO13" s="125">
        <f t="shared" ca="1" si="34"/>
        <v>0</v>
      </c>
      <c r="AP13" s="123">
        <f t="shared" ca="1" si="35"/>
        <v>652744.41082094389</v>
      </c>
      <c r="AQ13" s="121"/>
      <c r="AR13" s="126">
        <f ca="1">IF(LiabIntType1="Fixed",LiabFxdRate1,OFFSET(Vectors!$D$6,Vectors!A13,MATCH(LiabLoanIndex1,lstInterestRates,0))+LiabMarg1)</f>
        <v>4.1244000000000003E-2</v>
      </c>
      <c r="AS13" s="122">
        <f t="shared" ca="1" si="36"/>
        <v>303790.16890673758</v>
      </c>
      <c r="AT13" s="124">
        <f t="shared" ca="1" si="37"/>
        <v>303790.16890673758</v>
      </c>
      <c r="AU13" s="123">
        <f t="shared" ca="1" si="38"/>
        <v>0</v>
      </c>
      <c r="AV13" s="123">
        <f t="shared" ca="1" si="14"/>
        <v>0</v>
      </c>
      <c r="AW13" s="123">
        <f t="shared" ca="1" si="39"/>
        <v>0</v>
      </c>
      <c r="AX13" s="124">
        <f t="shared" ca="1" si="40"/>
        <v>348954.2419142063</v>
      </c>
      <c r="AY13" s="121"/>
      <c r="AZ13" s="122">
        <f t="shared" ca="1" si="15"/>
        <v>348954.2419142063</v>
      </c>
      <c r="BA13" s="124">
        <f t="shared" ca="1" si="41"/>
        <v>348954.2419142063</v>
      </c>
      <c r="BB13" s="123">
        <f t="shared" ca="1" si="42"/>
        <v>0</v>
      </c>
      <c r="BC13" s="123">
        <f t="shared" ca="1" si="16"/>
        <v>0</v>
      </c>
      <c r="BD13" s="123">
        <f t="shared" ca="1" si="43"/>
        <v>0</v>
      </c>
      <c r="BE13" s="124">
        <f t="shared" ca="1" si="44"/>
        <v>0</v>
      </c>
      <c r="BF13" s="121"/>
      <c r="BG13" s="123">
        <f t="shared" si="17"/>
        <v>1000000</v>
      </c>
      <c r="BH13" s="123">
        <f t="shared" ca="1" si="45"/>
        <v>1000000</v>
      </c>
      <c r="BI13" s="123">
        <f t="shared" ca="1" si="46"/>
        <v>0</v>
      </c>
      <c r="BJ13" s="123">
        <f t="shared" ca="1" si="47"/>
        <v>0</v>
      </c>
      <c r="BK13" s="123">
        <f t="shared" ca="1" si="4"/>
        <v>1000000</v>
      </c>
      <c r="BL13" s="123">
        <f t="shared" ca="1" si="48"/>
        <v>0</v>
      </c>
      <c r="BM13" s="121"/>
      <c r="BN13" s="126">
        <f ca="1">IF(LiabIntType2="Fixed",LiabFxdRate2,OFFSET(Vectors!$D$6,Vectors!A13,MATCH(LiabLoanIndex2,lstInterestRates,0))+LiabMarg2)</f>
        <v>0.04</v>
      </c>
      <c r="BO13" s="122">
        <f t="shared" ca="1" si="49"/>
        <v>34119.905847872607</v>
      </c>
      <c r="BP13" s="124">
        <f t="shared" ca="1" si="50"/>
        <v>0</v>
      </c>
      <c r="BQ13" s="123">
        <f t="shared" ca="1" si="51"/>
        <v>34119.905847872607</v>
      </c>
      <c r="BR13" s="123">
        <f t="shared" ca="1" si="52"/>
        <v>0</v>
      </c>
      <c r="BS13" s="121"/>
      <c r="BT13" s="123">
        <f t="shared" ca="1" si="18"/>
        <v>18068.32857286368</v>
      </c>
      <c r="BU13" s="123">
        <f t="shared" ca="1" si="53"/>
        <v>0</v>
      </c>
      <c r="BV13" s="123">
        <f t="shared" ca="1" si="54"/>
        <v>18068.32857286368</v>
      </c>
      <c r="BW13" s="123">
        <f t="shared" ca="1" si="55"/>
        <v>0</v>
      </c>
      <c r="BX13" s="121"/>
      <c r="BY13" s="123">
        <f t="shared" si="56"/>
        <v>0</v>
      </c>
      <c r="BZ13" s="123">
        <f t="shared" ca="1" si="57"/>
        <v>0</v>
      </c>
      <c r="CA13" s="121"/>
      <c r="CB13" s="122">
        <f t="shared" ca="1" si="5"/>
        <v>88039224.084165975</v>
      </c>
      <c r="CC13" s="122">
        <f t="shared" ca="1" si="58"/>
        <v>303790.16890673758</v>
      </c>
      <c r="CD13" s="124">
        <f t="shared" ca="1" si="59"/>
        <v>348954.2419142063</v>
      </c>
      <c r="CE13" s="121"/>
      <c r="CF13" s="122">
        <f t="shared" ca="1" si="6"/>
        <v>10235971.754361782</v>
      </c>
      <c r="CG13" s="124">
        <f t="shared" ca="1" si="60"/>
        <v>0</v>
      </c>
      <c r="CH13" s="123">
        <f t="shared" ca="1" si="61"/>
        <v>0</v>
      </c>
      <c r="CI13" s="121"/>
      <c r="CJ13" s="123">
        <f t="shared" ca="1" si="62"/>
        <v>1148422.5284200965</v>
      </c>
      <c r="CK13" s="123">
        <f t="shared" ca="1" si="63"/>
        <v>1148422.5284200967</v>
      </c>
      <c r="CL13" s="123">
        <f t="shared" ca="1" si="64"/>
        <v>0</v>
      </c>
      <c r="CM13" s="121"/>
      <c r="CN13" s="62">
        <f t="shared" ca="1" si="65"/>
        <v>176226.31562789183</v>
      </c>
      <c r="CO13" s="62" t="b">
        <f t="shared" si="66"/>
        <v>1</v>
      </c>
      <c r="CP13" s="126">
        <f t="shared" ca="1" si="67"/>
        <v>1.9444444444444443E-4</v>
      </c>
      <c r="CQ13" s="120"/>
      <c r="CR13" s="120"/>
      <c r="CS13" s="120"/>
      <c r="CT13" s="120"/>
      <c r="CU13" s="120"/>
      <c r="CV13" s="120"/>
      <c r="CW13" s="120"/>
      <c r="CX13" s="120"/>
      <c r="CY13" s="120"/>
      <c r="CZ13" s="120"/>
      <c r="DA13" s="120"/>
      <c r="DB13" s="120"/>
      <c r="DC13" s="120"/>
      <c r="DD13" s="120"/>
      <c r="DE13" s="116"/>
      <c r="DF13" s="116"/>
      <c r="DG13" s="116"/>
      <c r="DH13" s="116"/>
      <c r="DI13" s="116"/>
      <c r="DJ13" s="116"/>
      <c r="DK13" s="116"/>
      <c r="DL13" s="116"/>
      <c r="DM13" s="116"/>
      <c r="DN13" s="116"/>
    </row>
    <row r="14" spans="1:118" x14ac:dyDescent="0.2">
      <c r="A14" s="27">
        <v>8</v>
      </c>
      <c r="B14" s="29">
        <f t="shared" si="0"/>
        <v>39356</v>
      </c>
      <c r="C14" s="30">
        <f t="shared" si="1"/>
        <v>8.3333333333333329E-2</v>
      </c>
      <c r="D14" s="55"/>
      <c r="E14" s="62">
        <f t="shared" ca="1" si="19"/>
        <v>99608930.270765021</v>
      </c>
      <c r="F14" s="63">
        <f ca="1">IF(AssetIntType1="Fixed",AssetFxdRate1,IF(A14=1,OFFSET(Vectors!$D$6,A14,MATCH(AssetFltIndx1,lstInterestRates,0)),IF(MOD($A14,AssetRateReset1)=0,MAX(MIN(OFFSET(Vectors!$D$6,A14,MATCH(AssetFltIndx1,lstInterestRates,0)),(F13-AssetMarg1)+AssetPdCapFl1,AssetLifeCap1-AssetMarg1),(F13-AssetMarg1)-AssetPdCapFl1,AssetLifeFloor1-AssetMarg1),F13)))+AssetMarg1</f>
        <v>0.09</v>
      </c>
      <c r="G14" s="62">
        <f t="shared" ca="1" si="7"/>
        <v>804622.61694478267</v>
      </c>
      <c r="H14" s="62">
        <f t="shared" ca="1" si="20"/>
        <v>747066.97703073767</v>
      </c>
      <c r="I14" s="62">
        <f t="shared" ca="1" si="21"/>
        <v>57555.639914044994</v>
      </c>
      <c r="J14" s="62">
        <f t="shared" ca="1" si="2"/>
        <v>99551374.630850971</v>
      </c>
      <c r="K14" s="55"/>
      <c r="L14" s="62">
        <f t="shared" ca="1" si="22"/>
        <v>99123492.043007523</v>
      </c>
      <c r="M14" s="68">
        <f ca="1">IF(pdrLossTime1="",OFFSET(Vectors!$AE$6,A14+_Age1,MATCH(SDA_Loss,lstSDA,0)),OFFSET(Vectors!$X$6,A14+_Age1,MATCH(pdrLossTime1,lstDefaultCurve,0)))</f>
        <v>2.7777777777777779E-5</v>
      </c>
      <c r="N14" s="62">
        <f t="shared" ca="1" si="8"/>
        <v>2777.7777777777778</v>
      </c>
      <c r="O14" s="67">
        <f t="shared" ca="1" si="23"/>
        <v>0.99551374630850975</v>
      </c>
      <c r="P14" s="68">
        <f ca="1">OFFSET(Vectors!$L$6,A14+_Age1,MATCH(pdrPrepay1,lstPrepayCurve,0))*pdrPrepayStress1</f>
        <v>1.3432122426282334E-3</v>
      </c>
      <c r="Q14" s="62">
        <f t="shared" ca="1" si="24"/>
        <v>133066.95536704734</v>
      </c>
      <c r="R14" s="62">
        <f t="shared" ca="1" si="25"/>
        <v>57273.54086390217</v>
      </c>
      <c r="S14" s="69">
        <f t="shared" ca="1" si="26"/>
        <v>0.09</v>
      </c>
      <c r="T14" s="62">
        <f t="shared" ca="1" si="27"/>
        <v>743405.35698922304</v>
      </c>
      <c r="U14" s="62">
        <f t="shared" ca="1" si="9"/>
        <v>1111.1111111111111</v>
      </c>
      <c r="V14" s="62">
        <f t="shared" ca="1" si="3"/>
        <v>98930373.768998802</v>
      </c>
      <c r="W14" s="55"/>
      <c r="X14" s="62">
        <f t="shared" ca="1" si="28"/>
        <v>934856.9643312837</v>
      </c>
      <c r="Y14" s="55"/>
      <c r="Z14" s="118" t="b">
        <v>0</v>
      </c>
      <c r="AA14" s="120" t="b">
        <f t="shared" si="10"/>
        <v>0</v>
      </c>
      <c r="AB14" s="120" t="b">
        <f t="shared" si="11"/>
        <v>1</v>
      </c>
      <c r="AC14" s="120" t="b">
        <f t="shared" ca="1" si="12"/>
        <v>0</v>
      </c>
      <c r="AD14" s="121"/>
      <c r="AE14" s="129">
        <v>87013471.392510206</v>
      </c>
      <c r="AF14" s="69">
        <f ca="1">IF(Swap_Active="No",0,OFFSET(Vectors!$D$6,Vectors!A14,MATCH(Swap_In,lstInterestRates,0)))</f>
        <v>3.1869000000000001E-2</v>
      </c>
      <c r="AG14" s="62">
        <f t="shared" ca="1" si="29"/>
        <v>231086.02665065898</v>
      </c>
      <c r="AH14" s="69">
        <f ca="1">IF(Swap_Active="No",0,OFFSET(Vectors!$D$6,Vectors!A14,MATCH(Swap_Out,lstInterestRates,0)))</f>
        <v>0.04</v>
      </c>
      <c r="AI14" s="62">
        <f t="shared" ca="1" si="30"/>
        <v>290044.90464170068</v>
      </c>
      <c r="AJ14" s="62">
        <f t="shared" ca="1" si="31"/>
        <v>-58958.877991041692</v>
      </c>
      <c r="AK14" s="62">
        <f t="shared" ca="1" si="32"/>
        <v>875898.08634024207</v>
      </c>
      <c r="AL14" s="121"/>
      <c r="AM14" s="123">
        <f t="shared" ca="1" si="13"/>
        <v>201888.83010674836</v>
      </c>
      <c r="AN14" s="124">
        <f t="shared" ca="1" si="33"/>
        <v>201888.83010674836</v>
      </c>
      <c r="AO14" s="125">
        <f t="shared" ca="1" si="34"/>
        <v>0</v>
      </c>
      <c r="AP14" s="123">
        <f t="shared" ca="1" si="35"/>
        <v>674009.25623349368</v>
      </c>
      <c r="AQ14" s="121"/>
      <c r="AR14" s="126">
        <f ca="1">IF(LiabIntType1="Fixed",LiabFxdRate1,OFFSET(Vectors!$D$6,Vectors!A14,MATCH(LiabLoanIndex1,lstInterestRates,0))+LiabMarg1)</f>
        <v>4.1869000000000003E-2</v>
      </c>
      <c r="AS14" s="122">
        <f t="shared" ca="1" si="36"/>
        <v>307176.18943166215</v>
      </c>
      <c r="AT14" s="124">
        <f t="shared" ca="1" si="37"/>
        <v>307176.18943166215</v>
      </c>
      <c r="AU14" s="123">
        <f t="shared" ca="1" si="38"/>
        <v>0</v>
      </c>
      <c r="AV14" s="123">
        <f t="shared" ca="1" si="14"/>
        <v>0</v>
      </c>
      <c r="AW14" s="123">
        <f t="shared" ca="1" si="39"/>
        <v>0</v>
      </c>
      <c r="AX14" s="124">
        <f t="shared" ca="1" si="40"/>
        <v>366833.06680183153</v>
      </c>
      <c r="AY14" s="121"/>
      <c r="AZ14" s="122">
        <f t="shared" ca="1" si="15"/>
        <v>366833.06680183153</v>
      </c>
      <c r="BA14" s="124">
        <f t="shared" ca="1" si="41"/>
        <v>366833.06680183153</v>
      </c>
      <c r="BB14" s="123">
        <f t="shared" ca="1" si="42"/>
        <v>0</v>
      </c>
      <c r="BC14" s="123">
        <f t="shared" ca="1" si="16"/>
        <v>0</v>
      </c>
      <c r="BD14" s="123">
        <f t="shared" ca="1" si="43"/>
        <v>0</v>
      </c>
      <c r="BE14" s="124">
        <f t="shared" ca="1" si="44"/>
        <v>0</v>
      </c>
      <c r="BF14" s="121"/>
      <c r="BG14" s="123">
        <f t="shared" si="17"/>
        <v>1000000</v>
      </c>
      <c r="BH14" s="123">
        <f t="shared" ca="1" si="45"/>
        <v>1000000</v>
      </c>
      <c r="BI14" s="123">
        <f t="shared" ca="1" si="46"/>
        <v>0</v>
      </c>
      <c r="BJ14" s="123">
        <f t="shared" ca="1" si="47"/>
        <v>0</v>
      </c>
      <c r="BK14" s="123">
        <f t="shared" ca="1" si="4"/>
        <v>1000000</v>
      </c>
      <c r="BL14" s="123">
        <f t="shared" ca="1" si="48"/>
        <v>0</v>
      </c>
      <c r="BM14" s="121"/>
      <c r="BN14" s="126">
        <f ca="1">IF(LiabIntType2="Fixed",LiabFxdRate2,OFFSET(Vectors!$D$6,Vectors!A14,MATCH(LiabLoanIndex2,lstInterestRates,0))+LiabMarg2)</f>
        <v>0.04</v>
      </c>
      <c r="BO14" s="122">
        <f t="shared" ca="1" si="49"/>
        <v>34119.905847872607</v>
      </c>
      <c r="BP14" s="124">
        <f t="shared" ca="1" si="50"/>
        <v>0</v>
      </c>
      <c r="BQ14" s="123">
        <f t="shared" ca="1" si="51"/>
        <v>34119.905847872607</v>
      </c>
      <c r="BR14" s="123">
        <f t="shared" ca="1" si="52"/>
        <v>0</v>
      </c>
      <c r="BS14" s="121"/>
      <c r="BT14" s="123">
        <f t="shared" ca="1" si="18"/>
        <v>19800.246153825505</v>
      </c>
      <c r="BU14" s="123">
        <f t="shared" ca="1" si="53"/>
        <v>0</v>
      </c>
      <c r="BV14" s="123">
        <f t="shared" ca="1" si="54"/>
        <v>19800.246153825505</v>
      </c>
      <c r="BW14" s="123">
        <f t="shared" ca="1" si="55"/>
        <v>0</v>
      </c>
      <c r="BX14" s="121"/>
      <c r="BY14" s="123">
        <f t="shared" si="56"/>
        <v>0</v>
      </c>
      <c r="BZ14" s="123">
        <f t="shared" ca="1" si="57"/>
        <v>0</v>
      </c>
      <c r="CA14" s="121"/>
      <c r="CB14" s="122">
        <f t="shared" ca="1" si="5"/>
        <v>87672391.017364144</v>
      </c>
      <c r="CC14" s="122">
        <f t="shared" ca="1" si="58"/>
        <v>307176.18943166215</v>
      </c>
      <c r="CD14" s="124">
        <f t="shared" ca="1" si="59"/>
        <v>366833.06680183153</v>
      </c>
      <c r="CE14" s="121"/>
      <c r="CF14" s="122">
        <f t="shared" ca="1" si="6"/>
        <v>10235971.754361782</v>
      </c>
      <c r="CG14" s="124">
        <f t="shared" ca="1" si="60"/>
        <v>0</v>
      </c>
      <c r="CH14" s="123">
        <f t="shared" ca="1" si="61"/>
        <v>0</v>
      </c>
      <c r="CI14" s="121"/>
      <c r="CJ14" s="123">
        <f t="shared" ca="1" si="62"/>
        <v>1165942.9909819427</v>
      </c>
      <c r="CK14" s="123">
        <f t="shared" ca="1" si="63"/>
        <v>1165942.9909819427</v>
      </c>
      <c r="CL14" s="123">
        <f t="shared" ca="1" si="64"/>
        <v>0</v>
      </c>
      <c r="CM14" s="121"/>
      <c r="CN14" s="62">
        <f t="shared" ca="1" si="65"/>
        <v>193118.27400872728</v>
      </c>
      <c r="CO14" s="62" t="b">
        <f t="shared" si="66"/>
        <v>1</v>
      </c>
      <c r="CP14" s="126">
        <f t="shared" ca="1" si="67"/>
        <v>2.2222222222222221E-4</v>
      </c>
      <c r="CQ14" s="120"/>
      <c r="CR14" s="120"/>
      <c r="CS14" s="120"/>
      <c r="CT14" s="120"/>
      <c r="CU14" s="120"/>
      <c r="CV14" s="120"/>
      <c r="CW14" s="120"/>
      <c r="CX14" s="120"/>
      <c r="CY14" s="120"/>
      <c r="CZ14" s="120"/>
      <c r="DA14" s="120"/>
      <c r="DB14" s="120"/>
      <c r="DC14" s="120"/>
      <c r="DD14" s="120"/>
      <c r="DE14" s="116"/>
      <c r="DF14" s="116"/>
      <c r="DG14" s="116"/>
      <c r="DH14" s="116"/>
      <c r="DI14" s="116"/>
      <c r="DJ14" s="116"/>
      <c r="DK14" s="116"/>
      <c r="DL14" s="116"/>
      <c r="DM14" s="116"/>
      <c r="DN14" s="116"/>
    </row>
    <row r="15" spans="1:118" x14ac:dyDescent="0.2">
      <c r="A15" s="27">
        <v>9</v>
      </c>
      <c r="B15" s="29">
        <f t="shared" si="0"/>
        <v>39387</v>
      </c>
      <c r="C15" s="30">
        <f t="shared" si="1"/>
        <v>8.3333333333333329E-2</v>
      </c>
      <c r="D15" s="55"/>
      <c r="E15" s="62">
        <f t="shared" ca="1" si="19"/>
        <v>99551374.630850971</v>
      </c>
      <c r="F15" s="63">
        <f ca="1">IF(AssetIntType1="Fixed",AssetFxdRate1,IF(A15=1,OFFSET(Vectors!$D$6,A15,MATCH(AssetFltIndx1,lstInterestRates,0)),IF(MOD($A15,AssetRateReset1)=0,MAX(MIN(OFFSET(Vectors!$D$6,A15,MATCH(AssetFltIndx1,lstInterestRates,0)),(F14-AssetMarg1)+AssetPdCapFl1,AssetLifeCap1-AssetMarg1),(F14-AssetMarg1)-AssetPdCapFl1,AssetLifeFloor1-AssetMarg1),F14)))+AssetMarg1</f>
        <v>0.09</v>
      </c>
      <c r="G15" s="62">
        <f t="shared" ca="1" si="7"/>
        <v>804622.61694478267</v>
      </c>
      <c r="H15" s="62">
        <f t="shared" ca="1" si="20"/>
        <v>746635.30973138229</v>
      </c>
      <c r="I15" s="62">
        <f t="shared" ca="1" si="21"/>
        <v>57987.307213400374</v>
      </c>
      <c r="J15" s="62">
        <f t="shared" ca="1" si="2"/>
        <v>99493387.323637575</v>
      </c>
      <c r="K15" s="55"/>
      <c r="L15" s="62">
        <f t="shared" ca="1" si="22"/>
        <v>98930373.768998802</v>
      </c>
      <c r="M15" s="68">
        <f ca="1">IF(pdrLossTime1="",OFFSET(Vectors!$AE$6,A15+_Age1,MATCH(SDA_Loss,lstSDA,0)),OFFSET(Vectors!$X$6,A15+_Age1,MATCH(pdrLossTime1,lstDefaultCurve,0)))</f>
        <v>2.7777777777777779E-5</v>
      </c>
      <c r="N15" s="62">
        <f t="shared" ca="1" si="8"/>
        <v>2777.7777777777778</v>
      </c>
      <c r="O15" s="67">
        <f t="shared" ca="1" si="23"/>
        <v>0.99493387323637572</v>
      </c>
      <c r="P15" s="68">
        <f ca="1">OFFSET(Vectors!$L$6,A15+_Age1,MATCH(pdrPrepay1,lstPrepayCurve,0))*pdrPrepayStress1</f>
        <v>1.5125192070827298E-3</v>
      </c>
      <c r="Q15" s="62">
        <f t="shared" ca="1" si="24"/>
        <v>149546.93068875826</v>
      </c>
      <c r="R15" s="62">
        <f t="shared" ca="1" si="25"/>
        <v>57623.964730755892</v>
      </c>
      <c r="S15" s="69">
        <f t="shared" ca="1" si="26"/>
        <v>0.09</v>
      </c>
      <c r="T15" s="62">
        <f t="shared" ca="1" si="27"/>
        <v>741956.96993415768</v>
      </c>
      <c r="U15" s="62">
        <f t="shared" ca="1" si="9"/>
        <v>1111.1111111111111</v>
      </c>
      <c r="V15" s="62">
        <f t="shared" ca="1" si="3"/>
        <v>98720425.095801517</v>
      </c>
      <c r="W15" s="55"/>
      <c r="X15" s="62">
        <f t="shared" ca="1" si="28"/>
        <v>950238.97646478296</v>
      </c>
      <c r="Y15" s="55"/>
      <c r="Z15" s="118" t="b">
        <v>0</v>
      </c>
      <c r="AA15" s="120" t="b">
        <f t="shared" si="10"/>
        <v>0</v>
      </c>
      <c r="AB15" s="120" t="b">
        <f t="shared" si="11"/>
        <v>1</v>
      </c>
      <c r="AC15" s="120" t="b">
        <f t="shared" ca="1" si="12"/>
        <v>0</v>
      </c>
      <c r="AD15" s="121"/>
      <c r="AE15" s="129">
        <v>86031941.908670485</v>
      </c>
      <c r="AF15" s="69">
        <f ca="1">IF(Swap_Active="No",0,OFFSET(Vectors!$D$6,Vectors!A15,MATCH(Swap_In,lstInterestRates,0)))</f>
        <v>3.2494000000000002E-2</v>
      </c>
      <c r="AG15" s="62">
        <f t="shared" ca="1" si="29"/>
        <v>232960.16003169492</v>
      </c>
      <c r="AH15" s="69">
        <f ca="1">IF(Swap_Active="No",0,OFFSET(Vectors!$D$6,Vectors!A15,MATCH(Swap_Out,lstInterestRates,0)))</f>
        <v>0.04</v>
      </c>
      <c r="AI15" s="62">
        <f t="shared" ca="1" si="30"/>
        <v>286773.13969556824</v>
      </c>
      <c r="AJ15" s="62">
        <f t="shared" ca="1" si="31"/>
        <v>-53812.979663873324</v>
      </c>
      <c r="AK15" s="62">
        <f t="shared" ca="1" si="32"/>
        <v>896425.99680090963</v>
      </c>
      <c r="AL15" s="121"/>
      <c r="AM15" s="123">
        <f t="shared" ca="1" si="13"/>
        <v>201414.11920556639</v>
      </c>
      <c r="AN15" s="124">
        <f t="shared" ca="1" si="33"/>
        <v>201414.11920556639</v>
      </c>
      <c r="AO15" s="125">
        <f t="shared" ca="1" si="34"/>
        <v>0</v>
      </c>
      <c r="AP15" s="123">
        <f t="shared" ca="1" si="35"/>
        <v>695011.87759534328</v>
      </c>
      <c r="AQ15" s="121"/>
      <c r="AR15" s="126">
        <f ca="1">IF(LiabIntType1="Fixed",LiabFxdRate1,OFFSET(Vectors!$D$6,Vectors!A15,MATCH(LiabLoanIndex1,lstInterestRates,0))+LiabMarg1)</f>
        <v>4.2494000000000004E-2</v>
      </c>
      <c r="AS15" s="122">
        <f t="shared" ca="1" si="36"/>
        <v>310462.54865765601</v>
      </c>
      <c r="AT15" s="124">
        <f t="shared" ca="1" si="37"/>
        <v>310462.54865765601</v>
      </c>
      <c r="AU15" s="123">
        <f t="shared" ca="1" si="38"/>
        <v>0</v>
      </c>
      <c r="AV15" s="123">
        <f t="shared" ca="1" si="14"/>
        <v>0</v>
      </c>
      <c r="AW15" s="123">
        <f t="shared" ca="1" si="39"/>
        <v>0</v>
      </c>
      <c r="AX15" s="124">
        <f t="shared" ca="1" si="40"/>
        <v>384549.32893768727</v>
      </c>
      <c r="AY15" s="121"/>
      <c r="AZ15" s="122">
        <f t="shared" ca="1" si="15"/>
        <v>384549.32893768727</v>
      </c>
      <c r="BA15" s="124">
        <f t="shared" ca="1" si="41"/>
        <v>384549.32893768727</v>
      </c>
      <c r="BB15" s="123">
        <f t="shared" ca="1" si="42"/>
        <v>0</v>
      </c>
      <c r="BC15" s="123">
        <f t="shared" ca="1" si="16"/>
        <v>0</v>
      </c>
      <c r="BD15" s="123">
        <f t="shared" ca="1" si="43"/>
        <v>0</v>
      </c>
      <c r="BE15" s="124">
        <f t="shared" ca="1" si="44"/>
        <v>0</v>
      </c>
      <c r="BF15" s="121"/>
      <c r="BG15" s="123">
        <f t="shared" si="17"/>
        <v>1000000</v>
      </c>
      <c r="BH15" s="123">
        <f t="shared" ca="1" si="45"/>
        <v>1000000</v>
      </c>
      <c r="BI15" s="123">
        <f t="shared" ca="1" si="46"/>
        <v>0</v>
      </c>
      <c r="BJ15" s="123">
        <f t="shared" ca="1" si="47"/>
        <v>0</v>
      </c>
      <c r="BK15" s="123">
        <f t="shared" ca="1" si="4"/>
        <v>1000000</v>
      </c>
      <c r="BL15" s="123">
        <f t="shared" ca="1" si="48"/>
        <v>0</v>
      </c>
      <c r="BM15" s="121"/>
      <c r="BN15" s="126">
        <f ca="1">IF(LiabIntType2="Fixed",LiabFxdRate2,OFFSET(Vectors!$D$6,Vectors!A15,MATCH(LiabLoanIndex2,lstInterestRates,0))+LiabMarg2)</f>
        <v>0.04</v>
      </c>
      <c r="BO15" s="122">
        <f t="shared" ca="1" si="49"/>
        <v>34119.905847872607</v>
      </c>
      <c r="BP15" s="124">
        <f t="shared" ca="1" si="50"/>
        <v>0</v>
      </c>
      <c r="BQ15" s="123">
        <f t="shared" ca="1" si="51"/>
        <v>34119.905847872607</v>
      </c>
      <c r="BR15" s="123">
        <f t="shared" ca="1" si="52"/>
        <v>0</v>
      </c>
      <c r="BS15" s="121"/>
      <c r="BT15" s="123">
        <f t="shared" ca="1" si="18"/>
        <v>21525.852125146819</v>
      </c>
      <c r="BU15" s="123">
        <f t="shared" ca="1" si="53"/>
        <v>0</v>
      </c>
      <c r="BV15" s="123">
        <f t="shared" ca="1" si="54"/>
        <v>21525.852125146819</v>
      </c>
      <c r="BW15" s="123">
        <f t="shared" ca="1" si="55"/>
        <v>0</v>
      </c>
      <c r="BX15" s="121"/>
      <c r="BY15" s="123">
        <f t="shared" si="56"/>
        <v>0</v>
      </c>
      <c r="BZ15" s="123">
        <f t="shared" ca="1" si="57"/>
        <v>0</v>
      </c>
      <c r="CA15" s="121"/>
      <c r="CB15" s="122">
        <f t="shared" ca="1" si="5"/>
        <v>87287841.68842645</v>
      </c>
      <c r="CC15" s="122">
        <f t="shared" ca="1" si="58"/>
        <v>310462.54865765601</v>
      </c>
      <c r="CD15" s="124">
        <f t="shared" ca="1" si="59"/>
        <v>384549.32893768727</v>
      </c>
      <c r="CE15" s="121"/>
      <c r="CF15" s="122">
        <f t="shared" ca="1" si="6"/>
        <v>10235971.754361782</v>
      </c>
      <c r="CG15" s="124">
        <f t="shared" ca="1" si="60"/>
        <v>0</v>
      </c>
      <c r="CH15" s="123">
        <f t="shared" ca="1" si="61"/>
        <v>0</v>
      </c>
      <c r="CI15" s="121"/>
      <c r="CJ15" s="123">
        <f t="shared" ca="1" si="62"/>
        <v>1183199.1364964778</v>
      </c>
      <c r="CK15" s="123">
        <f t="shared" ca="1" si="63"/>
        <v>1183199.1364964778</v>
      </c>
      <c r="CL15" s="123">
        <f t="shared" ca="1" si="64"/>
        <v>0</v>
      </c>
      <c r="CM15" s="121"/>
      <c r="CN15" s="62">
        <f t="shared" ca="1" si="65"/>
        <v>209948.67319729194</v>
      </c>
      <c r="CO15" s="62" t="b">
        <f t="shared" si="66"/>
        <v>1</v>
      </c>
      <c r="CP15" s="126">
        <f t="shared" ca="1" si="67"/>
        <v>2.5000000000000001E-4</v>
      </c>
      <c r="CQ15" s="120"/>
      <c r="CR15" s="120"/>
      <c r="CS15" s="120"/>
      <c r="CT15" s="120"/>
      <c r="CU15" s="120"/>
      <c r="CV15" s="120"/>
      <c r="CW15" s="120"/>
      <c r="CX15" s="120"/>
      <c r="CY15" s="120"/>
      <c r="CZ15" s="120"/>
      <c r="DA15" s="120"/>
      <c r="DB15" s="120"/>
      <c r="DC15" s="120"/>
      <c r="DD15" s="120"/>
      <c r="DE15" s="116"/>
      <c r="DF15" s="116"/>
      <c r="DG15" s="116"/>
      <c r="DH15" s="116"/>
      <c r="DI15" s="116"/>
      <c r="DJ15" s="116"/>
      <c r="DK15" s="116"/>
      <c r="DL15" s="116"/>
      <c r="DM15" s="116"/>
      <c r="DN15" s="116"/>
    </row>
    <row r="16" spans="1:118" x14ac:dyDescent="0.2">
      <c r="A16" s="27">
        <v>10</v>
      </c>
      <c r="B16" s="29">
        <f t="shared" si="0"/>
        <v>39417</v>
      </c>
      <c r="C16" s="30">
        <f t="shared" si="1"/>
        <v>8.3333333333333329E-2</v>
      </c>
      <c r="D16" s="55"/>
      <c r="E16" s="62">
        <f t="shared" ca="1" si="19"/>
        <v>99493387.323637575</v>
      </c>
      <c r="F16" s="63">
        <f ca="1">IF(AssetIntType1="Fixed",AssetFxdRate1,IF(A16=1,OFFSET(Vectors!$D$6,A16,MATCH(AssetFltIndx1,lstInterestRates,0)),IF(MOD($A16,AssetRateReset1)=0,MAX(MIN(OFFSET(Vectors!$D$6,A16,MATCH(AssetFltIndx1,lstInterestRates,0)),(F15-AssetMarg1)+AssetPdCapFl1,AssetLifeCap1-AssetMarg1),(F15-AssetMarg1)-AssetPdCapFl1,AssetLifeFloor1-AssetMarg1),F15)))+AssetMarg1</f>
        <v>0.09</v>
      </c>
      <c r="G16" s="62">
        <f t="shared" ca="1" si="7"/>
        <v>804622.61694478267</v>
      </c>
      <c r="H16" s="62">
        <f t="shared" ca="1" si="20"/>
        <v>746200.40492728178</v>
      </c>
      <c r="I16" s="62">
        <f t="shared" ca="1" si="21"/>
        <v>58422.212017500889</v>
      </c>
      <c r="J16" s="62">
        <f t="shared" ca="1" si="2"/>
        <v>99434965.111620069</v>
      </c>
      <c r="K16" s="55"/>
      <c r="L16" s="62">
        <f t="shared" ca="1" si="22"/>
        <v>98720425.095801517</v>
      </c>
      <c r="M16" s="68">
        <f ca="1">IF(pdrLossTime1="",OFFSET(Vectors!$AE$6,A16+_Age1,MATCH(SDA_Loss,lstSDA,0)),OFFSET(Vectors!$X$6,A16+_Age1,MATCH(pdrLossTime1,lstDefaultCurve,0)))</f>
        <v>2.7777777777777779E-5</v>
      </c>
      <c r="N16" s="62">
        <f t="shared" ca="1" si="8"/>
        <v>2777.7777777777778</v>
      </c>
      <c r="O16" s="67">
        <f t="shared" ca="1" si="23"/>
        <v>0.99434965111620066</v>
      </c>
      <c r="P16" s="68">
        <f ca="1">OFFSET(Vectors!$L$6,A16+_Age1,MATCH(pdrPrepay1,lstPrepayCurve,0))*pdrPrepayStress1</f>
        <v>1.6821425527395739E-3</v>
      </c>
      <c r="Q16" s="62">
        <f t="shared" ca="1" si="24"/>
        <v>165964.31688195656</v>
      </c>
      <c r="R16" s="62">
        <f t="shared" ca="1" si="25"/>
        <v>57966.699864411923</v>
      </c>
      <c r="S16" s="69">
        <f t="shared" ca="1" si="26"/>
        <v>0.09</v>
      </c>
      <c r="T16" s="62">
        <f t="shared" ca="1" si="27"/>
        <v>740382.35488517804</v>
      </c>
      <c r="U16" s="62">
        <f t="shared" ca="1" si="9"/>
        <v>1111.1111111111111</v>
      </c>
      <c r="V16" s="62">
        <f t="shared" ca="1" si="3"/>
        <v>98493716.301277369</v>
      </c>
      <c r="W16" s="55"/>
      <c r="X16" s="62">
        <f t="shared" ca="1" si="28"/>
        <v>965424.48274265765</v>
      </c>
      <c r="Y16" s="55"/>
      <c r="Z16" s="118" t="b">
        <v>0</v>
      </c>
      <c r="AA16" s="120" t="b">
        <f t="shared" si="10"/>
        <v>0</v>
      </c>
      <c r="AB16" s="120" t="b">
        <f t="shared" si="11"/>
        <v>1</v>
      </c>
      <c r="AC16" s="120" t="b">
        <f t="shared" ca="1" si="12"/>
        <v>0</v>
      </c>
      <c r="AD16" s="121"/>
      <c r="AE16" s="129">
        <v>85060364.47575967</v>
      </c>
      <c r="AF16" s="69">
        <f ca="1">IF(Swap_Active="No",0,OFFSET(Vectors!$D$6,Vectors!A16,MATCH(Swap_In,lstInterestRates,0)))</f>
        <v>3.3119000000000003E-2</v>
      </c>
      <c r="AG16" s="62">
        <f t="shared" ca="1" si="29"/>
        <v>234759.51758939039</v>
      </c>
      <c r="AH16" s="69">
        <f ca="1">IF(Swap_Active="No",0,OFFSET(Vectors!$D$6,Vectors!A16,MATCH(Swap_Out,lstInterestRates,0)))</f>
        <v>0.04</v>
      </c>
      <c r="AI16" s="62">
        <f t="shared" ca="1" si="30"/>
        <v>283534.54825253226</v>
      </c>
      <c r="AJ16" s="62">
        <f t="shared" ca="1" si="31"/>
        <v>-48775.030663141864</v>
      </c>
      <c r="AK16" s="62">
        <f t="shared" ca="1" si="32"/>
        <v>916649.45207951579</v>
      </c>
      <c r="AL16" s="121"/>
      <c r="AM16" s="123">
        <f t="shared" ca="1" si="13"/>
        <v>200903.97586318021</v>
      </c>
      <c r="AN16" s="124">
        <f t="shared" ca="1" si="33"/>
        <v>200903.97586318021</v>
      </c>
      <c r="AO16" s="125">
        <f t="shared" ca="1" si="34"/>
        <v>0</v>
      </c>
      <c r="AP16" s="123">
        <f t="shared" ca="1" si="35"/>
        <v>715745.47621633555</v>
      </c>
      <c r="AQ16" s="121"/>
      <c r="AR16" s="126">
        <f ca="1">IF(LiabIntType1="Fixed",LiabFxdRate1,OFFSET(Vectors!$D$6,Vectors!A16,MATCH(LiabLoanIndex1,lstInterestRates,0))+LiabMarg1)</f>
        <v>4.3119000000000005E-2</v>
      </c>
      <c r="AS16" s="122">
        <f t="shared" ca="1" si="36"/>
        <v>313647.03714693832</v>
      </c>
      <c r="AT16" s="124">
        <f t="shared" ca="1" si="37"/>
        <v>313647.03714693832</v>
      </c>
      <c r="AU16" s="123">
        <f t="shared" ca="1" si="38"/>
        <v>0</v>
      </c>
      <c r="AV16" s="123">
        <f t="shared" ca="1" si="14"/>
        <v>0</v>
      </c>
      <c r="AW16" s="123">
        <f t="shared" ca="1" si="39"/>
        <v>0</v>
      </c>
      <c r="AX16" s="124">
        <f t="shared" ca="1" si="40"/>
        <v>402098.43906939722</v>
      </c>
      <c r="AY16" s="121"/>
      <c r="AZ16" s="122">
        <f t="shared" ca="1" si="15"/>
        <v>402098.43906939722</v>
      </c>
      <c r="BA16" s="124">
        <f t="shared" ca="1" si="41"/>
        <v>402098.43906939722</v>
      </c>
      <c r="BB16" s="123">
        <f t="shared" ca="1" si="42"/>
        <v>0</v>
      </c>
      <c r="BC16" s="123">
        <f t="shared" ca="1" si="16"/>
        <v>0</v>
      </c>
      <c r="BD16" s="123">
        <f t="shared" ca="1" si="43"/>
        <v>0</v>
      </c>
      <c r="BE16" s="124">
        <f t="shared" ca="1" si="44"/>
        <v>0</v>
      </c>
      <c r="BF16" s="121"/>
      <c r="BG16" s="123">
        <f t="shared" si="17"/>
        <v>1000000</v>
      </c>
      <c r="BH16" s="123">
        <f t="shared" ca="1" si="45"/>
        <v>1000000</v>
      </c>
      <c r="BI16" s="123">
        <f t="shared" ca="1" si="46"/>
        <v>0</v>
      </c>
      <c r="BJ16" s="123">
        <f t="shared" ca="1" si="47"/>
        <v>0</v>
      </c>
      <c r="BK16" s="123">
        <f t="shared" ca="1" si="4"/>
        <v>1000000</v>
      </c>
      <c r="BL16" s="123">
        <f t="shared" ca="1" si="48"/>
        <v>0</v>
      </c>
      <c r="BM16" s="121"/>
      <c r="BN16" s="126">
        <f ca="1">IF(LiabIntType2="Fixed",LiabFxdRate2,OFFSET(Vectors!$D$6,Vectors!A16,MATCH(LiabLoanIndex2,lstInterestRates,0))+LiabMarg2)</f>
        <v>0.04</v>
      </c>
      <c r="BO16" s="122">
        <f t="shared" ca="1" si="49"/>
        <v>34119.905847872607</v>
      </c>
      <c r="BP16" s="124">
        <f t="shared" ca="1" si="50"/>
        <v>0</v>
      </c>
      <c r="BQ16" s="123">
        <f t="shared" ca="1" si="51"/>
        <v>34119.905847872607</v>
      </c>
      <c r="BR16" s="123">
        <f t="shared" ca="1" si="52"/>
        <v>0</v>
      </c>
      <c r="BS16" s="121"/>
      <c r="BT16" s="123">
        <f t="shared" ca="1" si="18"/>
        <v>23244.252569346623</v>
      </c>
      <c r="BU16" s="123">
        <f t="shared" ca="1" si="53"/>
        <v>0</v>
      </c>
      <c r="BV16" s="123">
        <f t="shared" ca="1" si="54"/>
        <v>23244.252569346623</v>
      </c>
      <c r="BW16" s="123">
        <f t="shared" ca="1" si="55"/>
        <v>0</v>
      </c>
      <c r="BX16" s="121"/>
      <c r="BY16" s="123">
        <f t="shared" si="56"/>
        <v>0</v>
      </c>
      <c r="BZ16" s="123">
        <f t="shared" ca="1" si="57"/>
        <v>0</v>
      </c>
      <c r="CA16" s="121"/>
      <c r="CB16" s="122">
        <f t="shared" ca="1" si="5"/>
        <v>86885743.24935706</v>
      </c>
      <c r="CC16" s="122">
        <f t="shared" ca="1" si="58"/>
        <v>313647.03714693832</v>
      </c>
      <c r="CD16" s="124">
        <f t="shared" ca="1" si="59"/>
        <v>402098.43906939722</v>
      </c>
      <c r="CE16" s="121"/>
      <c r="CF16" s="122">
        <f t="shared" ca="1" si="6"/>
        <v>10235971.754361782</v>
      </c>
      <c r="CG16" s="124">
        <f t="shared" ca="1" si="60"/>
        <v>0</v>
      </c>
      <c r="CH16" s="123">
        <f t="shared" ca="1" si="61"/>
        <v>0</v>
      </c>
      <c r="CI16" s="121"/>
      <c r="CJ16" s="123">
        <f t="shared" ca="1" si="62"/>
        <v>1200184.0003320482</v>
      </c>
      <c r="CK16" s="123">
        <f t="shared" ca="1" si="63"/>
        <v>1200184.0003320482</v>
      </c>
      <c r="CL16" s="123">
        <f t="shared" ca="1" si="64"/>
        <v>0</v>
      </c>
      <c r="CM16" s="121"/>
      <c r="CN16" s="62">
        <f t="shared" ca="1" si="65"/>
        <v>226708.79452414627</v>
      </c>
      <c r="CO16" s="62" t="b">
        <f t="shared" si="66"/>
        <v>1</v>
      </c>
      <c r="CP16" s="126">
        <f t="shared" ca="1" si="67"/>
        <v>2.7777777777777778E-4</v>
      </c>
      <c r="CQ16" s="120"/>
      <c r="CR16" s="120"/>
      <c r="CS16" s="120"/>
      <c r="CT16" s="120"/>
      <c r="CU16" s="120"/>
      <c r="CV16" s="120"/>
      <c r="CW16" s="120"/>
      <c r="CX16" s="120"/>
      <c r="CY16" s="120"/>
      <c r="CZ16" s="120"/>
      <c r="DA16" s="120"/>
      <c r="DB16" s="120"/>
      <c r="DC16" s="120"/>
      <c r="DD16" s="120"/>
      <c r="DE16" s="116"/>
      <c r="DF16" s="116"/>
      <c r="DG16" s="116"/>
      <c r="DH16" s="116"/>
      <c r="DI16" s="116"/>
      <c r="DJ16" s="116"/>
      <c r="DK16" s="116"/>
      <c r="DL16" s="116"/>
      <c r="DM16" s="116"/>
      <c r="DN16" s="116"/>
    </row>
    <row r="17" spans="1:118" x14ac:dyDescent="0.2">
      <c r="A17" s="27">
        <v>11</v>
      </c>
      <c r="B17" s="29">
        <f t="shared" si="0"/>
        <v>39448</v>
      </c>
      <c r="C17" s="30">
        <f t="shared" si="1"/>
        <v>8.3333333333333329E-2</v>
      </c>
      <c r="D17" s="55"/>
      <c r="E17" s="62">
        <f t="shared" ca="1" si="19"/>
        <v>99434965.111620069</v>
      </c>
      <c r="F17" s="63">
        <f ca="1">IF(AssetIntType1="Fixed",AssetFxdRate1,IF(A17=1,OFFSET(Vectors!$D$6,A17,MATCH(AssetFltIndx1,lstInterestRates,0)),IF(MOD($A17,AssetRateReset1)=0,MAX(MIN(OFFSET(Vectors!$D$6,A17,MATCH(AssetFltIndx1,lstInterestRates,0)),(F16-AssetMarg1)+AssetPdCapFl1,AssetLifeCap1-AssetMarg1),(F16-AssetMarg1)-AssetPdCapFl1,AssetLifeFloor1-AssetMarg1),F16)))+AssetMarg1</f>
        <v>0.09</v>
      </c>
      <c r="G17" s="62">
        <f t="shared" ca="1" si="7"/>
        <v>804622.61694478267</v>
      </c>
      <c r="H17" s="62">
        <f t="shared" ca="1" si="20"/>
        <v>745762.23833715054</v>
      </c>
      <c r="I17" s="62">
        <f t="shared" ca="1" si="21"/>
        <v>58860.378607632127</v>
      </c>
      <c r="J17" s="62">
        <f t="shared" ca="1" si="2"/>
        <v>99376104.733012438</v>
      </c>
      <c r="K17" s="55"/>
      <c r="L17" s="62">
        <f t="shared" ca="1" si="22"/>
        <v>98493716.301277369</v>
      </c>
      <c r="M17" s="68">
        <f ca="1">IF(pdrLossTime1="",OFFSET(Vectors!$AE$6,A17+_Age1,MATCH(SDA_Loss,lstSDA,0)),OFFSET(Vectors!$X$6,A17+_Age1,MATCH(pdrLossTime1,lstDefaultCurve,0)))</f>
        <v>2.7777777777777779E-5</v>
      </c>
      <c r="N17" s="62">
        <f t="shared" ca="1" si="8"/>
        <v>2777.7777777777778</v>
      </c>
      <c r="O17" s="67">
        <f t="shared" ca="1" si="23"/>
        <v>0.99376104733012438</v>
      </c>
      <c r="P17" s="68">
        <f ca="1">OFFSET(Vectors!$L$6,A17+_Age1,MATCH(pdrPrepay1,lstPrepayCurve,0))*pdrPrepayStress1</f>
        <v>1.8520835183041262E-3</v>
      </c>
      <c r="Q17" s="62">
        <f t="shared" ca="1" si="24"/>
        <v>182310.60620791599</v>
      </c>
      <c r="R17" s="62">
        <f t="shared" ca="1" si="25"/>
        <v>58301.563483284423</v>
      </c>
      <c r="S17" s="69">
        <f t="shared" ca="1" si="26"/>
        <v>0.09</v>
      </c>
      <c r="T17" s="62">
        <f t="shared" ca="1" si="27"/>
        <v>738682.03892624693</v>
      </c>
      <c r="U17" s="62">
        <f t="shared" ca="1" si="9"/>
        <v>1111.1111111111111</v>
      </c>
      <c r="V17" s="62">
        <f t="shared" ca="1" si="3"/>
        <v>98250326.353808388</v>
      </c>
      <c r="W17" s="55"/>
      <c r="X17" s="62">
        <f t="shared" ca="1" si="28"/>
        <v>980405.31972855853</v>
      </c>
      <c r="Y17" s="55"/>
      <c r="Z17" s="118" t="b">
        <v>0</v>
      </c>
      <c r="AA17" s="120" t="b">
        <f t="shared" si="10"/>
        <v>0</v>
      </c>
      <c r="AB17" s="120" t="b">
        <f t="shared" si="11"/>
        <v>1</v>
      </c>
      <c r="AC17" s="120" t="b">
        <f t="shared" ca="1" si="12"/>
        <v>0</v>
      </c>
      <c r="AD17" s="121"/>
      <c r="AE17" s="129">
        <v>84098639.221121565</v>
      </c>
      <c r="AF17" s="69">
        <f ca="1">IF(Swap_Active="No",0,OFFSET(Vectors!$D$6,Vectors!A17,MATCH(Swap_In,lstInterestRates,0)))</f>
        <v>3.3744000000000003E-2</v>
      </c>
      <c r="AG17" s="62">
        <f t="shared" ca="1" si="29"/>
        <v>236485.37348979386</v>
      </c>
      <c r="AH17" s="69">
        <f ca="1">IF(Swap_Active="No",0,OFFSET(Vectors!$D$6,Vectors!A17,MATCH(Swap_Out,lstInterestRates,0)))</f>
        <v>0.04</v>
      </c>
      <c r="AI17" s="62">
        <f t="shared" ca="1" si="30"/>
        <v>280328.79740373854</v>
      </c>
      <c r="AJ17" s="62">
        <f t="shared" ca="1" si="31"/>
        <v>-43843.423913944687</v>
      </c>
      <c r="AK17" s="62">
        <f t="shared" ca="1" si="32"/>
        <v>936561.8958146139</v>
      </c>
      <c r="AL17" s="121"/>
      <c r="AM17" s="123">
        <f t="shared" ca="1" si="13"/>
        <v>200358.58685602772</v>
      </c>
      <c r="AN17" s="124">
        <f t="shared" ca="1" si="33"/>
        <v>200358.58685602772</v>
      </c>
      <c r="AO17" s="125">
        <f t="shared" ca="1" si="34"/>
        <v>0</v>
      </c>
      <c r="AP17" s="123">
        <f t="shared" ca="1" si="35"/>
        <v>736203.30895858619</v>
      </c>
      <c r="AQ17" s="121"/>
      <c r="AR17" s="126">
        <f ca="1">IF(LiabIntType1="Fixed",LiabFxdRate1,OFFSET(Vectors!$D$6,Vectors!A17,MATCH(LiabLoanIndex1,lstInterestRates,0))+LiabMarg1)</f>
        <v>4.3744000000000005E-2</v>
      </c>
      <c r="AS17" s="122">
        <f t="shared" ca="1" si="36"/>
        <v>316727.49605832295</v>
      </c>
      <c r="AT17" s="124">
        <f t="shared" ca="1" si="37"/>
        <v>316727.49605832295</v>
      </c>
      <c r="AU17" s="123">
        <f t="shared" ca="1" si="38"/>
        <v>0</v>
      </c>
      <c r="AV17" s="123">
        <f t="shared" ca="1" si="14"/>
        <v>0</v>
      </c>
      <c r="AW17" s="123">
        <f t="shared" ca="1" si="39"/>
        <v>0</v>
      </c>
      <c r="AX17" s="124">
        <f t="shared" ca="1" si="40"/>
        <v>419475.81290026323</v>
      </c>
      <c r="AY17" s="121"/>
      <c r="AZ17" s="122">
        <f t="shared" ca="1" si="15"/>
        <v>419475.81290026323</v>
      </c>
      <c r="BA17" s="124">
        <f t="shared" ca="1" si="41"/>
        <v>419475.81290026323</v>
      </c>
      <c r="BB17" s="123">
        <f t="shared" ca="1" si="42"/>
        <v>0</v>
      </c>
      <c r="BC17" s="123">
        <f t="shared" ca="1" si="16"/>
        <v>0</v>
      </c>
      <c r="BD17" s="123">
        <f t="shared" ca="1" si="43"/>
        <v>0</v>
      </c>
      <c r="BE17" s="124">
        <f t="shared" ca="1" si="44"/>
        <v>0</v>
      </c>
      <c r="BF17" s="121"/>
      <c r="BG17" s="123">
        <f t="shared" si="17"/>
        <v>1000000</v>
      </c>
      <c r="BH17" s="123">
        <f t="shared" ca="1" si="45"/>
        <v>1000000</v>
      </c>
      <c r="BI17" s="123">
        <f t="shared" ca="1" si="46"/>
        <v>0</v>
      </c>
      <c r="BJ17" s="123">
        <f t="shared" ca="1" si="47"/>
        <v>0</v>
      </c>
      <c r="BK17" s="123">
        <f t="shared" ca="1" si="4"/>
        <v>1000000</v>
      </c>
      <c r="BL17" s="123">
        <f t="shared" ca="1" si="48"/>
        <v>0</v>
      </c>
      <c r="BM17" s="121"/>
      <c r="BN17" s="126">
        <f ca="1">IF(LiabIntType2="Fixed",LiabFxdRate2,OFFSET(Vectors!$D$6,Vectors!A17,MATCH(LiabLoanIndex2,lstInterestRates,0))+LiabMarg2)</f>
        <v>0.04</v>
      </c>
      <c r="BO17" s="122">
        <f t="shared" ca="1" si="49"/>
        <v>34119.905847872607</v>
      </c>
      <c r="BP17" s="124">
        <f t="shared" ca="1" si="50"/>
        <v>0</v>
      </c>
      <c r="BQ17" s="123">
        <f t="shared" ca="1" si="51"/>
        <v>34119.905847872607</v>
      </c>
      <c r="BR17" s="123">
        <f t="shared" ca="1" si="52"/>
        <v>0</v>
      </c>
      <c r="BS17" s="121"/>
      <c r="BT17" s="123">
        <f t="shared" ca="1" si="18"/>
        <v>24954.556455049104</v>
      </c>
      <c r="BU17" s="123">
        <f t="shared" ca="1" si="53"/>
        <v>0</v>
      </c>
      <c r="BV17" s="123">
        <f t="shared" ca="1" si="54"/>
        <v>24954.556455049104</v>
      </c>
      <c r="BW17" s="123">
        <f t="shared" ca="1" si="55"/>
        <v>0</v>
      </c>
      <c r="BX17" s="121"/>
      <c r="BY17" s="123">
        <f t="shared" si="56"/>
        <v>0</v>
      </c>
      <c r="BZ17" s="123">
        <f t="shared" ca="1" si="57"/>
        <v>0</v>
      </c>
      <c r="CA17" s="121"/>
      <c r="CB17" s="122">
        <f t="shared" ca="1" si="5"/>
        <v>86466267.4364568</v>
      </c>
      <c r="CC17" s="122">
        <f t="shared" ca="1" si="58"/>
        <v>316727.49605832295</v>
      </c>
      <c r="CD17" s="124">
        <f t="shared" ca="1" si="59"/>
        <v>419475.81290026323</v>
      </c>
      <c r="CE17" s="121"/>
      <c r="CF17" s="122">
        <f t="shared" ca="1" si="6"/>
        <v>10235971.754361782</v>
      </c>
      <c r="CG17" s="124">
        <f t="shared" ca="1" si="60"/>
        <v>0</v>
      </c>
      <c r="CH17" s="123">
        <f t="shared" ca="1" si="61"/>
        <v>0</v>
      </c>
      <c r="CI17" s="121"/>
      <c r="CJ17" s="123">
        <f t="shared" ca="1" si="62"/>
        <v>1216890.6932183523</v>
      </c>
      <c r="CK17" s="123">
        <f t="shared" ca="1" si="63"/>
        <v>1216890.6932183523</v>
      </c>
      <c r="CL17" s="123">
        <f t="shared" ca="1" si="64"/>
        <v>0</v>
      </c>
      <c r="CM17" s="121"/>
      <c r="CN17" s="62">
        <f t="shared" ca="1" si="65"/>
        <v>243389.94746897818</v>
      </c>
      <c r="CO17" s="62" t="b">
        <f t="shared" si="66"/>
        <v>1</v>
      </c>
      <c r="CP17" s="126">
        <f t="shared" ca="1" si="67"/>
        <v>3.0555555555555555E-4</v>
      </c>
      <c r="CQ17" s="120"/>
      <c r="CR17" s="120"/>
      <c r="CS17" s="120"/>
      <c r="CT17" s="120"/>
      <c r="CU17" s="120"/>
      <c r="CV17" s="120"/>
      <c r="CW17" s="120"/>
      <c r="CX17" s="120"/>
      <c r="CY17" s="120"/>
      <c r="CZ17" s="120"/>
      <c r="DA17" s="120"/>
      <c r="DB17" s="120"/>
      <c r="DC17" s="120"/>
      <c r="DD17" s="120"/>
      <c r="DE17" s="116"/>
      <c r="DF17" s="116"/>
      <c r="DG17" s="116"/>
      <c r="DH17" s="116"/>
      <c r="DI17" s="116"/>
      <c r="DJ17" s="116"/>
      <c r="DK17" s="116"/>
      <c r="DL17" s="116"/>
      <c r="DM17" s="116"/>
      <c r="DN17" s="116"/>
    </row>
    <row r="18" spans="1:118" x14ac:dyDescent="0.2">
      <c r="A18" s="27">
        <v>12</v>
      </c>
      <c r="B18" s="29">
        <f t="shared" si="0"/>
        <v>39479</v>
      </c>
      <c r="C18" s="30">
        <f t="shared" si="1"/>
        <v>8.3333333333333329E-2</v>
      </c>
      <c r="D18" s="55"/>
      <c r="E18" s="62">
        <f t="shared" ca="1" si="19"/>
        <v>99376104.733012438</v>
      </c>
      <c r="F18" s="63">
        <f ca="1">IF(AssetIntType1="Fixed",AssetFxdRate1,IF(A18=1,OFFSET(Vectors!$D$6,A18,MATCH(AssetFltIndx1,lstInterestRates,0)),IF(MOD($A18,AssetRateReset1)=0,MAX(MIN(OFFSET(Vectors!$D$6,A18,MATCH(AssetFltIndx1,lstInterestRates,0)),(F17-AssetMarg1)+AssetPdCapFl1,AssetLifeCap1-AssetMarg1),(F17-AssetMarg1)-AssetPdCapFl1,AssetLifeFloor1-AssetMarg1),F17)))+AssetMarg1</f>
        <v>0.09</v>
      </c>
      <c r="G18" s="62">
        <f t="shared" ca="1" si="7"/>
        <v>804622.61694478267</v>
      </c>
      <c r="H18" s="62">
        <f t="shared" ca="1" si="20"/>
        <v>745320.78549759323</v>
      </c>
      <c r="I18" s="62">
        <f t="shared" ca="1" si="21"/>
        <v>59301.831447189441</v>
      </c>
      <c r="J18" s="62">
        <f t="shared" ca="1" si="2"/>
        <v>99316802.901565254</v>
      </c>
      <c r="K18" s="55"/>
      <c r="L18" s="62">
        <f t="shared" ca="1" si="22"/>
        <v>98250326.353808388</v>
      </c>
      <c r="M18" s="68">
        <f ca="1">IF(pdrLossTime1="",OFFSET(Vectors!$AE$6,A18+_Age1,MATCH(SDA_Loss,lstSDA,0)),OFFSET(Vectors!$X$6,A18+_Age1,MATCH(pdrLossTime1,lstDefaultCurve,0)))</f>
        <v>2.7777777777777779E-5</v>
      </c>
      <c r="N18" s="62">
        <f t="shared" ca="1" si="8"/>
        <v>2777.7777777777778</v>
      </c>
      <c r="O18" s="67">
        <f t="shared" ca="1" si="23"/>
        <v>0.99316802901565249</v>
      </c>
      <c r="P18" s="68">
        <f ca="1">OFFSET(Vectors!$L$6,A18+_Age1,MATCH(pdrPrepay1,lstPrepayCurve,0))*pdrPrepayStress1</f>
        <v>2.0223433498771648E-3</v>
      </c>
      <c r="Q18" s="62">
        <f t="shared" ca="1" si="24"/>
        <v>198577.32406768418</v>
      </c>
      <c r="R18" s="62">
        <f t="shared" ca="1" si="25"/>
        <v>58628.375316265883</v>
      </c>
      <c r="S18" s="69">
        <f t="shared" ca="1" si="26"/>
        <v>0.09</v>
      </c>
      <c r="T18" s="62">
        <f t="shared" ca="1" si="27"/>
        <v>736856.61432022951</v>
      </c>
      <c r="U18" s="62">
        <f t="shared" ca="1" si="9"/>
        <v>1111.1111111111111</v>
      </c>
      <c r="V18" s="62">
        <f t="shared" ca="1" si="3"/>
        <v>97990342.876646668</v>
      </c>
      <c r="W18" s="55"/>
      <c r="X18" s="62">
        <f t="shared" ca="1" si="28"/>
        <v>995173.42481529072</v>
      </c>
      <c r="Y18" s="55"/>
      <c r="Z18" s="118" t="b">
        <v>0</v>
      </c>
      <c r="AA18" s="120" t="b">
        <f t="shared" si="10"/>
        <v>0</v>
      </c>
      <c r="AB18" s="120" t="b">
        <f t="shared" si="11"/>
        <v>1</v>
      </c>
      <c r="AC18" s="120" t="b">
        <f t="shared" ca="1" si="12"/>
        <v>0</v>
      </c>
      <c r="AD18" s="121"/>
      <c r="AE18" s="129">
        <v>83146667.271733254</v>
      </c>
      <c r="AF18" s="69">
        <f ca="1">IF(Swap_Active="No",0,OFFSET(Vectors!$D$6,Vectors!A18,MATCH(Swap_In,lstInterestRates,0)))</f>
        <v>3.4369000000000004E-2</v>
      </c>
      <c r="AG18" s="62">
        <f t="shared" ca="1" si="29"/>
        <v>238138.98395518336</v>
      </c>
      <c r="AH18" s="69">
        <f ca="1">IF(Swap_Active="No",0,OFFSET(Vectors!$D$6,Vectors!A18,MATCH(Swap_Out,lstInterestRates,0)))</f>
        <v>0.04</v>
      </c>
      <c r="AI18" s="62">
        <f t="shared" ca="1" si="30"/>
        <v>277155.5575724442</v>
      </c>
      <c r="AJ18" s="62">
        <f t="shared" ca="1" si="31"/>
        <v>-39016.573617260845</v>
      </c>
      <c r="AK18" s="62">
        <f t="shared" ca="1" si="32"/>
        <v>956156.85119802994</v>
      </c>
      <c r="AL18" s="121"/>
      <c r="AM18" s="123">
        <f t="shared" ca="1" si="13"/>
        <v>199778.15535487095</v>
      </c>
      <c r="AN18" s="124">
        <f t="shared" ca="1" si="33"/>
        <v>199778.15535487095</v>
      </c>
      <c r="AO18" s="125">
        <f t="shared" ca="1" si="34"/>
        <v>0</v>
      </c>
      <c r="AP18" s="123">
        <f t="shared" ca="1" si="35"/>
        <v>756378.69584315899</v>
      </c>
      <c r="AQ18" s="121"/>
      <c r="AR18" s="126">
        <f ca="1">IF(LiabIntType1="Fixed",LiabFxdRate1,OFFSET(Vectors!$D$6,Vectors!A18,MATCH(LiabLoanIndex1,lstInterestRates,0))+LiabMarg1)</f>
        <v>4.4369000000000006E-2</v>
      </c>
      <c r="AS18" s="122">
        <f t="shared" ca="1" si="36"/>
        <v>319701.81832401268</v>
      </c>
      <c r="AT18" s="124">
        <f t="shared" ca="1" si="37"/>
        <v>319701.81832401268</v>
      </c>
      <c r="AU18" s="123">
        <f t="shared" ca="1" si="38"/>
        <v>0</v>
      </c>
      <c r="AV18" s="123">
        <f t="shared" ca="1" si="14"/>
        <v>0</v>
      </c>
      <c r="AW18" s="123">
        <f t="shared" ca="1" si="39"/>
        <v>0</v>
      </c>
      <c r="AX18" s="124">
        <f t="shared" ca="1" si="40"/>
        <v>436676.87751914631</v>
      </c>
      <c r="AY18" s="121"/>
      <c r="AZ18" s="122">
        <f t="shared" ca="1" si="15"/>
        <v>436676.87751914631</v>
      </c>
      <c r="BA18" s="124">
        <f t="shared" ca="1" si="41"/>
        <v>436676.87751914631</v>
      </c>
      <c r="BB18" s="123">
        <f t="shared" ca="1" si="42"/>
        <v>0</v>
      </c>
      <c r="BC18" s="123">
        <f t="shared" ca="1" si="16"/>
        <v>0</v>
      </c>
      <c r="BD18" s="123">
        <f t="shared" ca="1" si="43"/>
        <v>0</v>
      </c>
      <c r="BE18" s="124">
        <f t="shared" ca="1" si="44"/>
        <v>0</v>
      </c>
      <c r="BF18" s="121"/>
      <c r="BG18" s="123">
        <f t="shared" si="17"/>
        <v>1000000</v>
      </c>
      <c r="BH18" s="123">
        <f t="shared" ca="1" si="45"/>
        <v>1000000</v>
      </c>
      <c r="BI18" s="123">
        <f t="shared" ca="1" si="46"/>
        <v>0</v>
      </c>
      <c r="BJ18" s="123">
        <f t="shared" ca="1" si="47"/>
        <v>0</v>
      </c>
      <c r="BK18" s="123">
        <f t="shared" ca="1" si="4"/>
        <v>1000000</v>
      </c>
      <c r="BL18" s="123">
        <f t="shared" ca="1" si="48"/>
        <v>0</v>
      </c>
      <c r="BM18" s="121"/>
      <c r="BN18" s="126">
        <f ca="1">IF(LiabIntType2="Fixed",LiabFxdRate2,OFFSET(Vectors!$D$6,Vectors!A18,MATCH(LiabLoanIndex2,lstInterestRates,0))+LiabMarg2)</f>
        <v>0.04</v>
      </c>
      <c r="BO18" s="122">
        <f t="shared" ca="1" si="49"/>
        <v>34119.905847872607</v>
      </c>
      <c r="BP18" s="124">
        <f t="shared" ca="1" si="50"/>
        <v>0</v>
      </c>
      <c r="BQ18" s="123">
        <f t="shared" ca="1" si="51"/>
        <v>34119.905847872607</v>
      </c>
      <c r="BR18" s="123">
        <f t="shared" ca="1" si="52"/>
        <v>0</v>
      </c>
      <c r="BS18" s="121"/>
      <c r="BT18" s="123">
        <f t="shared" ca="1" si="18"/>
        <v>26655.876406067349</v>
      </c>
      <c r="BU18" s="123">
        <f t="shared" ca="1" si="53"/>
        <v>0</v>
      </c>
      <c r="BV18" s="123">
        <f t="shared" ca="1" si="54"/>
        <v>26655.876406067349</v>
      </c>
      <c r="BW18" s="123">
        <f t="shared" ca="1" si="55"/>
        <v>0</v>
      </c>
      <c r="BX18" s="121"/>
      <c r="BY18" s="123">
        <f t="shared" si="56"/>
        <v>0</v>
      </c>
      <c r="BZ18" s="123">
        <f t="shared" ca="1" si="57"/>
        <v>0</v>
      </c>
      <c r="CA18" s="121"/>
      <c r="CB18" s="122">
        <f t="shared" ca="1" si="5"/>
        <v>86029590.558937654</v>
      </c>
      <c r="CC18" s="122">
        <f t="shared" ca="1" si="58"/>
        <v>319701.81832401268</v>
      </c>
      <c r="CD18" s="124">
        <f t="shared" ca="1" si="59"/>
        <v>436676.87751914631</v>
      </c>
      <c r="CE18" s="121"/>
      <c r="CF18" s="122">
        <f t="shared" ca="1" si="6"/>
        <v>10235971.754361782</v>
      </c>
      <c r="CG18" s="124">
        <f t="shared" ca="1" si="60"/>
        <v>0</v>
      </c>
      <c r="CH18" s="123">
        <f t="shared" ca="1" si="61"/>
        <v>0</v>
      </c>
      <c r="CI18" s="121"/>
      <c r="CJ18" s="123">
        <f t="shared" ca="1" si="62"/>
        <v>1233312.4087704741</v>
      </c>
      <c r="CK18" s="123">
        <f t="shared" ca="1" si="63"/>
        <v>1233312.4087704741</v>
      </c>
      <c r="CL18" s="123">
        <f t="shared" ca="1" si="64"/>
        <v>0</v>
      </c>
      <c r="CM18" s="121"/>
      <c r="CN18" s="62">
        <f t="shared" ca="1" si="65"/>
        <v>259983.47716172785</v>
      </c>
      <c r="CO18" s="62" t="b">
        <f t="shared" si="66"/>
        <v>1</v>
      </c>
      <c r="CP18" s="126">
        <f t="shared" ca="1" si="67"/>
        <v>3.3333333333333332E-4</v>
      </c>
      <c r="CQ18" s="120"/>
      <c r="CR18" s="120"/>
      <c r="CS18" s="120"/>
      <c r="CT18" s="120"/>
      <c r="CU18" s="120"/>
      <c r="CV18" s="120"/>
      <c r="CW18" s="120"/>
      <c r="CX18" s="120"/>
      <c r="CY18" s="120"/>
      <c r="CZ18" s="120"/>
      <c r="DA18" s="120"/>
      <c r="DB18" s="120"/>
      <c r="DC18" s="120"/>
      <c r="DD18" s="120"/>
      <c r="DE18" s="116"/>
      <c r="DF18" s="116"/>
      <c r="DG18" s="116"/>
      <c r="DH18" s="116"/>
      <c r="DI18" s="116"/>
      <c r="DJ18" s="116"/>
      <c r="DK18" s="116"/>
      <c r="DL18" s="116"/>
      <c r="DM18" s="116"/>
      <c r="DN18" s="116"/>
    </row>
    <row r="19" spans="1:118" x14ac:dyDescent="0.2">
      <c r="A19" s="27">
        <v>13</v>
      </c>
      <c r="B19" s="29">
        <f t="shared" si="0"/>
        <v>39508</v>
      </c>
      <c r="C19" s="30">
        <f t="shared" si="1"/>
        <v>8.3333333333333329E-2</v>
      </c>
      <c r="D19" s="55"/>
      <c r="E19" s="62">
        <f t="shared" ca="1" si="19"/>
        <v>99316802.901565254</v>
      </c>
      <c r="F19" s="63">
        <f ca="1">IF(AssetIntType1="Fixed",AssetFxdRate1,IF(A19=1,OFFSET(Vectors!$D$6,A19,MATCH(AssetFltIndx1,lstInterestRates,0)),IF(MOD($A19,AssetRateReset1)=0,MAX(MIN(OFFSET(Vectors!$D$6,A19,MATCH(AssetFltIndx1,lstInterestRates,0)),(F18-AssetMarg1)+AssetPdCapFl1,AssetLifeCap1-AssetMarg1),(F18-AssetMarg1)-AssetPdCapFl1,AssetLifeFloor1-AssetMarg1),F18)))+AssetMarg1</f>
        <v>0.09</v>
      </c>
      <c r="G19" s="62">
        <f t="shared" ca="1" si="7"/>
        <v>804622.61694478267</v>
      </c>
      <c r="H19" s="62">
        <f t="shared" ca="1" si="20"/>
        <v>744876.02176173939</v>
      </c>
      <c r="I19" s="62">
        <f t="shared" ca="1" si="21"/>
        <v>59746.595183043275</v>
      </c>
      <c r="J19" s="62">
        <f t="shared" ca="1" si="2"/>
        <v>99257056.306382209</v>
      </c>
      <c r="K19" s="55"/>
      <c r="L19" s="62">
        <f t="shared" ca="1" si="22"/>
        <v>97990342.876646668</v>
      </c>
      <c r="M19" s="68">
        <f ca="1">IF(pdrLossTime1="",OFFSET(Vectors!$AE$6,A19+_Age1,MATCH(SDA_Loss,lstSDA,0)),OFFSET(Vectors!$X$6,A19+_Age1,MATCH(pdrLossTime1,lstDefaultCurve,0)))</f>
        <v>2.7777777777777779E-5</v>
      </c>
      <c r="N19" s="62">
        <f t="shared" ca="1" si="8"/>
        <v>2777.7777777777778</v>
      </c>
      <c r="O19" s="67">
        <f t="shared" ca="1" si="23"/>
        <v>0.99257056306382208</v>
      </c>
      <c r="P19" s="68">
        <f ca="1">OFFSET(Vectors!$L$6,A19+_Age1,MATCH(pdrPrepay1,lstPrepayCurve,0))*pdrPrepayStress1</f>
        <v>2.1929233010143934E-3</v>
      </c>
      <c r="Q19" s="62">
        <f t="shared" ca="1" si="24"/>
        <v>214756.03634693319</v>
      </c>
      <c r="R19" s="62">
        <f t="shared" ca="1" si="25"/>
        <v>58946.957754334369</v>
      </c>
      <c r="S19" s="69">
        <f t="shared" ca="1" si="26"/>
        <v>0.09</v>
      </c>
      <c r="T19" s="62">
        <f t="shared" ca="1" si="27"/>
        <v>734906.73824151664</v>
      </c>
      <c r="U19" s="62">
        <f t="shared" ca="1" si="9"/>
        <v>1111.1111111111111</v>
      </c>
      <c r="V19" s="62">
        <f t="shared" ca="1" si="3"/>
        <v>97713862.104767635</v>
      </c>
      <c r="W19" s="55"/>
      <c r="X19" s="62">
        <f t="shared" ca="1" si="28"/>
        <v>1009720.8434538953</v>
      </c>
      <c r="Y19" s="55"/>
      <c r="Z19" s="118" t="b">
        <v>0</v>
      </c>
      <c r="AA19" s="120" t="b">
        <f t="shared" si="10"/>
        <v>0</v>
      </c>
      <c r="AB19" s="120" t="b">
        <f t="shared" si="11"/>
        <v>1</v>
      </c>
      <c r="AC19" s="120" t="b">
        <f t="shared" ca="1" si="12"/>
        <v>0</v>
      </c>
      <c r="AD19" s="121"/>
      <c r="AE19" s="129">
        <v>82204350.744206548</v>
      </c>
      <c r="AF19" s="69">
        <f ca="1">IF(Swap_Active="No",0,OFFSET(Vectors!$D$6,Vectors!A19,MATCH(Swap_In,lstInterestRates,0)))</f>
        <v>3.5619000000000005E-2</v>
      </c>
      <c r="AG19" s="62">
        <f t="shared" ca="1" si="29"/>
        <v>244003.06409649111</v>
      </c>
      <c r="AH19" s="69">
        <f ca="1">IF(Swap_Active="No",0,OFFSET(Vectors!$D$6,Vectors!A19,MATCH(Swap_Out,lstInterestRates,0)))</f>
        <v>0.04</v>
      </c>
      <c r="AI19" s="62">
        <f t="shared" ca="1" si="30"/>
        <v>274014.5024806885</v>
      </c>
      <c r="AJ19" s="62">
        <f t="shared" ca="1" si="31"/>
        <v>-30011.43838419739</v>
      </c>
      <c r="AK19" s="62">
        <f t="shared" ca="1" si="32"/>
        <v>979709.40506969788</v>
      </c>
      <c r="AL19" s="121"/>
      <c r="AM19" s="123">
        <f t="shared" ca="1" si="13"/>
        <v>199162.90086063513</v>
      </c>
      <c r="AN19" s="124">
        <f t="shared" ca="1" si="33"/>
        <v>199162.90086063513</v>
      </c>
      <c r="AO19" s="125">
        <f t="shared" ca="1" si="34"/>
        <v>0</v>
      </c>
      <c r="AP19" s="123">
        <f t="shared" ca="1" si="35"/>
        <v>780546.50420906278</v>
      </c>
      <c r="AQ19" s="121"/>
      <c r="AR19" s="126">
        <f ca="1">IF(LiabIntType1="Fixed",LiabFxdRate1,OFFSET(Vectors!$D$6,Vectors!A19,MATCH(LiabLoanIndex1,lstInterestRates,0))+LiabMarg1)</f>
        <v>4.5619000000000007E-2</v>
      </c>
      <c r="AS19" s="122">
        <f t="shared" ca="1" si="36"/>
        <v>327048.65764234815</v>
      </c>
      <c r="AT19" s="124">
        <f t="shared" ca="1" si="37"/>
        <v>327048.65764234815</v>
      </c>
      <c r="AU19" s="123">
        <f t="shared" ca="1" si="38"/>
        <v>0</v>
      </c>
      <c r="AV19" s="123">
        <f t="shared" ca="1" si="14"/>
        <v>0</v>
      </c>
      <c r="AW19" s="123">
        <f t="shared" ca="1" si="39"/>
        <v>0</v>
      </c>
      <c r="AX19" s="124">
        <f t="shared" ca="1" si="40"/>
        <v>453497.84656671464</v>
      </c>
      <c r="AY19" s="121"/>
      <c r="AZ19" s="122">
        <f t="shared" ca="1" si="15"/>
        <v>453497.84656671464</v>
      </c>
      <c r="BA19" s="124">
        <f t="shared" ca="1" si="41"/>
        <v>453497.84656671464</v>
      </c>
      <c r="BB19" s="123">
        <f t="shared" ca="1" si="42"/>
        <v>0</v>
      </c>
      <c r="BC19" s="123">
        <f t="shared" ca="1" si="16"/>
        <v>0</v>
      </c>
      <c r="BD19" s="123">
        <f t="shared" ca="1" si="43"/>
        <v>0</v>
      </c>
      <c r="BE19" s="124">
        <f t="shared" ca="1" si="44"/>
        <v>0</v>
      </c>
      <c r="BF19" s="121"/>
      <c r="BG19" s="123">
        <f t="shared" si="17"/>
        <v>1000000</v>
      </c>
      <c r="BH19" s="123">
        <f t="shared" ca="1" si="45"/>
        <v>1000000</v>
      </c>
      <c r="BI19" s="123">
        <f t="shared" ca="1" si="46"/>
        <v>0</v>
      </c>
      <c r="BJ19" s="123">
        <f t="shared" ca="1" si="47"/>
        <v>0</v>
      </c>
      <c r="BK19" s="123">
        <f t="shared" ca="1" si="4"/>
        <v>1000000</v>
      </c>
      <c r="BL19" s="123">
        <f t="shared" ca="1" si="48"/>
        <v>0</v>
      </c>
      <c r="BM19" s="121"/>
      <c r="BN19" s="126">
        <f ca="1">IF(LiabIntType2="Fixed",LiabFxdRate2,OFFSET(Vectors!$D$6,Vectors!A19,MATCH(LiabLoanIndex2,lstInterestRates,0))+LiabMarg2)</f>
        <v>0.04</v>
      </c>
      <c r="BO19" s="122">
        <f t="shared" ca="1" si="49"/>
        <v>34119.905847872607</v>
      </c>
      <c r="BP19" s="124">
        <f t="shared" ca="1" si="50"/>
        <v>0</v>
      </c>
      <c r="BQ19" s="123">
        <f t="shared" ca="1" si="51"/>
        <v>34119.905847872607</v>
      </c>
      <c r="BR19" s="123">
        <f t="shared" ca="1" si="52"/>
        <v>0</v>
      </c>
      <c r="BS19" s="121"/>
      <c r="BT19" s="123">
        <f t="shared" ca="1" si="18"/>
        <v>28347.329470008517</v>
      </c>
      <c r="BU19" s="123">
        <f t="shared" ca="1" si="53"/>
        <v>0</v>
      </c>
      <c r="BV19" s="123">
        <f t="shared" ca="1" si="54"/>
        <v>28347.329470008517</v>
      </c>
      <c r="BW19" s="123">
        <f t="shared" ca="1" si="55"/>
        <v>0</v>
      </c>
      <c r="BX19" s="121"/>
      <c r="BY19" s="123">
        <f t="shared" si="56"/>
        <v>0</v>
      </c>
      <c r="BZ19" s="123">
        <f t="shared" ca="1" si="57"/>
        <v>0</v>
      </c>
      <c r="CA19" s="121"/>
      <c r="CB19" s="122">
        <f t="shared" ca="1" si="5"/>
        <v>85576092.712370932</v>
      </c>
      <c r="CC19" s="122">
        <f t="shared" ca="1" si="58"/>
        <v>327048.65764234815</v>
      </c>
      <c r="CD19" s="124">
        <f t="shared" ca="1" si="59"/>
        <v>453497.84656671464</v>
      </c>
      <c r="CE19" s="121"/>
      <c r="CF19" s="122">
        <f t="shared" ca="1" si="6"/>
        <v>10235971.754361782</v>
      </c>
      <c r="CG19" s="124">
        <f t="shared" ca="1" si="60"/>
        <v>0</v>
      </c>
      <c r="CH19" s="123">
        <f t="shared" ca="1" si="61"/>
        <v>0</v>
      </c>
      <c r="CI19" s="121"/>
      <c r="CJ19" s="123">
        <f t="shared" ca="1" si="62"/>
        <v>1253723.9075503864</v>
      </c>
      <c r="CK19" s="123">
        <f t="shared" ca="1" si="63"/>
        <v>1253723.9075503864</v>
      </c>
      <c r="CL19" s="123">
        <f t="shared" ca="1" si="64"/>
        <v>0</v>
      </c>
      <c r="CM19" s="121"/>
      <c r="CN19" s="62">
        <f t="shared" ca="1" si="65"/>
        <v>276480.77187904535</v>
      </c>
      <c r="CO19" s="62" t="b">
        <f t="shared" si="66"/>
        <v>1</v>
      </c>
      <c r="CP19" s="126">
        <f t="shared" ca="1" si="67"/>
        <v>3.6111111111111109E-4</v>
      </c>
      <c r="CQ19" s="120"/>
      <c r="CR19" s="120"/>
      <c r="CS19" s="120"/>
      <c r="CT19" s="120"/>
      <c r="CU19" s="120"/>
      <c r="CV19" s="120"/>
      <c r="CW19" s="120"/>
      <c r="CX19" s="120"/>
      <c r="CY19" s="120"/>
      <c r="CZ19" s="120"/>
      <c r="DA19" s="120"/>
      <c r="DB19" s="120"/>
      <c r="DC19" s="120"/>
      <c r="DD19" s="120"/>
      <c r="DE19" s="116"/>
      <c r="DF19" s="116"/>
      <c r="DG19" s="116"/>
      <c r="DH19" s="116"/>
      <c r="DI19" s="116"/>
      <c r="DJ19" s="116"/>
      <c r="DK19" s="116"/>
      <c r="DL19" s="116"/>
      <c r="DM19" s="116"/>
      <c r="DN19" s="116"/>
    </row>
    <row r="20" spans="1:118" x14ac:dyDescent="0.2">
      <c r="A20" s="27">
        <v>14</v>
      </c>
      <c r="B20" s="29">
        <f t="shared" si="0"/>
        <v>39539</v>
      </c>
      <c r="C20" s="30">
        <f t="shared" si="1"/>
        <v>8.3333333333333329E-2</v>
      </c>
      <c r="D20" s="55"/>
      <c r="E20" s="62">
        <f t="shared" ca="1" si="19"/>
        <v>99257056.306382209</v>
      </c>
      <c r="F20" s="63">
        <f ca="1">IF(AssetIntType1="Fixed",AssetFxdRate1,IF(A20=1,OFFSET(Vectors!$D$6,A20,MATCH(AssetFltIndx1,lstInterestRates,0)),IF(MOD($A20,AssetRateReset1)=0,MAX(MIN(OFFSET(Vectors!$D$6,A20,MATCH(AssetFltIndx1,lstInterestRates,0)),(F19-AssetMarg1)+AssetPdCapFl1,AssetLifeCap1-AssetMarg1),(F19-AssetMarg1)-AssetPdCapFl1,AssetLifeFloor1-AssetMarg1),F19)))+AssetMarg1</f>
        <v>0.09</v>
      </c>
      <c r="G20" s="62">
        <f t="shared" ca="1" si="7"/>
        <v>804622.61694478267</v>
      </c>
      <c r="H20" s="62">
        <f t="shared" ca="1" si="20"/>
        <v>744427.92229786655</v>
      </c>
      <c r="I20" s="62">
        <f t="shared" ca="1" si="21"/>
        <v>60194.694646916119</v>
      </c>
      <c r="J20" s="62">
        <f t="shared" ca="1" si="2"/>
        <v>99196861.611735299</v>
      </c>
      <c r="K20" s="55"/>
      <c r="L20" s="62">
        <f t="shared" ca="1" si="22"/>
        <v>97713862.104767635</v>
      </c>
      <c r="M20" s="68">
        <f ca="1">IF(pdrLossTime1="",OFFSET(Vectors!$AE$6,A20+_Age1,MATCH(SDA_Loss,lstSDA,0)),OFFSET(Vectors!$X$6,A20+_Age1,MATCH(pdrLossTime1,lstDefaultCurve,0)))</f>
        <v>2.7777777777777779E-5</v>
      </c>
      <c r="N20" s="62">
        <f t="shared" ca="1" si="8"/>
        <v>2777.7777777777778</v>
      </c>
      <c r="O20" s="67">
        <f t="shared" ca="1" si="23"/>
        <v>0.99196861611735299</v>
      </c>
      <c r="P20" s="68">
        <f ca="1">OFFSET(Vectors!$L$6,A20+_Age1,MATCH(pdrPrepay1,lstPrepayCurve,0))*pdrPrepayStress1</f>
        <v>2.3638246327857271E-3</v>
      </c>
      <c r="Q20" s="62">
        <f t="shared" ca="1" si="24"/>
        <v>230838.35674805194</v>
      </c>
      <c r="R20" s="62">
        <f t="shared" ca="1" si="25"/>
        <v>59257.136001759427</v>
      </c>
      <c r="S20" s="69">
        <f t="shared" ca="1" si="26"/>
        <v>0.09</v>
      </c>
      <c r="T20" s="62">
        <f t="shared" ca="1" si="27"/>
        <v>732833.13245242392</v>
      </c>
      <c r="U20" s="62">
        <f t="shared" ca="1" si="9"/>
        <v>1111.1111111111111</v>
      </c>
      <c r="V20" s="62">
        <f t="shared" ca="1" si="3"/>
        <v>97420988.834240049</v>
      </c>
      <c r="W20" s="55"/>
      <c r="X20" s="62">
        <f t="shared" ca="1" si="28"/>
        <v>1024039.7363133464</v>
      </c>
      <c r="Y20" s="55"/>
      <c r="Z20" s="118" t="b">
        <v>0</v>
      </c>
      <c r="AA20" s="120" t="b">
        <f t="shared" si="10"/>
        <v>0</v>
      </c>
      <c r="AB20" s="120" t="b">
        <f t="shared" si="11"/>
        <v>1</v>
      </c>
      <c r="AC20" s="120" t="b">
        <f t="shared" ca="1" si="12"/>
        <v>0</v>
      </c>
      <c r="AD20" s="121"/>
      <c r="AE20" s="129">
        <v>81271592.734889224</v>
      </c>
      <c r="AF20" s="69">
        <f ca="1">IF(Swap_Active="No",0,OFFSET(Vectors!$D$6,Vectors!A20,MATCH(Swap_In,lstInterestRates,0)))</f>
        <v>3.6869000000000006E-2</v>
      </c>
      <c r="AG20" s="62">
        <f t="shared" ca="1" si="29"/>
        <v>249700.19604521926</v>
      </c>
      <c r="AH20" s="69">
        <f ca="1">IF(Swap_Active="No",0,OFFSET(Vectors!$D$6,Vectors!A20,MATCH(Swap_Out,lstInterestRates,0)))</f>
        <v>0.04</v>
      </c>
      <c r="AI20" s="62">
        <f t="shared" ca="1" si="30"/>
        <v>270905.3091162974</v>
      </c>
      <c r="AJ20" s="62">
        <f t="shared" ca="1" si="31"/>
        <v>-21205.113071078144</v>
      </c>
      <c r="AK20" s="62">
        <f t="shared" ca="1" si="32"/>
        <v>1002834.6232422683</v>
      </c>
      <c r="AL20" s="121"/>
      <c r="AM20" s="123">
        <f t="shared" ca="1" si="13"/>
        <v>198513.14213810061</v>
      </c>
      <c r="AN20" s="124">
        <f t="shared" ca="1" si="33"/>
        <v>198513.14213810061</v>
      </c>
      <c r="AO20" s="125">
        <f t="shared" ca="1" si="34"/>
        <v>0</v>
      </c>
      <c r="AP20" s="123">
        <f t="shared" ca="1" si="35"/>
        <v>804321.48110416776</v>
      </c>
      <c r="AQ20" s="121"/>
      <c r="AR20" s="126">
        <f ca="1">IF(LiabIntType1="Fixed",LiabFxdRate1,OFFSET(Vectors!$D$6,Vectors!A20,MATCH(LiabLoanIndex1,lstInterestRates,0))+LiabMarg1)</f>
        <v>4.6869000000000008E-2</v>
      </c>
      <c r="AS20" s="122">
        <f t="shared" ca="1" si="36"/>
        <v>334238.82411134278</v>
      </c>
      <c r="AT20" s="124">
        <f t="shared" ca="1" si="37"/>
        <v>334238.82411134278</v>
      </c>
      <c r="AU20" s="123">
        <f t="shared" ca="1" si="38"/>
        <v>0</v>
      </c>
      <c r="AV20" s="123">
        <f t="shared" ca="1" si="14"/>
        <v>0</v>
      </c>
      <c r="AW20" s="123">
        <f t="shared" ca="1" si="39"/>
        <v>0</v>
      </c>
      <c r="AX20" s="124">
        <f t="shared" ca="1" si="40"/>
        <v>470082.65699282498</v>
      </c>
      <c r="AY20" s="121"/>
      <c r="AZ20" s="122">
        <f t="shared" ca="1" si="15"/>
        <v>470082.65699282498</v>
      </c>
      <c r="BA20" s="124">
        <f t="shared" ca="1" si="41"/>
        <v>470082.65699282498</v>
      </c>
      <c r="BB20" s="123">
        <f t="shared" ca="1" si="42"/>
        <v>0</v>
      </c>
      <c r="BC20" s="123">
        <f t="shared" ca="1" si="16"/>
        <v>0</v>
      </c>
      <c r="BD20" s="123">
        <f t="shared" ca="1" si="43"/>
        <v>0</v>
      </c>
      <c r="BE20" s="124">
        <f t="shared" ca="1" si="44"/>
        <v>0</v>
      </c>
      <c r="BF20" s="121"/>
      <c r="BG20" s="123">
        <f t="shared" si="17"/>
        <v>1000000</v>
      </c>
      <c r="BH20" s="123">
        <f t="shared" ca="1" si="45"/>
        <v>1000000</v>
      </c>
      <c r="BI20" s="123">
        <f t="shared" ca="1" si="46"/>
        <v>0</v>
      </c>
      <c r="BJ20" s="123">
        <f t="shared" ca="1" si="47"/>
        <v>0</v>
      </c>
      <c r="BK20" s="123">
        <f t="shared" ca="1" si="4"/>
        <v>1000000</v>
      </c>
      <c r="BL20" s="123">
        <f t="shared" ca="1" si="48"/>
        <v>0</v>
      </c>
      <c r="BM20" s="121"/>
      <c r="BN20" s="126">
        <f ca="1">IF(LiabIntType2="Fixed",LiabFxdRate2,OFFSET(Vectors!$D$6,Vectors!A20,MATCH(LiabLoanIndex2,lstInterestRates,0))+LiabMarg2)</f>
        <v>0.04</v>
      </c>
      <c r="BO20" s="122">
        <f t="shared" ca="1" si="49"/>
        <v>34119.905847872607</v>
      </c>
      <c r="BP20" s="124">
        <f t="shared" ca="1" si="50"/>
        <v>0</v>
      </c>
      <c r="BQ20" s="123">
        <f t="shared" ca="1" si="51"/>
        <v>34119.905847872607</v>
      </c>
      <c r="BR20" s="123">
        <f t="shared" ca="1" si="52"/>
        <v>0</v>
      </c>
      <c r="BS20" s="121"/>
      <c r="BT20" s="123">
        <f t="shared" ca="1" si="18"/>
        <v>30028.03788552983</v>
      </c>
      <c r="BU20" s="123">
        <f t="shared" ca="1" si="53"/>
        <v>0</v>
      </c>
      <c r="BV20" s="123">
        <f t="shared" ca="1" si="54"/>
        <v>30028.03788552983</v>
      </c>
      <c r="BW20" s="123">
        <f t="shared" ca="1" si="55"/>
        <v>0</v>
      </c>
      <c r="BX20" s="121"/>
      <c r="BY20" s="123">
        <f t="shared" si="56"/>
        <v>0</v>
      </c>
      <c r="BZ20" s="123">
        <f t="shared" ca="1" si="57"/>
        <v>0</v>
      </c>
      <c r="CA20" s="121"/>
      <c r="CB20" s="122">
        <f t="shared" ca="1" si="5"/>
        <v>85106010.055378109</v>
      </c>
      <c r="CC20" s="122">
        <f t="shared" ca="1" si="58"/>
        <v>334238.82411134278</v>
      </c>
      <c r="CD20" s="124">
        <f t="shared" ca="1" si="59"/>
        <v>470082.65699282498</v>
      </c>
      <c r="CE20" s="121"/>
      <c r="CF20" s="122">
        <f t="shared" ca="1" si="6"/>
        <v>10235971.754361782</v>
      </c>
      <c r="CG20" s="124">
        <f t="shared" ca="1" si="60"/>
        <v>0</v>
      </c>
      <c r="CH20" s="123">
        <f t="shared" ca="1" si="61"/>
        <v>0</v>
      </c>
      <c r="CI20" s="121"/>
      <c r="CJ20" s="123">
        <f t="shared" ca="1" si="62"/>
        <v>1273739.9323585657</v>
      </c>
      <c r="CK20" s="123">
        <f t="shared" ca="1" si="63"/>
        <v>1273739.9323585657</v>
      </c>
      <c r="CL20" s="123">
        <f t="shared" ca="1" si="64"/>
        <v>0</v>
      </c>
      <c r="CM20" s="121"/>
      <c r="CN20" s="62">
        <f t="shared" ca="1" si="65"/>
        <v>292873.27052758913</v>
      </c>
      <c r="CO20" s="62" t="b">
        <f t="shared" si="66"/>
        <v>1</v>
      </c>
      <c r="CP20" s="126">
        <f t="shared" ca="1" si="67"/>
        <v>3.8888888888888887E-4</v>
      </c>
      <c r="CQ20" s="120"/>
      <c r="CR20" s="120"/>
      <c r="CS20" s="120"/>
      <c r="CT20" s="120"/>
      <c r="CU20" s="120"/>
      <c r="CV20" s="120"/>
      <c r="CW20" s="120"/>
      <c r="CX20" s="120"/>
      <c r="CY20" s="120"/>
      <c r="CZ20" s="120"/>
      <c r="DA20" s="120"/>
      <c r="DB20" s="120"/>
      <c r="DC20" s="120"/>
      <c r="DD20" s="120"/>
      <c r="DE20" s="116"/>
      <c r="DF20" s="116"/>
      <c r="DG20" s="116"/>
      <c r="DH20" s="116"/>
      <c r="DI20" s="116"/>
      <c r="DJ20" s="116"/>
      <c r="DK20" s="116"/>
      <c r="DL20" s="116"/>
      <c r="DM20" s="116"/>
      <c r="DN20" s="116"/>
    </row>
    <row r="21" spans="1:118" x14ac:dyDescent="0.2">
      <c r="A21" s="27">
        <v>15</v>
      </c>
      <c r="B21" s="29">
        <f t="shared" si="0"/>
        <v>39569</v>
      </c>
      <c r="C21" s="30">
        <f t="shared" si="1"/>
        <v>8.3333333333333329E-2</v>
      </c>
      <c r="D21" s="55"/>
      <c r="E21" s="62">
        <f t="shared" ca="1" si="19"/>
        <v>99196861.611735299</v>
      </c>
      <c r="F21" s="63">
        <f ca="1">IF(AssetIntType1="Fixed",AssetFxdRate1,IF(A21=1,OFFSET(Vectors!$D$6,A21,MATCH(AssetFltIndx1,lstInterestRates,0)),IF(MOD($A21,AssetRateReset1)=0,MAX(MIN(OFFSET(Vectors!$D$6,A21,MATCH(AssetFltIndx1,lstInterestRates,0)),(F20-AssetMarg1)+AssetPdCapFl1,AssetLifeCap1-AssetMarg1),(F20-AssetMarg1)-AssetPdCapFl1,AssetLifeFloor1-AssetMarg1),F20)))+AssetMarg1</f>
        <v>0.09</v>
      </c>
      <c r="G21" s="62">
        <f t="shared" ca="1" si="7"/>
        <v>804622.61694478267</v>
      </c>
      <c r="H21" s="62">
        <f t="shared" ca="1" si="20"/>
        <v>743976.4620880147</v>
      </c>
      <c r="I21" s="62">
        <f t="shared" ca="1" si="21"/>
        <v>60646.154856767971</v>
      </c>
      <c r="J21" s="62">
        <f t="shared" ca="1" si="2"/>
        <v>99136215.456878528</v>
      </c>
      <c r="K21" s="55"/>
      <c r="L21" s="62">
        <f t="shared" ca="1" si="22"/>
        <v>97420988.834240049</v>
      </c>
      <c r="M21" s="68">
        <f ca="1">IF(pdrLossTime1="",OFFSET(Vectors!$AE$6,A21+_Age1,MATCH(SDA_Loss,lstSDA,0)),OFFSET(Vectors!$X$6,A21+_Age1,MATCH(pdrLossTime1,lstDefaultCurve,0)))</f>
        <v>2.7777777777777779E-5</v>
      </c>
      <c r="N21" s="62">
        <f t="shared" ca="1" si="8"/>
        <v>2777.7777777777778</v>
      </c>
      <c r="O21" s="67">
        <f t="shared" ca="1" si="23"/>
        <v>0.99136215456878529</v>
      </c>
      <c r="P21" s="68">
        <f ca="1">OFFSET(Vectors!$L$6,A21+_Age1,MATCH(pdrPrepay1,lstPrepayCurve,0))*pdrPrepayStress1</f>
        <v>2.5350486138366879E-3</v>
      </c>
      <c r="Q21" s="62">
        <f t="shared" ca="1" si="24"/>
        <v>246815.95410089902</v>
      </c>
      <c r="R21" s="62">
        <f t="shared" ca="1" si="25"/>
        <v>59558.738226255948</v>
      </c>
      <c r="S21" s="69">
        <f t="shared" ca="1" si="26"/>
        <v>0.09</v>
      </c>
      <c r="T21" s="62">
        <f t="shared" ca="1" si="27"/>
        <v>730636.58292346704</v>
      </c>
      <c r="U21" s="62">
        <f t="shared" ca="1" si="9"/>
        <v>1111.1111111111111</v>
      </c>
      <c r="V21" s="62">
        <f t="shared" ca="1" si="3"/>
        <v>97111836.364135131</v>
      </c>
      <c r="W21" s="55"/>
      <c r="X21" s="62">
        <f t="shared" ca="1" si="28"/>
        <v>1038122.3863617332</v>
      </c>
      <c r="Y21" s="55"/>
      <c r="Z21" s="118" t="b">
        <v>0</v>
      </c>
      <c r="AA21" s="120" t="b">
        <f t="shared" si="10"/>
        <v>0</v>
      </c>
      <c r="AB21" s="120" t="b">
        <f t="shared" si="11"/>
        <v>1</v>
      </c>
      <c r="AC21" s="120" t="b">
        <f t="shared" ca="1" si="12"/>
        <v>0</v>
      </c>
      <c r="AD21" s="121"/>
      <c r="AE21" s="129">
        <v>80348297.310065374</v>
      </c>
      <c r="AF21" s="69">
        <f ca="1">IF(Swap_Active="No",0,OFFSET(Vectors!$D$6,Vectors!A21,MATCH(Swap_In,lstInterestRates,0)))</f>
        <v>3.8119000000000007E-2</v>
      </c>
      <c r="AG21" s="62">
        <f t="shared" ca="1" si="29"/>
        <v>255233.06209686521</v>
      </c>
      <c r="AH21" s="69">
        <f ca="1">IF(Swap_Active="No",0,OFFSET(Vectors!$D$6,Vectors!A21,MATCH(Swap_Out,lstInterestRates,0)))</f>
        <v>0.04</v>
      </c>
      <c r="AI21" s="62">
        <f t="shared" ca="1" si="30"/>
        <v>267827.65770021791</v>
      </c>
      <c r="AJ21" s="62">
        <f t="shared" ca="1" si="31"/>
        <v>-12594.595603352704</v>
      </c>
      <c r="AK21" s="62">
        <f t="shared" ca="1" si="32"/>
        <v>1025527.7907583804</v>
      </c>
      <c r="AL21" s="121"/>
      <c r="AM21" s="123">
        <f t="shared" ca="1" si="13"/>
        <v>197829.15224680761</v>
      </c>
      <c r="AN21" s="124">
        <f t="shared" ca="1" si="33"/>
        <v>197829.15224680761</v>
      </c>
      <c r="AO21" s="125">
        <f t="shared" ca="1" si="34"/>
        <v>0</v>
      </c>
      <c r="AP21" s="123">
        <f t="shared" ca="1" si="35"/>
        <v>827698.63851157285</v>
      </c>
      <c r="AQ21" s="121"/>
      <c r="AR21" s="126">
        <f ca="1">IF(LiabIntType1="Fixed",LiabFxdRate1,OFFSET(Vectors!$D$6,Vectors!A21,MATCH(LiabLoanIndex1,lstInterestRates,0))+LiabMarg1)</f>
        <v>4.8119000000000009E-2</v>
      </c>
      <c r="AS21" s="122">
        <f t="shared" ca="1" si="36"/>
        <v>341268.00815456163</v>
      </c>
      <c r="AT21" s="124">
        <f t="shared" ca="1" si="37"/>
        <v>341268.00815456163</v>
      </c>
      <c r="AU21" s="123">
        <f t="shared" ca="1" si="38"/>
        <v>0</v>
      </c>
      <c r="AV21" s="123">
        <f t="shared" ca="1" si="14"/>
        <v>0</v>
      </c>
      <c r="AW21" s="123">
        <f t="shared" ca="1" si="39"/>
        <v>0</v>
      </c>
      <c r="AX21" s="124">
        <f t="shared" ca="1" si="40"/>
        <v>486430.63035701122</v>
      </c>
      <c r="AY21" s="121"/>
      <c r="AZ21" s="122">
        <f t="shared" ca="1" si="15"/>
        <v>486430.63035701122</v>
      </c>
      <c r="BA21" s="124">
        <f t="shared" ca="1" si="41"/>
        <v>486430.63035701122</v>
      </c>
      <c r="BB21" s="123">
        <f t="shared" ca="1" si="42"/>
        <v>0</v>
      </c>
      <c r="BC21" s="123">
        <f t="shared" ca="1" si="16"/>
        <v>0</v>
      </c>
      <c r="BD21" s="123">
        <f t="shared" ca="1" si="43"/>
        <v>0</v>
      </c>
      <c r="BE21" s="124">
        <f t="shared" ca="1" si="44"/>
        <v>0</v>
      </c>
      <c r="BF21" s="121"/>
      <c r="BG21" s="123">
        <f t="shared" si="17"/>
        <v>1000000</v>
      </c>
      <c r="BH21" s="123">
        <f t="shared" ca="1" si="45"/>
        <v>1000000</v>
      </c>
      <c r="BI21" s="123">
        <f t="shared" ca="1" si="46"/>
        <v>0</v>
      </c>
      <c r="BJ21" s="123">
        <f t="shared" ca="1" si="47"/>
        <v>0</v>
      </c>
      <c r="BK21" s="123">
        <f t="shared" ca="1" si="4"/>
        <v>1000000</v>
      </c>
      <c r="BL21" s="123">
        <f t="shared" ca="1" si="48"/>
        <v>0</v>
      </c>
      <c r="BM21" s="121"/>
      <c r="BN21" s="126">
        <f ca="1">IF(LiabIntType2="Fixed",LiabFxdRate2,OFFSET(Vectors!$D$6,Vectors!A21,MATCH(LiabLoanIndex2,lstInterestRates,0))+LiabMarg2)</f>
        <v>0.04</v>
      </c>
      <c r="BO21" s="122">
        <f t="shared" ca="1" si="49"/>
        <v>34119.905847872607</v>
      </c>
      <c r="BP21" s="124">
        <f t="shared" ca="1" si="50"/>
        <v>0</v>
      </c>
      <c r="BQ21" s="123">
        <f t="shared" ca="1" si="51"/>
        <v>34119.905847872607</v>
      </c>
      <c r="BR21" s="123">
        <f t="shared" ca="1" si="52"/>
        <v>0</v>
      </c>
      <c r="BS21" s="121"/>
      <c r="BT21" s="123">
        <f t="shared" ca="1" si="18"/>
        <v>31697.129847298755</v>
      </c>
      <c r="BU21" s="123">
        <f t="shared" ca="1" si="53"/>
        <v>0</v>
      </c>
      <c r="BV21" s="123">
        <f t="shared" ca="1" si="54"/>
        <v>31697.129847298755</v>
      </c>
      <c r="BW21" s="123">
        <f t="shared" ca="1" si="55"/>
        <v>0</v>
      </c>
      <c r="BX21" s="121"/>
      <c r="BY21" s="123">
        <f t="shared" si="56"/>
        <v>0</v>
      </c>
      <c r="BZ21" s="123">
        <f t="shared" ca="1" si="57"/>
        <v>0</v>
      </c>
      <c r="CA21" s="121"/>
      <c r="CB21" s="122">
        <f t="shared" ca="1" si="5"/>
        <v>84619579.425021097</v>
      </c>
      <c r="CC21" s="122">
        <f t="shared" ca="1" si="58"/>
        <v>341268.00815456163</v>
      </c>
      <c r="CD21" s="124">
        <f t="shared" ca="1" si="59"/>
        <v>486430.63035701122</v>
      </c>
      <c r="CE21" s="121"/>
      <c r="CF21" s="122">
        <f t="shared" ca="1" si="6"/>
        <v>10235971.754361782</v>
      </c>
      <c r="CG21" s="124">
        <f t="shared" ca="1" si="60"/>
        <v>0</v>
      </c>
      <c r="CH21" s="123">
        <f t="shared" ca="1" si="61"/>
        <v>0</v>
      </c>
      <c r="CI21" s="121"/>
      <c r="CJ21" s="123">
        <f t="shared" ca="1" si="62"/>
        <v>1293355.4484585985</v>
      </c>
      <c r="CK21" s="123">
        <f t="shared" ca="1" si="63"/>
        <v>1293355.4484585985</v>
      </c>
      <c r="CL21" s="123">
        <f t="shared" ca="1" si="64"/>
        <v>0</v>
      </c>
      <c r="CM21" s="121"/>
      <c r="CN21" s="62">
        <f t="shared" ca="1" si="65"/>
        <v>309152.47010493273</v>
      </c>
      <c r="CO21" s="62" t="b">
        <f t="shared" si="66"/>
        <v>1</v>
      </c>
      <c r="CP21" s="126">
        <f t="shared" ca="1" si="67"/>
        <v>4.1666666666666664E-4</v>
      </c>
      <c r="CQ21" s="120"/>
      <c r="CR21" s="120"/>
      <c r="CS21" s="120"/>
      <c r="CT21" s="120"/>
      <c r="CU21" s="120"/>
      <c r="CV21" s="120"/>
      <c r="CW21" s="120"/>
      <c r="CX21" s="120"/>
      <c r="CY21" s="120"/>
      <c r="CZ21" s="120"/>
      <c r="DA21" s="120"/>
      <c r="DB21" s="120"/>
      <c r="DC21" s="120"/>
      <c r="DD21" s="120"/>
      <c r="DE21" s="116"/>
      <c r="DF21" s="116"/>
      <c r="DG21" s="116"/>
      <c r="DH21" s="116"/>
      <c r="DI21" s="116"/>
      <c r="DJ21" s="116"/>
      <c r="DK21" s="116"/>
      <c r="DL21" s="116"/>
      <c r="DM21" s="116"/>
      <c r="DN21" s="116"/>
    </row>
    <row r="22" spans="1:118" x14ac:dyDescent="0.2">
      <c r="A22" s="27">
        <v>16</v>
      </c>
      <c r="B22" s="29">
        <f t="shared" si="0"/>
        <v>39600</v>
      </c>
      <c r="C22" s="30">
        <f t="shared" si="1"/>
        <v>8.3333333333333329E-2</v>
      </c>
      <c r="D22" s="55"/>
      <c r="E22" s="62">
        <f t="shared" ca="1" si="19"/>
        <v>99136215.456878528</v>
      </c>
      <c r="F22" s="63">
        <f ca="1">IF(AssetIntType1="Fixed",AssetFxdRate1,IF(A22=1,OFFSET(Vectors!$D$6,A22,MATCH(AssetFltIndx1,lstInterestRates,0)),IF(MOD($A22,AssetRateReset1)=0,MAX(MIN(OFFSET(Vectors!$D$6,A22,MATCH(AssetFltIndx1,lstInterestRates,0)),(F21-AssetMarg1)+AssetPdCapFl1,AssetLifeCap1-AssetMarg1),(F21-AssetMarg1)-AssetPdCapFl1,AssetLifeFloor1-AssetMarg1),F21)))+AssetMarg1</f>
        <v>0.09</v>
      </c>
      <c r="G22" s="62">
        <f t="shared" ca="1" si="7"/>
        <v>804622.61694478267</v>
      </c>
      <c r="H22" s="62">
        <f t="shared" ca="1" si="20"/>
        <v>743521.61592658889</v>
      </c>
      <c r="I22" s="62">
        <f t="shared" ca="1" si="21"/>
        <v>61101.001018193783</v>
      </c>
      <c r="J22" s="62">
        <f t="shared" ca="1" si="2"/>
        <v>99075114.455860332</v>
      </c>
      <c r="K22" s="55"/>
      <c r="L22" s="62">
        <f t="shared" ca="1" si="22"/>
        <v>97111836.364135131</v>
      </c>
      <c r="M22" s="68">
        <f ca="1">IF(pdrLossTime1="",OFFSET(Vectors!$AE$6,A22+_Age1,MATCH(SDA_Loss,lstSDA,0)),OFFSET(Vectors!$X$6,A22+_Age1,MATCH(pdrLossTime1,lstDefaultCurve,0)))</f>
        <v>2.7777777777777779E-5</v>
      </c>
      <c r="N22" s="62">
        <f t="shared" ca="1" si="8"/>
        <v>2777.7777777777778</v>
      </c>
      <c r="O22" s="67">
        <f t="shared" ca="1" si="23"/>
        <v>0.99075114455860336</v>
      </c>
      <c r="P22" s="68">
        <f ca="1">OFFSET(Vectors!$L$6,A22+_Age1,MATCH(pdrPrepay1,lstPrepayCurve,0))*pdrPrepayStress1</f>
        <v>2.7065965204493558E-3</v>
      </c>
      <c r="Q22" s="62">
        <f t="shared" ca="1" si="24"/>
        <v>262680.55964313133</v>
      </c>
      <c r="R22" s="62">
        <f t="shared" ca="1" si="25"/>
        <v>59851.595708145789</v>
      </c>
      <c r="S22" s="69">
        <f t="shared" ca="1" si="26"/>
        <v>0.09</v>
      </c>
      <c r="T22" s="62">
        <f t="shared" ca="1" si="27"/>
        <v>728317.93939768011</v>
      </c>
      <c r="U22" s="62">
        <f t="shared" ca="1" si="9"/>
        <v>1111.1111111111111</v>
      </c>
      <c r="V22" s="62">
        <f t="shared" ca="1" si="3"/>
        <v>96786526.431006074</v>
      </c>
      <c r="W22" s="55"/>
      <c r="X22" s="62">
        <f t="shared" ca="1" si="28"/>
        <v>1051961.2058600681</v>
      </c>
      <c r="Y22" s="55"/>
      <c r="Z22" s="118" t="b">
        <v>0</v>
      </c>
      <c r="AA22" s="120" t="b">
        <f t="shared" si="10"/>
        <v>0</v>
      </c>
      <c r="AB22" s="120" t="b">
        <f t="shared" si="11"/>
        <v>1</v>
      </c>
      <c r="AC22" s="120" t="b">
        <f t="shared" ca="1" si="12"/>
        <v>0</v>
      </c>
      <c r="AD22" s="121"/>
      <c r="AE22" s="129">
        <v>79434369.496253759</v>
      </c>
      <c r="AF22" s="69">
        <f ca="1">IF(Swap_Active="No",0,OFFSET(Vectors!$D$6,Vectors!A22,MATCH(Swap_In,lstInterestRates,0)))</f>
        <v>3.9369000000000008E-2</v>
      </c>
      <c r="AG22" s="62">
        <f t="shared" ca="1" si="29"/>
        <v>260604.30772483457</v>
      </c>
      <c r="AH22" s="69">
        <f ca="1">IF(Swap_Active="No",0,OFFSET(Vectors!$D$6,Vectors!A22,MATCH(Swap_Out,lstInterestRates,0)))</f>
        <v>0.04</v>
      </c>
      <c r="AI22" s="62">
        <f t="shared" ca="1" si="30"/>
        <v>264781.23165417917</v>
      </c>
      <c r="AJ22" s="62">
        <f t="shared" ca="1" si="31"/>
        <v>-4176.9239293446008</v>
      </c>
      <c r="AK22" s="62">
        <f t="shared" ca="1" si="32"/>
        <v>1047784.2819307235</v>
      </c>
      <c r="AL22" s="121"/>
      <c r="AM22" s="123">
        <f t="shared" ca="1" si="13"/>
        <v>197111.21870065067</v>
      </c>
      <c r="AN22" s="124">
        <f t="shared" ca="1" si="33"/>
        <v>197111.21870065067</v>
      </c>
      <c r="AO22" s="125">
        <f t="shared" ca="1" si="34"/>
        <v>0</v>
      </c>
      <c r="AP22" s="123">
        <f t="shared" ca="1" si="35"/>
        <v>850673.06323007285</v>
      </c>
      <c r="AQ22" s="121"/>
      <c r="AR22" s="126">
        <f ca="1">IF(LiabIntType1="Fixed",LiabFxdRate1,OFFSET(Vectors!$D$6,Vectors!A22,MATCH(LiabLoanIndex1,lstInterestRates,0))+LiabMarg1)</f>
        <v>4.936900000000001E-2</v>
      </c>
      <c r="AS22" s="122">
        <f t="shared" ca="1" si="36"/>
        <v>348132.00138615561</v>
      </c>
      <c r="AT22" s="124">
        <f t="shared" ca="1" si="37"/>
        <v>348132.00138615561</v>
      </c>
      <c r="AU22" s="123">
        <f t="shared" ca="1" si="38"/>
        <v>0</v>
      </c>
      <c r="AV22" s="123">
        <f t="shared" ca="1" si="14"/>
        <v>0</v>
      </c>
      <c r="AW22" s="123">
        <f t="shared" ca="1" si="39"/>
        <v>0</v>
      </c>
      <c r="AX22" s="124">
        <f t="shared" ca="1" si="40"/>
        <v>502541.06184391724</v>
      </c>
      <c r="AY22" s="121"/>
      <c r="AZ22" s="122">
        <f t="shared" ca="1" si="15"/>
        <v>502541.06184391724</v>
      </c>
      <c r="BA22" s="124">
        <f t="shared" ca="1" si="41"/>
        <v>502541.06184391724</v>
      </c>
      <c r="BB22" s="123">
        <f t="shared" ca="1" si="42"/>
        <v>0</v>
      </c>
      <c r="BC22" s="123">
        <f t="shared" ca="1" si="16"/>
        <v>0</v>
      </c>
      <c r="BD22" s="123">
        <f t="shared" ca="1" si="43"/>
        <v>0</v>
      </c>
      <c r="BE22" s="124">
        <f t="shared" ca="1" si="44"/>
        <v>0</v>
      </c>
      <c r="BF22" s="121"/>
      <c r="BG22" s="123">
        <f t="shared" si="17"/>
        <v>1000000</v>
      </c>
      <c r="BH22" s="123">
        <f t="shared" ca="1" si="45"/>
        <v>1000000</v>
      </c>
      <c r="BI22" s="123">
        <f t="shared" ca="1" si="46"/>
        <v>0</v>
      </c>
      <c r="BJ22" s="123">
        <f t="shared" ca="1" si="47"/>
        <v>0</v>
      </c>
      <c r="BK22" s="123">
        <f t="shared" ca="1" si="4"/>
        <v>1000000</v>
      </c>
      <c r="BL22" s="123">
        <f t="shared" ca="1" si="48"/>
        <v>0</v>
      </c>
      <c r="BM22" s="121"/>
      <c r="BN22" s="126">
        <f ca="1">IF(LiabIntType2="Fixed",LiabFxdRate2,OFFSET(Vectors!$D$6,Vectors!A22,MATCH(LiabLoanIndex2,lstInterestRates,0))+LiabMarg2)</f>
        <v>0.04</v>
      </c>
      <c r="BO22" s="122">
        <f t="shared" ca="1" si="49"/>
        <v>34119.905847872607</v>
      </c>
      <c r="BP22" s="124">
        <f t="shared" ca="1" si="50"/>
        <v>0</v>
      </c>
      <c r="BQ22" s="123">
        <f t="shared" ca="1" si="51"/>
        <v>34119.905847872607</v>
      </c>
      <c r="BR22" s="123">
        <f t="shared" ca="1" si="52"/>
        <v>0</v>
      </c>
      <c r="BS22" s="121"/>
      <c r="BT22" s="123">
        <f t="shared" ca="1" si="18"/>
        <v>33353.740267732057</v>
      </c>
      <c r="BU22" s="123">
        <f t="shared" ca="1" si="53"/>
        <v>0</v>
      </c>
      <c r="BV22" s="123">
        <f t="shared" ca="1" si="54"/>
        <v>33353.740267732057</v>
      </c>
      <c r="BW22" s="123">
        <f t="shared" ca="1" si="55"/>
        <v>0</v>
      </c>
      <c r="BX22" s="121"/>
      <c r="BY22" s="123">
        <f t="shared" si="56"/>
        <v>0</v>
      </c>
      <c r="BZ22" s="123">
        <f t="shared" ca="1" si="57"/>
        <v>0</v>
      </c>
      <c r="CA22" s="121"/>
      <c r="CB22" s="122">
        <f t="shared" ca="1" si="5"/>
        <v>84117038.36317718</v>
      </c>
      <c r="CC22" s="122">
        <f t="shared" ca="1" si="58"/>
        <v>348132.00138615561</v>
      </c>
      <c r="CD22" s="124">
        <f t="shared" ca="1" si="59"/>
        <v>502541.06184391724</v>
      </c>
      <c r="CE22" s="121"/>
      <c r="CF22" s="122">
        <f t="shared" ca="1" si="6"/>
        <v>10235971.754361782</v>
      </c>
      <c r="CG22" s="124">
        <f t="shared" ca="1" si="60"/>
        <v>0</v>
      </c>
      <c r="CH22" s="123">
        <f t="shared" ca="1" si="61"/>
        <v>0</v>
      </c>
      <c r="CI22" s="121"/>
      <c r="CJ22" s="123">
        <f t="shared" ca="1" si="62"/>
        <v>1312565.5135849027</v>
      </c>
      <c r="CK22" s="123">
        <f t="shared" ca="1" si="63"/>
        <v>1312565.5135849027</v>
      </c>
      <c r="CL22" s="123">
        <f t="shared" ca="1" si="64"/>
        <v>0</v>
      </c>
      <c r="CM22" s="121"/>
      <c r="CN22" s="62">
        <f t="shared" ca="1" si="65"/>
        <v>325309.93312905484</v>
      </c>
      <c r="CO22" s="62" t="b">
        <f t="shared" si="66"/>
        <v>1</v>
      </c>
      <c r="CP22" s="126">
        <f t="shared" ca="1" si="67"/>
        <v>4.4444444444444441E-4</v>
      </c>
      <c r="CQ22" s="120"/>
      <c r="CR22" s="120"/>
      <c r="CS22" s="120"/>
      <c r="CT22" s="120"/>
      <c r="CU22" s="120"/>
      <c r="CV22" s="120"/>
      <c r="CW22" s="120"/>
      <c r="CX22" s="120"/>
      <c r="CY22" s="120"/>
      <c r="CZ22" s="120"/>
      <c r="DA22" s="120"/>
      <c r="DB22" s="120"/>
      <c r="DC22" s="120"/>
      <c r="DD22" s="120"/>
      <c r="DE22" s="116"/>
      <c r="DF22" s="116"/>
      <c r="DG22" s="116"/>
      <c r="DH22" s="116"/>
      <c r="DI22" s="116"/>
      <c r="DJ22" s="116"/>
      <c r="DK22" s="116"/>
      <c r="DL22" s="116"/>
      <c r="DM22" s="116"/>
      <c r="DN22" s="116"/>
    </row>
    <row r="23" spans="1:118" x14ac:dyDescent="0.2">
      <c r="A23" s="27">
        <v>17</v>
      </c>
      <c r="B23" s="29">
        <f t="shared" si="0"/>
        <v>39630</v>
      </c>
      <c r="C23" s="30">
        <f t="shared" si="1"/>
        <v>8.3333333333333329E-2</v>
      </c>
      <c r="D23" s="55"/>
      <c r="E23" s="62">
        <f t="shared" ca="1" si="19"/>
        <v>99075114.455860332</v>
      </c>
      <c r="F23" s="63">
        <f ca="1">IF(AssetIntType1="Fixed",AssetFxdRate1,IF(A23=1,OFFSET(Vectors!$D$6,A23,MATCH(AssetFltIndx1,lstInterestRates,0)),IF(MOD($A23,AssetRateReset1)=0,MAX(MIN(OFFSET(Vectors!$D$6,A23,MATCH(AssetFltIndx1,lstInterestRates,0)),(F22-AssetMarg1)+AssetPdCapFl1,AssetLifeCap1-AssetMarg1),(F22-AssetMarg1)-AssetPdCapFl1,AssetLifeFloor1-AssetMarg1),F22)))+AssetMarg1</f>
        <v>0.09</v>
      </c>
      <c r="G23" s="62">
        <f t="shared" ca="1" si="7"/>
        <v>804622.61694478267</v>
      </c>
      <c r="H23" s="62">
        <f t="shared" ca="1" si="20"/>
        <v>743063.35841895244</v>
      </c>
      <c r="I23" s="62">
        <f t="shared" ca="1" si="21"/>
        <v>61559.258525830228</v>
      </c>
      <c r="J23" s="62">
        <f t="shared" ca="1" si="2"/>
        <v>99013555.197334498</v>
      </c>
      <c r="K23" s="55"/>
      <c r="L23" s="62">
        <f t="shared" ca="1" si="22"/>
        <v>96786526.431006074</v>
      </c>
      <c r="M23" s="68">
        <f ca="1">IF(pdrLossTime1="",OFFSET(Vectors!$AE$6,A23+_Age1,MATCH(SDA_Loss,lstSDA,0)),OFFSET(Vectors!$X$6,A23+_Age1,MATCH(pdrLossTime1,lstDefaultCurve,0)))</f>
        <v>2.7777777777777779E-5</v>
      </c>
      <c r="N23" s="62">
        <f t="shared" ca="1" si="8"/>
        <v>2777.7777777777778</v>
      </c>
      <c r="O23" s="67">
        <f t="shared" ca="1" si="23"/>
        <v>0.99013555197334502</v>
      </c>
      <c r="P23" s="68">
        <f ca="1">OFFSET(Vectors!$L$6,A23+_Age1,MATCH(pdrPrepay1,lstPrepayCurve,0))*pdrPrepayStress1</f>
        <v>2.8784696366042084E-3</v>
      </c>
      <c r="Q23" s="62">
        <f t="shared" ca="1" si="24"/>
        <v>278423.97426139598</v>
      </c>
      <c r="R23" s="62">
        <f t="shared" ca="1" si="25"/>
        <v>60135.542988419889</v>
      </c>
      <c r="S23" s="69">
        <f t="shared" ca="1" si="26"/>
        <v>0.09</v>
      </c>
      <c r="T23" s="62">
        <f t="shared" ca="1" si="27"/>
        <v>725878.11489921226</v>
      </c>
      <c r="U23" s="62">
        <f t="shared" ca="1" si="9"/>
        <v>1111.1111111111111</v>
      </c>
      <c r="V23" s="62">
        <f t="shared" ca="1" si="3"/>
        <v>96445189.135978475</v>
      </c>
      <c r="W23" s="55"/>
      <c r="X23" s="62">
        <f t="shared" ca="1" si="28"/>
        <v>1065548.7432601391</v>
      </c>
      <c r="Y23" s="55"/>
      <c r="Z23" s="118" t="b">
        <v>0</v>
      </c>
      <c r="AA23" s="120" t="b">
        <f t="shared" si="10"/>
        <v>0</v>
      </c>
      <c r="AB23" s="120" t="b">
        <f t="shared" si="11"/>
        <v>1</v>
      </c>
      <c r="AC23" s="120" t="b">
        <f t="shared" ca="1" si="12"/>
        <v>0</v>
      </c>
      <c r="AD23" s="121"/>
      <c r="AE23" s="129">
        <v>78529715.270603076</v>
      </c>
      <c r="AF23" s="69">
        <f ca="1">IF(Swap_Active="No",0,OFFSET(Vectors!$D$6,Vectors!A23,MATCH(Swap_In,lstInterestRates,0)))</f>
        <v>4.0619000000000009E-2</v>
      </c>
      <c r="AG23" s="62">
        <f t="shared" ca="1" si="29"/>
        <v>265816.54204805224</v>
      </c>
      <c r="AH23" s="69">
        <f ca="1">IF(Swap_Active="No",0,OFFSET(Vectors!$D$6,Vectors!A23,MATCH(Swap_Out,lstInterestRates,0)))</f>
        <v>0.04</v>
      </c>
      <c r="AI23" s="62">
        <f t="shared" ca="1" si="30"/>
        <v>261765.71756867692</v>
      </c>
      <c r="AJ23" s="62">
        <f t="shared" ca="1" si="31"/>
        <v>4050.8244793753256</v>
      </c>
      <c r="AK23" s="62">
        <f t="shared" ca="1" si="32"/>
        <v>1069599.5677395144</v>
      </c>
      <c r="AL23" s="121"/>
      <c r="AM23" s="123">
        <f t="shared" ca="1" si="13"/>
        <v>196359.64336966726</v>
      </c>
      <c r="AN23" s="124">
        <f t="shared" ca="1" si="33"/>
        <v>196359.64336966726</v>
      </c>
      <c r="AO23" s="125">
        <f t="shared" ca="1" si="34"/>
        <v>0</v>
      </c>
      <c r="AP23" s="123">
        <f t="shared" ca="1" si="35"/>
        <v>873239.92436984717</v>
      </c>
      <c r="AQ23" s="121"/>
      <c r="AR23" s="126">
        <f ca="1">IF(LiabIntType1="Fixed",LiabFxdRate1,OFFSET(Vectors!$D$6,Vectors!A23,MATCH(LiabLoanIndex1,lstInterestRates,0))+LiabMarg1)</f>
        <v>5.0619000000000011E-2</v>
      </c>
      <c r="AS23" s="122">
        <f t="shared" ca="1" si="36"/>
        <v>354826.69707547221</v>
      </c>
      <c r="AT23" s="124">
        <f t="shared" ca="1" si="37"/>
        <v>354826.69707547221</v>
      </c>
      <c r="AU23" s="123">
        <f t="shared" ca="1" si="38"/>
        <v>0</v>
      </c>
      <c r="AV23" s="123">
        <f t="shared" ca="1" si="14"/>
        <v>0</v>
      </c>
      <c r="AW23" s="123">
        <f t="shared" ca="1" si="39"/>
        <v>0</v>
      </c>
      <c r="AX23" s="124">
        <f t="shared" ca="1" si="40"/>
        <v>518413.22729437496</v>
      </c>
      <c r="AY23" s="121"/>
      <c r="AZ23" s="122">
        <f t="shared" ca="1" si="15"/>
        <v>518413.22729437496</v>
      </c>
      <c r="BA23" s="124">
        <f t="shared" ca="1" si="41"/>
        <v>518413.22729437496</v>
      </c>
      <c r="BB23" s="123">
        <f t="shared" ca="1" si="42"/>
        <v>0</v>
      </c>
      <c r="BC23" s="123">
        <f t="shared" ca="1" si="16"/>
        <v>0</v>
      </c>
      <c r="BD23" s="123">
        <f t="shared" ca="1" si="43"/>
        <v>0</v>
      </c>
      <c r="BE23" s="124">
        <f t="shared" ca="1" si="44"/>
        <v>0</v>
      </c>
      <c r="BF23" s="121"/>
      <c r="BG23" s="123">
        <f t="shared" si="17"/>
        <v>1000000</v>
      </c>
      <c r="BH23" s="123">
        <f t="shared" ca="1" si="45"/>
        <v>1000000</v>
      </c>
      <c r="BI23" s="123">
        <f t="shared" ca="1" si="46"/>
        <v>0</v>
      </c>
      <c r="BJ23" s="123">
        <f t="shared" ca="1" si="47"/>
        <v>0</v>
      </c>
      <c r="BK23" s="123">
        <f t="shared" ca="1" si="4"/>
        <v>1000000</v>
      </c>
      <c r="BL23" s="123">
        <f t="shared" ca="1" si="48"/>
        <v>0</v>
      </c>
      <c r="BM23" s="121"/>
      <c r="BN23" s="126">
        <f ca="1">IF(LiabIntType2="Fixed",LiabFxdRate2,OFFSET(Vectors!$D$6,Vectors!A23,MATCH(LiabLoanIndex2,lstInterestRates,0))+LiabMarg2)</f>
        <v>0.04</v>
      </c>
      <c r="BO23" s="122">
        <f t="shared" ca="1" si="49"/>
        <v>34119.905847872607</v>
      </c>
      <c r="BP23" s="124">
        <f t="shared" ca="1" si="50"/>
        <v>0</v>
      </c>
      <c r="BQ23" s="123">
        <f t="shared" ca="1" si="51"/>
        <v>34119.905847872607</v>
      </c>
      <c r="BR23" s="123">
        <f t="shared" ca="1" si="52"/>
        <v>0</v>
      </c>
      <c r="BS23" s="121"/>
      <c r="BT23" s="123">
        <f t="shared" ca="1" si="18"/>
        <v>34997.011534609526</v>
      </c>
      <c r="BU23" s="123">
        <f t="shared" ca="1" si="53"/>
        <v>0</v>
      </c>
      <c r="BV23" s="123">
        <f t="shared" ca="1" si="54"/>
        <v>34997.011534609526</v>
      </c>
      <c r="BW23" s="123">
        <f t="shared" ca="1" si="55"/>
        <v>0</v>
      </c>
      <c r="BX23" s="121"/>
      <c r="BY23" s="123">
        <f t="shared" si="56"/>
        <v>0</v>
      </c>
      <c r="BZ23" s="123">
        <f t="shared" ca="1" si="57"/>
        <v>0</v>
      </c>
      <c r="CA23" s="121"/>
      <c r="CB23" s="122">
        <f t="shared" ca="1" si="5"/>
        <v>83598625.13588281</v>
      </c>
      <c r="CC23" s="122">
        <f t="shared" ca="1" si="58"/>
        <v>354826.69707547221</v>
      </c>
      <c r="CD23" s="124">
        <f t="shared" ca="1" si="59"/>
        <v>518413.22729437496</v>
      </c>
      <c r="CE23" s="121"/>
      <c r="CF23" s="122">
        <f t="shared" ca="1" si="6"/>
        <v>10235971.754361782</v>
      </c>
      <c r="CG23" s="124">
        <f t="shared" ca="1" si="60"/>
        <v>0</v>
      </c>
      <c r="CH23" s="123">
        <f t="shared" ca="1" si="61"/>
        <v>0</v>
      </c>
      <c r="CI23" s="121"/>
      <c r="CJ23" s="123">
        <f t="shared" ca="1" si="62"/>
        <v>1331365.2853081913</v>
      </c>
      <c r="CK23" s="123">
        <f t="shared" ca="1" si="63"/>
        <v>1331365.2853081913</v>
      </c>
      <c r="CL23" s="123">
        <f t="shared" ca="1" si="64"/>
        <v>0</v>
      </c>
      <c r="CM23" s="121"/>
      <c r="CN23" s="62">
        <f t="shared" ca="1" si="65"/>
        <v>341337.29502759362</v>
      </c>
      <c r="CO23" s="62" t="b">
        <f t="shared" si="66"/>
        <v>1</v>
      </c>
      <c r="CP23" s="126">
        <f t="shared" ca="1" si="67"/>
        <v>4.7222222222222218E-4</v>
      </c>
      <c r="CQ23" s="120"/>
      <c r="CR23" s="120"/>
      <c r="CS23" s="120"/>
      <c r="CT23" s="120"/>
      <c r="CU23" s="120"/>
      <c r="CV23" s="120"/>
      <c r="CW23" s="120"/>
      <c r="CX23" s="120"/>
      <c r="CY23" s="120"/>
      <c r="CZ23" s="120"/>
      <c r="DA23" s="120"/>
      <c r="DB23" s="120"/>
      <c r="DC23" s="120"/>
      <c r="DD23" s="120"/>
      <c r="DE23" s="116"/>
      <c r="DF23" s="116"/>
      <c r="DG23" s="116"/>
      <c r="DH23" s="116"/>
      <c r="DI23" s="116"/>
      <c r="DJ23" s="116"/>
      <c r="DK23" s="116"/>
      <c r="DL23" s="116"/>
      <c r="DM23" s="116"/>
      <c r="DN23" s="116"/>
    </row>
    <row r="24" spans="1:118" x14ac:dyDescent="0.2">
      <c r="A24" s="27">
        <v>18</v>
      </c>
      <c r="B24" s="29">
        <f t="shared" si="0"/>
        <v>39661</v>
      </c>
      <c r="C24" s="30">
        <f t="shared" si="1"/>
        <v>8.3333333333333329E-2</v>
      </c>
      <c r="D24" s="55"/>
      <c r="E24" s="62">
        <f t="shared" ca="1" si="19"/>
        <v>99013555.197334498</v>
      </c>
      <c r="F24" s="63">
        <f ca="1">IF(AssetIntType1="Fixed",AssetFxdRate1,IF(A24=1,OFFSET(Vectors!$D$6,A24,MATCH(AssetFltIndx1,lstInterestRates,0)),IF(MOD($A24,AssetRateReset1)=0,MAX(MIN(OFFSET(Vectors!$D$6,A24,MATCH(AssetFltIndx1,lstInterestRates,0)),(F23-AssetMarg1)+AssetPdCapFl1,AssetLifeCap1-AssetMarg1),(F23-AssetMarg1)-AssetPdCapFl1,AssetLifeFloor1-AssetMarg1),F23)))+AssetMarg1</f>
        <v>0.09</v>
      </c>
      <c r="G24" s="62">
        <f t="shared" ca="1" si="7"/>
        <v>804622.61694478267</v>
      </c>
      <c r="H24" s="62">
        <f t="shared" ca="1" si="20"/>
        <v>742601.66398000869</v>
      </c>
      <c r="I24" s="62">
        <f t="shared" ca="1" si="21"/>
        <v>62020.952964773984</v>
      </c>
      <c r="J24" s="62">
        <f t="shared" ca="1" si="2"/>
        <v>98951534.24436973</v>
      </c>
      <c r="K24" s="55"/>
      <c r="L24" s="62">
        <f t="shared" ca="1" si="22"/>
        <v>96445189.135978475</v>
      </c>
      <c r="M24" s="68">
        <f ca="1">IF(pdrLossTime1="",OFFSET(Vectors!$AE$6,A24+_Age1,MATCH(SDA_Loss,lstSDA,0)),OFFSET(Vectors!$X$6,A24+_Age1,MATCH(pdrLossTime1,lstDefaultCurve,0)))</f>
        <v>2.7777777777777779E-5</v>
      </c>
      <c r="N24" s="62">
        <f t="shared" ca="1" si="8"/>
        <v>2777.7777777777778</v>
      </c>
      <c r="O24" s="67">
        <f t="shared" ca="1" si="23"/>
        <v>0.98951534244369732</v>
      </c>
      <c r="P24" s="68">
        <f ca="1">OFFSET(Vectors!$L$6,A24+_Age1,MATCH(pdrPrepay1,lstPrepayCurve,0))*pdrPrepayStress1</f>
        <v>3.0506692540422931E-3</v>
      </c>
      <c r="Q24" s="62">
        <f t="shared" ca="1" si="24"/>
        <v>294038.075684493</v>
      </c>
      <c r="R24" s="62">
        <f t="shared" ca="1" si="25"/>
        <v>60410.418015344723</v>
      </c>
      <c r="S24" s="69">
        <f t="shared" ca="1" si="26"/>
        <v>0.09</v>
      </c>
      <c r="T24" s="62">
        <f t="shared" ca="1" si="27"/>
        <v>723318.08518650522</v>
      </c>
      <c r="U24" s="62">
        <f t="shared" ca="1" si="9"/>
        <v>1111.1111111111111</v>
      </c>
      <c r="V24" s="62">
        <f t="shared" ca="1" si="3"/>
        <v>96087962.864500865</v>
      </c>
      <c r="W24" s="55"/>
      <c r="X24" s="62">
        <f t="shared" ca="1" si="28"/>
        <v>1078877.6899974539</v>
      </c>
      <c r="Y24" s="55"/>
      <c r="Z24" s="118" t="b">
        <v>0</v>
      </c>
      <c r="AA24" s="120" t="b">
        <f t="shared" si="10"/>
        <v>0</v>
      </c>
      <c r="AB24" s="120" t="b">
        <f t="shared" si="11"/>
        <v>1</v>
      </c>
      <c r="AC24" s="120" t="b">
        <f t="shared" ca="1" si="12"/>
        <v>0</v>
      </c>
      <c r="AD24" s="121"/>
      <c r="AE24" s="129">
        <v>77634241.551383406</v>
      </c>
      <c r="AF24" s="69">
        <f ca="1">IF(Swap_Active="No",0,OFFSET(Vectors!$D$6,Vectors!A24,MATCH(Swap_In,lstInterestRates,0)))</f>
        <v>4.186900000000001E-2</v>
      </c>
      <c r="AG24" s="62">
        <f t="shared" ca="1" si="29"/>
        <v>270872.33829290606</v>
      </c>
      <c r="AH24" s="69">
        <f ca="1">IF(Swap_Active="No",0,OFFSET(Vectors!$D$6,Vectors!A24,MATCH(Swap_Out,lstInterestRates,0)))</f>
        <v>0.04</v>
      </c>
      <c r="AI24" s="62">
        <f t="shared" ca="1" si="30"/>
        <v>258780.80517127801</v>
      </c>
      <c r="AJ24" s="62">
        <f t="shared" ca="1" si="31"/>
        <v>12091.533121628047</v>
      </c>
      <c r="AK24" s="62">
        <f t="shared" ca="1" si="32"/>
        <v>1090969.2231190819</v>
      </c>
      <c r="AL24" s="121"/>
      <c r="AM24" s="123">
        <f t="shared" ca="1" si="13"/>
        <v>195574.74236658195</v>
      </c>
      <c r="AN24" s="124">
        <f t="shared" ca="1" si="33"/>
        <v>195574.74236658195</v>
      </c>
      <c r="AO24" s="125">
        <f t="shared" ca="1" si="34"/>
        <v>0</v>
      </c>
      <c r="AP24" s="123">
        <f t="shared" ca="1" si="35"/>
        <v>895394.48075250001</v>
      </c>
      <c r="AQ24" s="121"/>
      <c r="AR24" s="126">
        <f ca="1">IF(LiabIntType1="Fixed",LiabFxdRate1,OFFSET(Vectors!$D$6,Vectors!A24,MATCH(LiabLoanIndex1,lstInterestRates,0))+LiabMarg1)</f>
        <v>5.1869000000000012E-2</v>
      </c>
      <c r="AS24" s="122">
        <f t="shared" ca="1" si="36"/>
        <v>361348.09059775883</v>
      </c>
      <c r="AT24" s="124">
        <f t="shared" ca="1" si="37"/>
        <v>361348.09059775883</v>
      </c>
      <c r="AU24" s="123">
        <f t="shared" ca="1" si="38"/>
        <v>0</v>
      </c>
      <c r="AV24" s="123">
        <f t="shared" ca="1" si="14"/>
        <v>0</v>
      </c>
      <c r="AW24" s="123">
        <f t="shared" ca="1" si="39"/>
        <v>0</v>
      </c>
      <c r="AX24" s="124">
        <f t="shared" ca="1" si="40"/>
        <v>534046.39015474124</v>
      </c>
      <c r="AY24" s="121"/>
      <c r="AZ24" s="122">
        <f t="shared" ca="1" si="15"/>
        <v>534046.39015474124</v>
      </c>
      <c r="BA24" s="124">
        <f t="shared" ca="1" si="41"/>
        <v>534046.39015474124</v>
      </c>
      <c r="BB24" s="123">
        <f t="shared" ca="1" si="42"/>
        <v>0</v>
      </c>
      <c r="BC24" s="123">
        <f t="shared" ca="1" si="16"/>
        <v>0</v>
      </c>
      <c r="BD24" s="123">
        <f t="shared" ca="1" si="43"/>
        <v>0</v>
      </c>
      <c r="BE24" s="124">
        <f t="shared" ca="1" si="44"/>
        <v>0</v>
      </c>
      <c r="BF24" s="121"/>
      <c r="BG24" s="123">
        <f t="shared" si="17"/>
        <v>1000000</v>
      </c>
      <c r="BH24" s="123">
        <f t="shared" ca="1" si="45"/>
        <v>1000000</v>
      </c>
      <c r="BI24" s="123">
        <f t="shared" ca="1" si="46"/>
        <v>0</v>
      </c>
      <c r="BJ24" s="123">
        <f t="shared" ca="1" si="47"/>
        <v>0</v>
      </c>
      <c r="BK24" s="123">
        <f t="shared" ca="1" si="4"/>
        <v>1000000</v>
      </c>
      <c r="BL24" s="123">
        <f t="shared" ca="1" si="48"/>
        <v>0</v>
      </c>
      <c r="BM24" s="121"/>
      <c r="BN24" s="126">
        <f ca="1">IF(LiabIntType2="Fixed",LiabFxdRate2,OFFSET(Vectors!$D$6,Vectors!A24,MATCH(LiabLoanIndex2,lstInterestRates,0))+LiabMarg2)</f>
        <v>0.04</v>
      </c>
      <c r="BO24" s="122">
        <f t="shared" ca="1" si="49"/>
        <v>34119.905847872607</v>
      </c>
      <c r="BP24" s="124">
        <f t="shared" ca="1" si="50"/>
        <v>0</v>
      </c>
      <c r="BQ24" s="123">
        <f t="shared" ca="1" si="51"/>
        <v>34119.905847872607</v>
      </c>
      <c r="BR24" s="123">
        <f t="shared" ca="1" si="52"/>
        <v>0</v>
      </c>
      <c r="BS24" s="121"/>
      <c r="BT24" s="123">
        <f t="shared" ca="1" si="18"/>
        <v>36626.094263613995</v>
      </c>
      <c r="BU24" s="123">
        <f t="shared" ca="1" si="53"/>
        <v>0</v>
      </c>
      <c r="BV24" s="123">
        <f t="shared" ca="1" si="54"/>
        <v>36626.094263613995</v>
      </c>
      <c r="BW24" s="123">
        <f t="shared" ca="1" si="55"/>
        <v>0</v>
      </c>
      <c r="BX24" s="121"/>
      <c r="BY24" s="123">
        <f t="shared" si="56"/>
        <v>0</v>
      </c>
      <c r="BZ24" s="123">
        <f t="shared" ca="1" si="57"/>
        <v>0</v>
      </c>
      <c r="CA24" s="121"/>
      <c r="CB24" s="122">
        <f t="shared" ca="1" si="5"/>
        <v>83064578.745728076</v>
      </c>
      <c r="CC24" s="122">
        <f t="shared" ca="1" si="58"/>
        <v>361348.09059775883</v>
      </c>
      <c r="CD24" s="124">
        <f t="shared" ca="1" si="59"/>
        <v>534046.39015474124</v>
      </c>
      <c r="CE24" s="121"/>
      <c r="CF24" s="122">
        <f t="shared" ca="1" si="6"/>
        <v>10235971.754361782</v>
      </c>
      <c r="CG24" s="124">
        <f t="shared" ca="1" si="60"/>
        <v>0</v>
      </c>
      <c r="CH24" s="123">
        <f t="shared" ca="1" si="61"/>
        <v>0</v>
      </c>
      <c r="CI24" s="121"/>
      <c r="CJ24" s="123">
        <f t="shared" ca="1" si="62"/>
        <v>1349750.02829036</v>
      </c>
      <c r="CK24" s="123">
        <f t="shared" ca="1" si="63"/>
        <v>1349750.02829036</v>
      </c>
      <c r="CL24" s="123">
        <f t="shared" ca="1" si="64"/>
        <v>0</v>
      </c>
      <c r="CM24" s="121"/>
      <c r="CN24" s="62">
        <f t="shared" ca="1" si="65"/>
        <v>357226.27147761546</v>
      </c>
      <c r="CO24" s="62" t="b">
        <f t="shared" si="66"/>
        <v>1</v>
      </c>
      <c r="CP24" s="126">
        <f t="shared" ca="1" si="67"/>
        <v>5.0000000000000001E-4</v>
      </c>
      <c r="CQ24" s="120"/>
      <c r="CR24" s="120"/>
      <c r="CS24" s="120"/>
      <c r="CT24" s="120"/>
      <c r="CU24" s="120"/>
      <c r="CV24" s="120"/>
      <c r="CW24" s="120"/>
      <c r="CX24" s="120"/>
      <c r="CY24" s="120"/>
      <c r="CZ24" s="120"/>
      <c r="DA24" s="120"/>
      <c r="DB24" s="120"/>
      <c r="DC24" s="120"/>
      <c r="DD24" s="120"/>
      <c r="DE24" s="116"/>
      <c r="DF24" s="116"/>
      <c r="DG24" s="116"/>
      <c r="DH24" s="116"/>
      <c r="DI24" s="116"/>
      <c r="DJ24" s="116"/>
      <c r="DK24" s="116"/>
      <c r="DL24" s="116"/>
      <c r="DM24" s="116"/>
      <c r="DN24" s="116"/>
    </row>
    <row r="25" spans="1:118" x14ac:dyDescent="0.2">
      <c r="A25" s="27">
        <v>19</v>
      </c>
      <c r="B25" s="29">
        <f t="shared" si="0"/>
        <v>39692</v>
      </c>
      <c r="C25" s="30">
        <f t="shared" si="1"/>
        <v>8.3333333333333329E-2</v>
      </c>
      <c r="D25" s="55"/>
      <c r="E25" s="62">
        <f t="shared" ca="1" si="19"/>
        <v>98951534.24436973</v>
      </c>
      <c r="F25" s="63">
        <f ca="1">IF(AssetIntType1="Fixed",AssetFxdRate1,IF(A25=1,OFFSET(Vectors!$D$6,A25,MATCH(AssetFltIndx1,lstInterestRates,0)),IF(MOD($A25,AssetRateReset1)=0,MAX(MIN(OFFSET(Vectors!$D$6,A25,MATCH(AssetFltIndx1,lstInterestRates,0)),(F24-AssetMarg1)+AssetPdCapFl1,AssetLifeCap1-AssetMarg1),(F24-AssetMarg1)-AssetPdCapFl1,AssetLifeFloor1-AssetMarg1),F24)))+AssetMarg1</f>
        <v>0.09</v>
      </c>
      <c r="G25" s="62">
        <f t="shared" ca="1" si="7"/>
        <v>804622.61694478267</v>
      </c>
      <c r="H25" s="62">
        <f t="shared" ca="1" si="20"/>
        <v>742136.50683277298</v>
      </c>
      <c r="I25" s="62">
        <f t="shared" ca="1" si="21"/>
        <v>62486.110112009686</v>
      </c>
      <c r="J25" s="62">
        <f t="shared" ca="1" si="2"/>
        <v>98889048.134257719</v>
      </c>
      <c r="K25" s="55"/>
      <c r="L25" s="62">
        <f t="shared" ca="1" si="22"/>
        <v>96087962.864500865</v>
      </c>
      <c r="M25" s="68">
        <f ca="1">IF(pdrLossTime1="",OFFSET(Vectors!$AE$6,A25+_Age1,MATCH(SDA_Loss,lstSDA,0)),OFFSET(Vectors!$X$6,A25+_Age1,MATCH(pdrLossTime1,lstDefaultCurve,0)))</f>
        <v>2.7777777777777779E-5</v>
      </c>
      <c r="N25" s="62">
        <f t="shared" ca="1" si="8"/>
        <v>2777.7777777777778</v>
      </c>
      <c r="O25" s="67">
        <f t="shared" ca="1" si="23"/>
        <v>0.98889048134257718</v>
      </c>
      <c r="P25" s="68">
        <f ca="1">OFFSET(Vectors!$L$6,A25+_Age1,MATCH(pdrPrepay1,lstPrepayCurve,0))*pdrPrepayStress1</f>
        <v>3.223196672329065E-3</v>
      </c>
      <c r="Q25" s="62">
        <f t="shared" ca="1" si="24"/>
        <v>309514.82561981335</v>
      </c>
      <c r="R25" s="62">
        <f t="shared" ca="1" si="25"/>
        <v>60676.062289592097</v>
      </c>
      <c r="S25" s="69">
        <f t="shared" ca="1" si="26"/>
        <v>0.09</v>
      </c>
      <c r="T25" s="62">
        <f t="shared" ca="1" si="27"/>
        <v>720638.88815042318</v>
      </c>
      <c r="U25" s="62">
        <f t="shared" ca="1" si="9"/>
        <v>1111.1111111111111</v>
      </c>
      <c r="V25" s="62">
        <f t="shared" ca="1" si="3"/>
        <v>95714994.198813677</v>
      </c>
      <c r="W25" s="55"/>
      <c r="X25" s="62">
        <f t="shared" ca="1" si="28"/>
        <v>1091940.8871709397</v>
      </c>
      <c r="Y25" s="55"/>
      <c r="Z25" s="118" t="b">
        <v>0</v>
      </c>
      <c r="AA25" s="120" t="b">
        <f t="shared" si="10"/>
        <v>0</v>
      </c>
      <c r="AB25" s="120" t="b">
        <f t="shared" si="11"/>
        <v>1</v>
      </c>
      <c r="AC25" s="120" t="b">
        <f t="shared" ca="1" si="12"/>
        <v>0</v>
      </c>
      <c r="AD25" s="121"/>
      <c r="AE25" s="129">
        <v>76747856.18857269</v>
      </c>
      <c r="AF25" s="69">
        <f ca="1">IF(Swap_Active="No",0,OFFSET(Vectors!$D$6,Vectors!A25,MATCH(Swap_In,lstInterestRates,0)))</f>
        <v>4.3119000000000011E-2</v>
      </c>
      <c r="AG25" s="62">
        <f t="shared" ca="1" si="29"/>
        <v>275774.23424958886</v>
      </c>
      <c r="AH25" s="69">
        <f ca="1">IF(Swap_Active="No",0,OFFSET(Vectors!$D$6,Vectors!A25,MATCH(Swap_Out,lstInterestRates,0)))</f>
        <v>0.04</v>
      </c>
      <c r="AI25" s="62">
        <f t="shared" ca="1" si="30"/>
        <v>255826.18729524227</v>
      </c>
      <c r="AJ25" s="62">
        <f t="shared" ca="1" si="31"/>
        <v>19948.046954346588</v>
      </c>
      <c r="AK25" s="62">
        <f t="shared" ca="1" si="32"/>
        <v>1111888.9341252863</v>
      </c>
      <c r="AL25" s="121"/>
      <c r="AM25" s="123">
        <f t="shared" ca="1" si="13"/>
        <v>194756.84591822146</v>
      </c>
      <c r="AN25" s="124">
        <f t="shared" ca="1" si="33"/>
        <v>194756.84591822146</v>
      </c>
      <c r="AO25" s="125">
        <f t="shared" ca="1" si="34"/>
        <v>0</v>
      </c>
      <c r="AP25" s="123">
        <f t="shared" ca="1" si="35"/>
        <v>917132.08820706489</v>
      </c>
      <c r="AQ25" s="121"/>
      <c r="AR25" s="126">
        <f ca="1">IF(LiabIntType1="Fixed",LiabFxdRate1,OFFSET(Vectors!$D$6,Vectors!A25,MATCH(LiabLoanIndex1,lstInterestRates,0))+LiabMarg1)</f>
        <v>5.3119000000000013E-2</v>
      </c>
      <c r="AS25" s="122">
        <f t="shared" ca="1" si="36"/>
        <v>367692.27986619424</v>
      </c>
      <c r="AT25" s="124">
        <f t="shared" ca="1" si="37"/>
        <v>367692.27986619424</v>
      </c>
      <c r="AU25" s="123">
        <f t="shared" ca="1" si="38"/>
        <v>0</v>
      </c>
      <c r="AV25" s="123">
        <f t="shared" ca="1" si="14"/>
        <v>0</v>
      </c>
      <c r="AW25" s="123">
        <f t="shared" ca="1" si="39"/>
        <v>0</v>
      </c>
      <c r="AX25" s="124">
        <f t="shared" ca="1" si="40"/>
        <v>549439.80834087066</v>
      </c>
      <c r="AY25" s="121"/>
      <c r="AZ25" s="122">
        <f t="shared" ca="1" si="15"/>
        <v>549439.80834087066</v>
      </c>
      <c r="BA25" s="124">
        <f t="shared" ca="1" si="41"/>
        <v>549439.80834087066</v>
      </c>
      <c r="BB25" s="123">
        <f t="shared" ca="1" si="42"/>
        <v>0</v>
      </c>
      <c r="BC25" s="123">
        <f t="shared" ca="1" si="16"/>
        <v>0</v>
      </c>
      <c r="BD25" s="123">
        <f t="shared" ca="1" si="43"/>
        <v>0</v>
      </c>
      <c r="BE25" s="124">
        <f t="shared" ca="1" si="44"/>
        <v>0</v>
      </c>
      <c r="BF25" s="121"/>
      <c r="BG25" s="123">
        <f t="shared" si="17"/>
        <v>1000000</v>
      </c>
      <c r="BH25" s="123">
        <f t="shared" ca="1" si="45"/>
        <v>1000000</v>
      </c>
      <c r="BI25" s="123">
        <f t="shared" ca="1" si="46"/>
        <v>0</v>
      </c>
      <c r="BJ25" s="123">
        <f t="shared" ca="1" si="47"/>
        <v>0</v>
      </c>
      <c r="BK25" s="123">
        <f t="shared" ca="1" si="4"/>
        <v>1000000</v>
      </c>
      <c r="BL25" s="123">
        <f t="shared" ca="1" si="48"/>
        <v>0</v>
      </c>
      <c r="BM25" s="121"/>
      <c r="BN25" s="126">
        <f ca="1">IF(LiabIntType2="Fixed",LiabFxdRate2,OFFSET(Vectors!$D$6,Vectors!A25,MATCH(LiabLoanIndex2,lstInterestRates,0))+LiabMarg2)</f>
        <v>0.04</v>
      </c>
      <c r="BO25" s="122">
        <f t="shared" ca="1" si="49"/>
        <v>34119.905847872607</v>
      </c>
      <c r="BP25" s="124">
        <f t="shared" ca="1" si="50"/>
        <v>0</v>
      </c>
      <c r="BQ25" s="123">
        <f t="shared" ca="1" si="51"/>
        <v>34119.905847872607</v>
      </c>
      <c r="BR25" s="123">
        <f t="shared" ca="1" si="52"/>
        <v>0</v>
      </c>
      <c r="BS25" s="121"/>
      <c r="BT25" s="123">
        <f t="shared" ca="1" si="18"/>
        <v>38240.148044904068</v>
      </c>
      <c r="BU25" s="123">
        <f t="shared" ca="1" si="53"/>
        <v>0</v>
      </c>
      <c r="BV25" s="123">
        <f t="shared" ca="1" si="54"/>
        <v>38240.148044904068</v>
      </c>
      <c r="BW25" s="123">
        <f t="shared" ca="1" si="55"/>
        <v>0</v>
      </c>
      <c r="BX25" s="121"/>
      <c r="BY25" s="123">
        <f t="shared" si="56"/>
        <v>0</v>
      </c>
      <c r="BZ25" s="123">
        <f t="shared" ca="1" si="57"/>
        <v>0</v>
      </c>
      <c r="CA25" s="121"/>
      <c r="CB25" s="122">
        <f t="shared" ca="1" si="5"/>
        <v>82515138.937387198</v>
      </c>
      <c r="CC25" s="122">
        <f t="shared" ca="1" si="58"/>
        <v>367692.27986619424</v>
      </c>
      <c r="CD25" s="124">
        <f t="shared" ca="1" si="59"/>
        <v>549439.80834087066</v>
      </c>
      <c r="CE25" s="121"/>
      <c r="CF25" s="122">
        <f t="shared" ca="1" si="6"/>
        <v>10235971.754361782</v>
      </c>
      <c r="CG25" s="124">
        <f t="shared" ca="1" si="60"/>
        <v>0</v>
      </c>
      <c r="CH25" s="123">
        <f t="shared" ca="1" si="61"/>
        <v>0</v>
      </c>
      <c r="CI25" s="121"/>
      <c r="CJ25" s="123">
        <f t="shared" ca="1" si="62"/>
        <v>1367715.1214205285</v>
      </c>
      <c r="CK25" s="123">
        <f t="shared" ca="1" si="63"/>
        <v>1367715.1214205287</v>
      </c>
      <c r="CL25" s="123">
        <f t="shared" ca="1" si="64"/>
        <v>0</v>
      </c>
      <c r="CM25" s="121"/>
      <c r="CN25" s="62">
        <f t="shared" ca="1" si="65"/>
        <v>372968.66568718321</v>
      </c>
      <c r="CO25" s="62" t="b">
        <f t="shared" si="66"/>
        <v>1</v>
      </c>
      <c r="CP25" s="126">
        <f t="shared" ca="1" si="67"/>
        <v>5.2777777777777784E-4</v>
      </c>
      <c r="CQ25" s="120"/>
      <c r="CR25" s="120"/>
      <c r="CS25" s="120"/>
      <c r="CT25" s="120"/>
      <c r="CU25" s="120"/>
      <c r="CV25" s="120"/>
      <c r="CW25" s="120"/>
      <c r="CX25" s="120"/>
      <c r="CY25" s="120"/>
      <c r="CZ25" s="120"/>
      <c r="DA25" s="120"/>
      <c r="DB25" s="120"/>
      <c r="DC25" s="120"/>
      <c r="DD25" s="120"/>
      <c r="DE25" s="116"/>
      <c r="DF25" s="116"/>
      <c r="DG25" s="116"/>
      <c r="DH25" s="116"/>
      <c r="DI25" s="116"/>
      <c r="DJ25" s="116"/>
      <c r="DK25" s="116"/>
      <c r="DL25" s="116"/>
      <c r="DM25" s="116"/>
      <c r="DN25" s="116"/>
    </row>
    <row r="26" spans="1:118" x14ac:dyDescent="0.2">
      <c r="A26" s="27">
        <v>20</v>
      </c>
      <c r="B26" s="29">
        <f t="shared" si="0"/>
        <v>39722</v>
      </c>
      <c r="C26" s="30">
        <f t="shared" si="1"/>
        <v>8.3333333333333329E-2</v>
      </c>
      <c r="D26" s="55"/>
      <c r="E26" s="62">
        <f t="shared" ca="1" si="19"/>
        <v>98889048.134257719</v>
      </c>
      <c r="F26" s="63">
        <f ca="1">IF(AssetIntType1="Fixed",AssetFxdRate1,IF(A26=1,OFFSET(Vectors!$D$6,A26,MATCH(AssetFltIndx1,lstInterestRates,0)),IF(MOD($A26,AssetRateReset1)=0,MAX(MIN(OFFSET(Vectors!$D$6,A26,MATCH(AssetFltIndx1,lstInterestRates,0)),(F25-AssetMarg1)+AssetPdCapFl1,AssetLifeCap1-AssetMarg1),(F25-AssetMarg1)-AssetPdCapFl1,AssetLifeFloor1-AssetMarg1),F25)))+AssetMarg1</f>
        <v>0.09</v>
      </c>
      <c r="G26" s="62">
        <f t="shared" ca="1" si="7"/>
        <v>804622.61694478267</v>
      </c>
      <c r="H26" s="62">
        <f t="shared" ca="1" si="20"/>
        <v>741667.86100693292</v>
      </c>
      <c r="I26" s="62">
        <f t="shared" ca="1" si="21"/>
        <v>62954.755937849754</v>
      </c>
      <c r="J26" s="62">
        <f t="shared" ca="1" si="2"/>
        <v>98826093.378319874</v>
      </c>
      <c r="K26" s="55"/>
      <c r="L26" s="62">
        <f t="shared" ca="1" si="22"/>
        <v>95714994.198813677</v>
      </c>
      <c r="M26" s="68">
        <f ca="1">IF(pdrLossTime1="",OFFSET(Vectors!$AE$6,A26+_Age1,MATCH(SDA_Loss,lstSDA,0)),OFFSET(Vectors!$X$6,A26+_Age1,MATCH(pdrLossTime1,lstDefaultCurve,0)))</f>
        <v>2.7777777777777779E-5</v>
      </c>
      <c r="N26" s="62">
        <f t="shared" ca="1" si="8"/>
        <v>2777.7777777777778</v>
      </c>
      <c r="O26" s="67">
        <f t="shared" ca="1" si="23"/>
        <v>0.98826093378319879</v>
      </c>
      <c r="P26" s="68">
        <f ca="1">OFFSET(Vectors!$L$6,A26+_Age1,MATCH(pdrPrepay1,lstPrepayCurve,0))*pdrPrepayStress1</f>
        <v>3.3960531989175591E-3</v>
      </c>
      <c r="Q26" s="62">
        <f t="shared" ca="1" si="24"/>
        <v>324846.27682403766</v>
      </c>
      <c r="R26" s="62">
        <f t="shared" ca="1" si="25"/>
        <v>60932.321007633298</v>
      </c>
      <c r="S26" s="69">
        <f t="shared" ca="1" si="26"/>
        <v>0.09</v>
      </c>
      <c r="T26" s="62">
        <f t="shared" ca="1" si="27"/>
        <v>717841.62315776921</v>
      </c>
      <c r="U26" s="62">
        <f t="shared" ca="1" si="9"/>
        <v>1111.1111111111111</v>
      </c>
      <c r="V26" s="62">
        <f t="shared" ca="1" si="3"/>
        <v>95326437.823204219</v>
      </c>
      <c r="W26" s="55"/>
      <c r="X26" s="62">
        <f t="shared" ca="1" si="28"/>
        <v>1104731.3321005511</v>
      </c>
      <c r="Y26" s="55"/>
      <c r="Z26" s="118" t="b">
        <v>0</v>
      </c>
      <c r="AA26" s="120" t="b">
        <f t="shared" si="10"/>
        <v>0</v>
      </c>
      <c r="AB26" s="120" t="b">
        <f t="shared" si="11"/>
        <v>1</v>
      </c>
      <c r="AC26" s="120" t="b">
        <f t="shared" ca="1" si="12"/>
        <v>0</v>
      </c>
      <c r="AD26" s="121"/>
      <c r="AE26" s="129">
        <v>75870467.954537347</v>
      </c>
      <c r="AF26" s="69">
        <f ca="1">IF(Swap_Active="No",0,OFFSET(Vectors!$D$6,Vectors!A26,MATCH(Swap_In,lstInterestRates,0)))</f>
        <v>4.4369000000000013E-2</v>
      </c>
      <c r="AG26" s="62">
        <f t="shared" ca="1" si="29"/>
        <v>280524.7327229057</v>
      </c>
      <c r="AH26" s="69">
        <f ca="1">IF(Swap_Active="No",0,OFFSET(Vectors!$D$6,Vectors!A26,MATCH(Swap_Out,lstInterestRates,0)))</f>
        <v>0.04</v>
      </c>
      <c r="AI26" s="62">
        <f t="shared" ca="1" si="30"/>
        <v>252901.55984845784</v>
      </c>
      <c r="AJ26" s="62">
        <f t="shared" ca="1" si="31"/>
        <v>27623.172874447861</v>
      </c>
      <c r="AK26" s="62">
        <f t="shared" ca="1" si="32"/>
        <v>1132354.504974999</v>
      </c>
      <c r="AL26" s="121"/>
      <c r="AM26" s="123">
        <f t="shared" ca="1" si="13"/>
        <v>193906.29822193412</v>
      </c>
      <c r="AN26" s="124">
        <f t="shared" ca="1" si="33"/>
        <v>193906.29822193412</v>
      </c>
      <c r="AO26" s="125">
        <f t="shared" ca="1" si="34"/>
        <v>0</v>
      </c>
      <c r="AP26" s="123">
        <f t="shared" ca="1" si="35"/>
        <v>938448.20675306488</v>
      </c>
      <c r="AQ26" s="121"/>
      <c r="AR26" s="126">
        <f ca="1">IF(LiabIntType1="Fixed",LiabFxdRate1,OFFSET(Vectors!$D$6,Vectors!A26,MATCH(LiabLoanIndex1,lstInterestRates,0))+LiabMarg1)</f>
        <v>5.4369000000000015E-2</v>
      </c>
      <c r="AS26" s="122">
        <f t="shared" ca="1" si="36"/>
        <v>373855.46574056713</v>
      </c>
      <c r="AT26" s="124">
        <f t="shared" ca="1" si="37"/>
        <v>373855.46574056713</v>
      </c>
      <c r="AU26" s="123">
        <f t="shared" ca="1" si="38"/>
        <v>0</v>
      </c>
      <c r="AV26" s="123">
        <f t="shared" ca="1" si="14"/>
        <v>0</v>
      </c>
      <c r="AW26" s="123">
        <f t="shared" ca="1" si="39"/>
        <v>0</v>
      </c>
      <c r="AX26" s="124">
        <f t="shared" ca="1" si="40"/>
        <v>564592.74101249781</v>
      </c>
      <c r="AY26" s="121"/>
      <c r="AZ26" s="122">
        <f t="shared" ca="1" si="15"/>
        <v>564592.74101249781</v>
      </c>
      <c r="BA26" s="124">
        <f t="shared" ca="1" si="41"/>
        <v>564592.74101249781</v>
      </c>
      <c r="BB26" s="123">
        <f t="shared" ca="1" si="42"/>
        <v>0</v>
      </c>
      <c r="BC26" s="123">
        <f t="shared" ca="1" si="16"/>
        <v>0</v>
      </c>
      <c r="BD26" s="123">
        <f t="shared" ca="1" si="43"/>
        <v>0</v>
      </c>
      <c r="BE26" s="124">
        <f t="shared" ca="1" si="44"/>
        <v>0</v>
      </c>
      <c r="BF26" s="121"/>
      <c r="BG26" s="123">
        <f t="shared" si="17"/>
        <v>1000000</v>
      </c>
      <c r="BH26" s="123">
        <f t="shared" ca="1" si="45"/>
        <v>1000000</v>
      </c>
      <c r="BI26" s="123">
        <f t="shared" ca="1" si="46"/>
        <v>0</v>
      </c>
      <c r="BJ26" s="123">
        <f t="shared" ca="1" si="47"/>
        <v>0</v>
      </c>
      <c r="BK26" s="123">
        <f t="shared" ca="1" si="4"/>
        <v>1000000</v>
      </c>
      <c r="BL26" s="123">
        <f t="shared" ca="1" si="48"/>
        <v>0</v>
      </c>
      <c r="BM26" s="121"/>
      <c r="BN26" s="126">
        <f ca="1">IF(LiabIntType2="Fixed",LiabFxdRate2,OFFSET(Vectors!$D$6,Vectors!A26,MATCH(LiabLoanIndex2,lstInterestRates,0))+LiabMarg2)</f>
        <v>0.04</v>
      </c>
      <c r="BO26" s="122">
        <f t="shared" ca="1" si="49"/>
        <v>34119.905847872607</v>
      </c>
      <c r="BP26" s="124">
        <f t="shared" ca="1" si="50"/>
        <v>0</v>
      </c>
      <c r="BQ26" s="123">
        <f t="shared" ca="1" si="51"/>
        <v>34119.905847872607</v>
      </c>
      <c r="BR26" s="123">
        <f t="shared" ca="1" si="52"/>
        <v>0</v>
      </c>
      <c r="BS26" s="121"/>
      <c r="BT26" s="123">
        <f t="shared" ca="1" si="18"/>
        <v>39838.342182768705</v>
      </c>
      <c r="BU26" s="123">
        <f t="shared" ca="1" si="53"/>
        <v>0</v>
      </c>
      <c r="BV26" s="123">
        <f t="shared" ca="1" si="54"/>
        <v>39838.342182768705</v>
      </c>
      <c r="BW26" s="123">
        <f t="shared" ca="1" si="55"/>
        <v>0</v>
      </c>
      <c r="BX26" s="121"/>
      <c r="BY26" s="123">
        <f t="shared" si="56"/>
        <v>0</v>
      </c>
      <c r="BZ26" s="123">
        <f t="shared" ca="1" si="57"/>
        <v>0</v>
      </c>
      <c r="CA26" s="121"/>
      <c r="CB26" s="122">
        <f t="shared" ca="1" si="5"/>
        <v>81950546.196374699</v>
      </c>
      <c r="CC26" s="122">
        <f t="shared" ca="1" si="58"/>
        <v>373855.46574056713</v>
      </c>
      <c r="CD26" s="124">
        <f t="shared" ca="1" si="59"/>
        <v>564592.74101249781</v>
      </c>
      <c r="CE26" s="121"/>
      <c r="CF26" s="122">
        <f t="shared" ca="1" si="6"/>
        <v>10235971.754361782</v>
      </c>
      <c r="CG26" s="124">
        <f t="shared" ca="1" si="60"/>
        <v>0</v>
      </c>
      <c r="CH26" s="123">
        <f t="shared" ca="1" si="61"/>
        <v>0</v>
      </c>
      <c r="CI26" s="121"/>
      <c r="CJ26" s="123">
        <f t="shared" ca="1" si="62"/>
        <v>1385256.0648234568</v>
      </c>
      <c r="CK26" s="123">
        <f t="shared" ca="1" si="63"/>
        <v>1385256.0648234568</v>
      </c>
      <c r="CL26" s="123">
        <f t="shared" ca="1" si="64"/>
        <v>0</v>
      </c>
      <c r="CM26" s="121"/>
      <c r="CN26" s="62">
        <f t="shared" ca="1" si="65"/>
        <v>388556.3756094487</v>
      </c>
      <c r="CO26" s="62" t="b">
        <f t="shared" si="66"/>
        <v>1</v>
      </c>
      <c r="CP26" s="126">
        <f t="shared" ca="1" si="67"/>
        <v>5.5555555555555566E-4</v>
      </c>
      <c r="CQ26" s="120"/>
      <c r="CR26" s="120"/>
      <c r="CS26" s="120"/>
      <c r="CT26" s="120"/>
      <c r="CU26" s="120"/>
      <c r="CV26" s="120"/>
      <c r="CW26" s="120"/>
      <c r="CX26" s="120"/>
      <c r="CY26" s="120"/>
      <c r="CZ26" s="120"/>
      <c r="DA26" s="120"/>
      <c r="DB26" s="120"/>
      <c r="DC26" s="120"/>
      <c r="DD26" s="120"/>
      <c r="DE26" s="116"/>
      <c r="DF26" s="116"/>
      <c r="DG26" s="116"/>
      <c r="DH26" s="116"/>
      <c r="DI26" s="116"/>
      <c r="DJ26" s="116"/>
      <c r="DK26" s="116"/>
      <c r="DL26" s="116"/>
      <c r="DM26" s="116"/>
      <c r="DN26" s="116"/>
    </row>
    <row r="27" spans="1:118" x14ac:dyDescent="0.2">
      <c r="A27" s="27">
        <v>21</v>
      </c>
      <c r="B27" s="29">
        <f t="shared" si="0"/>
        <v>39753</v>
      </c>
      <c r="C27" s="30">
        <f t="shared" si="1"/>
        <v>8.3333333333333329E-2</v>
      </c>
      <c r="D27" s="55"/>
      <c r="E27" s="62">
        <f t="shared" ca="1" si="19"/>
        <v>98826093.378319874</v>
      </c>
      <c r="F27" s="63">
        <f ca="1">IF(AssetIntType1="Fixed",AssetFxdRate1,IF(A27=1,OFFSET(Vectors!$D$6,A27,MATCH(AssetFltIndx1,lstInterestRates,0)),IF(MOD($A27,AssetRateReset1)=0,MAX(MIN(OFFSET(Vectors!$D$6,A27,MATCH(AssetFltIndx1,lstInterestRates,0)),(F26-AssetMarg1)+AssetPdCapFl1,AssetLifeCap1-AssetMarg1),(F26-AssetMarg1)-AssetPdCapFl1,AssetLifeFloor1-AssetMarg1),F26)))+AssetMarg1</f>
        <v>0.09</v>
      </c>
      <c r="G27" s="62">
        <f t="shared" ca="1" si="7"/>
        <v>804622.61694478267</v>
      </c>
      <c r="H27" s="62">
        <f t="shared" ca="1" si="20"/>
        <v>741195.70033739903</v>
      </c>
      <c r="I27" s="62">
        <f t="shared" ca="1" si="21"/>
        <v>63426.916607383639</v>
      </c>
      <c r="J27" s="62">
        <f t="shared" ca="1" si="2"/>
        <v>98762666.461712494</v>
      </c>
      <c r="K27" s="55"/>
      <c r="L27" s="62">
        <f t="shared" ca="1" si="22"/>
        <v>95326437.823204219</v>
      </c>
      <c r="M27" s="68">
        <f ca="1">IF(pdrLossTime1="",OFFSET(Vectors!$AE$6,A27+_Age1,MATCH(SDA_Loss,lstSDA,0)),OFFSET(Vectors!$X$6,A27+_Age1,MATCH(pdrLossTime1,lstDefaultCurve,0)))</f>
        <v>2.7777777777777779E-5</v>
      </c>
      <c r="N27" s="62">
        <f t="shared" ca="1" si="8"/>
        <v>2777.7777777777778</v>
      </c>
      <c r="O27" s="67">
        <f t="shared" ca="1" si="23"/>
        <v>0.98762666461712489</v>
      </c>
      <c r="P27" s="68">
        <f ca="1">OFFSET(Vectors!$L$6,A27+_Age1,MATCH(pdrPrepay1,lstPrepayCurve,0))*pdrPrepayStress1</f>
        <v>3.5692401492131154E-3</v>
      </c>
      <c r="Q27" s="62">
        <f t="shared" ca="1" si="24"/>
        <v>340024.58009956119</v>
      </c>
      <c r="R27" s="62">
        <f t="shared" ca="1" si="25"/>
        <v>61179.043203374044</v>
      </c>
      <c r="S27" s="69">
        <f t="shared" ca="1" si="26"/>
        <v>0.09</v>
      </c>
      <c r="T27" s="62">
        <f t="shared" ca="1" si="27"/>
        <v>714927.45034069824</v>
      </c>
      <c r="U27" s="62">
        <f t="shared" ca="1" si="9"/>
        <v>1111.1111111111111</v>
      </c>
      <c r="V27" s="62">
        <f t="shared" ca="1" si="3"/>
        <v>94922456.422123507</v>
      </c>
      <c r="W27" s="55"/>
      <c r="X27" s="62">
        <f t="shared" ca="1" si="28"/>
        <v>1117242.1847547444</v>
      </c>
      <c r="Y27" s="55"/>
      <c r="Z27" s="118" t="b">
        <v>0</v>
      </c>
      <c r="AA27" s="120" t="b">
        <f t="shared" si="10"/>
        <v>0</v>
      </c>
      <c r="AB27" s="120" t="b">
        <f t="shared" si="11"/>
        <v>1</v>
      </c>
      <c r="AC27" s="120" t="b">
        <f t="shared" ca="1" si="12"/>
        <v>0</v>
      </c>
      <c r="AD27" s="121"/>
      <c r="AE27" s="129">
        <v>75001986.534806132</v>
      </c>
      <c r="AF27" s="69">
        <f ca="1">IF(Swap_Active="No",0,OFFSET(Vectors!$D$6,Vectors!A27,MATCH(Swap_In,lstInterestRates,0)))</f>
        <v>4.5619000000000014E-2</v>
      </c>
      <c r="AG27" s="62">
        <f t="shared" ca="1" si="29"/>
        <v>285126.30197761016</v>
      </c>
      <c r="AH27" s="69">
        <f ca="1">IF(Swap_Active="No",0,OFFSET(Vectors!$D$6,Vectors!A27,MATCH(Swap_Out,lstInterestRates,0)))</f>
        <v>0.04</v>
      </c>
      <c r="AI27" s="62">
        <f t="shared" ca="1" si="30"/>
        <v>250006.62178268709</v>
      </c>
      <c r="AJ27" s="62">
        <f t="shared" ca="1" si="31"/>
        <v>35119.680194923072</v>
      </c>
      <c r="AK27" s="62">
        <f t="shared" ca="1" si="32"/>
        <v>1152361.8649496674</v>
      </c>
      <c r="AL27" s="121"/>
      <c r="AM27" s="123">
        <f t="shared" ca="1" si="13"/>
        <v>193023.45728716315</v>
      </c>
      <c r="AN27" s="124">
        <f t="shared" ca="1" si="33"/>
        <v>193023.45728716315</v>
      </c>
      <c r="AO27" s="125">
        <f t="shared" ca="1" si="34"/>
        <v>0</v>
      </c>
      <c r="AP27" s="123">
        <f t="shared" ca="1" si="35"/>
        <v>959338.40766250424</v>
      </c>
      <c r="AQ27" s="121"/>
      <c r="AR27" s="126">
        <f ca="1">IF(LiabIntType1="Fixed",LiabFxdRate1,OFFSET(Vectors!$D$6,Vectors!A27,MATCH(LiabLoanIndex1,lstInterestRates,0))+LiabMarg1)</f>
        <v>5.5619000000000016E-2</v>
      </c>
      <c r="AS27" s="122">
        <f t="shared" ca="1" si="36"/>
        <v>379833.95240801375</v>
      </c>
      <c r="AT27" s="124">
        <f t="shared" ca="1" si="37"/>
        <v>379833.95240801375</v>
      </c>
      <c r="AU27" s="123">
        <f t="shared" ca="1" si="38"/>
        <v>0</v>
      </c>
      <c r="AV27" s="123">
        <f t="shared" ca="1" si="14"/>
        <v>0</v>
      </c>
      <c r="AW27" s="123">
        <f t="shared" ca="1" si="39"/>
        <v>0</v>
      </c>
      <c r="AX27" s="124">
        <f t="shared" ca="1" si="40"/>
        <v>579504.45525449049</v>
      </c>
      <c r="AY27" s="121"/>
      <c r="AZ27" s="122">
        <f t="shared" ca="1" si="15"/>
        <v>579504.45525449049</v>
      </c>
      <c r="BA27" s="124">
        <f t="shared" ca="1" si="41"/>
        <v>579504.45525449049</v>
      </c>
      <c r="BB27" s="123">
        <f t="shared" ca="1" si="42"/>
        <v>0</v>
      </c>
      <c r="BC27" s="123">
        <f t="shared" ca="1" si="16"/>
        <v>0</v>
      </c>
      <c r="BD27" s="123">
        <f t="shared" ca="1" si="43"/>
        <v>0</v>
      </c>
      <c r="BE27" s="124">
        <f t="shared" ca="1" si="44"/>
        <v>0</v>
      </c>
      <c r="BF27" s="121"/>
      <c r="BG27" s="123">
        <f t="shared" si="17"/>
        <v>1000000</v>
      </c>
      <c r="BH27" s="123">
        <f t="shared" ca="1" si="45"/>
        <v>1000000</v>
      </c>
      <c r="BI27" s="123">
        <f t="shared" ca="1" si="46"/>
        <v>0</v>
      </c>
      <c r="BJ27" s="123">
        <f t="shared" ca="1" si="47"/>
        <v>0</v>
      </c>
      <c r="BK27" s="123">
        <f t="shared" ca="1" si="4"/>
        <v>1000000</v>
      </c>
      <c r="BL27" s="123">
        <f t="shared" ca="1" si="48"/>
        <v>0</v>
      </c>
      <c r="BM27" s="121"/>
      <c r="BN27" s="126">
        <f ca="1">IF(LiabIntType2="Fixed",LiabFxdRate2,OFFSET(Vectors!$D$6,Vectors!A27,MATCH(LiabLoanIndex2,lstInterestRates,0))+LiabMarg2)</f>
        <v>0.04</v>
      </c>
      <c r="BO27" s="122">
        <f t="shared" ca="1" si="49"/>
        <v>34119.905847872607</v>
      </c>
      <c r="BP27" s="124">
        <f t="shared" ca="1" si="50"/>
        <v>0</v>
      </c>
      <c r="BQ27" s="123">
        <f t="shared" ca="1" si="51"/>
        <v>34119.905847872607</v>
      </c>
      <c r="BR27" s="123">
        <f t="shared" ca="1" si="52"/>
        <v>0</v>
      </c>
      <c r="BS27" s="121"/>
      <c r="BT27" s="123">
        <f t="shared" ca="1" si="18"/>
        <v>41419.856427486207</v>
      </c>
      <c r="BU27" s="123">
        <f t="shared" ca="1" si="53"/>
        <v>0</v>
      </c>
      <c r="BV27" s="123">
        <f t="shared" ca="1" si="54"/>
        <v>41419.856427486207</v>
      </c>
      <c r="BW27" s="123">
        <f t="shared" ca="1" si="55"/>
        <v>0</v>
      </c>
      <c r="BX27" s="121"/>
      <c r="BY27" s="123">
        <f t="shared" si="56"/>
        <v>0</v>
      </c>
      <c r="BZ27" s="123">
        <f t="shared" ca="1" si="57"/>
        <v>0</v>
      </c>
      <c r="CA27" s="121"/>
      <c r="CB27" s="122">
        <f t="shared" ca="1" si="5"/>
        <v>81371041.741120204</v>
      </c>
      <c r="CC27" s="122">
        <f t="shared" ca="1" si="58"/>
        <v>379833.95240801375</v>
      </c>
      <c r="CD27" s="124">
        <f t="shared" ca="1" si="59"/>
        <v>579504.45525449049</v>
      </c>
      <c r="CE27" s="121"/>
      <c r="CF27" s="122">
        <f t="shared" ca="1" si="6"/>
        <v>10235971.754361782</v>
      </c>
      <c r="CG27" s="124">
        <f t="shared" ca="1" si="60"/>
        <v>0</v>
      </c>
      <c r="CH27" s="123">
        <f t="shared" ca="1" si="61"/>
        <v>0</v>
      </c>
      <c r="CI27" s="121"/>
      <c r="CJ27" s="123">
        <f t="shared" ca="1" si="62"/>
        <v>1402368.4867323546</v>
      </c>
      <c r="CK27" s="123">
        <f t="shared" ca="1" si="63"/>
        <v>1402368.4867323544</v>
      </c>
      <c r="CL27" s="123">
        <f t="shared" ca="1" si="64"/>
        <v>0</v>
      </c>
      <c r="CM27" s="121"/>
      <c r="CN27" s="62">
        <f t="shared" ca="1" si="65"/>
        <v>403981.40108071297</v>
      </c>
      <c r="CO27" s="62" t="b">
        <f t="shared" si="66"/>
        <v>1</v>
      </c>
      <c r="CP27" s="126">
        <f t="shared" ca="1" si="67"/>
        <v>5.8333333333333349E-4</v>
      </c>
      <c r="CQ27" s="120"/>
      <c r="CR27" s="120"/>
      <c r="CS27" s="120"/>
      <c r="CT27" s="120"/>
      <c r="CU27" s="120"/>
      <c r="CV27" s="120"/>
      <c r="CW27" s="120"/>
      <c r="CX27" s="120"/>
      <c r="CY27" s="120"/>
      <c r="CZ27" s="120"/>
      <c r="DA27" s="120"/>
      <c r="DB27" s="120"/>
      <c r="DC27" s="120"/>
      <c r="DD27" s="120"/>
      <c r="DE27" s="116"/>
      <c r="DF27" s="116"/>
      <c r="DG27" s="116"/>
      <c r="DH27" s="116"/>
      <c r="DI27" s="116"/>
      <c r="DJ27" s="116"/>
      <c r="DK27" s="116"/>
      <c r="DL27" s="116"/>
      <c r="DM27" s="116"/>
      <c r="DN27" s="116"/>
    </row>
    <row r="28" spans="1:118" x14ac:dyDescent="0.2">
      <c r="A28" s="27">
        <v>22</v>
      </c>
      <c r="B28" s="29">
        <f t="shared" si="0"/>
        <v>39783</v>
      </c>
      <c r="C28" s="30">
        <f t="shared" si="1"/>
        <v>8.3333333333333329E-2</v>
      </c>
      <c r="D28" s="55"/>
      <c r="E28" s="62">
        <f t="shared" ca="1" si="19"/>
        <v>98762666.461712494</v>
      </c>
      <c r="F28" s="63">
        <f ca="1">IF(AssetIntType1="Fixed",AssetFxdRate1,IF(A28=1,OFFSET(Vectors!$D$6,A28,MATCH(AssetFltIndx1,lstInterestRates,0)),IF(MOD($A28,AssetRateReset1)=0,MAX(MIN(OFFSET(Vectors!$D$6,A28,MATCH(AssetFltIndx1,lstInterestRates,0)),(F27-AssetMarg1)+AssetPdCapFl1,AssetLifeCap1-AssetMarg1),(F27-AssetMarg1)-AssetPdCapFl1,AssetLifeFloor1-AssetMarg1),F27)))+AssetMarg1</f>
        <v>0.09</v>
      </c>
      <c r="G28" s="62">
        <f t="shared" ca="1" si="7"/>
        <v>804622.61694478267</v>
      </c>
      <c r="H28" s="62">
        <f t="shared" ca="1" si="20"/>
        <v>740719.99846284371</v>
      </c>
      <c r="I28" s="62">
        <f t="shared" ca="1" si="21"/>
        <v>63902.61848193896</v>
      </c>
      <c r="J28" s="62">
        <f t="shared" ca="1" si="2"/>
        <v>98698763.84323056</v>
      </c>
      <c r="K28" s="55"/>
      <c r="L28" s="62">
        <f t="shared" ca="1" si="22"/>
        <v>94922456.422123507</v>
      </c>
      <c r="M28" s="68">
        <f ca="1">IF(pdrLossTime1="",OFFSET(Vectors!$AE$6,A28+_Age1,MATCH(SDA_Loss,lstSDA,0)),OFFSET(Vectors!$X$6,A28+_Age1,MATCH(pdrLossTime1,lstDefaultCurve,0)))</f>
        <v>2.7777777777777779E-5</v>
      </c>
      <c r="N28" s="62">
        <f t="shared" ca="1" si="8"/>
        <v>2777.7777777777778</v>
      </c>
      <c r="O28" s="67">
        <f t="shared" ca="1" si="23"/>
        <v>0.98698763843230564</v>
      </c>
      <c r="P28" s="68">
        <f ca="1">OFFSET(Vectors!$L$6,A28+_Age1,MATCH(pdrPrepay1,lstPrepayCurve,0))*pdrPrepayStress1</f>
        <v>3.7427588466381057E-3</v>
      </c>
      <c r="Q28" s="62">
        <f t="shared" ca="1" si="24"/>
        <v>355041.99120780925</v>
      </c>
      <c r="R28" s="62">
        <f t="shared" ca="1" si="25"/>
        <v>61416.081887464483</v>
      </c>
      <c r="S28" s="69">
        <f t="shared" ca="1" si="26"/>
        <v>0.09</v>
      </c>
      <c r="T28" s="62">
        <f t="shared" ca="1" si="27"/>
        <v>711897.58983259299</v>
      </c>
      <c r="U28" s="62">
        <f t="shared" ca="1" si="9"/>
        <v>1111.1111111111111</v>
      </c>
      <c r="V28" s="62">
        <f t="shared" ca="1" si="3"/>
        <v>94503220.571250454</v>
      </c>
      <c r="W28" s="55"/>
      <c r="X28" s="62">
        <f t="shared" ca="1" si="28"/>
        <v>1129466.7740389777</v>
      </c>
      <c r="Y28" s="55"/>
      <c r="Z28" s="118" t="b">
        <v>0</v>
      </c>
      <c r="AA28" s="120" t="b">
        <f t="shared" si="10"/>
        <v>0</v>
      </c>
      <c r="AB28" s="120" t="b">
        <f t="shared" si="11"/>
        <v>1</v>
      </c>
      <c r="AC28" s="120" t="b">
        <f t="shared" ca="1" si="12"/>
        <v>0</v>
      </c>
      <c r="AD28" s="121"/>
      <c r="AE28" s="129">
        <v>74142322.518936187</v>
      </c>
      <c r="AF28" s="69">
        <f ca="1">IF(Swap_Active="No",0,OFFSET(Vectors!$D$6,Vectors!A28,MATCH(Swap_In,lstInterestRates,0)))</f>
        <v>4.6869000000000015E-2</v>
      </c>
      <c r="AG28" s="62">
        <f t="shared" ca="1" si="29"/>
        <v>289581.37617833505</v>
      </c>
      <c r="AH28" s="69">
        <f ca="1">IF(Swap_Active="No",0,OFFSET(Vectors!$D$6,Vectors!A28,MATCH(Swap_Out,lstInterestRates,0)))</f>
        <v>0.04</v>
      </c>
      <c r="AI28" s="62">
        <f t="shared" ca="1" si="30"/>
        <v>247141.0750631206</v>
      </c>
      <c r="AJ28" s="62">
        <f t="shared" ca="1" si="31"/>
        <v>42440.301115214446</v>
      </c>
      <c r="AK28" s="62">
        <f t="shared" ca="1" si="32"/>
        <v>1171907.075154192</v>
      </c>
      <c r="AL28" s="121"/>
      <c r="AM28" s="123">
        <f t="shared" ca="1" si="13"/>
        <v>192108.69476233923</v>
      </c>
      <c r="AN28" s="124">
        <f t="shared" ca="1" si="33"/>
        <v>192108.69476233923</v>
      </c>
      <c r="AO28" s="125">
        <f t="shared" ca="1" si="34"/>
        <v>0</v>
      </c>
      <c r="AP28" s="123">
        <f t="shared" ca="1" si="35"/>
        <v>979798.38039185281</v>
      </c>
      <c r="AQ28" s="121"/>
      <c r="AR28" s="126">
        <f ca="1">IF(LiabIntType1="Fixed",LiabFxdRate1,OFFSET(Vectors!$D$6,Vectors!A28,MATCH(LiabLoanIndex1,lstInterestRates,0))+LiabMarg1)</f>
        <v>5.6869000000000017E-2</v>
      </c>
      <c r="AS28" s="122">
        <f t="shared" ca="1" si="36"/>
        <v>385624.14773131383</v>
      </c>
      <c r="AT28" s="124">
        <f t="shared" ca="1" si="37"/>
        <v>385624.14773131383</v>
      </c>
      <c r="AU28" s="123">
        <f t="shared" ca="1" si="38"/>
        <v>0</v>
      </c>
      <c r="AV28" s="123">
        <f t="shared" ca="1" si="14"/>
        <v>0</v>
      </c>
      <c r="AW28" s="123">
        <f t="shared" ca="1" si="39"/>
        <v>0</v>
      </c>
      <c r="AX28" s="124">
        <f t="shared" ca="1" si="40"/>
        <v>594174.23266053898</v>
      </c>
      <c r="AY28" s="121"/>
      <c r="AZ28" s="122">
        <f t="shared" ca="1" si="15"/>
        <v>594174.23266053898</v>
      </c>
      <c r="BA28" s="124">
        <f t="shared" ca="1" si="41"/>
        <v>594174.23266053898</v>
      </c>
      <c r="BB28" s="123">
        <f t="shared" ca="1" si="42"/>
        <v>0</v>
      </c>
      <c r="BC28" s="123">
        <f t="shared" ca="1" si="16"/>
        <v>0</v>
      </c>
      <c r="BD28" s="123">
        <f t="shared" ca="1" si="43"/>
        <v>0</v>
      </c>
      <c r="BE28" s="124">
        <f t="shared" ca="1" si="44"/>
        <v>0</v>
      </c>
      <c r="BF28" s="121"/>
      <c r="BG28" s="123">
        <f t="shared" si="17"/>
        <v>1000000</v>
      </c>
      <c r="BH28" s="123">
        <f t="shared" ca="1" si="45"/>
        <v>1000000</v>
      </c>
      <c r="BI28" s="123">
        <f t="shared" ca="1" si="46"/>
        <v>0</v>
      </c>
      <c r="BJ28" s="123">
        <f t="shared" ca="1" si="47"/>
        <v>0</v>
      </c>
      <c r="BK28" s="123">
        <f t="shared" ca="1" si="4"/>
        <v>1000000</v>
      </c>
      <c r="BL28" s="123">
        <f t="shared" ca="1" si="48"/>
        <v>0</v>
      </c>
      <c r="BM28" s="121"/>
      <c r="BN28" s="126">
        <f ca="1">IF(LiabIntType2="Fixed",LiabFxdRate2,OFFSET(Vectors!$D$6,Vectors!A28,MATCH(LiabLoanIndex2,lstInterestRates,0))+LiabMarg2)</f>
        <v>0.04</v>
      </c>
      <c r="BO28" s="122">
        <f t="shared" ca="1" si="49"/>
        <v>34119.905847872607</v>
      </c>
      <c r="BP28" s="124">
        <f t="shared" ca="1" si="50"/>
        <v>0</v>
      </c>
      <c r="BQ28" s="123">
        <f t="shared" ca="1" si="51"/>
        <v>34119.905847872607</v>
      </c>
      <c r="BR28" s="123">
        <f t="shared" ca="1" si="52"/>
        <v>0</v>
      </c>
      <c r="BS28" s="121"/>
      <c r="BT28" s="123">
        <f t="shared" ca="1" si="18"/>
        <v>42983.881698423676</v>
      </c>
      <c r="BU28" s="123">
        <f t="shared" ca="1" si="53"/>
        <v>0</v>
      </c>
      <c r="BV28" s="123">
        <f t="shared" ca="1" si="54"/>
        <v>42983.881698423676</v>
      </c>
      <c r="BW28" s="123">
        <f t="shared" ca="1" si="55"/>
        <v>0</v>
      </c>
      <c r="BX28" s="121"/>
      <c r="BY28" s="123">
        <f t="shared" si="56"/>
        <v>0</v>
      </c>
      <c r="BZ28" s="123">
        <f t="shared" ca="1" si="57"/>
        <v>0</v>
      </c>
      <c r="CA28" s="121"/>
      <c r="CB28" s="122">
        <f t="shared" ca="1" si="5"/>
        <v>80776867.508459672</v>
      </c>
      <c r="CC28" s="122">
        <f t="shared" ca="1" si="58"/>
        <v>385624.14773131383</v>
      </c>
      <c r="CD28" s="124">
        <f t="shared" ca="1" si="59"/>
        <v>594174.23266053898</v>
      </c>
      <c r="CE28" s="121"/>
      <c r="CF28" s="122">
        <f t="shared" ca="1" si="6"/>
        <v>10235971.754361782</v>
      </c>
      <c r="CG28" s="124">
        <f t="shared" ca="1" si="60"/>
        <v>0</v>
      </c>
      <c r="CH28" s="123">
        <f t="shared" ca="1" si="61"/>
        <v>0</v>
      </c>
      <c r="CI28" s="121"/>
      <c r="CJ28" s="123">
        <f t="shared" ca="1" si="62"/>
        <v>1419048.1502173129</v>
      </c>
      <c r="CK28" s="123">
        <f t="shared" ca="1" si="63"/>
        <v>1419048.1502173126</v>
      </c>
      <c r="CL28" s="123">
        <f t="shared" ca="1" si="64"/>
        <v>0</v>
      </c>
      <c r="CM28" s="121"/>
      <c r="CN28" s="62">
        <f t="shared" ca="1" si="65"/>
        <v>419235.8508730515</v>
      </c>
      <c r="CO28" s="62" t="b">
        <f t="shared" si="66"/>
        <v>1</v>
      </c>
      <c r="CP28" s="126">
        <f t="shared" ca="1" si="67"/>
        <v>6.1111111111111132E-4</v>
      </c>
      <c r="CQ28" s="120"/>
      <c r="CR28" s="120"/>
      <c r="CS28" s="120"/>
      <c r="CT28" s="120"/>
      <c r="CU28" s="120"/>
      <c r="CV28" s="120"/>
      <c r="CW28" s="120"/>
      <c r="CX28" s="120"/>
      <c r="CY28" s="120"/>
      <c r="CZ28" s="120"/>
      <c r="DA28" s="120"/>
      <c r="DB28" s="120"/>
      <c r="DC28" s="120"/>
      <c r="DD28" s="120"/>
      <c r="DE28" s="116"/>
      <c r="DF28" s="116"/>
      <c r="DG28" s="116"/>
      <c r="DH28" s="116"/>
      <c r="DI28" s="116"/>
      <c r="DJ28" s="116"/>
      <c r="DK28" s="116"/>
      <c r="DL28" s="116"/>
      <c r="DM28" s="116"/>
      <c r="DN28" s="116"/>
    </row>
    <row r="29" spans="1:118" x14ac:dyDescent="0.2">
      <c r="A29" s="27">
        <v>23</v>
      </c>
      <c r="B29" s="29">
        <f t="shared" si="0"/>
        <v>39814</v>
      </c>
      <c r="C29" s="30">
        <f t="shared" si="1"/>
        <v>8.3333333333333329E-2</v>
      </c>
      <c r="D29" s="55"/>
      <c r="E29" s="62">
        <f t="shared" ca="1" si="19"/>
        <v>98698763.84323056</v>
      </c>
      <c r="F29" s="63">
        <f ca="1">IF(AssetIntType1="Fixed",AssetFxdRate1,IF(A29=1,OFFSET(Vectors!$D$6,A29,MATCH(AssetFltIndx1,lstInterestRates,0)),IF(MOD($A29,AssetRateReset1)=0,MAX(MIN(OFFSET(Vectors!$D$6,A29,MATCH(AssetFltIndx1,lstInterestRates,0)),(F28-AssetMarg1)+AssetPdCapFl1,AssetLifeCap1-AssetMarg1),(F28-AssetMarg1)-AssetPdCapFl1,AssetLifeFloor1-AssetMarg1),F28)))+AssetMarg1</f>
        <v>0.09</v>
      </c>
      <c r="G29" s="62">
        <f t="shared" ca="1" si="7"/>
        <v>804622.61694478267</v>
      </c>
      <c r="H29" s="62">
        <f t="shared" ca="1" si="20"/>
        <v>740240.72882422921</v>
      </c>
      <c r="I29" s="62">
        <f t="shared" ca="1" si="21"/>
        <v>64381.888120553456</v>
      </c>
      <c r="J29" s="62">
        <f t="shared" ca="1" si="2"/>
        <v>98634381.955110013</v>
      </c>
      <c r="K29" s="55"/>
      <c r="L29" s="62">
        <f t="shared" ca="1" si="22"/>
        <v>94503220.571250454</v>
      </c>
      <c r="M29" s="68">
        <f ca="1">IF(pdrLossTime1="",OFFSET(Vectors!$AE$6,A29+_Age1,MATCH(SDA_Loss,lstSDA,0)),OFFSET(Vectors!$X$6,A29+_Age1,MATCH(pdrLossTime1,lstDefaultCurve,0)))</f>
        <v>2.7777777777777779E-5</v>
      </c>
      <c r="N29" s="62">
        <f t="shared" ca="1" si="8"/>
        <v>2777.7777777777778</v>
      </c>
      <c r="O29" s="67">
        <f t="shared" ca="1" si="23"/>
        <v>0.98634381955110018</v>
      </c>
      <c r="P29" s="68">
        <f ca="1">OFFSET(Vectors!$L$6,A29+_Age1,MATCH(pdrPrepay1,lstPrepayCurve,0))*pdrPrepayStress1</f>
        <v>3.9166106226982134E-3</v>
      </c>
      <c r="Q29" s="62">
        <f t="shared" ca="1" si="24"/>
        <v>369890.87769097293</v>
      </c>
      <c r="R29" s="62">
        <f t="shared" ca="1" si="25"/>
        <v>61643.294184876358</v>
      </c>
      <c r="S29" s="69">
        <f t="shared" ca="1" si="26"/>
        <v>0.09</v>
      </c>
      <c r="T29" s="62">
        <f t="shared" ca="1" si="27"/>
        <v>708753.32095104503</v>
      </c>
      <c r="U29" s="62">
        <f t="shared" ca="1" si="9"/>
        <v>1111.1111111111111</v>
      </c>
      <c r="V29" s="62">
        <f t="shared" ca="1" si="3"/>
        <v>94068908.621596828</v>
      </c>
      <c r="W29" s="55"/>
      <c r="X29" s="62">
        <f t="shared" ca="1" si="28"/>
        <v>1141398.6039380054</v>
      </c>
      <c r="Y29" s="55"/>
      <c r="Z29" s="118" t="b">
        <v>0</v>
      </c>
      <c r="AA29" s="120" t="b">
        <f t="shared" si="10"/>
        <v>0</v>
      </c>
      <c r="AB29" s="120" t="b">
        <f t="shared" si="11"/>
        <v>1</v>
      </c>
      <c r="AC29" s="120" t="b">
        <f t="shared" ca="1" si="12"/>
        <v>0</v>
      </c>
      <c r="AD29" s="121"/>
      <c r="AE29" s="129">
        <v>73291387.391470522</v>
      </c>
      <c r="AF29" s="69">
        <f ca="1">IF(Swap_Active="No",0,OFFSET(Vectors!$D$6,Vectors!A29,MATCH(Swap_In,lstInterestRates,0)))</f>
        <v>4.8119000000000016E-2</v>
      </c>
      <c r="AG29" s="62">
        <f t="shared" ca="1" si="29"/>
        <v>293892.35582418088</v>
      </c>
      <c r="AH29" s="69">
        <f ca="1">IF(Swap_Active="No",0,OFFSET(Vectors!$D$6,Vectors!A29,MATCH(Swap_Out,lstInterestRates,0)))</f>
        <v>0.04</v>
      </c>
      <c r="AI29" s="62">
        <f t="shared" ca="1" si="30"/>
        <v>244304.62463823508</v>
      </c>
      <c r="AJ29" s="62">
        <f t="shared" ca="1" si="31"/>
        <v>49587.731185945799</v>
      </c>
      <c r="AK29" s="62">
        <f t="shared" ca="1" si="32"/>
        <v>1190986.3351239511</v>
      </c>
      <c r="AL29" s="121"/>
      <c r="AM29" s="123">
        <f t="shared" ca="1" si="13"/>
        <v>191162.39574727562</v>
      </c>
      <c r="AN29" s="124">
        <f t="shared" ca="1" si="33"/>
        <v>191162.39574727562</v>
      </c>
      <c r="AO29" s="125">
        <f t="shared" ca="1" si="34"/>
        <v>0</v>
      </c>
      <c r="AP29" s="123">
        <f t="shared" ca="1" si="35"/>
        <v>999823.93937667552</v>
      </c>
      <c r="AQ29" s="121"/>
      <c r="AR29" s="126">
        <f ca="1">IF(LiabIntType1="Fixed",LiabFxdRate1,OFFSET(Vectors!$D$6,Vectors!A29,MATCH(LiabLoanIndex1,lstInterestRates,0))+LiabMarg1)</f>
        <v>5.8119000000000018E-2</v>
      </c>
      <c r="AS29" s="122">
        <f t="shared" ca="1" si="36"/>
        <v>391222.56356034742</v>
      </c>
      <c r="AT29" s="124">
        <f t="shared" ca="1" si="37"/>
        <v>391222.56356034742</v>
      </c>
      <c r="AU29" s="123">
        <f t="shared" ca="1" si="38"/>
        <v>0</v>
      </c>
      <c r="AV29" s="123">
        <f t="shared" ca="1" si="14"/>
        <v>0</v>
      </c>
      <c r="AW29" s="123">
        <f t="shared" ca="1" si="39"/>
        <v>0</v>
      </c>
      <c r="AX29" s="124">
        <f t="shared" ca="1" si="40"/>
        <v>608601.3758163281</v>
      </c>
      <c r="AY29" s="121"/>
      <c r="AZ29" s="122">
        <f t="shared" ca="1" si="15"/>
        <v>608601.3758163281</v>
      </c>
      <c r="BA29" s="124">
        <f t="shared" ca="1" si="41"/>
        <v>608601.3758163281</v>
      </c>
      <c r="BB29" s="123">
        <f t="shared" ca="1" si="42"/>
        <v>0</v>
      </c>
      <c r="BC29" s="123">
        <f t="shared" ca="1" si="16"/>
        <v>0</v>
      </c>
      <c r="BD29" s="123">
        <f t="shared" ca="1" si="43"/>
        <v>0</v>
      </c>
      <c r="BE29" s="124">
        <f t="shared" ca="1" si="44"/>
        <v>0</v>
      </c>
      <c r="BF29" s="121"/>
      <c r="BG29" s="123">
        <f t="shared" si="17"/>
        <v>1000000</v>
      </c>
      <c r="BH29" s="123">
        <f t="shared" ca="1" si="45"/>
        <v>1000000</v>
      </c>
      <c r="BI29" s="123">
        <f t="shared" ca="1" si="46"/>
        <v>0</v>
      </c>
      <c r="BJ29" s="123">
        <f t="shared" ca="1" si="47"/>
        <v>0</v>
      </c>
      <c r="BK29" s="123">
        <f t="shared" ca="1" si="4"/>
        <v>1000000</v>
      </c>
      <c r="BL29" s="123">
        <f t="shared" ca="1" si="48"/>
        <v>0</v>
      </c>
      <c r="BM29" s="121"/>
      <c r="BN29" s="126">
        <f ca="1">IF(LiabIntType2="Fixed",LiabFxdRate2,OFFSET(Vectors!$D$6,Vectors!A29,MATCH(LiabLoanIndex2,lstInterestRates,0))+LiabMarg2)</f>
        <v>0.04</v>
      </c>
      <c r="BO29" s="122">
        <f t="shared" ca="1" si="49"/>
        <v>34119.905847872607</v>
      </c>
      <c r="BP29" s="124">
        <f t="shared" ca="1" si="50"/>
        <v>0</v>
      </c>
      <c r="BQ29" s="123">
        <f t="shared" ca="1" si="51"/>
        <v>34119.905847872607</v>
      </c>
      <c r="BR29" s="123">
        <f t="shared" ca="1" si="52"/>
        <v>0</v>
      </c>
      <c r="BS29" s="121"/>
      <c r="BT29" s="123">
        <f t="shared" ca="1" si="18"/>
        <v>44529.62079756918</v>
      </c>
      <c r="BU29" s="123">
        <f t="shared" ca="1" si="53"/>
        <v>0</v>
      </c>
      <c r="BV29" s="123">
        <f t="shared" ca="1" si="54"/>
        <v>44529.62079756918</v>
      </c>
      <c r="BW29" s="123">
        <f t="shared" ca="1" si="55"/>
        <v>0</v>
      </c>
      <c r="BX29" s="121"/>
      <c r="BY29" s="123">
        <f t="shared" si="56"/>
        <v>0</v>
      </c>
      <c r="BZ29" s="123">
        <f t="shared" ca="1" si="57"/>
        <v>0</v>
      </c>
      <c r="CA29" s="121"/>
      <c r="CB29" s="122">
        <f t="shared" ca="1" si="5"/>
        <v>80168266.132643342</v>
      </c>
      <c r="CC29" s="122">
        <f t="shared" ca="1" si="58"/>
        <v>391222.56356034742</v>
      </c>
      <c r="CD29" s="124">
        <f t="shared" ca="1" si="59"/>
        <v>608601.3758163281</v>
      </c>
      <c r="CE29" s="121"/>
      <c r="CF29" s="122">
        <f t="shared" ca="1" si="6"/>
        <v>10235971.754361782</v>
      </c>
      <c r="CG29" s="124">
        <f t="shared" ca="1" si="60"/>
        <v>0</v>
      </c>
      <c r="CH29" s="123">
        <f t="shared" ca="1" si="61"/>
        <v>0</v>
      </c>
      <c r="CI29" s="121"/>
      <c r="CJ29" s="123">
        <f t="shared" ca="1" si="62"/>
        <v>1435290.9597621863</v>
      </c>
      <c r="CK29" s="123">
        <f t="shared" ca="1" si="63"/>
        <v>1435290.9597621863</v>
      </c>
      <c r="CL29" s="123">
        <f t="shared" ca="1" si="64"/>
        <v>0</v>
      </c>
      <c r="CM29" s="121"/>
      <c r="CN29" s="62">
        <f t="shared" ca="1" si="65"/>
        <v>434311.94965362706</v>
      </c>
      <c r="CO29" s="62" t="b">
        <f t="shared" si="66"/>
        <v>1</v>
      </c>
      <c r="CP29" s="126">
        <f t="shared" ca="1" si="67"/>
        <v>6.3888888888888914E-4</v>
      </c>
      <c r="CQ29" s="120"/>
      <c r="CR29" s="120"/>
      <c r="CS29" s="120"/>
      <c r="CT29" s="120"/>
      <c r="CU29" s="120"/>
      <c r="CV29" s="120"/>
      <c r="CW29" s="120"/>
      <c r="CX29" s="120"/>
      <c r="CY29" s="120"/>
      <c r="CZ29" s="120"/>
      <c r="DA29" s="120"/>
      <c r="DB29" s="120"/>
      <c r="DC29" s="120"/>
      <c r="DD29" s="120"/>
      <c r="DE29" s="116"/>
      <c r="DF29" s="116"/>
      <c r="DG29" s="116"/>
      <c r="DH29" s="116"/>
      <c r="DI29" s="116"/>
      <c r="DJ29" s="116"/>
      <c r="DK29" s="116"/>
      <c r="DL29" s="116"/>
      <c r="DM29" s="116"/>
      <c r="DN29" s="116"/>
    </row>
    <row r="30" spans="1:118" x14ac:dyDescent="0.2">
      <c r="A30" s="27">
        <v>24</v>
      </c>
      <c r="B30" s="29">
        <f t="shared" si="0"/>
        <v>39845</v>
      </c>
      <c r="C30" s="30">
        <f t="shared" si="1"/>
        <v>8.3333333333333329E-2</v>
      </c>
      <c r="D30" s="55"/>
      <c r="E30" s="62">
        <f t="shared" ca="1" si="19"/>
        <v>98634381.955110013</v>
      </c>
      <c r="F30" s="63">
        <f ca="1">IF(AssetIntType1="Fixed",AssetFxdRate1,IF(A30=1,OFFSET(Vectors!$D$6,A30,MATCH(AssetFltIndx1,lstInterestRates,0)),IF(MOD($A30,AssetRateReset1)=0,MAX(MIN(OFFSET(Vectors!$D$6,A30,MATCH(AssetFltIndx1,lstInterestRates,0)),(F29-AssetMarg1)+AssetPdCapFl1,AssetLifeCap1-AssetMarg1),(F29-AssetMarg1)-AssetPdCapFl1,AssetLifeFloor1-AssetMarg1),F29)))+AssetMarg1</f>
        <v>0.09</v>
      </c>
      <c r="G30" s="62">
        <f t="shared" ca="1" si="7"/>
        <v>804622.61694478267</v>
      </c>
      <c r="H30" s="62">
        <f t="shared" ca="1" si="20"/>
        <v>739757.86466332502</v>
      </c>
      <c r="I30" s="62">
        <f t="shared" ca="1" si="21"/>
        <v>64864.752281457651</v>
      </c>
      <c r="J30" s="62">
        <f t="shared" ca="1" si="2"/>
        <v>98569517.202828556</v>
      </c>
      <c r="K30" s="55"/>
      <c r="L30" s="62">
        <f t="shared" ca="1" si="22"/>
        <v>94068908.621596828</v>
      </c>
      <c r="M30" s="68">
        <f ca="1">IF(pdrLossTime1="",OFFSET(Vectors!$AE$6,A30+_Age1,MATCH(SDA_Loss,lstSDA,0)),OFFSET(Vectors!$X$6,A30+_Age1,MATCH(pdrLossTime1,lstDefaultCurve,0)))</f>
        <v>2.7777777777777779E-5</v>
      </c>
      <c r="N30" s="62">
        <f t="shared" ca="1" si="8"/>
        <v>2777.7777777777778</v>
      </c>
      <c r="O30" s="67">
        <f t="shared" ca="1" si="23"/>
        <v>0.9856951720282856</v>
      </c>
      <c r="P30" s="68">
        <f ca="1">OFFSET(Vectors!$L$6,A30+_Age1,MATCH(pdrPrepay1,lstPrepayCurve,0))*pdrPrepayStress1</f>
        <v>4.0907968170484921E-3</v>
      </c>
      <c r="Q30" s="62">
        <f t="shared" ca="1" si="24"/>
        <v>384563.72559346637</v>
      </c>
      <c r="R30" s="62">
        <f t="shared" ca="1" si="25"/>
        <v>61860.541469569063</v>
      </c>
      <c r="S30" s="69">
        <f t="shared" ca="1" si="26"/>
        <v>0.09</v>
      </c>
      <c r="T30" s="62">
        <f t="shared" ca="1" si="27"/>
        <v>705495.98132864281</v>
      </c>
      <c r="U30" s="62">
        <f t="shared" ca="1" si="9"/>
        <v>1111.1111111111111</v>
      </c>
      <c r="V30" s="62">
        <f t="shared" ca="1" si="3"/>
        <v>93619706.576756015</v>
      </c>
      <c r="W30" s="55"/>
      <c r="X30" s="62">
        <f t="shared" ca="1" si="28"/>
        <v>1153031.3595027893</v>
      </c>
      <c r="Y30" s="55"/>
      <c r="Z30" s="118" t="b">
        <v>0</v>
      </c>
      <c r="AA30" s="120" t="b">
        <f t="shared" si="10"/>
        <v>0</v>
      </c>
      <c r="AB30" s="120" t="b">
        <f t="shared" si="11"/>
        <v>1</v>
      </c>
      <c r="AC30" s="120" t="b">
        <f t="shared" ca="1" si="12"/>
        <v>0</v>
      </c>
      <c r="AD30" s="121"/>
      <c r="AE30" s="129">
        <v>72449093.522985861</v>
      </c>
      <c r="AF30" s="69">
        <f ca="1">IF(Swap_Active="No",0,OFFSET(Vectors!$D$6,Vectors!A30,MATCH(Swap_In,lstInterestRates,0)))</f>
        <v>4.9369000000000017E-2</v>
      </c>
      <c r="AG30" s="62">
        <f t="shared" ca="1" si="29"/>
        <v>298061.60817802418</v>
      </c>
      <c r="AH30" s="69">
        <f ca="1">IF(Swap_Active="No",0,OFFSET(Vectors!$D$6,Vectors!A30,MATCH(Swap_Out,lstInterestRates,0)))</f>
        <v>0.04</v>
      </c>
      <c r="AI30" s="62">
        <f t="shared" ca="1" si="30"/>
        <v>241496.97840995286</v>
      </c>
      <c r="AJ30" s="62">
        <f t="shared" ca="1" si="31"/>
        <v>56564.629768071318</v>
      </c>
      <c r="AK30" s="62">
        <f t="shared" ca="1" si="32"/>
        <v>1209595.9892708606</v>
      </c>
      <c r="AL30" s="121"/>
      <c r="AM30" s="123">
        <f t="shared" ca="1" si="13"/>
        <v>190184.95859126275</v>
      </c>
      <c r="AN30" s="124">
        <f t="shared" ca="1" si="33"/>
        <v>190184.95859126275</v>
      </c>
      <c r="AO30" s="125">
        <f t="shared" ca="1" si="34"/>
        <v>0</v>
      </c>
      <c r="AP30" s="123">
        <f t="shared" ca="1" si="35"/>
        <v>1019411.0306795978</v>
      </c>
      <c r="AQ30" s="121"/>
      <c r="AR30" s="126">
        <f ca="1">IF(LiabIntType1="Fixed",LiabFxdRate1,OFFSET(Vectors!$D$6,Vectors!A30,MATCH(LiabLoanIndex1,lstInterestRates,0))+LiabMarg1)</f>
        <v>5.9369000000000019E-2</v>
      </c>
      <c r="AS30" s="122">
        <f t="shared" ca="1" si="36"/>
        <v>396625.81600240862</v>
      </c>
      <c r="AT30" s="124">
        <f t="shared" ca="1" si="37"/>
        <v>396625.81600240862</v>
      </c>
      <c r="AU30" s="123">
        <f t="shared" ca="1" si="38"/>
        <v>0</v>
      </c>
      <c r="AV30" s="123">
        <f t="shared" ca="1" si="14"/>
        <v>0</v>
      </c>
      <c r="AW30" s="123">
        <f t="shared" ca="1" si="39"/>
        <v>0</v>
      </c>
      <c r="AX30" s="124">
        <f t="shared" ca="1" si="40"/>
        <v>622785.21467718913</v>
      </c>
      <c r="AY30" s="121"/>
      <c r="AZ30" s="122">
        <f t="shared" ca="1" si="15"/>
        <v>622785.21467718913</v>
      </c>
      <c r="BA30" s="124">
        <f t="shared" ca="1" si="41"/>
        <v>622785.21467718913</v>
      </c>
      <c r="BB30" s="123">
        <f t="shared" ca="1" si="42"/>
        <v>0</v>
      </c>
      <c r="BC30" s="123">
        <f t="shared" ca="1" si="16"/>
        <v>0</v>
      </c>
      <c r="BD30" s="123">
        <f t="shared" ca="1" si="43"/>
        <v>0</v>
      </c>
      <c r="BE30" s="124">
        <f t="shared" ca="1" si="44"/>
        <v>0</v>
      </c>
      <c r="BF30" s="121"/>
      <c r="BG30" s="123">
        <f t="shared" si="17"/>
        <v>1000000</v>
      </c>
      <c r="BH30" s="123">
        <f t="shared" ca="1" si="45"/>
        <v>1000000</v>
      </c>
      <c r="BI30" s="123">
        <f t="shared" ca="1" si="46"/>
        <v>0</v>
      </c>
      <c r="BJ30" s="123">
        <f t="shared" ca="1" si="47"/>
        <v>0</v>
      </c>
      <c r="BK30" s="123">
        <f t="shared" ca="1" si="4"/>
        <v>1000000</v>
      </c>
      <c r="BL30" s="123">
        <f t="shared" ca="1" si="48"/>
        <v>0</v>
      </c>
      <c r="BM30" s="121"/>
      <c r="BN30" s="126">
        <f ca="1">IF(LiabIntType2="Fixed",LiabFxdRate2,OFFSET(Vectors!$D$6,Vectors!A30,MATCH(LiabLoanIndex2,lstInterestRates,0))+LiabMarg2)</f>
        <v>0.04</v>
      </c>
      <c r="BO30" s="122">
        <f t="shared" ca="1" si="49"/>
        <v>34119.905847872607</v>
      </c>
      <c r="BP30" s="124">
        <f t="shared" ca="1" si="50"/>
        <v>0</v>
      </c>
      <c r="BQ30" s="123">
        <f t="shared" ca="1" si="51"/>
        <v>34119.905847872607</v>
      </c>
      <c r="BR30" s="123">
        <f t="shared" ca="1" si="52"/>
        <v>0</v>
      </c>
      <c r="BS30" s="121"/>
      <c r="BT30" s="123">
        <f t="shared" ca="1" si="18"/>
        <v>46056.289112484083</v>
      </c>
      <c r="BU30" s="123">
        <f t="shared" ca="1" si="53"/>
        <v>0</v>
      </c>
      <c r="BV30" s="123">
        <f t="shared" ca="1" si="54"/>
        <v>46056.289112484083</v>
      </c>
      <c r="BW30" s="123">
        <f t="shared" ca="1" si="55"/>
        <v>0</v>
      </c>
      <c r="BX30" s="121"/>
      <c r="BY30" s="123">
        <f t="shared" si="56"/>
        <v>0</v>
      </c>
      <c r="BZ30" s="123">
        <f t="shared" ca="1" si="57"/>
        <v>0</v>
      </c>
      <c r="CA30" s="121"/>
      <c r="CB30" s="122">
        <f t="shared" ca="1" si="5"/>
        <v>79545480.917966157</v>
      </c>
      <c r="CC30" s="122">
        <f t="shared" ca="1" si="58"/>
        <v>396625.81600240862</v>
      </c>
      <c r="CD30" s="124">
        <f t="shared" ca="1" si="59"/>
        <v>622785.21467718913</v>
      </c>
      <c r="CE30" s="121"/>
      <c r="CF30" s="122">
        <f t="shared" ca="1" si="6"/>
        <v>10235971.754361782</v>
      </c>
      <c r="CG30" s="124">
        <f t="shared" ca="1" si="60"/>
        <v>0</v>
      </c>
      <c r="CH30" s="123">
        <f t="shared" ca="1" si="61"/>
        <v>0</v>
      </c>
      <c r="CI30" s="121"/>
      <c r="CJ30" s="123">
        <f t="shared" ca="1" si="62"/>
        <v>1451092.9676808135</v>
      </c>
      <c r="CK30" s="123">
        <f t="shared" ca="1" si="63"/>
        <v>1451092.9676808133</v>
      </c>
      <c r="CL30" s="123">
        <f t="shared" ca="1" si="64"/>
        <v>0</v>
      </c>
      <c r="CM30" s="121"/>
      <c r="CN30" s="62">
        <f t="shared" ca="1" si="65"/>
        <v>449202.04484081321</v>
      </c>
      <c r="CO30" s="62" t="b">
        <f t="shared" si="66"/>
        <v>1</v>
      </c>
      <c r="CP30" s="126">
        <f t="shared" ca="1" si="67"/>
        <v>6.6666666666666697E-4</v>
      </c>
      <c r="CQ30" s="120"/>
      <c r="CR30" s="120"/>
      <c r="CS30" s="120"/>
      <c r="CT30" s="120"/>
      <c r="CU30" s="120"/>
      <c r="CV30" s="120"/>
      <c r="CW30" s="120"/>
      <c r="CX30" s="120"/>
      <c r="CY30" s="120"/>
      <c r="CZ30" s="120"/>
      <c r="DA30" s="120"/>
      <c r="DB30" s="120"/>
      <c r="DC30" s="120"/>
      <c r="DD30" s="120"/>
      <c r="DE30" s="116"/>
      <c r="DF30" s="116"/>
      <c r="DG30" s="116"/>
      <c r="DH30" s="116"/>
      <c r="DI30" s="116"/>
      <c r="DJ30" s="116"/>
      <c r="DK30" s="116"/>
      <c r="DL30" s="116"/>
      <c r="DM30" s="116"/>
      <c r="DN30" s="116"/>
    </row>
    <row r="31" spans="1:118" x14ac:dyDescent="0.2">
      <c r="A31" s="27">
        <v>25</v>
      </c>
      <c r="B31" s="29">
        <f t="shared" si="0"/>
        <v>39873</v>
      </c>
      <c r="C31" s="30">
        <f t="shared" si="1"/>
        <v>8.3333333333333329E-2</v>
      </c>
      <c r="D31" s="55"/>
      <c r="E31" s="62">
        <f t="shared" ca="1" si="19"/>
        <v>98569517.202828556</v>
      </c>
      <c r="F31" s="63">
        <f ca="1">IF(AssetIntType1="Fixed",AssetFxdRate1,IF(A31=1,OFFSET(Vectors!$D$6,A31,MATCH(AssetFltIndx1,lstInterestRates,0)),IF(MOD($A31,AssetRateReset1)=0,MAX(MIN(OFFSET(Vectors!$D$6,A31,MATCH(AssetFltIndx1,lstInterestRates,0)),(F30-AssetMarg1)+AssetPdCapFl1,AssetLifeCap1-AssetMarg1),(F30-AssetMarg1)-AssetPdCapFl1,AssetLifeFloor1-AssetMarg1),F30)))+AssetMarg1</f>
        <v>0.09</v>
      </c>
      <c r="G31" s="62">
        <f t="shared" ca="1" si="7"/>
        <v>804622.61694478267</v>
      </c>
      <c r="H31" s="62">
        <f t="shared" ca="1" si="20"/>
        <v>739271.37902121409</v>
      </c>
      <c r="I31" s="62">
        <f t="shared" ca="1" si="21"/>
        <v>65351.23792356858</v>
      </c>
      <c r="J31" s="62">
        <f t="shared" ca="1" si="2"/>
        <v>98504165.964904994</v>
      </c>
      <c r="K31" s="55"/>
      <c r="L31" s="62">
        <f t="shared" ca="1" si="22"/>
        <v>93619706.576756015</v>
      </c>
      <c r="M31" s="68">
        <f ca="1">IF(pdrLossTime1="",OFFSET(Vectors!$AE$6,A31+_Age1,MATCH(SDA_Loss,lstSDA,0)),OFFSET(Vectors!$X$6,A31+_Age1,MATCH(pdrLossTime1,lstDefaultCurve,0)))</f>
        <v>2.7777777777777779E-5</v>
      </c>
      <c r="N31" s="62">
        <f t="shared" ca="1" si="8"/>
        <v>2777.7777777777778</v>
      </c>
      <c r="O31" s="67">
        <f t="shared" ca="1" si="23"/>
        <v>0.98504165964904988</v>
      </c>
      <c r="P31" s="68">
        <f ca="1">OFFSET(Vectors!$L$6,A31+_Age1,MATCH(pdrPrepay1,lstPrepayCurve,0))*pdrPrepayStress1</f>
        <v>4.2653187775606449E-3</v>
      </c>
      <c r="Q31" s="62">
        <f t="shared" ca="1" si="24"/>
        <v>399053.14607481071</v>
      </c>
      <c r="R31" s="62">
        <f t="shared" ca="1" si="25"/>
        <v>62067.689497016363</v>
      </c>
      <c r="S31" s="69">
        <f t="shared" ca="1" si="26"/>
        <v>0.09</v>
      </c>
      <c r="T31" s="62">
        <f t="shared" ca="1" si="27"/>
        <v>702126.96599233674</v>
      </c>
      <c r="U31" s="62">
        <f t="shared" ca="1" si="9"/>
        <v>1111.1111111111111</v>
      </c>
      <c r="V31" s="62">
        <f t="shared" ca="1" si="3"/>
        <v>93155807.963406414</v>
      </c>
      <c r="W31" s="55"/>
      <c r="X31" s="62">
        <f t="shared" ca="1" si="28"/>
        <v>1164358.9126752748</v>
      </c>
      <c r="Y31" s="55"/>
      <c r="Z31" s="118" t="b">
        <v>0</v>
      </c>
      <c r="AA31" s="120" t="b">
        <f t="shared" si="10"/>
        <v>0</v>
      </c>
      <c r="AB31" s="120" t="b">
        <f t="shared" si="11"/>
        <v>1</v>
      </c>
      <c r="AC31" s="120" t="b">
        <f t="shared" ca="1" si="12"/>
        <v>0</v>
      </c>
      <c r="AD31" s="121"/>
      <c r="AE31" s="129">
        <v>71615354.161230057</v>
      </c>
      <c r="AF31" s="69">
        <f ca="1">IF(Swap_Active="No",0,OFFSET(Vectors!$D$6,Vectors!A31,MATCH(Swap_In,lstInterestRates,0)))</f>
        <v>5.0410666666666687E-2</v>
      </c>
      <c r="AG31" s="62">
        <f t="shared" ca="1" si="29"/>
        <v>300848.14556975407</v>
      </c>
      <c r="AH31" s="69">
        <f ca="1">IF(Swap_Active="No",0,OFFSET(Vectors!$D$6,Vectors!A31,MATCH(Swap_Out,lstInterestRates,0)))</f>
        <v>0.04</v>
      </c>
      <c r="AI31" s="62">
        <f t="shared" ca="1" si="30"/>
        <v>238717.84720410017</v>
      </c>
      <c r="AJ31" s="62">
        <f t="shared" ca="1" si="31"/>
        <v>62130.2983656539</v>
      </c>
      <c r="AK31" s="62">
        <f t="shared" ca="1" si="32"/>
        <v>1226489.2110409287</v>
      </c>
      <c r="AL31" s="121"/>
      <c r="AM31" s="123">
        <f t="shared" ca="1" si="13"/>
        <v>189176.79467707925</v>
      </c>
      <c r="AN31" s="124">
        <f t="shared" ca="1" si="33"/>
        <v>189176.79467707925</v>
      </c>
      <c r="AO31" s="125">
        <f t="shared" ca="1" si="34"/>
        <v>0</v>
      </c>
      <c r="AP31" s="123">
        <f t="shared" ca="1" si="35"/>
        <v>1037312.4163638495</v>
      </c>
      <c r="AQ31" s="121"/>
      <c r="AR31" s="126">
        <f ca="1">IF(LiabIntType1="Fixed",LiabFxdRate1,OFFSET(Vectors!$D$6,Vectors!A31,MATCH(LiabLoanIndex1,lstInterestRates,0))+LiabMarg1)</f>
        <v>6.0410666666666689E-2</v>
      </c>
      <c r="AS31" s="122">
        <f t="shared" ca="1" si="36"/>
        <v>400449.62771457911</v>
      </c>
      <c r="AT31" s="124">
        <f t="shared" ca="1" si="37"/>
        <v>400449.62771457911</v>
      </c>
      <c r="AU31" s="123">
        <f t="shared" ca="1" si="38"/>
        <v>0</v>
      </c>
      <c r="AV31" s="123">
        <f t="shared" ca="1" si="14"/>
        <v>0</v>
      </c>
      <c r="AW31" s="123">
        <f t="shared" ca="1" si="39"/>
        <v>0</v>
      </c>
      <c r="AX31" s="124">
        <f t="shared" ca="1" si="40"/>
        <v>636862.78864927043</v>
      </c>
      <c r="AY31" s="121"/>
      <c r="AZ31" s="122">
        <f t="shared" ca="1" si="15"/>
        <v>636862.78864927043</v>
      </c>
      <c r="BA31" s="124">
        <f t="shared" ca="1" si="41"/>
        <v>636862.78864927043</v>
      </c>
      <c r="BB31" s="123">
        <f t="shared" ca="1" si="42"/>
        <v>0</v>
      </c>
      <c r="BC31" s="123">
        <f t="shared" ca="1" si="16"/>
        <v>0</v>
      </c>
      <c r="BD31" s="123">
        <f t="shared" ca="1" si="43"/>
        <v>0</v>
      </c>
      <c r="BE31" s="124">
        <f t="shared" ca="1" si="44"/>
        <v>0</v>
      </c>
      <c r="BF31" s="121"/>
      <c r="BG31" s="123">
        <f t="shared" si="17"/>
        <v>1000000</v>
      </c>
      <c r="BH31" s="123">
        <f t="shared" ca="1" si="45"/>
        <v>1000000</v>
      </c>
      <c r="BI31" s="123">
        <f t="shared" ca="1" si="46"/>
        <v>0</v>
      </c>
      <c r="BJ31" s="123">
        <f t="shared" ca="1" si="47"/>
        <v>0</v>
      </c>
      <c r="BK31" s="123">
        <f t="shared" ca="1" si="4"/>
        <v>1000000</v>
      </c>
      <c r="BL31" s="123">
        <f t="shared" ca="1" si="48"/>
        <v>0</v>
      </c>
      <c r="BM31" s="121"/>
      <c r="BN31" s="126">
        <f ca="1">IF(LiabIntType2="Fixed",LiabFxdRate2,OFFSET(Vectors!$D$6,Vectors!A31,MATCH(LiabLoanIndex2,lstInterestRates,0))+LiabMarg2)</f>
        <v>0.04</v>
      </c>
      <c r="BO31" s="122">
        <f t="shared" ca="1" si="49"/>
        <v>34119.905847872607</v>
      </c>
      <c r="BP31" s="124">
        <f t="shared" ca="1" si="50"/>
        <v>0</v>
      </c>
      <c r="BQ31" s="123">
        <f t="shared" ca="1" si="51"/>
        <v>34119.905847872607</v>
      </c>
      <c r="BR31" s="123">
        <f t="shared" ca="1" si="52"/>
        <v>0</v>
      </c>
      <c r="BS31" s="121"/>
      <c r="BT31" s="123">
        <f t="shared" ca="1" si="18"/>
        <v>47563.115307904016</v>
      </c>
      <c r="BU31" s="123">
        <f t="shared" ca="1" si="53"/>
        <v>0</v>
      </c>
      <c r="BV31" s="123">
        <f t="shared" ca="1" si="54"/>
        <v>47563.115307904016</v>
      </c>
      <c r="BW31" s="123">
        <f t="shared" ca="1" si="55"/>
        <v>0</v>
      </c>
      <c r="BX31" s="121"/>
      <c r="BY31" s="123">
        <f t="shared" si="56"/>
        <v>0</v>
      </c>
      <c r="BZ31" s="123">
        <f t="shared" ca="1" si="57"/>
        <v>0</v>
      </c>
      <c r="CA31" s="121"/>
      <c r="CB31" s="122">
        <f t="shared" ca="1" si="5"/>
        <v>78908618.129316881</v>
      </c>
      <c r="CC31" s="122">
        <f t="shared" ca="1" si="58"/>
        <v>400449.62771457911</v>
      </c>
      <c r="CD31" s="124">
        <f t="shared" ca="1" si="59"/>
        <v>636862.78864927043</v>
      </c>
      <c r="CE31" s="121"/>
      <c r="CF31" s="122">
        <f t="shared" ca="1" si="6"/>
        <v>10235971.754361782</v>
      </c>
      <c r="CG31" s="124">
        <f t="shared" ca="1" si="60"/>
        <v>0</v>
      </c>
      <c r="CH31" s="123">
        <f t="shared" ca="1" si="61"/>
        <v>0</v>
      </c>
      <c r="CI31" s="121"/>
      <c r="CJ31" s="123">
        <f t="shared" ca="1" si="62"/>
        <v>1465207.0582450288</v>
      </c>
      <c r="CK31" s="123">
        <f t="shared" ca="1" si="63"/>
        <v>1465207.0582450288</v>
      </c>
      <c r="CL31" s="123">
        <f t="shared" ca="1" si="64"/>
        <v>0</v>
      </c>
      <c r="CM31" s="121"/>
      <c r="CN31" s="62">
        <f t="shared" ca="1" si="65"/>
        <v>463898.61334960483</v>
      </c>
      <c r="CO31" s="62" t="b">
        <f t="shared" si="66"/>
        <v>1</v>
      </c>
      <c r="CP31" s="126">
        <f t="shared" ca="1" si="67"/>
        <v>6.944444444444448E-4</v>
      </c>
      <c r="CQ31" s="120"/>
      <c r="CR31" s="120"/>
      <c r="CS31" s="120"/>
      <c r="CT31" s="120"/>
      <c r="CU31" s="120"/>
      <c r="CV31" s="120"/>
      <c r="CW31" s="120"/>
      <c r="CX31" s="120"/>
      <c r="CY31" s="120"/>
      <c r="CZ31" s="120"/>
      <c r="DA31" s="120"/>
      <c r="DB31" s="120"/>
      <c r="DC31" s="120"/>
      <c r="DD31" s="120"/>
      <c r="DE31" s="116"/>
      <c r="DF31" s="116"/>
      <c r="DG31" s="116"/>
      <c r="DH31" s="116"/>
      <c r="DI31" s="116"/>
      <c r="DJ31" s="116"/>
      <c r="DK31" s="116"/>
      <c r="DL31" s="116"/>
      <c r="DM31" s="116"/>
      <c r="DN31" s="116"/>
    </row>
    <row r="32" spans="1:118" x14ac:dyDescent="0.2">
      <c r="A32" s="27">
        <v>26</v>
      </c>
      <c r="B32" s="29">
        <f t="shared" si="0"/>
        <v>39904</v>
      </c>
      <c r="C32" s="30">
        <f t="shared" si="1"/>
        <v>8.3333333333333329E-2</v>
      </c>
      <c r="D32" s="55"/>
      <c r="E32" s="62">
        <f t="shared" ca="1" si="19"/>
        <v>98504165.964904994</v>
      </c>
      <c r="F32" s="63">
        <f ca="1">IF(AssetIntType1="Fixed",AssetFxdRate1,IF(A32=1,OFFSET(Vectors!$D$6,A32,MATCH(AssetFltIndx1,lstInterestRates,0)),IF(MOD($A32,AssetRateReset1)=0,MAX(MIN(OFFSET(Vectors!$D$6,A32,MATCH(AssetFltIndx1,lstInterestRates,0)),(F31-AssetMarg1)+AssetPdCapFl1,AssetLifeCap1-AssetMarg1),(F31-AssetMarg1)-AssetPdCapFl1,AssetLifeFloor1-AssetMarg1),F31)))+AssetMarg1</f>
        <v>0.09</v>
      </c>
      <c r="G32" s="62">
        <f t="shared" ca="1" si="7"/>
        <v>804622.61694478267</v>
      </c>
      <c r="H32" s="62">
        <f t="shared" ca="1" si="20"/>
        <v>738781.2447367874</v>
      </c>
      <c r="I32" s="62">
        <f t="shared" ca="1" si="21"/>
        <v>65841.372207995271</v>
      </c>
      <c r="J32" s="62">
        <f t="shared" ca="1" si="2"/>
        <v>98438324.592696995</v>
      </c>
      <c r="K32" s="55"/>
      <c r="L32" s="62">
        <f t="shared" ca="1" si="22"/>
        <v>93155807.963406414</v>
      </c>
      <c r="M32" s="68">
        <f ca="1">IF(pdrLossTime1="",OFFSET(Vectors!$AE$6,A32+_Age1,MATCH(SDA_Loss,lstSDA,0)),OFFSET(Vectors!$X$6,A32+_Age1,MATCH(pdrLossTime1,lstDefaultCurve,0)))</f>
        <v>2.7777777777777779E-5</v>
      </c>
      <c r="N32" s="62">
        <f t="shared" ca="1" si="8"/>
        <v>2777.7777777777778</v>
      </c>
      <c r="O32" s="67">
        <f t="shared" ca="1" si="23"/>
        <v>0.98438324592696991</v>
      </c>
      <c r="P32" s="68">
        <f ca="1">OFFSET(Vectors!$L$6,A32+_Age1,MATCH(pdrPrepay1,lstPrepayCurve,0))*pdrPrepayStress1</f>
        <v>4.4401778603907482E-3</v>
      </c>
      <c r="Q32" s="62">
        <f t="shared" ca="1" si="24"/>
        <v>413351.88190555258</v>
      </c>
      <c r="R32" s="62">
        <f t="shared" ca="1" si="25"/>
        <v>62264.608533811603</v>
      </c>
      <c r="S32" s="69">
        <f t="shared" ca="1" si="26"/>
        <v>0.09</v>
      </c>
      <c r="T32" s="62">
        <f t="shared" ca="1" si="27"/>
        <v>698647.72639221477</v>
      </c>
      <c r="U32" s="62">
        <f t="shared" ca="1" si="9"/>
        <v>1111.1111111111111</v>
      </c>
      <c r="V32" s="62">
        <f t="shared" ca="1" si="3"/>
        <v>92677413.695189267</v>
      </c>
      <c r="W32" s="55"/>
      <c r="X32" s="62">
        <f t="shared" ca="1" si="28"/>
        <v>1175375.3279426899</v>
      </c>
      <c r="Y32" s="55"/>
      <c r="Z32" s="118" t="b">
        <v>0</v>
      </c>
      <c r="AA32" s="120" t="b">
        <f t="shared" si="10"/>
        <v>0</v>
      </c>
      <c r="AB32" s="120" t="b">
        <f t="shared" si="11"/>
        <v>1</v>
      </c>
      <c r="AC32" s="120" t="b">
        <f t="shared" ca="1" si="12"/>
        <v>0</v>
      </c>
      <c r="AD32" s="121"/>
      <c r="AE32" s="129">
        <v>70790083.422348097</v>
      </c>
      <c r="AF32" s="69">
        <f ca="1">IF(Swap_Active="No",0,OFFSET(Vectors!$D$6,Vectors!A32,MATCH(Swap_In,lstInterestRates,0)))</f>
        <v>5.1452333333333357E-2</v>
      </c>
      <c r="AG32" s="62">
        <f t="shared" ca="1" si="29"/>
        <v>303526.24741176085</v>
      </c>
      <c r="AH32" s="69">
        <f ca="1">IF(Swap_Active="No",0,OFFSET(Vectors!$D$6,Vectors!A32,MATCH(Swap_Out,lstInterestRates,0)))</f>
        <v>0.04</v>
      </c>
      <c r="AI32" s="62">
        <f t="shared" ca="1" si="30"/>
        <v>235966.94474116032</v>
      </c>
      <c r="AJ32" s="62">
        <f t="shared" ca="1" si="31"/>
        <v>67559.302670600533</v>
      </c>
      <c r="AK32" s="62">
        <f t="shared" ca="1" si="32"/>
        <v>1242934.6306132905</v>
      </c>
      <c r="AL32" s="121"/>
      <c r="AM32" s="123">
        <f t="shared" ca="1" si="13"/>
        <v>188138.27082622604</v>
      </c>
      <c r="AN32" s="124">
        <f t="shared" ca="1" si="33"/>
        <v>188138.27082622604</v>
      </c>
      <c r="AO32" s="125">
        <f t="shared" ca="1" si="34"/>
        <v>0</v>
      </c>
      <c r="AP32" s="123">
        <f t="shared" ca="1" si="35"/>
        <v>1054796.3597870644</v>
      </c>
      <c r="AQ32" s="121"/>
      <c r="AR32" s="126">
        <f ca="1">IF(LiabIntType1="Fixed",LiabFxdRate1,OFFSET(Vectors!$D$6,Vectors!A32,MATCH(LiabLoanIndex1,lstInterestRates,0))+LiabMarg1)</f>
        <v>6.1452333333333359E-2</v>
      </c>
      <c r="AS32" s="122">
        <f t="shared" ca="1" si="36"/>
        <v>404093.22534629109</v>
      </c>
      <c r="AT32" s="124">
        <f t="shared" ca="1" si="37"/>
        <v>404093.22534629109</v>
      </c>
      <c r="AU32" s="123">
        <f t="shared" ca="1" si="38"/>
        <v>0</v>
      </c>
      <c r="AV32" s="123">
        <f t="shared" ca="1" si="14"/>
        <v>0</v>
      </c>
      <c r="AW32" s="123">
        <f t="shared" ca="1" si="39"/>
        <v>0</v>
      </c>
      <c r="AX32" s="124">
        <f t="shared" ca="1" si="40"/>
        <v>650703.13444077328</v>
      </c>
      <c r="AY32" s="121"/>
      <c r="AZ32" s="122">
        <f t="shared" ca="1" si="15"/>
        <v>650703.13444077328</v>
      </c>
      <c r="BA32" s="124">
        <f t="shared" ca="1" si="41"/>
        <v>650703.13444077328</v>
      </c>
      <c r="BB32" s="123">
        <f t="shared" ca="1" si="42"/>
        <v>0</v>
      </c>
      <c r="BC32" s="123">
        <f t="shared" ca="1" si="16"/>
        <v>0</v>
      </c>
      <c r="BD32" s="123">
        <f t="shared" ca="1" si="43"/>
        <v>0</v>
      </c>
      <c r="BE32" s="124">
        <f t="shared" ca="1" si="44"/>
        <v>0</v>
      </c>
      <c r="BF32" s="121"/>
      <c r="BG32" s="123">
        <f t="shared" si="17"/>
        <v>1000000</v>
      </c>
      <c r="BH32" s="123">
        <f t="shared" ca="1" si="45"/>
        <v>1000000</v>
      </c>
      <c r="BI32" s="123">
        <f t="shared" ca="1" si="46"/>
        <v>0</v>
      </c>
      <c r="BJ32" s="123">
        <f t="shared" ca="1" si="47"/>
        <v>0</v>
      </c>
      <c r="BK32" s="123">
        <f t="shared" ca="1" si="4"/>
        <v>1000000</v>
      </c>
      <c r="BL32" s="123">
        <f t="shared" ca="1" si="48"/>
        <v>0</v>
      </c>
      <c r="BM32" s="121"/>
      <c r="BN32" s="126">
        <f ca="1">IF(LiabIntType2="Fixed",LiabFxdRate2,OFFSET(Vectors!$D$6,Vectors!A32,MATCH(LiabLoanIndex2,lstInterestRates,0))+LiabMarg2)</f>
        <v>0.04</v>
      </c>
      <c r="BO32" s="122">
        <f t="shared" ca="1" si="49"/>
        <v>34119.905847872607</v>
      </c>
      <c r="BP32" s="124">
        <f t="shared" ca="1" si="50"/>
        <v>0</v>
      </c>
      <c r="BQ32" s="123">
        <f t="shared" ca="1" si="51"/>
        <v>34119.905847872607</v>
      </c>
      <c r="BR32" s="123">
        <f t="shared" ca="1" si="52"/>
        <v>0</v>
      </c>
      <c r="BS32" s="121"/>
      <c r="BT32" s="123">
        <f t="shared" ca="1" si="18"/>
        <v>49049.342005047976</v>
      </c>
      <c r="BU32" s="123">
        <f t="shared" ca="1" si="53"/>
        <v>0</v>
      </c>
      <c r="BV32" s="123">
        <f t="shared" ca="1" si="54"/>
        <v>49049.342005047976</v>
      </c>
      <c r="BW32" s="123">
        <f t="shared" ca="1" si="55"/>
        <v>0</v>
      </c>
      <c r="BX32" s="121"/>
      <c r="BY32" s="123">
        <f t="shared" si="56"/>
        <v>0</v>
      </c>
      <c r="BZ32" s="123">
        <f t="shared" ca="1" si="57"/>
        <v>0</v>
      </c>
      <c r="CA32" s="121"/>
      <c r="CB32" s="122">
        <f t="shared" ca="1" si="5"/>
        <v>78257914.994876102</v>
      </c>
      <c r="CC32" s="122">
        <f t="shared" ca="1" si="58"/>
        <v>404093.22534629109</v>
      </c>
      <c r="CD32" s="124">
        <f t="shared" ca="1" si="59"/>
        <v>650703.13444077328</v>
      </c>
      <c r="CE32" s="121"/>
      <c r="CF32" s="122">
        <f t="shared" ca="1" si="6"/>
        <v>10235971.754361782</v>
      </c>
      <c r="CG32" s="124">
        <f t="shared" ca="1" si="60"/>
        <v>0</v>
      </c>
      <c r="CH32" s="123">
        <f t="shared" ca="1" si="61"/>
        <v>0</v>
      </c>
      <c r="CI32" s="121"/>
      <c r="CJ32" s="123">
        <f t="shared" ca="1" si="62"/>
        <v>1478901.5753544508</v>
      </c>
      <c r="CK32" s="123">
        <f t="shared" ca="1" si="63"/>
        <v>1478901.5753544508</v>
      </c>
      <c r="CL32" s="123">
        <f t="shared" ca="1" si="64"/>
        <v>0</v>
      </c>
      <c r="CM32" s="121"/>
      <c r="CN32" s="62">
        <f t="shared" ca="1" si="65"/>
        <v>478394.26821714191</v>
      </c>
      <c r="CO32" s="62" t="b">
        <f t="shared" si="66"/>
        <v>1</v>
      </c>
      <c r="CP32" s="126">
        <f t="shared" ca="1" si="67"/>
        <v>7.2222222222222262E-4</v>
      </c>
      <c r="CQ32" s="120"/>
      <c r="CR32" s="120"/>
      <c r="CS32" s="120"/>
      <c r="CT32" s="120"/>
      <c r="CU32" s="120"/>
      <c r="CV32" s="120"/>
      <c r="CW32" s="120"/>
      <c r="CX32" s="120"/>
      <c r="CY32" s="120"/>
      <c r="CZ32" s="120"/>
      <c r="DA32" s="120"/>
      <c r="DB32" s="120"/>
      <c r="DC32" s="120"/>
      <c r="DD32" s="120"/>
      <c r="DE32" s="116"/>
      <c r="DF32" s="116"/>
      <c r="DG32" s="116"/>
      <c r="DH32" s="116"/>
      <c r="DI32" s="116"/>
      <c r="DJ32" s="116"/>
      <c r="DK32" s="116"/>
      <c r="DL32" s="116"/>
      <c r="DM32" s="116"/>
      <c r="DN32" s="116"/>
    </row>
    <row r="33" spans="1:118" x14ac:dyDescent="0.2">
      <c r="A33" s="27">
        <v>27</v>
      </c>
      <c r="B33" s="29">
        <f t="shared" si="0"/>
        <v>39934</v>
      </c>
      <c r="C33" s="30">
        <f t="shared" si="1"/>
        <v>8.3333333333333329E-2</v>
      </c>
      <c r="D33" s="55"/>
      <c r="E33" s="62">
        <f t="shared" ca="1" si="19"/>
        <v>98438324.592696995</v>
      </c>
      <c r="F33" s="63">
        <f ca="1">IF(AssetIntType1="Fixed",AssetFxdRate1,IF(A33=1,OFFSET(Vectors!$D$6,A33,MATCH(AssetFltIndx1,lstInterestRates,0)),IF(MOD($A33,AssetRateReset1)=0,MAX(MIN(OFFSET(Vectors!$D$6,A33,MATCH(AssetFltIndx1,lstInterestRates,0)),(F32-AssetMarg1)+AssetPdCapFl1,AssetLifeCap1-AssetMarg1),(F32-AssetMarg1)-AssetPdCapFl1,AssetLifeFloor1-AssetMarg1),F32)))+AssetMarg1</f>
        <v>0.09</v>
      </c>
      <c r="G33" s="62">
        <f t="shared" ca="1" si="7"/>
        <v>804622.61694478267</v>
      </c>
      <c r="H33" s="62">
        <f t="shared" ca="1" si="20"/>
        <v>738287.43444522738</v>
      </c>
      <c r="I33" s="62">
        <f t="shared" ca="1" si="21"/>
        <v>66335.182499555289</v>
      </c>
      <c r="J33" s="62">
        <f t="shared" ca="1" si="2"/>
        <v>98371989.410197437</v>
      </c>
      <c r="K33" s="55"/>
      <c r="L33" s="62">
        <f t="shared" ca="1" si="22"/>
        <v>92677413.695189267</v>
      </c>
      <c r="M33" s="68">
        <f ca="1">IF(pdrLossTime1="",OFFSET(Vectors!$AE$6,A33+_Age1,MATCH(SDA_Loss,lstSDA,0)),OFFSET(Vectors!$X$6,A33+_Age1,MATCH(pdrLossTime1,lstDefaultCurve,0)))</f>
        <v>2.7777777777777779E-5</v>
      </c>
      <c r="N33" s="62">
        <f t="shared" ca="1" si="8"/>
        <v>2777.7777777777778</v>
      </c>
      <c r="O33" s="67">
        <f t="shared" ca="1" si="23"/>
        <v>0.98371989410197436</v>
      </c>
      <c r="P33" s="68">
        <f ca="1">OFFSET(Vectors!$L$6,A33+_Age1,MATCH(pdrPrepay1,lstPrepayCurve,0))*pdrPrepayStress1</f>
        <v>4.6153754300476413E-3</v>
      </c>
      <c r="Q33" s="62">
        <f t="shared" ca="1" si="24"/>
        <v>427452.8138380461</v>
      </c>
      <c r="R33" s="62">
        <f t="shared" ca="1" si="25"/>
        <v>62451.173484489242</v>
      </c>
      <c r="S33" s="69">
        <f t="shared" ca="1" si="26"/>
        <v>0.09</v>
      </c>
      <c r="T33" s="62">
        <f t="shared" ca="1" si="27"/>
        <v>695059.76938058611</v>
      </c>
      <c r="U33" s="62">
        <f t="shared" ca="1" si="9"/>
        <v>1111.1111111111111</v>
      </c>
      <c r="V33" s="62">
        <f t="shared" ca="1" si="3"/>
        <v>92184731.930088952</v>
      </c>
      <c r="W33" s="55"/>
      <c r="X33" s="62">
        <f t="shared" ca="1" si="28"/>
        <v>1186074.8678142326</v>
      </c>
      <c r="Y33" s="55"/>
      <c r="Z33" s="118" t="b">
        <v>0</v>
      </c>
      <c r="AA33" s="120" t="b">
        <f t="shared" si="10"/>
        <v>0</v>
      </c>
      <c r="AB33" s="120" t="b">
        <f t="shared" si="11"/>
        <v>1</v>
      </c>
      <c r="AC33" s="120" t="b">
        <f t="shared" ca="1" si="12"/>
        <v>0</v>
      </c>
      <c r="AD33" s="121"/>
      <c r="AE33" s="129">
        <v>69973196.282195911</v>
      </c>
      <c r="AF33" s="69">
        <f ca="1">IF(Swap_Active="No",0,OFFSET(Vectors!$D$6,Vectors!A33,MATCH(Swap_In,lstInterestRates,0)))</f>
        <v>5.2494000000000027E-2</v>
      </c>
      <c r="AG33" s="62">
        <f t="shared" ca="1" si="29"/>
        <v>306097.74713646615</v>
      </c>
      <c r="AH33" s="69">
        <f ca="1">IF(Swap_Active="No",0,OFFSET(Vectors!$D$6,Vectors!A33,MATCH(Swap_Out,lstInterestRates,0)))</f>
        <v>0.04</v>
      </c>
      <c r="AI33" s="62">
        <f t="shared" ca="1" si="30"/>
        <v>233243.98760731972</v>
      </c>
      <c r="AJ33" s="62">
        <f t="shared" ca="1" si="31"/>
        <v>72853.759529146424</v>
      </c>
      <c r="AK33" s="62">
        <f t="shared" ca="1" si="32"/>
        <v>1258928.627343379</v>
      </c>
      <c r="AL33" s="121"/>
      <c r="AM33" s="123">
        <f t="shared" ca="1" si="13"/>
        <v>187069.82073984714</v>
      </c>
      <c r="AN33" s="124">
        <f t="shared" ca="1" si="33"/>
        <v>187069.82073984714</v>
      </c>
      <c r="AO33" s="125">
        <f t="shared" ca="1" si="34"/>
        <v>0</v>
      </c>
      <c r="AP33" s="123">
        <f t="shared" ca="1" si="35"/>
        <v>1071858.8066035318</v>
      </c>
      <c r="AQ33" s="121"/>
      <c r="AR33" s="126">
        <f ca="1">IF(LiabIntType1="Fixed",LiabFxdRate1,OFFSET(Vectors!$D$6,Vectors!A33,MATCH(LiabLoanIndex1,lstInterestRates,0))+LiabMarg1)</f>
        <v>6.2494000000000029E-2</v>
      </c>
      <c r="AS33" s="122">
        <f t="shared" ca="1" si="36"/>
        <v>407554.17830748239</v>
      </c>
      <c r="AT33" s="124">
        <f t="shared" ca="1" si="37"/>
        <v>407554.17830748239</v>
      </c>
      <c r="AU33" s="123">
        <f t="shared" ca="1" si="38"/>
        <v>0</v>
      </c>
      <c r="AV33" s="123">
        <f t="shared" ca="1" si="14"/>
        <v>0</v>
      </c>
      <c r="AW33" s="123">
        <f t="shared" ca="1" si="39"/>
        <v>0</v>
      </c>
      <c r="AX33" s="124">
        <f t="shared" ca="1" si="40"/>
        <v>664304.62829604943</v>
      </c>
      <c r="AY33" s="121"/>
      <c r="AZ33" s="122">
        <f t="shared" ca="1" si="15"/>
        <v>664304.62829604943</v>
      </c>
      <c r="BA33" s="124">
        <f t="shared" ca="1" si="41"/>
        <v>664304.62829604943</v>
      </c>
      <c r="BB33" s="123">
        <f t="shared" ca="1" si="42"/>
        <v>0</v>
      </c>
      <c r="BC33" s="123">
        <f t="shared" ca="1" si="16"/>
        <v>0</v>
      </c>
      <c r="BD33" s="123">
        <f t="shared" ca="1" si="43"/>
        <v>0</v>
      </c>
      <c r="BE33" s="124">
        <f t="shared" ca="1" si="44"/>
        <v>0</v>
      </c>
      <c r="BF33" s="121"/>
      <c r="BG33" s="123">
        <f t="shared" si="17"/>
        <v>1000000</v>
      </c>
      <c r="BH33" s="123">
        <f t="shared" ca="1" si="45"/>
        <v>1000000</v>
      </c>
      <c r="BI33" s="123">
        <f t="shared" ca="1" si="46"/>
        <v>0</v>
      </c>
      <c r="BJ33" s="123">
        <f t="shared" ca="1" si="47"/>
        <v>0</v>
      </c>
      <c r="BK33" s="123">
        <f t="shared" ca="1" si="4"/>
        <v>1000000</v>
      </c>
      <c r="BL33" s="123">
        <f t="shared" ca="1" si="48"/>
        <v>0</v>
      </c>
      <c r="BM33" s="121"/>
      <c r="BN33" s="126">
        <f ca="1">IF(LiabIntType2="Fixed",LiabFxdRate2,OFFSET(Vectors!$D$6,Vectors!A33,MATCH(LiabLoanIndex2,lstInterestRates,0))+LiabMarg2)</f>
        <v>0.04</v>
      </c>
      <c r="BO33" s="122">
        <f t="shared" ca="1" si="49"/>
        <v>34119.905847872607</v>
      </c>
      <c r="BP33" s="124">
        <f t="shared" ca="1" si="50"/>
        <v>0</v>
      </c>
      <c r="BQ33" s="123">
        <f t="shared" ca="1" si="51"/>
        <v>34119.905847872607</v>
      </c>
      <c r="BR33" s="123">
        <f t="shared" ca="1" si="52"/>
        <v>0</v>
      </c>
      <c r="BS33" s="121"/>
      <c r="BT33" s="123">
        <f t="shared" ca="1" si="18"/>
        <v>50514.226447811896</v>
      </c>
      <c r="BU33" s="123">
        <f t="shared" ca="1" si="53"/>
        <v>0</v>
      </c>
      <c r="BV33" s="123">
        <f t="shared" ca="1" si="54"/>
        <v>50514.226447811896</v>
      </c>
      <c r="BW33" s="123">
        <f t="shared" ca="1" si="55"/>
        <v>0</v>
      </c>
      <c r="BX33" s="121"/>
      <c r="BY33" s="123">
        <f t="shared" si="56"/>
        <v>0</v>
      </c>
      <c r="BZ33" s="123">
        <f t="shared" ca="1" si="57"/>
        <v>0</v>
      </c>
      <c r="CA33" s="121"/>
      <c r="CB33" s="122">
        <f t="shared" ca="1" si="5"/>
        <v>77593610.366580054</v>
      </c>
      <c r="CC33" s="122">
        <f t="shared" ca="1" si="58"/>
        <v>407554.17830748239</v>
      </c>
      <c r="CD33" s="124">
        <f t="shared" ca="1" si="59"/>
        <v>664304.62829604943</v>
      </c>
      <c r="CE33" s="121"/>
      <c r="CF33" s="122">
        <f t="shared" ca="1" si="6"/>
        <v>10235971.754361782</v>
      </c>
      <c r="CG33" s="124">
        <f t="shared" ca="1" si="60"/>
        <v>0</v>
      </c>
      <c r="CH33" s="123">
        <f t="shared" ca="1" si="61"/>
        <v>0</v>
      </c>
      <c r="CI33" s="121"/>
      <c r="CJ33" s="123">
        <f t="shared" ca="1" si="62"/>
        <v>1492172.6149506988</v>
      </c>
      <c r="CK33" s="123">
        <f t="shared" ca="1" si="63"/>
        <v>1492172.6149506988</v>
      </c>
      <c r="CL33" s="123">
        <f t="shared" ca="1" si="64"/>
        <v>0</v>
      </c>
      <c r="CM33" s="121"/>
      <c r="CN33" s="62">
        <f t="shared" ca="1" si="65"/>
        <v>492681.76510031312</v>
      </c>
      <c r="CO33" s="62" t="b">
        <f t="shared" si="66"/>
        <v>1</v>
      </c>
      <c r="CP33" s="126">
        <f t="shared" ca="1" si="67"/>
        <v>7.5000000000000045E-4</v>
      </c>
      <c r="CQ33" s="120"/>
      <c r="CR33" s="120"/>
      <c r="CS33" s="120"/>
      <c r="CT33" s="120"/>
      <c r="CU33" s="120"/>
      <c r="CV33" s="120"/>
      <c r="CW33" s="120"/>
      <c r="CX33" s="120"/>
      <c r="CY33" s="120"/>
      <c r="CZ33" s="120"/>
      <c r="DA33" s="120"/>
      <c r="DB33" s="120"/>
      <c r="DC33" s="120"/>
      <c r="DD33" s="120"/>
      <c r="DE33" s="116"/>
      <c r="DF33" s="116"/>
      <c r="DG33" s="116"/>
      <c r="DH33" s="116"/>
      <c r="DI33" s="116"/>
      <c r="DJ33" s="116"/>
      <c r="DK33" s="116"/>
      <c r="DL33" s="116"/>
      <c r="DM33" s="116"/>
      <c r="DN33" s="116"/>
    </row>
    <row r="34" spans="1:118" x14ac:dyDescent="0.2">
      <c r="A34" s="27">
        <v>28</v>
      </c>
      <c r="B34" s="29">
        <f t="shared" si="0"/>
        <v>39965</v>
      </c>
      <c r="C34" s="30">
        <f t="shared" si="1"/>
        <v>8.3333333333333329E-2</v>
      </c>
      <c r="D34" s="55"/>
      <c r="E34" s="62">
        <f t="shared" ca="1" si="19"/>
        <v>98371989.410197437</v>
      </c>
      <c r="F34" s="63">
        <f ca="1">IF(AssetIntType1="Fixed",AssetFxdRate1,IF(A34=1,OFFSET(Vectors!$D$6,A34,MATCH(AssetFltIndx1,lstInterestRates,0)),IF(MOD($A34,AssetRateReset1)=0,MAX(MIN(OFFSET(Vectors!$D$6,A34,MATCH(AssetFltIndx1,lstInterestRates,0)),(F33-AssetMarg1)+AssetPdCapFl1,AssetLifeCap1-AssetMarg1),(F33-AssetMarg1)-AssetPdCapFl1,AssetLifeFloor1-AssetMarg1),F33)))+AssetMarg1</f>
        <v>0.09</v>
      </c>
      <c r="G34" s="62">
        <f t="shared" ca="1" si="7"/>
        <v>804622.61694478267</v>
      </c>
      <c r="H34" s="62">
        <f t="shared" ca="1" si="20"/>
        <v>737789.9205764808</v>
      </c>
      <c r="I34" s="62">
        <f t="shared" ca="1" si="21"/>
        <v>66832.696368301869</v>
      </c>
      <c r="J34" s="62">
        <f t="shared" ca="1" si="2"/>
        <v>98305156.71382913</v>
      </c>
      <c r="K34" s="55"/>
      <c r="L34" s="62">
        <f t="shared" ca="1" si="22"/>
        <v>92184731.930088952</v>
      </c>
      <c r="M34" s="68">
        <f ca="1">IF(pdrLossTime1="",OFFSET(Vectors!$AE$6,A34+_Age1,MATCH(SDA_Loss,lstSDA,0)),OFFSET(Vectors!$X$6,A34+_Age1,MATCH(pdrLossTime1,lstDefaultCurve,0)))</f>
        <v>2.7777777777777779E-5</v>
      </c>
      <c r="N34" s="62">
        <f t="shared" ca="1" si="8"/>
        <v>2777.7777777777778</v>
      </c>
      <c r="O34" s="67">
        <f t="shared" ca="1" si="23"/>
        <v>0.98305156713829134</v>
      </c>
      <c r="P34" s="68">
        <f ca="1">OFFSET(Vectors!$L$6,A34+_Age1,MATCH(pdrPrepay1,lstPrepayCurve,0))*pdrPrepayStress1</f>
        <v>4.7909128594627592E-3</v>
      </c>
      <c r="Q34" s="62">
        <f t="shared" ca="1" si="24"/>
        <v>441348.9668441164</v>
      </c>
      <c r="R34" s="62">
        <f t="shared" ca="1" si="25"/>
        <v>62627.264015250381</v>
      </c>
      <c r="S34" s="69">
        <f t="shared" ca="1" si="26"/>
        <v>0.09</v>
      </c>
      <c r="T34" s="62">
        <f t="shared" ca="1" si="27"/>
        <v>691364.65614233376</v>
      </c>
      <c r="U34" s="62">
        <f t="shared" ca="1" si="9"/>
        <v>1111.1111111111111</v>
      </c>
      <c r="V34" s="62">
        <f t="shared" ca="1" si="3"/>
        <v>91677977.921451807</v>
      </c>
      <c r="W34" s="55"/>
      <c r="X34" s="62">
        <f t="shared" ca="1" si="28"/>
        <v>1196451.9981128115</v>
      </c>
      <c r="Y34" s="55"/>
      <c r="Z34" s="118" t="b">
        <v>0</v>
      </c>
      <c r="AA34" s="120" t="b">
        <f t="shared" si="10"/>
        <v>0</v>
      </c>
      <c r="AB34" s="120" t="b">
        <f t="shared" si="11"/>
        <v>1</v>
      </c>
      <c r="AC34" s="120" t="b">
        <f t="shared" ca="1" si="12"/>
        <v>0</v>
      </c>
      <c r="AD34" s="121"/>
      <c r="AE34" s="129">
        <v>69164608.567740992</v>
      </c>
      <c r="AF34" s="69">
        <f ca="1">IF(Swap_Active="No",0,OFFSET(Vectors!$D$6,Vectors!A34,MATCH(Swap_In,lstInterestRates,0)))</f>
        <v>5.3535666666666697E-2</v>
      </c>
      <c r="AG34" s="62">
        <f t="shared" ca="1" si="29"/>
        <v>308564.45245108841</v>
      </c>
      <c r="AH34" s="69">
        <f ca="1">IF(Swap_Active="No",0,OFFSET(Vectors!$D$6,Vectors!A34,MATCH(Swap_Out,lstInterestRates,0)))</f>
        <v>0.04</v>
      </c>
      <c r="AI34" s="62">
        <f t="shared" ca="1" si="30"/>
        <v>230548.6952258033</v>
      </c>
      <c r="AJ34" s="62">
        <f t="shared" ca="1" si="31"/>
        <v>78015.75722528511</v>
      </c>
      <c r="AK34" s="62">
        <f t="shared" ca="1" si="32"/>
        <v>1274467.7553380965</v>
      </c>
      <c r="AL34" s="121"/>
      <c r="AM34" s="123">
        <f t="shared" ca="1" si="13"/>
        <v>185971.89086955658</v>
      </c>
      <c r="AN34" s="124">
        <f t="shared" ca="1" si="33"/>
        <v>185971.89086955658</v>
      </c>
      <c r="AO34" s="125">
        <f t="shared" ca="1" si="34"/>
        <v>0</v>
      </c>
      <c r="AP34" s="123">
        <f t="shared" ca="1" si="35"/>
        <v>1088495.8644685401</v>
      </c>
      <c r="AQ34" s="121"/>
      <c r="AR34" s="126">
        <f ca="1">IF(LiabIntType1="Fixed",LiabFxdRate1,OFFSET(Vectors!$D$6,Vectors!A34,MATCH(LiabLoanIndex1,lstInterestRates,0))+LiabMarg1)</f>
        <v>6.3535666666666699E-2</v>
      </c>
      <c r="AS34" s="122">
        <f t="shared" ca="1" si="36"/>
        <v>410830.14697618695</v>
      </c>
      <c r="AT34" s="124">
        <f t="shared" ca="1" si="37"/>
        <v>410830.14697618695</v>
      </c>
      <c r="AU34" s="123">
        <f t="shared" ca="1" si="38"/>
        <v>0</v>
      </c>
      <c r="AV34" s="123">
        <f t="shared" ca="1" si="14"/>
        <v>0</v>
      </c>
      <c r="AW34" s="123">
        <f t="shared" ca="1" si="39"/>
        <v>0</v>
      </c>
      <c r="AX34" s="124">
        <f t="shared" ca="1" si="40"/>
        <v>677665.71749235317</v>
      </c>
      <c r="AY34" s="121"/>
      <c r="AZ34" s="122">
        <f t="shared" ca="1" si="15"/>
        <v>677665.71749235317</v>
      </c>
      <c r="BA34" s="124">
        <f t="shared" ca="1" si="41"/>
        <v>677665.71749235317</v>
      </c>
      <c r="BB34" s="123">
        <f t="shared" ca="1" si="42"/>
        <v>0</v>
      </c>
      <c r="BC34" s="123">
        <f t="shared" ca="1" si="16"/>
        <v>0</v>
      </c>
      <c r="BD34" s="123">
        <f t="shared" ca="1" si="43"/>
        <v>0</v>
      </c>
      <c r="BE34" s="124">
        <f t="shared" ca="1" si="44"/>
        <v>0</v>
      </c>
      <c r="BF34" s="121"/>
      <c r="BG34" s="123">
        <f t="shared" si="17"/>
        <v>1000000</v>
      </c>
      <c r="BH34" s="123">
        <f t="shared" ca="1" si="45"/>
        <v>1000000</v>
      </c>
      <c r="BI34" s="123">
        <f t="shared" ca="1" si="46"/>
        <v>0</v>
      </c>
      <c r="BJ34" s="123">
        <f t="shared" ca="1" si="47"/>
        <v>0</v>
      </c>
      <c r="BK34" s="123">
        <f t="shared" ca="1" si="4"/>
        <v>1000000</v>
      </c>
      <c r="BL34" s="123">
        <f t="shared" ca="1" si="48"/>
        <v>0</v>
      </c>
      <c r="BM34" s="121"/>
      <c r="BN34" s="126">
        <f ca="1">IF(LiabIntType2="Fixed",LiabFxdRate2,OFFSET(Vectors!$D$6,Vectors!A34,MATCH(LiabLoanIndex2,lstInterestRates,0))+LiabMarg2)</f>
        <v>0.04</v>
      </c>
      <c r="BO34" s="122">
        <f t="shared" ca="1" si="49"/>
        <v>34119.905847872607</v>
      </c>
      <c r="BP34" s="124">
        <f t="shared" ca="1" si="50"/>
        <v>0</v>
      </c>
      <c r="BQ34" s="123">
        <f t="shared" ca="1" si="51"/>
        <v>34119.905847872607</v>
      </c>
      <c r="BR34" s="123">
        <f t="shared" ca="1" si="52"/>
        <v>0</v>
      </c>
      <c r="BS34" s="121"/>
      <c r="BT34" s="123">
        <f t="shared" ca="1" si="18"/>
        <v>51957.041154996208</v>
      </c>
      <c r="BU34" s="123">
        <f t="shared" ca="1" si="53"/>
        <v>0</v>
      </c>
      <c r="BV34" s="123">
        <f t="shared" ca="1" si="54"/>
        <v>51957.041154996208</v>
      </c>
      <c r="BW34" s="123">
        <f t="shared" ca="1" si="55"/>
        <v>0</v>
      </c>
      <c r="BX34" s="121"/>
      <c r="BY34" s="123">
        <f t="shared" si="56"/>
        <v>0</v>
      </c>
      <c r="BZ34" s="123">
        <f t="shared" ca="1" si="57"/>
        <v>0</v>
      </c>
      <c r="CA34" s="121"/>
      <c r="CB34" s="122">
        <f t="shared" ca="1" si="5"/>
        <v>76915944.649087697</v>
      </c>
      <c r="CC34" s="122">
        <f t="shared" ca="1" si="58"/>
        <v>410830.14697618695</v>
      </c>
      <c r="CD34" s="124">
        <f t="shared" ca="1" si="59"/>
        <v>677665.71749235317</v>
      </c>
      <c r="CE34" s="121"/>
      <c r="CF34" s="122">
        <f t="shared" ca="1" si="6"/>
        <v>10235971.754361782</v>
      </c>
      <c r="CG34" s="124">
        <f t="shared" ca="1" si="60"/>
        <v>0</v>
      </c>
      <c r="CH34" s="123">
        <f t="shared" ca="1" si="61"/>
        <v>0</v>
      </c>
      <c r="CI34" s="121"/>
      <c r="CJ34" s="123">
        <f t="shared" ca="1" si="62"/>
        <v>1505016.4505638999</v>
      </c>
      <c r="CK34" s="123">
        <f t="shared" ca="1" si="63"/>
        <v>1505016.4505638999</v>
      </c>
      <c r="CL34" s="123">
        <f t="shared" ca="1" si="64"/>
        <v>0</v>
      </c>
      <c r="CM34" s="121"/>
      <c r="CN34" s="62">
        <f t="shared" ca="1" si="65"/>
        <v>506754.00863714452</v>
      </c>
      <c r="CO34" s="62" t="b">
        <f t="shared" si="66"/>
        <v>1</v>
      </c>
      <c r="CP34" s="126">
        <f t="shared" ca="1" si="67"/>
        <v>7.7777777777777828E-4</v>
      </c>
      <c r="CQ34" s="120"/>
      <c r="CR34" s="120"/>
      <c r="CS34" s="120"/>
      <c r="CT34" s="120"/>
      <c r="CU34" s="120"/>
      <c r="CV34" s="120"/>
      <c r="CW34" s="120"/>
      <c r="CX34" s="120"/>
      <c r="CY34" s="120"/>
      <c r="CZ34" s="120"/>
      <c r="DA34" s="120"/>
      <c r="DB34" s="120"/>
      <c r="DC34" s="120"/>
      <c r="DD34" s="120"/>
      <c r="DE34" s="116"/>
      <c r="DF34" s="116"/>
      <c r="DG34" s="116"/>
      <c r="DH34" s="116"/>
      <c r="DI34" s="116"/>
      <c r="DJ34" s="116"/>
      <c r="DK34" s="116"/>
      <c r="DL34" s="116"/>
      <c r="DM34" s="116"/>
      <c r="DN34" s="116"/>
    </row>
    <row r="35" spans="1:118" x14ac:dyDescent="0.2">
      <c r="A35" s="27">
        <v>29</v>
      </c>
      <c r="B35" s="29">
        <f t="shared" si="0"/>
        <v>39995</v>
      </c>
      <c r="C35" s="30">
        <f t="shared" si="1"/>
        <v>8.3333333333333329E-2</v>
      </c>
      <c r="D35" s="55"/>
      <c r="E35" s="62">
        <f t="shared" ca="1" si="19"/>
        <v>98305156.71382913</v>
      </c>
      <c r="F35" s="63">
        <f ca="1">IF(AssetIntType1="Fixed",AssetFxdRate1,IF(A35=1,OFFSET(Vectors!$D$6,A35,MATCH(AssetFltIndx1,lstInterestRates,0)),IF(MOD($A35,AssetRateReset1)=0,MAX(MIN(OFFSET(Vectors!$D$6,A35,MATCH(AssetFltIndx1,lstInterestRates,0)),(F34-AssetMarg1)+AssetPdCapFl1,AssetLifeCap1-AssetMarg1),(F34-AssetMarg1)-AssetPdCapFl1,AssetLifeFloor1-AssetMarg1),F34)))+AssetMarg1</f>
        <v>0.09</v>
      </c>
      <c r="G35" s="62">
        <f t="shared" ca="1" si="7"/>
        <v>804622.61694478267</v>
      </c>
      <c r="H35" s="62">
        <f t="shared" ca="1" si="20"/>
        <v>737288.67535371846</v>
      </c>
      <c r="I35" s="62">
        <f t="shared" ca="1" si="21"/>
        <v>67333.941591064213</v>
      </c>
      <c r="J35" s="62">
        <f t="shared" ca="1" si="2"/>
        <v>98237822.772238061</v>
      </c>
      <c r="K35" s="55"/>
      <c r="L35" s="62">
        <f t="shared" ca="1" si="22"/>
        <v>91677977.921451807</v>
      </c>
      <c r="M35" s="68">
        <f ca="1">IF(pdrLossTime1="",OFFSET(Vectors!$AE$6,A35+_Age1,MATCH(SDA_Loss,lstSDA,0)),OFFSET(Vectors!$X$6,A35+_Age1,MATCH(pdrLossTime1,lstDefaultCurve,0)))</f>
        <v>2.7777777777777779E-5</v>
      </c>
      <c r="N35" s="62">
        <f t="shared" ca="1" si="8"/>
        <v>2777.7777777777778</v>
      </c>
      <c r="O35" s="67">
        <f t="shared" ca="1" si="23"/>
        <v>0.98237822772238059</v>
      </c>
      <c r="P35" s="68">
        <f ca="1">OFFSET(Vectors!$L$6,A35+_Age1,MATCH(pdrPrepay1,lstPrepayCurve,0))*pdrPrepayStress1</f>
        <v>4.9667915300590781E-3</v>
      </c>
      <c r="Q35" s="62">
        <f t="shared" ca="1" si="24"/>
        <v>455033.51621148951</v>
      </c>
      <c r="R35" s="62">
        <f t="shared" ca="1" si="25"/>
        <v>62792.764674532038</v>
      </c>
      <c r="S35" s="69">
        <f t="shared" ca="1" si="26"/>
        <v>0.09</v>
      </c>
      <c r="T35" s="62">
        <f t="shared" ca="1" si="27"/>
        <v>687564.00107755524</v>
      </c>
      <c r="U35" s="62">
        <f t="shared" ca="1" si="9"/>
        <v>1111.1111111111111</v>
      </c>
      <c r="V35" s="62">
        <f t="shared" ca="1" si="3"/>
        <v>91157373.862788007</v>
      </c>
      <c r="W35" s="55"/>
      <c r="X35" s="62">
        <f t="shared" ca="1" si="28"/>
        <v>1206501.3930746878</v>
      </c>
      <c r="Y35" s="55"/>
      <c r="Z35" s="118" t="b">
        <v>0</v>
      </c>
      <c r="AA35" s="120" t="b">
        <f t="shared" si="10"/>
        <v>0</v>
      </c>
      <c r="AB35" s="120" t="b">
        <f t="shared" si="11"/>
        <v>1</v>
      </c>
      <c r="AC35" s="120" t="b">
        <f t="shared" ca="1" si="12"/>
        <v>0</v>
      </c>
      <c r="AD35" s="121"/>
      <c r="AE35" s="129">
        <v>68364236.948549062</v>
      </c>
      <c r="AF35" s="69">
        <f ca="1">IF(Swap_Active="No",0,OFFSET(Vectors!$D$6,Vectors!A35,MATCH(Swap_In,lstInterestRates,0)))</f>
        <v>5.4577333333333367E-2</v>
      </c>
      <c r="AG35" s="62">
        <f t="shared" ca="1" si="29"/>
        <v>310928.14566832891</v>
      </c>
      <c r="AH35" s="69">
        <f ca="1">IF(Swap_Active="No",0,OFFSET(Vectors!$D$6,Vectors!A35,MATCH(Swap_Out,lstInterestRates,0)))</f>
        <v>0.04</v>
      </c>
      <c r="AI35" s="62">
        <f t="shared" ca="1" si="30"/>
        <v>227880.78982849687</v>
      </c>
      <c r="AJ35" s="62">
        <f t="shared" ca="1" si="31"/>
        <v>83047.355839832046</v>
      </c>
      <c r="AK35" s="62">
        <f t="shared" ca="1" si="32"/>
        <v>1289548.7489145198</v>
      </c>
      <c r="AL35" s="121"/>
      <c r="AM35" s="123">
        <f t="shared" ca="1" si="13"/>
        <v>184844.94013953954</v>
      </c>
      <c r="AN35" s="124">
        <f t="shared" ca="1" si="33"/>
        <v>184844.94013953954</v>
      </c>
      <c r="AO35" s="125">
        <f t="shared" ca="1" si="34"/>
        <v>0</v>
      </c>
      <c r="AP35" s="123">
        <f t="shared" ca="1" si="35"/>
        <v>1104703.8087749803</v>
      </c>
      <c r="AQ35" s="121"/>
      <c r="AR35" s="126">
        <f ca="1">IF(LiabIntType1="Fixed",LiabFxdRate1,OFFSET(Vectors!$D$6,Vectors!A35,MATCH(LiabLoanIndex1,lstInterestRates,0))+LiabMarg1)</f>
        <v>6.4577333333333362E-2</v>
      </c>
      <c r="AS35" s="122">
        <f t="shared" ca="1" si="36"/>
        <v>413918.88302102953</v>
      </c>
      <c r="AT35" s="124">
        <f t="shared" ca="1" si="37"/>
        <v>413918.88302102953</v>
      </c>
      <c r="AU35" s="123">
        <f t="shared" ca="1" si="38"/>
        <v>0</v>
      </c>
      <c r="AV35" s="123">
        <f t="shared" ca="1" si="14"/>
        <v>0</v>
      </c>
      <c r="AW35" s="123">
        <f t="shared" ca="1" si="39"/>
        <v>0</v>
      </c>
      <c r="AX35" s="124">
        <f t="shared" ca="1" si="40"/>
        <v>690784.92575395072</v>
      </c>
      <c r="AY35" s="121"/>
      <c r="AZ35" s="122">
        <f t="shared" ca="1" si="15"/>
        <v>690784.92575395072</v>
      </c>
      <c r="BA35" s="124">
        <f t="shared" ca="1" si="41"/>
        <v>690784.92575395072</v>
      </c>
      <c r="BB35" s="123">
        <f t="shared" ca="1" si="42"/>
        <v>0</v>
      </c>
      <c r="BC35" s="123">
        <f t="shared" ca="1" si="16"/>
        <v>0</v>
      </c>
      <c r="BD35" s="123">
        <f t="shared" ca="1" si="43"/>
        <v>0</v>
      </c>
      <c r="BE35" s="124">
        <f t="shared" ca="1" si="44"/>
        <v>0</v>
      </c>
      <c r="BF35" s="121"/>
      <c r="BG35" s="123">
        <f t="shared" si="17"/>
        <v>1000000</v>
      </c>
      <c r="BH35" s="123">
        <f t="shared" ca="1" si="45"/>
        <v>1000000</v>
      </c>
      <c r="BI35" s="123">
        <f t="shared" ca="1" si="46"/>
        <v>0</v>
      </c>
      <c r="BJ35" s="123">
        <f t="shared" ca="1" si="47"/>
        <v>0</v>
      </c>
      <c r="BK35" s="123">
        <f t="shared" ca="1" si="4"/>
        <v>1000000</v>
      </c>
      <c r="BL35" s="123">
        <f t="shared" ca="1" si="48"/>
        <v>0</v>
      </c>
      <c r="BM35" s="121"/>
      <c r="BN35" s="126">
        <f ca="1">IF(LiabIntType2="Fixed",LiabFxdRate2,OFFSET(Vectors!$D$6,Vectors!A35,MATCH(LiabLoanIndex2,lstInterestRates,0))+LiabMarg2)</f>
        <v>0.04</v>
      </c>
      <c r="BO35" s="122">
        <f t="shared" ca="1" si="49"/>
        <v>34119.905847872607</v>
      </c>
      <c r="BP35" s="124">
        <f t="shared" ca="1" si="50"/>
        <v>0</v>
      </c>
      <c r="BQ35" s="123">
        <f t="shared" ca="1" si="51"/>
        <v>34119.905847872607</v>
      </c>
      <c r="BR35" s="123">
        <f t="shared" ca="1" si="52"/>
        <v>0</v>
      </c>
      <c r="BS35" s="121"/>
      <c r="BT35" s="123">
        <f t="shared" ca="1" si="18"/>
        <v>53377.074557729342</v>
      </c>
      <c r="BU35" s="123">
        <f t="shared" ca="1" si="53"/>
        <v>0</v>
      </c>
      <c r="BV35" s="123">
        <f t="shared" ca="1" si="54"/>
        <v>53377.074557729342</v>
      </c>
      <c r="BW35" s="123">
        <f t="shared" ca="1" si="55"/>
        <v>0</v>
      </c>
      <c r="BX35" s="121"/>
      <c r="BY35" s="123">
        <f t="shared" si="56"/>
        <v>0</v>
      </c>
      <c r="BZ35" s="123">
        <f t="shared" ca="1" si="57"/>
        <v>0</v>
      </c>
      <c r="CA35" s="121"/>
      <c r="CB35" s="122">
        <f t="shared" ca="1" si="5"/>
        <v>76225159.723333746</v>
      </c>
      <c r="CC35" s="122">
        <f t="shared" ca="1" si="58"/>
        <v>413918.88302102953</v>
      </c>
      <c r="CD35" s="124">
        <f t="shared" ca="1" si="59"/>
        <v>690784.92575395072</v>
      </c>
      <c r="CE35" s="121"/>
      <c r="CF35" s="122">
        <f t="shared" ca="1" si="6"/>
        <v>10235971.754361782</v>
      </c>
      <c r="CG35" s="124">
        <f t="shared" ca="1" si="60"/>
        <v>0</v>
      </c>
      <c r="CH35" s="123">
        <f t="shared" ca="1" si="61"/>
        <v>0</v>
      </c>
      <c r="CI35" s="121"/>
      <c r="CJ35" s="123">
        <f t="shared" ca="1" si="62"/>
        <v>1517429.5387430168</v>
      </c>
      <c r="CK35" s="123">
        <f t="shared" ca="1" si="63"/>
        <v>1517429.5387430168</v>
      </c>
      <c r="CL35" s="123">
        <f t="shared" ca="1" si="64"/>
        <v>0</v>
      </c>
      <c r="CM35" s="121"/>
      <c r="CN35" s="62">
        <f t="shared" ca="1" si="65"/>
        <v>520604.05866379931</v>
      </c>
      <c r="CO35" s="62" t="b">
        <f t="shared" si="66"/>
        <v>1</v>
      </c>
      <c r="CP35" s="126">
        <f t="shared" ca="1" si="67"/>
        <v>8.055555555555561E-4</v>
      </c>
      <c r="CQ35" s="120"/>
      <c r="CR35" s="120"/>
      <c r="CS35" s="120"/>
      <c r="CT35" s="120"/>
      <c r="CU35" s="120"/>
      <c r="CV35" s="120"/>
      <c r="CW35" s="120"/>
      <c r="CX35" s="120"/>
      <c r="CY35" s="120"/>
      <c r="CZ35" s="120"/>
      <c r="DA35" s="120"/>
      <c r="DB35" s="120"/>
      <c r="DC35" s="120"/>
      <c r="DD35" s="120"/>
      <c r="DE35" s="116"/>
      <c r="DF35" s="116"/>
      <c r="DG35" s="116"/>
      <c r="DH35" s="116"/>
      <c r="DI35" s="116"/>
      <c r="DJ35" s="116"/>
      <c r="DK35" s="116"/>
      <c r="DL35" s="116"/>
      <c r="DM35" s="116"/>
      <c r="DN35" s="116"/>
    </row>
    <row r="36" spans="1:118" x14ac:dyDescent="0.2">
      <c r="A36" s="27">
        <v>30</v>
      </c>
      <c r="B36" s="29">
        <f t="shared" si="0"/>
        <v>40026</v>
      </c>
      <c r="C36" s="30">
        <f t="shared" si="1"/>
        <v>8.3333333333333329E-2</v>
      </c>
      <c r="D36" s="55"/>
      <c r="E36" s="62">
        <f t="shared" ca="1" si="19"/>
        <v>98237822.772238061</v>
      </c>
      <c r="F36" s="63">
        <f ca="1">IF(AssetIntType1="Fixed",AssetFxdRate1,IF(A36=1,OFFSET(Vectors!$D$6,A36,MATCH(AssetFltIndx1,lstInterestRates,0)),IF(MOD($A36,AssetRateReset1)=0,MAX(MIN(OFFSET(Vectors!$D$6,A36,MATCH(AssetFltIndx1,lstInterestRates,0)),(F35-AssetMarg1)+AssetPdCapFl1,AssetLifeCap1-AssetMarg1),(F35-AssetMarg1)-AssetPdCapFl1,AssetLifeFloor1-AssetMarg1),F35)))+AssetMarg1</f>
        <v>0.09</v>
      </c>
      <c r="G36" s="62">
        <f t="shared" ca="1" si="7"/>
        <v>804622.61694478267</v>
      </c>
      <c r="H36" s="62">
        <f t="shared" ca="1" si="20"/>
        <v>736783.67079178547</v>
      </c>
      <c r="I36" s="62">
        <f t="shared" ca="1" si="21"/>
        <v>67838.946152997203</v>
      </c>
      <c r="J36" s="62">
        <f t="shared" ca="1" si="2"/>
        <v>98169983.826085061</v>
      </c>
      <c r="K36" s="55"/>
      <c r="L36" s="62">
        <f t="shared" ca="1" si="22"/>
        <v>91157373.862788007</v>
      </c>
      <c r="M36" s="68">
        <f ca="1">IF(pdrLossTime1="",OFFSET(Vectors!$AE$6,A36+_Age1,MATCH(SDA_Loss,lstSDA,0)),OFFSET(Vectors!$X$6,A36+_Age1,MATCH(pdrLossTime1,lstDefaultCurve,0)))</f>
        <v>2.7777777777777779E-5</v>
      </c>
      <c r="N36" s="62">
        <f t="shared" ca="1" si="8"/>
        <v>2777.7777777777778</v>
      </c>
      <c r="O36" s="67">
        <f t="shared" ca="1" si="23"/>
        <v>0.98169983826085061</v>
      </c>
      <c r="P36" s="68">
        <f ca="1">OFFSET(Vectors!$L$6,A36+_Age1,MATCH(pdrPrepay1,lstPrepayCurve,0))*pdrPrepayStress1</f>
        <v>5.1430128318229462E-3</v>
      </c>
      <c r="Q36" s="62">
        <f t="shared" ca="1" si="24"/>
        <v>468499.79349160369</v>
      </c>
      <c r="R36" s="62">
        <f t="shared" ca="1" si="25"/>
        <v>62947.565010135797</v>
      </c>
      <c r="S36" s="69">
        <f t="shared" ca="1" si="26"/>
        <v>0.09</v>
      </c>
      <c r="T36" s="62">
        <f t="shared" ca="1" si="27"/>
        <v>683659.47063757665</v>
      </c>
      <c r="U36" s="62">
        <f t="shared" ca="1" si="9"/>
        <v>1111.1111111111111</v>
      </c>
      <c r="V36" s="62">
        <f t="shared" ca="1" si="3"/>
        <v>90623148.726508498</v>
      </c>
      <c r="W36" s="55"/>
      <c r="X36" s="62">
        <f t="shared" ca="1" si="28"/>
        <v>1216217.940250427</v>
      </c>
      <c r="Y36" s="55"/>
      <c r="Z36" s="118" t="b">
        <v>0</v>
      </c>
      <c r="AA36" s="120" t="b">
        <f t="shared" si="10"/>
        <v>0</v>
      </c>
      <c r="AB36" s="120" t="b">
        <f t="shared" si="11"/>
        <v>1</v>
      </c>
      <c r="AC36" s="120" t="b">
        <f t="shared" ca="1" si="12"/>
        <v>0</v>
      </c>
      <c r="AD36" s="121"/>
      <c r="AE36" s="129">
        <v>67571998.928355843</v>
      </c>
      <c r="AF36" s="69">
        <f ca="1">IF(Swap_Active="No",0,OFFSET(Vectors!$D$6,Vectors!A36,MATCH(Swap_In,lstInterestRates,0)))</f>
        <v>5.5619000000000036E-2</v>
      </c>
      <c r="AG36" s="62">
        <f t="shared" ca="1" si="29"/>
        <v>313190.58403301879</v>
      </c>
      <c r="AH36" s="69">
        <f ca="1">IF(Swap_Active="No",0,OFFSET(Vectors!$D$6,Vectors!A36,MATCH(Swap_Out,lstInterestRates,0)))</f>
        <v>0.04</v>
      </c>
      <c r="AI36" s="62">
        <f t="shared" ca="1" si="30"/>
        <v>225239.99642785281</v>
      </c>
      <c r="AJ36" s="62">
        <f t="shared" ca="1" si="31"/>
        <v>87950.587605165987</v>
      </c>
      <c r="AK36" s="62">
        <f t="shared" ca="1" si="32"/>
        <v>1304168.527855593</v>
      </c>
      <c r="AL36" s="121"/>
      <c r="AM36" s="123">
        <f t="shared" ca="1" si="13"/>
        <v>183689.43965603571</v>
      </c>
      <c r="AN36" s="124">
        <f t="shared" ca="1" si="33"/>
        <v>183689.43965603571</v>
      </c>
      <c r="AO36" s="125">
        <f t="shared" ca="1" si="34"/>
        <v>0</v>
      </c>
      <c r="AP36" s="123">
        <f t="shared" ca="1" si="35"/>
        <v>1120479.0881995573</v>
      </c>
      <c r="AQ36" s="121"/>
      <c r="AR36" s="126">
        <f ca="1">IF(LiabIntType1="Fixed",LiabFxdRate1,OFFSET(Vectors!$D$6,Vectors!A36,MATCH(LiabLoanIndex1,lstInterestRates,0))+LiabMarg1)</f>
        <v>6.5619000000000038E-2</v>
      </c>
      <c r="AS36" s="122">
        <f t="shared" ca="1" si="36"/>
        <v>416818.22965711995</v>
      </c>
      <c r="AT36" s="124">
        <f t="shared" ca="1" si="37"/>
        <v>416818.22965711995</v>
      </c>
      <c r="AU36" s="123">
        <f t="shared" ca="1" si="38"/>
        <v>0</v>
      </c>
      <c r="AV36" s="123">
        <f t="shared" ca="1" si="14"/>
        <v>0</v>
      </c>
      <c r="AW36" s="123">
        <f t="shared" ca="1" si="39"/>
        <v>0</v>
      </c>
      <c r="AX36" s="124">
        <f t="shared" ca="1" si="40"/>
        <v>703660.85854243732</v>
      </c>
      <c r="AY36" s="121"/>
      <c r="AZ36" s="122">
        <f t="shared" ca="1" si="15"/>
        <v>703660.85854243732</v>
      </c>
      <c r="BA36" s="124">
        <f t="shared" ca="1" si="41"/>
        <v>703660.85854243732</v>
      </c>
      <c r="BB36" s="123">
        <f t="shared" ca="1" si="42"/>
        <v>0</v>
      </c>
      <c r="BC36" s="123">
        <f t="shared" ca="1" si="16"/>
        <v>0</v>
      </c>
      <c r="BD36" s="123">
        <f t="shared" ca="1" si="43"/>
        <v>0</v>
      </c>
      <c r="BE36" s="124">
        <f t="shared" ca="1" si="44"/>
        <v>0</v>
      </c>
      <c r="BF36" s="121"/>
      <c r="BG36" s="123">
        <f t="shared" si="17"/>
        <v>1000000</v>
      </c>
      <c r="BH36" s="123">
        <f t="shared" ca="1" si="45"/>
        <v>1000000</v>
      </c>
      <c r="BI36" s="123">
        <f t="shared" ca="1" si="46"/>
        <v>0</v>
      </c>
      <c r="BJ36" s="123">
        <f t="shared" ca="1" si="47"/>
        <v>0</v>
      </c>
      <c r="BK36" s="123">
        <f t="shared" ca="1" si="4"/>
        <v>1000000</v>
      </c>
      <c r="BL36" s="123">
        <f t="shared" ca="1" si="48"/>
        <v>0</v>
      </c>
      <c r="BM36" s="121"/>
      <c r="BN36" s="126">
        <f ca="1">IF(LiabIntType2="Fixed",LiabFxdRate2,OFFSET(Vectors!$D$6,Vectors!A36,MATCH(LiabLoanIndex2,lstInterestRates,0))+LiabMarg2)</f>
        <v>0.04</v>
      </c>
      <c r="BO36" s="122">
        <f t="shared" ca="1" si="49"/>
        <v>34119.905847872607</v>
      </c>
      <c r="BP36" s="124">
        <f t="shared" ca="1" si="50"/>
        <v>0</v>
      </c>
      <c r="BQ36" s="123">
        <f t="shared" ca="1" si="51"/>
        <v>34119.905847872607</v>
      </c>
      <c r="BR36" s="123">
        <f t="shared" ca="1" si="52"/>
        <v>0</v>
      </c>
      <c r="BS36" s="121"/>
      <c r="BT36" s="123">
        <f t="shared" ca="1" si="18"/>
        <v>54773.631621300592</v>
      </c>
      <c r="BU36" s="123">
        <f t="shared" ca="1" si="53"/>
        <v>0</v>
      </c>
      <c r="BV36" s="123">
        <f t="shared" ca="1" si="54"/>
        <v>54773.631621300592</v>
      </c>
      <c r="BW36" s="123">
        <f t="shared" ca="1" si="55"/>
        <v>0</v>
      </c>
      <c r="BX36" s="121"/>
      <c r="BY36" s="123">
        <f t="shared" si="56"/>
        <v>0</v>
      </c>
      <c r="BZ36" s="123">
        <f t="shared" ca="1" si="57"/>
        <v>0</v>
      </c>
      <c r="CA36" s="121"/>
      <c r="CB36" s="122">
        <f t="shared" ca="1" si="5"/>
        <v>75521498.864791304</v>
      </c>
      <c r="CC36" s="122">
        <f t="shared" ca="1" si="58"/>
        <v>416818.22965711995</v>
      </c>
      <c r="CD36" s="124">
        <f t="shared" ca="1" si="59"/>
        <v>703660.85854243732</v>
      </c>
      <c r="CE36" s="121"/>
      <c r="CF36" s="122">
        <f t="shared" ca="1" si="6"/>
        <v>10235971.754361782</v>
      </c>
      <c r="CG36" s="124">
        <f t="shared" ca="1" si="60"/>
        <v>0</v>
      </c>
      <c r="CH36" s="123">
        <f t="shared" ca="1" si="61"/>
        <v>0</v>
      </c>
      <c r="CI36" s="121"/>
      <c r="CJ36" s="123">
        <f t="shared" ca="1" si="62"/>
        <v>1529408.5242834459</v>
      </c>
      <c r="CK36" s="123">
        <f t="shared" ca="1" si="63"/>
        <v>1529408.5242834459</v>
      </c>
      <c r="CL36" s="123">
        <f t="shared" ca="1" si="64"/>
        <v>0</v>
      </c>
      <c r="CM36" s="121"/>
      <c r="CN36" s="62">
        <f t="shared" ca="1" si="65"/>
        <v>534225.1362795172</v>
      </c>
      <c r="CO36" s="62" t="b">
        <f t="shared" si="66"/>
        <v>1</v>
      </c>
      <c r="CP36" s="126">
        <f t="shared" ca="1" si="67"/>
        <v>8.3333333333333393E-4</v>
      </c>
      <c r="CQ36" s="120"/>
      <c r="CR36" s="120"/>
      <c r="CS36" s="120"/>
      <c r="CT36" s="120"/>
      <c r="CU36" s="120"/>
      <c r="CV36" s="120"/>
      <c r="CW36" s="120"/>
      <c r="CX36" s="120"/>
      <c r="CY36" s="120"/>
      <c r="CZ36" s="120"/>
      <c r="DA36" s="120"/>
      <c r="DB36" s="120"/>
      <c r="DC36" s="120"/>
      <c r="DD36" s="120"/>
      <c r="DE36" s="116"/>
      <c r="DF36" s="116"/>
      <c r="DG36" s="116"/>
      <c r="DH36" s="116"/>
      <c r="DI36" s="116"/>
      <c r="DJ36" s="116"/>
      <c r="DK36" s="116"/>
      <c r="DL36" s="116"/>
      <c r="DM36" s="116"/>
      <c r="DN36" s="116"/>
    </row>
    <row r="37" spans="1:118" x14ac:dyDescent="0.2">
      <c r="A37" s="27">
        <v>31</v>
      </c>
      <c r="B37" s="29">
        <f t="shared" si="0"/>
        <v>40057</v>
      </c>
      <c r="C37" s="30">
        <f t="shared" si="1"/>
        <v>8.3333333333333329E-2</v>
      </c>
      <c r="D37" s="55"/>
      <c r="E37" s="62">
        <f t="shared" ca="1" si="19"/>
        <v>98169983.826085061</v>
      </c>
      <c r="F37" s="63">
        <f ca="1">IF(AssetIntType1="Fixed",AssetFxdRate1,IF(A37=1,OFFSET(Vectors!$D$6,A37,MATCH(AssetFltIndx1,lstInterestRates,0)),IF(MOD($A37,AssetRateReset1)=0,MAX(MIN(OFFSET(Vectors!$D$6,A37,MATCH(AssetFltIndx1,lstInterestRates,0)),(F36-AssetMarg1)+AssetPdCapFl1,AssetLifeCap1-AssetMarg1),(F36-AssetMarg1)-AssetPdCapFl1,AssetLifeFloor1-AssetMarg1),F36)))+AssetMarg1</f>
        <v>0.09</v>
      </c>
      <c r="G37" s="62">
        <f t="shared" ca="1" si="7"/>
        <v>804622.61694478267</v>
      </c>
      <c r="H37" s="62">
        <f t="shared" ca="1" si="20"/>
        <v>736274.87869563792</v>
      </c>
      <c r="I37" s="62">
        <f t="shared" ca="1" si="21"/>
        <v>68347.73824914475</v>
      </c>
      <c r="J37" s="62">
        <f t="shared" ca="1" si="2"/>
        <v>98101636.087835923</v>
      </c>
      <c r="K37" s="55"/>
      <c r="L37" s="62">
        <f t="shared" ca="1" si="22"/>
        <v>90623148.726508498</v>
      </c>
      <c r="M37" s="68">
        <f ca="1">IF(pdrLossTime1="",OFFSET(Vectors!$AE$6,A37+_Age1,MATCH(SDA_Loss,lstSDA,0)),OFFSET(Vectors!$X$6,A37+_Age1,MATCH(pdrLossTime1,lstDefaultCurve,0)))</f>
        <v>2.7777777777777779E-5</v>
      </c>
      <c r="N37" s="62">
        <f t="shared" ca="1" si="8"/>
        <v>2777.7777777777778</v>
      </c>
      <c r="O37" s="67">
        <f t="shared" ca="1" si="23"/>
        <v>0.98101636087835919</v>
      </c>
      <c r="P37" s="68">
        <f ca="1">OFFSET(Vectors!$L$6,A37+_Age1,MATCH(pdrPrepay1,lstPrepayCurve,0))*pdrPrepayStress1</f>
        <v>5.1430128318229462E-3</v>
      </c>
      <c r="Q37" s="62">
        <f t="shared" ca="1" si="24"/>
        <v>465751.52611332637</v>
      </c>
      <c r="R37" s="62">
        <f t="shared" ca="1" si="25"/>
        <v>63091.559683011095</v>
      </c>
      <c r="S37" s="69">
        <f t="shared" ca="1" si="26"/>
        <v>0.09</v>
      </c>
      <c r="T37" s="62">
        <f t="shared" ca="1" si="27"/>
        <v>679652.7821154804</v>
      </c>
      <c r="U37" s="62">
        <f t="shared" ca="1" si="9"/>
        <v>1111.1111111111111</v>
      </c>
      <c r="V37" s="62">
        <f t="shared" ca="1" si="3"/>
        <v>90091527.862934381</v>
      </c>
      <c r="W37" s="55"/>
      <c r="X37" s="62">
        <f t="shared" ca="1" si="28"/>
        <v>1209606.979022929</v>
      </c>
      <c r="Y37" s="55"/>
      <c r="Z37" s="118" t="b">
        <v>0</v>
      </c>
      <c r="AA37" s="120" t="b">
        <f t="shared" si="10"/>
        <v>0</v>
      </c>
      <c r="AB37" s="120" t="b">
        <f t="shared" si="11"/>
        <v>1</v>
      </c>
      <c r="AC37" s="120" t="b">
        <f t="shared" ca="1" si="12"/>
        <v>0</v>
      </c>
      <c r="AD37" s="121"/>
      <c r="AE37" s="129">
        <v>66787812.836723097</v>
      </c>
      <c r="AF37" s="69">
        <f ca="1">IF(Swap_Active="No",0,OFFSET(Vectors!$D$6,Vectors!A37,MATCH(Swap_In,lstInterestRates,0)))</f>
        <v>5.6660666666666706E-2</v>
      </c>
      <c r="AG37" s="62">
        <f t="shared" ca="1" si="29"/>
        <v>315353.50004477426</v>
      </c>
      <c r="AH37" s="69">
        <f ca="1">IF(Swap_Active="No",0,OFFSET(Vectors!$D$6,Vectors!A37,MATCH(Swap_Out,lstInterestRates,0)))</f>
        <v>0.04</v>
      </c>
      <c r="AI37" s="62">
        <f t="shared" ca="1" si="30"/>
        <v>222626.04278907698</v>
      </c>
      <c r="AJ37" s="62">
        <f t="shared" ca="1" si="31"/>
        <v>92727.457255697285</v>
      </c>
      <c r="AK37" s="62">
        <f t="shared" ca="1" si="32"/>
        <v>1302334.4362786263</v>
      </c>
      <c r="AL37" s="121"/>
      <c r="AM37" s="123">
        <f t="shared" ca="1" si="13"/>
        <v>182505.8724045105</v>
      </c>
      <c r="AN37" s="124">
        <f t="shared" ca="1" si="33"/>
        <v>182505.8724045105</v>
      </c>
      <c r="AO37" s="125">
        <f t="shared" ca="1" si="34"/>
        <v>0</v>
      </c>
      <c r="AP37" s="123">
        <f t="shared" ca="1" si="35"/>
        <v>1119828.5638741157</v>
      </c>
      <c r="AQ37" s="121"/>
      <c r="AR37" s="126">
        <f ca="1">IF(LiabIntType1="Fixed",LiabFxdRate1,OFFSET(Vectors!$D$6,Vectors!A37,MATCH(LiabLoanIndex1,lstInterestRates,0))+LiabMarg1)</f>
        <v>6.6660666666666701E-2</v>
      </c>
      <c r="AS37" s="122">
        <f t="shared" ca="1" si="36"/>
        <v>419526.12183274172</v>
      </c>
      <c r="AT37" s="124">
        <f t="shared" ca="1" si="37"/>
        <v>419526.12183274172</v>
      </c>
      <c r="AU37" s="123">
        <f t="shared" ca="1" si="38"/>
        <v>0</v>
      </c>
      <c r="AV37" s="123">
        <f t="shared" ca="1" si="14"/>
        <v>0</v>
      </c>
      <c r="AW37" s="123">
        <f t="shared" ca="1" si="39"/>
        <v>0</v>
      </c>
      <c r="AX37" s="124">
        <f t="shared" ca="1" si="40"/>
        <v>700302.44204137404</v>
      </c>
      <c r="AY37" s="121"/>
      <c r="AZ37" s="122">
        <f t="shared" ca="1" si="15"/>
        <v>700302.44204137404</v>
      </c>
      <c r="BA37" s="124">
        <f t="shared" ca="1" si="41"/>
        <v>700302.44204137404</v>
      </c>
      <c r="BB37" s="123">
        <f t="shared" ca="1" si="42"/>
        <v>0</v>
      </c>
      <c r="BC37" s="123">
        <f t="shared" ca="1" si="16"/>
        <v>0</v>
      </c>
      <c r="BD37" s="123">
        <f t="shared" ca="1" si="43"/>
        <v>0</v>
      </c>
      <c r="BE37" s="124">
        <f t="shared" ca="1" si="44"/>
        <v>0</v>
      </c>
      <c r="BF37" s="121"/>
      <c r="BG37" s="123">
        <f t="shared" si="17"/>
        <v>1000000</v>
      </c>
      <c r="BH37" s="123">
        <f t="shared" ca="1" si="45"/>
        <v>1000000</v>
      </c>
      <c r="BI37" s="123">
        <f t="shared" ca="1" si="46"/>
        <v>0</v>
      </c>
      <c r="BJ37" s="123">
        <f t="shared" ca="1" si="47"/>
        <v>0</v>
      </c>
      <c r="BK37" s="123">
        <f t="shared" ca="1" si="4"/>
        <v>1000000</v>
      </c>
      <c r="BL37" s="123">
        <f t="shared" ca="1" si="48"/>
        <v>0</v>
      </c>
      <c r="BM37" s="121"/>
      <c r="BN37" s="126">
        <f ca="1">IF(LiabIntType2="Fixed",LiabFxdRate2,OFFSET(Vectors!$D$6,Vectors!A37,MATCH(LiabLoanIndex2,lstInterestRates,0))+LiabMarg2)</f>
        <v>0.04</v>
      </c>
      <c r="BO37" s="122">
        <f t="shared" ca="1" si="49"/>
        <v>34119.905847872607</v>
      </c>
      <c r="BP37" s="124">
        <f t="shared" ca="1" si="50"/>
        <v>0</v>
      </c>
      <c r="BQ37" s="123">
        <f t="shared" ca="1" si="51"/>
        <v>34119.905847872607</v>
      </c>
      <c r="BR37" s="123">
        <f t="shared" ca="1" si="52"/>
        <v>0</v>
      </c>
      <c r="BS37" s="121"/>
      <c r="BT37" s="123">
        <f t="shared" ca="1" si="18"/>
        <v>54506.617839806677</v>
      </c>
      <c r="BU37" s="123">
        <f t="shared" ca="1" si="53"/>
        <v>0</v>
      </c>
      <c r="BV37" s="123">
        <f t="shared" ca="1" si="54"/>
        <v>54506.617839806677</v>
      </c>
      <c r="BW37" s="123">
        <f t="shared" ca="1" si="55"/>
        <v>0</v>
      </c>
      <c r="BX37" s="121"/>
      <c r="BY37" s="123">
        <f t="shared" si="56"/>
        <v>0</v>
      </c>
      <c r="BZ37" s="123">
        <f t="shared" ca="1" si="57"/>
        <v>0</v>
      </c>
      <c r="CA37" s="121"/>
      <c r="CB37" s="122">
        <f t="shared" ca="1" si="5"/>
        <v>74821196.422749937</v>
      </c>
      <c r="CC37" s="122">
        <f t="shared" ca="1" si="58"/>
        <v>419526.12183274172</v>
      </c>
      <c r="CD37" s="124">
        <f t="shared" ca="1" si="59"/>
        <v>700302.44204137404</v>
      </c>
      <c r="CE37" s="121"/>
      <c r="CF37" s="122">
        <f t="shared" ca="1" si="6"/>
        <v>10235971.754361782</v>
      </c>
      <c r="CG37" s="124">
        <f t="shared" ca="1" si="60"/>
        <v>0</v>
      </c>
      <c r="CH37" s="123">
        <f t="shared" ca="1" si="61"/>
        <v>0</v>
      </c>
      <c r="CI37" s="121"/>
      <c r="CJ37" s="123">
        <f t="shared" ca="1" si="62"/>
        <v>1524960.4790677032</v>
      </c>
      <c r="CK37" s="123">
        <f t="shared" ca="1" si="63"/>
        <v>1524960.4790677032</v>
      </c>
      <c r="CL37" s="123">
        <f t="shared" ca="1" si="64"/>
        <v>0</v>
      </c>
      <c r="CM37" s="121"/>
      <c r="CN37" s="62">
        <f t="shared" ca="1" si="65"/>
        <v>531620.86357411521</v>
      </c>
      <c r="CO37" s="62" t="b">
        <f t="shared" si="66"/>
        <v>1</v>
      </c>
      <c r="CP37" s="126">
        <f t="shared" ca="1" si="67"/>
        <v>8.6111111111111176E-4</v>
      </c>
      <c r="CQ37" s="120"/>
      <c r="CR37" s="120"/>
      <c r="CS37" s="120"/>
      <c r="CT37" s="120"/>
      <c r="CU37" s="120"/>
      <c r="CV37" s="120"/>
      <c r="CW37" s="120"/>
      <c r="CX37" s="120"/>
      <c r="CY37" s="120"/>
      <c r="CZ37" s="120"/>
      <c r="DA37" s="120"/>
      <c r="DB37" s="120"/>
      <c r="DC37" s="120"/>
      <c r="DD37" s="120"/>
      <c r="DE37" s="116"/>
      <c r="DF37" s="116"/>
      <c r="DG37" s="116"/>
      <c r="DH37" s="116"/>
      <c r="DI37" s="116"/>
      <c r="DJ37" s="116"/>
      <c r="DK37" s="116"/>
      <c r="DL37" s="116"/>
      <c r="DM37" s="116"/>
      <c r="DN37" s="116"/>
    </row>
    <row r="38" spans="1:118" x14ac:dyDescent="0.2">
      <c r="A38" s="27">
        <v>32</v>
      </c>
      <c r="B38" s="29">
        <f t="shared" si="0"/>
        <v>40087</v>
      </c>
      <c r="C38" s="30">
        <f t="shared" si="1"/>
        <v>8.3333333333333329E-2</v>
      </c>
      <c r="D38" s="55"/>
      <c r="E38" s="62">
        <f t="shared" ca="1" si="19"/>
        <v>98101636.087835923</v>
      </c>
      <c r="F38" s="63">
        <f ca="1">IF(AssetIntType1="Fixed",AssetFxdRate1,IF(A38=1,OFFSET(Vectors!$D$6,A38,MATCH(AssetFltIndx1,lstInterestRates,0)),IF(MOD($A38,AssetRateReset1)=0,MAX(MIN(OFFSET(Vectors!$D$6,A38,MATCH(AssetFltIndx1,lstInterestRates,0)),(F37-AssetMarg1)+AssetPdCapFl1,AssetLifeCap1-AssetMarg1),(F37-AssetMarg1)-AssetPdCapFl1,AssetLifeFloor1-AssetMarg1),F37)))+AssetMarg1</f>
        <v>0.09</v>
      </c>
      <c r="G38" s="62">
        <f t="shared" ca="1" si="7"/>
        <v>804622.61694478267</v>
      </c>
      <c r="H38" s="62">
        <f t="shared" ca="1" si="20"/>
        <v>735762.27065876941</v>
      </c>
      <c r="I38" s="62">
        <f t="shared" ca="1" si="21"/>
        <v>68860.346286013257</v>
      </c>
      <c r="J38" s="62">
        <f t="shared" ca="1" si="2"/>
        <v>98032775.741549909</v>
      </c>
      <c r="K38" s="55"/>
      <c r="L38" s="62">
        <f t="shared" ca="1" si="22"/>
        <v>90091527.862934381</v>
      </c>
      <c r="M38" s="68">
        <f ca="1">IF(pdrLossTime1="",OFFSET(Vectors!$AE$6,A38+_Age1,MATCH(SDA_Loss,lstSDA,0)),OFFSET(Vectors!$X$6,A38+_Age1,MATCH(pdrLossTime1,lstDefaultCurve,0)))</f>
        <v>2.7777777777777779E-5</v>
      </c>
      <c r="N38" s="62">
        <f t="shared" ca="1" si="8"/>
        <v>2777.7777777777778</v>
      </c>
      <c r="O38" s="67">
        <f t="shared" ca="1" si="23"/>
        <v>0.98032775741549905</v>
      </c>
      <c r="P38" s="68">
        <f ca="1">OFFSET(Vectors!$L$6,A38+_Age1,MATCH(pdrPrepay1,lstPrepayCurve,0))*pdrPrepayStress1</f>
        <v>5.1430128318229462E-3</v>
      </c>
      <c r="Q38" s="62">
        <f t="shared" ca="1" si="24"/>
        <v>463016.65090732847</v>
      </c>
      <c r="R38" s="62">
        <f t="shared" ca="1" si="25"/>
        <v>63235.872251747343</v>
      </c>
      <c r="S38" s="69">
        <f t="shared" ca="1" si="26"/>
        <v>0.09</v>
      </c>
      <c r="T38" s="62">
        <f t="shared" ca="1" si="27"/>
        <v>675665.62563867448</v>
      </c>
      <c r="U38" s="62">
        <f t="shared" ca="1" si="9"/>
        <v>1111.1111111111111</v>
      </c>
      <c r="V38" s="62">
        <f t="shared" ca="1" si="3"/>
        <v>89562497.561997533</v>
      </c>
      <c r="W38" s="55"/>
      <c r="X38" s="62">
        <f t="shared" ca="1" si="28"/>
        <v>1203029.2599088612</v>
      </c>
      <c r="Y38" s="55"/>
      <c r="Z38" s="118" t="b">
        <v>0</v>
      </c>
      <c r="AA38" s="120" t="b">
        <f t="shared" si="10"/>
        <v>0</v>
      </c>
      <c r="AB38" s="120" t="b">
        <f t="shared" si="11"/>
        <v>1</v>
      </c>
      <c r="AC38" s="120" t="b">
        <f t="shared" ca="1" si="12"/>
        <v>0</v>
      </c>
      <c r="AD38" s="121"/>
      <c r="AE38" s="129">
        <v>66011597.820778236</v>
      </c>
      <c r="AF38" s="69">
        <f ca="1">IF(Swap_Active="No",0,OFFSET(Vectors!$D$6,Vectors!A38,MATCH(Swap_In,lstInterestRates,0)))</f>
        <v>5.7702333333333376E-2</v>
      </c>
      <c r="AG38" s="62">
        <f t="shared" ca="1" si="29"/>
        <v>317418.60177670739</v>
      </c>
      <c r="AH38" s="69">
        <f ca="1">IF(Swap_Active="No",0,OFFSET(Vectors!$D$6,Vectors!A38,MATCH(Swap_Out,lstInterestRates,0)))</f>
        <v>0.04</v>
      </c>
      <c r="AI38" s="62">
        <f t="shared" ca="1" si="30"/>
        <v>220038.65940259412</v>
      </c>
      <c r="AJ38" s="62">
        <f t="shared" ca="1" si="31"/>
        <v>97379.942374113278</v>
      </c>
      <c r="AK38" s="62">
        <f t="shared" ca="1" si="32"/>
        <v>1300409.2022829745</v>
      </c>
      <c r="AL38" s="121"/>
      <c r="AM38" s="123">
        <f t="shared" ca="1" si="13"/>
        <v>181328.04494770308</v>
      </c>
      <c r="AN38" s="124">
        <f t="shared" ca="1" si="33"/>
        <v>181328.04494770308</v>
      </c>
      <c r="AO38" s="125">
        <f t="shared" ca="1" si="34"/>
        <v>0</v>
      </c>
      <c r="AP38" s="123">
        <f t="shared" ca="1" si="35"/>
        <v>1119081.1573352714</v>
      </c>
      <c r="AQ38" s="121"/>
      <c r="AR38" s="126">
        <f ca="1">IF(LiabIntType1="Fixed",LiabFxdRate1,OFFSET(Vectors!$D$6,Vectors!A38,MATCH(LiabLoanIndex1,lstInterestRates,0))+LiabMarg1)</f>
        <v>6.7702333333333378E-2</v>
      </c>
      <c r="AS38" s="122">
        <f t="shared" ca="1" si="36"/>
        <v>422130.79838431894</v>
      </c>
      <c r="AT38" s="124">
        <f t="shared" ca="1" si="37"/>
        <v>422130.79838431894</v>
      </c>
      <c r="AU38" s="123">
        <f t="shared" ca="1" si="38"/>
        <v>0</v>
      </c>
      <c r="AV38" s="123">
        <f t="shared" ca="1" si="14"/>
        <v>0</v>
      </c>
      <c r="AW38" s="123">
        <f t="shared" ca="1" si="39"/>
        <v>0</v>
      </c>
      <c r="AX38" s="124">
        <f t="shared" ca="1" si="40"/>
        <v>696950.35895095242</v>
      </c>
      <c r="AY38" s="121"/>
      <c r="AZ38" s="122">
        <f t="shared" ca="1" si="15"/>
        <v>696950.35895095242</v>
      </c>
      <c r="BA38" s="124">
        <f t="shared" ca="1" si="41"/>
        <v>696950.35895095242</v>
      </c>
      <c r="BB38" s="123">
        <f t="shared" ca="1" si="42"/>
        <v>0</v>
      </c>
      <c r="BC38" s="123">
        <f t="shared" ca="1" si="16"/>
        <v>0</v>
      </c>
      <c r="BD38" s="123">
        <f t="shared" ca="1" si="43"/>
        <v>0</v>
      </c>
      <c r="BE38" s="124">
        <f t="shared" ca="1" si="44"/>
        <v>0</v>
      </c>
      <c r="BF38" s="121"/>
      <c r="BG38" s="123">
        <f t="shared" si="17"/>
        <v>1000000</v>
      </c>
      <c r="BH38" s="123">
        <f t="shared" ca="1" si="45"/>
        <v>1000000</v>
      </c>
      <c r="BI38" s="123">
        <f t="shared" ca="1" si="46"/>
        <v>0</v>
      </c>
      <c r="BJ38" s="123">
        <f t="shared" ca="1" si="47"/>
        <v>0</v>
      </c>
      <c r="BK38" s="123">
        <f t="shared" ca="1" si="4"/>
        <v>1000000</v>
      </c>
      <c r="BL38" s="123">
        <f t="shared" ca="1" si="48"/>
        <v>0</v>
      </c>
      <c r="BM38" s="121"/>
      <c r="BN38" s="126">
        <f ca="1">IF(LiabIntType2="Fixed",LiabFxdRate2,OFFSET(Vectors!$D$6,Vectors!A38,MATCH(LiabLoanIndex2,lstInterestRates,0))+LiabMarg2)</f>
        <v>0.04</v>
      </c>
      <c r="BO38" s="122">
        <f t="shared" ca="1" si="49"/>
        <v>34119.905847872607</v>
      </c>
      <c r="BP38" s="124">
        <f t="shared" ca="1" si="50"/>
        <v>0</v>
      </c>
      <c r="BQ38" s="123">
        <f t="shared" ca="1" si="51"/>
        <v>34119.905847872607</v>
      </c>
      <c r="BR38" s="123">
        <f t="shared" ca="1" si="52"/>
        <v>0</v>
      </c>
      <c r="BS38" s="121"/>
      <c r="BT38" s="123">
        <f t="shared" ca="1" si="18"/>
        <v>54241.009739496258</v>
      </c>
      <c r="BU38" s="123">
        <f t="shared" ca="1" si="53"/>
        <v>0</v>
      </c>
      <c r="BV38" s="123">
        <f t="shared" ca="1" si="54"/>
        <v>54241.009739496258</v>
      </c>
      <c r="BW38" s="123">
        <f t="shared" ca="1" si="55"/>
        <v>0</v>
      </c>
      <c r="BX38" s="121"/>
      <c r="BY38" s="123">
        <f t="shared" si="56"/>
        <v>0</v>
      </c>
      <c r="BZ38" s="123">
        <f t="shared" ca="1" si="57"/>
        <v>0</v>
      </c>
      <c r="CA38" s="121"/>
      <c r="CB38" s="122">
        <f t="shared" ca="1" si="5"/>
        <v>74124246.063798979</v>
      </c>
      <c r="CC38" s="122">
        <f t="shared" ca="1" si="58"/>
        <v>422130.79838431894</v>
      </c>
      <c r="CD38" s="124">
        <f t="shared" ca="1" si="59"/>
        <v>696950.35895095242</v>
      </c>
      <c r="CE38" s="121"/>
      <c r="CF38" s="122">
        <f t="shared" ca="1" si="6"/>
        <v>10235971.754361782</v>
      </c>
      <c r="CG38" s="124">
        <f t="shared" ca="1" si="60"/>
        <v>0</v>
      </c>
      <c r="CH38" s="123">
        <f t="shared" ca="1" si="61"/>
        <v>0</v>
      </c>
      <c r="CI38" s="121"/>
      <c r="CJ38" s="123">
        <f t="shared" ca="1" si="62"/>
        <v>1520447.8616855687</v>
      </c>
      <c r="CK38" s="123">
        <f t="shared" ca="1" si="63"/>
        <v>1520447.8616855685</v>
      </c>
      <c r="CL38" s="123">
        <f t="shared" ca="1" si="64"/>
        <v>0</v>
      </c>
      <c r="CM38" s="121"/>
      <c r="CN38" s="62">
        <f t="shared" ca="1" si="65"/>
        <v>529030.30093685351</v>
      </c>
      <c r="CO38" s="62" t="b">
        <f t="shared" si="66"/>
        <v>1</v>
      </c>
      <c r="CP38" s="126">
        <f t="shared" ca="1" si="67"/>
        <v>8.8888888888888958E-4</v>
      </c>
      <c r="CQ38" s="120"/>
      <c r="CR38" s="120"/>
      <c r="CS38" s="120"/>
      <c r="CT38" s="120"/>
      <c r="CU38" s="120"/>
      <c r="CV38" s="120"/>
      <c r="CW38" s="120"/>
      <c r="CX38" s="120"/>
      <c r="CY38" s="120"/>
      <c r="CZ38" s="120"/>
      <c r="DA38" s="120"/>
      <c r="DB38" s="120"/>
      <c r="DC38" s="120"/>
      <c r="DD38" s="120"/>
      <c r="DE38" s="116"/>
      <c r="DF38" s="116"/>
      <c r="DG38" s="116"/>
      <c r="DH38" s="116"/>
      <c r="DI38" s="116"/>
      <c r="DJ38" s="116"/>
      <c r="DK38" s="116"/>
      <c r="DL38" s="116"/>
      <c r="DM38" s="116"/>
      <c r="DN38" s="116"/>
    </row>
    <row r="39" spans="1:118" x14ac:dyDescent="0.2">
      <c r="A39" s="27">
        <v>33</v>
      </c>
      <c r="B39" s="29">
        <f t="shared" si="0"/>
        <v>40118</v>
      </c>
      <c r="C39" s="30">
        <f t="shared" si="1"/>
        <v>8.3333333333333329E-2</v>
      </c>
      <c r="D39" s="55"/>
      <c r="E39" s="62">
        <f t="shared" ca="1" si="19"/>
        <v>98032775.741549909</v>
      </c>
      <c r="F39" s="63">
        <f ca="1">IF(AssetIntType1="Fixed",AssetFxdRate1,IF(A39=1,OFFSET(Vectors!$D$6,A39,MATCH(AssetFltIndx1,lstInterestRates,0)),IF(MOD($A39,AssetRateReset1)=0,MAX(MIN(OFFSET(Vectors!$D$6,A39,MATCH(AssetFltIndx1,lstInterestRates,0)),(F38-AssetMarg1)+AssetPdCapFl1,AssetLifeCap1-AssetMarg1),(F38-AssetMarg1)-AssetPdCapFl1,AssetLifeFloor1-AssetMarg1),F38)))+AssetMarg1</f>
        <v>0.09</v>
      </c>
      <c r="G39" s="62">
        <f t="shared" ca="1" si="7"/>
        <v>804622.61694478267</v>
      </c>
      <c r="H39" s="62">
        <f t="shared" ca="1" si="20"/>
        <v>735245.8180616243</v>
      </c>
      <c r="I39" s="62">
        <f t="shared" ca="1" si="21"/>
        <v>69376.798883158364</v>
      </c>
      <c r="J39" s="62">
        <f t="shared" ca="1" si="2"/>
        <v>97963398.942666754</v>
      </c>
      <c r="K39" s="55"/>
      <c r="L39" s="62">
        <f t="shared" ca="1" si="22"/>
        <v>89562497.561997533</v>
      </c>
      <c r="M39" s="68">
        <f ca="1">IF(pdrLossTime1="",OFFSET(Vectors!$AE$6,A39+_Age1,MATCH(SDA_Loss,lstSDA,0)),OFFSET(Vectors!$X$6,A39+_Age1,MATCH(pdrLossTime1,lstDefaultCurve,0)))</f>
        <v>2.7777777777777779E-5</v>
      </c>
      <c r="N39" s="62">
        <f t="shared" ca="1" si="8"/>
        <v>2777.7777777777778</v>
      </c>
      <c r="O39" s="67">
        <f t="shared" ca="1" si="23"/>
        <v>0.97963398942666757</v>
      </c>
      <c r="P39" s="68">
        <f ca="1">OFFSET(Vectors!$L$6,A39+_Age1,MATCH(pdrPrepay1,lstPrepayCurve,0))*pdrPrepayStress1</f>
        <v>5.1430128318229462E-3</v>
      </c>
      <c r="Q39" s="62">
        <f t="shared" ca="1" si="24"/>
        <v>460295.09735948651</v>
      </c>
      <c r="R39" s="62">
        <f t="shared" ca="1" si="25"/>
        <v>63380.503311274224</v>
      </c>
      <c r="S39" s="69">
        <f t="shared" ca="1" si="26"/>
        <v>0.09</v>
      </c>
      <c r="T39" s="62">
        <f t="shared" ca="1" si="27"/>
        <v>671697.89838164812</v>
      </c>
      <c r="U39" s="62">
        <f t="shared" ca="1" si="9"/>
        <v>1111.1111111111111</v>
      </c>
      <c r="V39" s="62">
        <f t="shared" ca="1" si="3"/>
        <v>89036044.183548987</v>
      </c>
      <c r="W39" s="55"/>
      <c r="X39" s="62">
        <f t="shared" ca="1" si="28"/>
        <v>1196484.6101635199</v>
      </c>
      <c r="Y39" s="55"/>
      <c r="Z39" s="118" t="b">
        <v>0</v>
      </c>
      <c r="AA39" s="120" t="b">
        <f t="shared" si="10"/>
        <v>0</v>
      </c>
      <c r="AB39" s="120" t="b">
        <f t="shared" si="11"/>
        <v>1</v>
      </c>
      <c r="AC39" s="120" t="b">
        <f t="shared" ca="1" si="12"/>
        <v>0</v>
      </c>
      <c r="AD39" s="121"/>
      <c r="AE39" s="129">
        <v>65243273.837036312</v>
      </c>
      <c r="AF39" s="69">
        <f ca="1">IF(Swap_Active="No",0,OFFSET(Vectors!$D$6,Vectors!A39,MATCH(Swap_In,lstInterestRates,0)))</f>
        <v>5.8744000000000046E-2</v>
      </c>
      <c r="AG39" s="62">
        <f t="shared" ca="1" si="29"/>
        <v>319387.57319023868</v>
      </c>
      <c r="AH39" s="69">
        <f ca="1">IF(Swap_Active="No",0,OFFSET(Vectors!$D$6,Vectors!A39,MATCH(Swap_Out,lstInterestRates,0)))</f>
        <v>0.04</v>
      </c>
      <c r="AI39" s="62">
        <f t="shared" ca="1" si="30"/>
        <v>217477.5794567877</v>
      </c>
      <c r="AJ39" s="62">
        <f t="shared" ca="1" si="31"/>
        <v>101909.99373345097</v>
      </c>
      <c r="AK39" s="62">
        <f t="shared" ca="1" si="32"/>
        <v>1298394.6038969709</v>
      </c>
      <c r="AL39" s="121"/>
      <c r="AM39" s="123">
        <f t="shared" ca="1" si="13"/>
        <v>180155.93179657878</v>
      </c>
      <c r="AN39" s="124">
        <f t="shared" ca="1" si="33"/>
        <v>180155.93179657878</v>
      </c>
      <c r="AO39" s="125">
        <f t="shared" ca="1" si="34"/>
        <v>0</v>
      </c>
      <c r="AP39" s="123">
        <f t="shared" ca="1" si="35"/>
        <v>1118238.6721003922</v>
      </c>
      <c r="AQ39" s="121"/>
      <c r="AR39" s="126">
        <f ca="1">IF(LiabIntType1="Fixed",LiabFxdRate1,OFFSET(Vectors!$D$6,Vectors!A39,MATCH(LiabLoanIndex1,lstInterestRates,0))+LiabMarg1)</f>
        <v>6.8744000000000041E-2</v>
      </c>
      <c r="AS39" s="122">
        <f t="shared" ca="1" si="36"/>
        <v>424633.09761748335</v>
      </c>
      <c r="AT39" s="124">
        <f t="shared" ca="1" si="37"/>
        <v>424633.09761748335</v>
      </c>
      <c r="AU39" s="123">
        <f t="shared" ca="1" si="38"/>
        <v>0</v>
      </c>
      <c r="AV39" s="123">
        <f t="shared" ca="1" si="14"/>
        <v>0</v>
      </c>
      <c r="AW39" s="123">
        <f t="shared" ca="1" si="39"/>
        <v>0</v>
      </c>
      <c r="AX39" s="124">
        <f t="shared" ca="1" si="40"/>
        <v>693605.57448290882</v>
      </c>
      <c r="AY39" s="121"/>
      <c r="AZ39" s="122">
        <f t="shared" ca="1" si="15"/>
        <v>693605.57448290882</v>
      </c>
      <c r="BA39" s="124">
        <f t="shared" ca="1" si="41"/>
        <v>693605.57448290882</v>
      </c>
      <c r="BB39" s="123">
        <f t="shared" ca="1" si="42"/>
        <v>0</v>
      </c>
      <c r="BC39" s="123">
        <f t="shared" ca="1" si="16"/>
        <v>0</v>
      </c>
      <c r="BD39" s="123">
        <f t="shared" ca="1" si="43"/>
        <v>0</v>
      </c>
      <c r="BE39" s="124">
        <f t="shared" ca="1" si="44"/>
        <v>0</v>
      </c>
      <c r="BF39" s="121"/>
      <c r="BG39" s="123">
        <f t="shared" si="17"/>
        <v>1000000</v>
      </c>
      <c r="BH39" s="123">
        <f t="shared" ca="1" si="45"/>
        <v>1000000</v>
      </c>
      <c r="BI39" s="123">
        <f t="shared" ca="1" si="46"/>
        <v>0</v>
      </c>
      <c r="BJ39" s="123">
        <f t="shared" ca="1" si="47"/>
        <v>0</v>
      </c>
      <c r="BK39" s="123">
        <f t="shared" ca="1" si="4"/>
        <v>1000000</v>
      </c>
      <c r="BL39" s="123">
        <f t="shared" ca="1" si="48"/>
        <v>0</v>
      </c>
      <c r="BM39" s="121"/>
      <c r="BN39" s="126">
        <f ca="1">IF(LiabIntType2="Fixed",LiabFxdRate2,OFFSET(Vectors!$D$6,Vectors!A39,MATCH(LiabLoanIndex2,lstInterestRates,0))+LiabMarg2)</f>
        <v>0.04</v>
      </c>
      <c r="BO39" s="122">
        <f t="shared" ca="1" si="49"/>
        <v>34119.905847872607</v>
      </c>
      <c r="BP39" s="124">
        <f t="shared" ca="1" si="50"/>
        <v>0</v>
      </c>
      <c r="BQ39" s="123">
        <f t="shared" ca="1" si="51"/>
        <v>34119.905847872607</v>
      </c>
      <c r="BR39" s="123">
        <f t="shared" ca="1" si="52"/>
        <v>0</v>
      </c>
      <c r="BS39" s="121"/>
      <c r="BT39" s="123">
        <f t="shared" ca="1" si="18"/>
        <v>53976.800151616138</v>
      </c>
      <c r="BU39" s="123">
        <f t="shared" ca="1" si="53"/>
        <v>0</v>
      </c>
      <c r="BV39" s="123">
        <f t="shared" ca="1" si="54"/>
        <v>53976.800151616138</v>
      </c>
      <c r="BW39" s="123">
        <f t="shared" ca="1" si="55"/>
        <v>0</v>
      </c>
      <c r="BX39" s="121"/>
      <c r="BY39" s="123">
        <f t="shared" si="56"/>
        <v>0</v>
      </c>
      <c r="BZ39" s="123">
        <f t="shared" ca="1" si="57"/>
        <v>0</v>
      </c>
      <c r="CA39" s="121"/>
      <c r="CB39" s="122">
        <f t="shared" ca="1" si="5"/>
        <v>73430640.489316076</v>
      </c>
      <c r="CC39" s="122">
        <f t="shared" ca="1" si="58"/>
        <v>424633.09761748335</v>
      </c>
      <c r="CD39" s="124">
        <f t="shared" ca="1" si="59"/>
        <v>693605.57448290882</v>
      </c>
      <c r="CE39" s="121"/>
      <c r="CF39" s="122">
        <f t="shared" ca="1" si="6"/>
        <v>10235971.754361782</v>
      </c>
      <c r="CG39" s="124">
        <f t="shared" ca="1" si="60"/>
        <v>0</v>
      </c>
      <c r="CH39" s="123">
        <f t="shared" ca="1" si="61"/>
        <v>0</v>
      </c>
      <c r="CI39" s="121"/>
      <c r="CJ39" s="123">
        <f t="shared" ca="1" si="62"/>
        <v>1515872.1833537584</v>
      </c>
      <c r="CK39" s="123">
        <f t="shared" ca="1" si="63"/>
        <v>1515872.1833537586</v>
      </c>
      <c r="CL39" s="123">
        <f t="shared" ca="1" si="64"/>
        <v>0</v>
      </c>
      <c r="CM39" s="121"/>
      <c r="CN39" s="62">
        <f t="shared" ca="1" si="65"/>
        <v>526453.37844853848</v>
      </c>
      <c r="CO39" s="62" t="b">
        <f t="shared" si="66"/>
        <v>1</v>
      </c>
      <c r="CP39" s="126">
        <f t="shared" ca="1" si="67"/>
        <v>9.1666666666666741E-4</v>
      </c>
      <c r="CQ39" s="120"/>
      <c r="CR39" s="120"/>
      <c r="CS39" s="120"/>
      <c r="CT39" s="120"/>
      <c r="CU39" s="120"/>
      <c r="CV39" s="120"/>
      <c r="CW39" s="120"/>
      <c r="CX39" s="120"/>
      <c r="CY39" s="120"/>
      <c r="CZ39" s="120"/>
      <c r="DA39" s="120"/>
      <c r="DB39" s="120"/>
      <c r="DC39" s="120"/>
      <c r="DD39" s="120"/>
      <c r="DE39" s="116"/>
      <c r="DF39" s="116"/>
      <c r="DG39" s="116"/>
      <c r="DH39" s="116"/>
      <c r="DI39" s="116"/>
      <c r="DJ39" s="116"/>
      <c r="DK39" s="116"/>
      <c r="DL39" s="116"/>
      <c r="DM39" s="116"/>
      <c r="DN39" s="116"/>
    </row>
    <row r="40" spans="1:118" x14ac:dyDescent="0.2">
      <c r="A40" s="27">
        <v>34</v>
      </c>
      <c r="B40" s="29">
        <f t="shared" si="0"/>
        <v>40148</v>
      </c>
      <c r="C40" s="30">
        <f t="shared" si="1"/>
        <v>8.3333333333333329E-2</v>
      </c>
      <c r="D40" s="55"/>
      <c r="E40" s="62">
        <f t="shared" ca="1" si="19"/>
        <v>97963398.942666754</v>
      </c>
      <c r="F40" s="63">
        <f ca="1">IF(AssetIntType1="Fixed",AssetFxdRate1,IF(A40=1,OFFSET(Vectors!$D$6,A40,MATCH(AssetFltIndx1,lstInterestRates,0)),IF(MOD($A40,AssetRateReset1)=0,MAX(MIN(OFFSET(Vectors!$D$6,A40,MATCH(AssetFltIndx1,lstInterestRates,0)),(F39-AssetMarg1)+AssetPdCapFl1,AssetLifeCap1-AssetMarg1),(F39-AssetMarg1)-AssetPdCapFl1,AssetLifeFloor1-AssetMarg1),F39)))+AssetMarg1</f>
        <v>0.09</v>
      </c>
      <c r="G40" s="62">
        <f t="shared" ca="1" si="7"/>
        <v>804622.61694478267</v>
      </c>
      <c r="H40" s="62">
        <f t="shared" ca="1" si="20"/>
        <v>734725.49207000062</v>
      </c>
      <c r="I40" s="62">
        <f t="shared" ca="1" si="21"/>
        <v>69897.12487478205</v>
      </c>
      <c r="J40" s="62">
        <f t="shared" ca="1" si="2"/>
        <v>97893501.817791969</v>
      </c>
      <c r="K40" s="55"/>
      <c r="L40" s="62">
        <f t="shared" ca="1" si="22"/>
        <v>89036044.183548987</v>
      </c>
      <c r="M40" s="68">
        <f ca="1">IF(pdrLossTime1="",OFFSET(Vectors!$AE$6,A40+_Age1,MATCH(SDA_Loss,lstSDA,0)),OFFSET(Vectors!$X$6,A40+_Age1,MATCH(pdrLossTime1,lstDefaultCurve,0)))</f>
        <v>2.7777777777777779E-5</v>
      </c>
      <c r="N40" s="62">
        <f t="shared" ca="1" si="8"/>
        <v>2777.7777777777778</v>
      </c>
      <c r="O40" s="67">
        <f t="shared" ca="1" si="23"/>
        <v>0.97893501817791972</v>
      </c>
      <c r="P40" s="68">
        <f ca="1">OFFSET(Vectors!$L$6,A40+_Age1,MATCH(pdrPrepay1,lstPrepayCurve,0))*pdrPrepayStress1</f>
        <v>5.1430128318229462E-3</v>
      </c>
      <c r="Q40" s="62">
        <f t="shared" ca="1" si="24"/>
        <v>457586.79531527235</v>
      </c>
      <c r="R40" s="62">
        <f t="shared" ca="1" si="25"/>
        <v>63525.453456512674</v>
      </c>
      <c r="S40" s="69">
        <f t="shared" ca="1" si="26"/>
        <v>0.09</v>
      </c>
      <c r="T40" s="62">
        <f t="shared" ca="1" si="27"/>
        <v>667749.49804328405</v>
      </c>
      <c r="U40" s="62">
        <f t="shared" ca="1" si="9"/>
        <v>1111.1111111111111</v>
      </c>
      <c r="V40" s="62">
        <f t="shared" ca="1" si="3"/>
        <v>88512154.156999439</v>
      </c>
      <c r="W40" s="55"/>
      <c r="X40" s="62">
        <f t="shared" ca="1" si="28"/>
        <v>1189972.8579261801</v>
      </c>
      <c r="Y40" s="55"/>
      <c r="Z40" s="118" t="b">
        <v>0</v>
      </c>
      <c r="AA40" s="120" t="b">
        <f t="shared" si="10"/>
        <v>0</v>
      </c>
      <c r="AB40" s="120" t="b">
        <f t="shared" si="11"/>
        <v>1</v>
      </c>
      <c r="AC40" s="120" t="b">
        <f t="shared" ca="1" si="12"/>
        <v>0</v>
      </c>
      <c r="AD40" s="121"/>
      <c r="AE40" s="129">
        <v>64482761.643304043</v>
      </c>
      <c r="AF40" s="69">
        <f ca="1">IF(Swap_Active="No",0,OFFSET(Vectors!$D$6,Vectors!A40,MATCH(Swap_In,lstInterestRates,0)))</f>
        <v>5.9785666666666716E-2</v>
      </c>
      <c r="AG40" s="62">
        <f t="shared" ca="1" si="29"/>
        <v>321262.07444605813</v>
      </c>
      <c r="AH40" s="69">
        <f ca="1">IF(Swap_Active="No",0,OFFSET(Vectors!$D$6,Vectors!A40,MATCH(Swap_Out,lstInterestRates,0)))</f>
        <v>0.04</v>
      </c>
      <c r="AI40" s="62">
        <f t="shared" ca="1" si="30"/>
        <v>214942.53881101348</v>
      </c>
      <c r="AJ40" s="62">
        <f t="shared" ca="1" si="31"/>
        <v>106319.53563504465</v>
      </c>
      <c r="AK40" s="62">
        <f t="shared" ca="1" si="32"/>
        <v>1296292.3935612247</v>
      </c>
      <c r="AL40" s="121"/>
      <c r="AM40" s="123">
        <f t="shared" ca="1" si="13"/>
        <v>178989.50717646332</v>
      </c>
      <c r="AN40" s="124">
        <f t="shared" ca="1" si="33"/>
        <v>178989.50717646332</v>
      </c>
      <c r="AO40" s="125">
        <f t="shared" ca="1" si="34"/>
        <v>0</v>
      </c>
      <c r="AP40" s="123">
        <f t="shared" ca="1" si="35"/>
        <v>1117302.8863847614</v>
      </c>
      <c r="AQ40" s="121"/>
      <c r="AR40" s="126">
        <f ca="1">IF(LiabIntType1="Fixed",LiabFxdRate1,OFFSET(Vectors!$D$6,Vectors!A40,MATCH(LiabLoanIndex1,lstInterestRates,0))+LiabMarg1)</f>
        <v>6.9785666666666718E-2</v>
      </c>
      <c r="AS40" s="122">
        <f t="shared" ca="1" si="36"/>
        <v>427033.85002560436</v>
      </c>
      <c r="AT40" s="124">
        <f t="shared" ca="1" si="37"/>
        <v>427033.85002560436</v>
      </c>
      <c r="AU40" s="123">
        <f t="shared" ca="1" si="38"/>
        <v>0</v>
      </c>
      <c r="AV40" s="123">
        <f t="shared" ca="1" si="14"/>
        <v>0</v>
      </c>
      <c r="AW40" s="123">
        <f t="shared" ca="1" si="39"/>
        <v>0</v>
      </c>
      <c r="AX40" s="124">
        <f t="shared" ca="1" si="40"/>
        <v>690269.03635915706</v>
      </c>
      <c r="AY40" s="121"/>
      <c r="AZ40" s="122">
        <f t="shared" ca="1" si="15"/>
        <v>690269.03635915706</v>
      </c>
      <c r="BA40" s="124">
        <f t="shared" ca="1" si="41"/>
        <v>690269.03635915706</v>
      </c>
      <c r="BB40" s="123">
        <f t="shared" ca="1" si="42"/>
        <v>0</v>
      </c>
      <c r="BC40" s="123">
        <f t="shared" ca="1" si="16"/>
        <v>0</v>
      </c>
      <c r="BD40" s="123">
        <f t="shared" ca="1" si="43"/>
        <v>0</v>
      </c>
      <c r="BE40" s="124">
        <f t="shared" ca="1" si="44"/>
        <v>0</v>
      </c>
      <c r="BF40" s="121"/>
      <c r="BG40" s="123">
        <f t="shared" si="17"/>
        <v>1000000</v>
      </c>
      <c r="BH40" s="123">
        <f t="shared" ca="1" si="45"/>
        <v>1000000</v>
      </c>
      <c r="BI40" s="123">
        <f t="shared" ca="1" si="46"/>
        <v>0</v>
      </c>
      <c r="BJ40" s="123">
        <f t="shared" ca="1" si="47"/>
        <v>0</v>
      </c>
      <c r="BK40" s="123">
        <f t="shared" ca="1" si="4"/>
        <v>1000000</v>
      </c>
      <c r="BL40" s="123">
        <f t="shared" ca="1" si="48"/>
        <v>0</v>
      </c>
      <c r="BM40" s="121"/>
      <c r="BN40" s="126">
        <f ca="1">IF(LiabIntType2="Fixed",LiabFxdRate2,OFFSET(Vectors!$D$6,Vectors!A40,MATCH(LiabLoanIndex2,lstInterestRates,0))+LiabMarg2)</f>
        <v>0.04</v>
      </c>
      <c r="BO40" s="122">
        <f t="shared" ca="1" si="49"/>
        <v>34119.905847872607</v>
      </c>
      <c r="BP40" s="124">
        <f t="shared" ca="1" si="50"/>
        <v>0</v>
      </c>
      <c r="BQ40" s="123">
        <f t="shared" ca="1" si="51"/>
        <v>34119.905847872607</v>
      </c>
      <c r="BR40" s="123">
        <f t="shared" ca="1" si="52"/>
        <v>0</v>
      </c>
      <c r="BS40" s="121"/>
      <c r="BT40" s="123">
        <f t="shared" ca="1" si="18"/>
        <v>53713.981944281179</v>
      </c>
      <c r="BU40" s="123">
        <f t="shared" ca="1" si="53"/>
        <v>0</v>
      </c>
      <c r="BV40" s="123">
        <f t="shared" ca="1" si="54"/>
        <v>53713.981944281179</v>
      </c>
      <c r="BW40" s="123">
        <f t="shared" ca="1" si="55"/>
        <v>0</v>
      </c>
      <c r="BX40" s="121"/>
      <c r="BY40" s="123">
        <f t="shared" si="56"/>
        <v>0</v>
      </c>
      <c r="BZ40" s="123">
        <f t="shared" ca="1" si="57"/>
        <v>0</v>
      </c>
      <c r="CA40" s="121"/>
      <c r="CB40" s="122">
        <f t="shared" ca="1" si="5"/>
        <v>72740371.452956915</v>
      </c>
      <c r="CC40" s="122">
        <f t="shared" ca="1" si="58"/>
        <v>427033.85002560436</v>
      </c>
      <c r="CD40" s="124">
        <f t="shared" ca="1" si="59"/>
        <v>690269.03635915706</v>
      </c>
      <c r="CE40" s="121"/>
      <c r="CF40" s="122">
        <f t="shared" ca="1" si="6"/>
        <v>10235971.754361782</v>
      </c>
      <c r="CG40" s="124">
        <f t="shared" ca="1" si="60"/>
        <v>0</v>
      </c>
      <c r="CH40" s="123">
        <f t="shared" ca="1" si="61"/>
        <v>0</v>
      </c>
      <c r="CI40" s="121"/>
      <c r="CJ40" s="123">
        <f t="shared" ca="1" si="62"/>
        <v>1511234.9323722383</v>
      </c>
      <c r="CK40" s="123">
        <f t="shared" ca="1" si="63"/>
        <v>1511234.9323722383</v>
      </c>
      <c r="CL40" s="123">
        <f t="shared" ca="1" si="64"/>
        <v>0</v>
      </c>
      <c r="CM40" s="121"/>
      <c r="CN40" s="62">
        <f t="shared" ca="1" si="65"/>
        <v>523890.02654956275</v>
      </c>
      <c r="CO40" s="62" t="b">
        <f t="shared" si="66"/>
        <v>1</v>
      </c>
      <c r="CP40" s="126">
        <f t="shared" ca="1" si="67"/>
        <v>9.4444444444444524E-4</v>
      </c>
      <c r="CQ40" s="120"/>
      <c r="CR40" s="120"/>
      <c r="CS40" s="120"/>
      <c r="CT40" s="120"/>
      <c r="CU40" s="120"/>
      <c r="CV40" s="120"/>
      <c r="CW40" s="120"/>
      <c r="CX40" s="120"/>
      <c r="CY40" s="120"/>
      <c r="CZ40" s="120"/>
      <c r="DA40" s="120"/>
      <c r="DB40" s="120"/>
      <c r="DC40" s="120"/>
      <c r="DD40" s="120"/>
      <c r="DE40" s="116"/>
      <c r="DF40" s="116"/>
      <c r="DG40" s="116"/>
      <c r="DH40" s="116"/>
      <c r="DI40" s="116"/>
      <c r="DJ40" s="116"/>
      <c r="DK40" s="116"/>
      <c r="DL40" s="116"/>
      <c r="DM40" s="116"/>
      <c r="DN40" s="116"/>
    </row>
    <row r="41" spans="1:118" x14ac:dyDescent="0.2">
      <c r="A41" s="27">
        <v>35</v>
      </c>
      <c r="B41" s="29">
        <f t="shared" si="0"/>
        <v>40179</v>
      </c>
      <c r="C41" s="30">
        <f t="shared" si="1"/>
        <v>8.3333333333333329E-2</v>
      </c>
      <c r="D41" s="55"/>
      <c r="E41" s="62">
        <f t="shared" ca="1" si="19"/>
        <v>97893501.817791969</v>
      </c>
      <c r="F41" s="63">
        <f ca="1">IF(AssetIntType1="Fixed",AssetFxdRate1,IF(A41=1,OFFSET(Vectors!$D$6,A41,MATCH(AssetFltIndx1,lstInterestRates,0)),IF(MOD($A41,AssetRateReset1)=0,MAX(MIN(OFFSET(Vectors!$D$6,A41,MATCH(AssetFltIndx1,lstInterestRates,0)),(F40-AssetMarg1)+AssetPdCapFl1,AssetLifeCap1-AssetMarg1),(F40-AssetMarg1)-AssetPdCapFl1,AssetLifeFloor1-AssetMarg1),F40)))+AssetMarg1</f>
        <v>0.09</v>
      </c>
      <c r="G41" s="62">
        <f t="shared" ca="1" si="7"/>
        <v>804622.61694478267</v>
      </c>
      <c r="H41" s="62">
        <f t="shared" ca="1" si="20"/>
        <v>734201.26363343978</v>
      </c>
      <c r="I41" s="62">
        <f t="shared" ca="1" si="21"/>
        <v>70421.353311342886</v>
      </c>
      <c r="J41" s="62">
        <f t="shared" ca="1" si="2"/>
        <v>97823080.464480624</v>
      </c>
      <c r="K41" s="55"/>
      <c r="L41" s="62">
        <f t="shared" ca="1" si="22"/>
        <v>88512154.156999439</v>
      </c>
      <c r="M41" s="68">
        <f ca="1">IF(pdrLossTime1="",OFFSET(Vectors!$AE$6,A41+_Age1,MATCH(SDA_Loss,lstSDA,0)),OFFSET(Vectors!$X$6,A41+_Age1,MATCH(pdrLossTime1,lstDefaultCurve,0)))</f>
        <v>2.7777777777777779E-5</v>
      </c>
      <c r="N41" s="62">
        <f t="shared" ca="1" si="8"/>
        <v>2777.7777777777778</v>
      </c>
      <c r="O41" s="67">
        <f t="shared" ca="1" si="23"/>
        <v>0.97823080464480627</v>
      </c>
      <c r="P41" s="68">
        <f ca="1">OFFSET(Vectors!$L$6,A41+_Age1,MATCH(pdrPrepay1,lstPrepayCurve,0))*pdrPrepayStress1</f>
        <v>5.1430128318229462E-3</v>
      </c>
      <c r="Q41" s="62">
        <f t="shared" ca="1" si="24"/>
        <v>454891.67497790465</v>
      </c>
      <c r="R41" s="62">
        <f t="shared" ca="1" si="25"/>
        <v>63670.723282218911</v>
      </c>
      <c r="S41" s="69">
        <f t="shared" ca="1" si="26"/>
        <v>0.09</v>
      </c>
      <c r="T41" s="62">
        <f t="shared" ca="1" si="27"/>
        <v>663820.32284416247</v>
      </c>
      <c r="U41" s="62">
        <f t="shared" ca="1" si="9"/>
        <v>1111.1111111111111</v>
      </c>
      <c r="V41" s="62">
        <f t="shared" ca="1" si="3"/>
        <v>87990813.980961546</v>
      </c>
      <c r="W41" s="55"/>
      <c r="X41" s="62">
        <f t="shared" ca="1" si="28"/>
        <v>1183493.8322153972</v>
      </c>
      <c r="Y41" s="55"/>
      <c r="Z41" s="118" t="b">
        <v>0</v>
      </c>
      <c r="AA41" s="120" t="b">
        <f t="shared" si="10"/>
        <v>0</v>
      </c>
      <c r="AB41" s="120" t="b">
        <f t="shared" si="11"/>
        <v>1</v>
      </c>
      <c r="AC41" s="120" t="b">
        <f t="shared" ca="1" si="12"/>
        <v>0</v>
      </c>
      <c r="AD41" s="121"/>
      <c r="AE41" s="129">
        <v>63729982.790664636</v>
      </c>
      <c r="AF41" s="69">
        <f ca="1">IF(Swap_Active="No",0,OFFSET(Vectors!$D$6,Vectors!A41,MATCH(Swap_In,lstInterestRates,0)))</f>
        <v>6.0827333333333386E-2</v>
      </c>
      <c r="AG41" s="62">
        <f t="shared" ca="1" si="29"/>
        <v>323043.74221127981</v>
      </c>
      <c r="AH41" s="69">
        <f ca="1">IF(Swap_Active="No",0,OFFSET(Vectors!$D$6,Vectors!A41,MATCH(Swap_Out,lstInterestRates,0)))</f>
        <v>0.04</v>
      </c>
      <c r="AI41" s="62">
        <f t="shared" ca="1" si="30"/>
        <v>212433.27596888214</v>
      </c>
      <c r="AJ41" s="62">
        <f t="shared" ca="1" si="31"/>
        <v>110610.46624239767</v>
      </c>
      <c r="AK41" s="62">
        <f t="shared" ca="1" si="32"/>
        <v>1294104.2984577948</v>
      </c>
      <c r="AL41" s="121"/>
      <c r="AM41" s="123">
        <f t="shared" ca="1" si="13"/>
        <v>177828.7450337311</v>
      </c>
      <c r="AN41" s="124">
        <f t="shared" ca="1" si="33"/>
        <v>177828.7450337311</v>
      </c>
      <c r="AO41" s="125">
        <f t="shared" ca="1" si="34"/>
        <v>0</v>
      </c>
      <c r="AP41" s="123">
        <f t="shared" ca="1" si="35"/>
        <v>1116275.5534240636</v>
      </c>
      <c r="AQ41" s="121"/>
      <c r="AR41" s="126">
        <f ca="1">IF(LiabIntType1="Fixed",LiabFxdRate1,OFFSET(Vectors!$D$6,Vectors!A41,MATCH(LiabLoanIndex1,lstInterestRates,0))+LiabMarg1)</f>
        <v>7.0827333333333381E-2</v>
      </c>
      <c r="AS41" s="122">
        <f t="shared" ca="1" si="36"/>
        <v>429333.87797408889</v>
      </c>
      <c r="AT41" s="124">
        <f t="shared" ca="1" si="37"/>
        <v>429333.87797408889</v>
      </c>
      <c r="AU41" s="123">
        <f t="shared" ca="1" si="38"/>
        <v>0</v>
      </c>
      <c r="AV41" s="123">
        <f t="shared" ca="1" si="14"/>
        <v>0</v>
      </c>
      <c r="AW41" s="123">
        <f t="shared" ca="1" si="39"/>
        <v>0</v>
      </c>
      <c r="AX41" s="124">
        <f t="shared" ca="1" si="40"/>
        <v>686941.67544997472</v>
      </c>
      <c r="AY41" s="121"/>
      <c r="AZ41" s="122">
        <f t="shared" ca="1" si="15"/>
        <v>686941.67544997472</v>
      </c>
      <c r="BA41" s="124">
        <f t="shared" ca="1" si="41"/>
        <v>686941.67544997472</v>
      </c>
      <c r="BB41" s="123">
        <f t="shared" ca="1" si="42"/>
        <v>0</v>
      </c>
      <c r="BC41" s="123">
        <f t="shared" ca="1" si="16"/>
        <v>0</v>
      </c>
      <c r="BD41" s="123">
        <f t="shared" ca="1" si="43"/>
        <v>0</v>
      </c>
      <c r="BE41" s="124">
        <f t="shared" ca="1" si="44"/>
        <v>0</v>
      </c>
      <c r="BF41" s="121"/>
      <c r="BG41" s="123">
        <f t="shared" si="17"/>
        <v>1000000</v>
      </c>
      <c r="BH41" s="123">
        <f t="shared" ca="1" si="45"/>
        <v>1000000</v>
      </c>
      <c r="BI41" s="123">
        <f t="shared" ca="1" si="46"/>
        <v>0</v>
      </c>
      <c r="BJ41" s="123">
        <f t="shared" ca="1" si="47"/>
        <v>0</v>
      </c>
      <c r="BK41" s="123">
        <f t="shared" ca="1" si="4"/>
        <v>1000000</v>
      </c>
      <c r="BL41" s="123">
        <f t="shared" ca="1" si="48"/>
        <v>0</v>
      </c>
      <c r="BM41" s="121"/>
      <c r="BN41" s="126">
        <f ca="1">IF(LiabIntType2="Fixed",LiabFxdRate2,OFFSET(Vectors!$D$6,Vectors!A41,MATCH(LiabLoanIndex2,lstInterestRates,0))+LiabMarg2)</f>
        <v>0.04</v>
      </c>
      <c r="BO41" s="122">
        <f t="shared" ca="1" si="49"/>
        <v>34119.905847872607</v>
      </c>
      <c r="BP41" s="124">
        <f t="shared" ca="1" si="50"/>
        <v>0</v>
      </c>
      <c r="BQ41" s="123">
        <f t="shared" ca="1" si="51"/>
        <v>34119.905847872607</v>
      </c>
      <c r="BR41" s="123">
        <f t="shared" ca="1" si="52"/>
        <v>0</v>
      </c>
      <c r="BS41" s="121"/>
      <c r="BT41" s="123">
        <f t="shared" ca="1" si="18"/>
        <v>53452.548022268842</v>
      </c>
      <c r="BU41" s="123">
        <f t="shared" ca="1" si="53"/>
        <v>0</v>
      </c>
      <c r="BV41" s="123">
        <f t="shared" ca="1" si="54"/>
        <v>53452.548022268842</v>
      </c>
      <c r="BW41" s="123">
        <f t="shared" ca="1" si="55"/>
        <v>0</v>
      </c>
      <c r="BX41" s="121"/>
      <c r="BY41" s="123">
        <f t="shared" si="56"/>
        <v>0</v>
      </c>
      <c r="BZ41" s="123">
        <f t="shared" ca="1" si="57"/>
        <v>0</v>
      </c>
      <c r="CA41" s="121"/>
      <c r="CB41" s="122">
        <f t="shared" ca="1" si="5"/>
        <v>72053429.777506948</v>
      </c>
      <c r="CC41" s="122">
        <f t="shared" ca="1" si="58"/>
        <v>429333.87797408889</v>
      </c>
      <c r="CD41" s="124">
        <f t="shared" ca="1" si="59"/>
        <v>686941.67544997472</v>
      </c>
      <c r="CE41" s="121"/>
      <c r="CF41" s="122">
        <f t="shared" ca="1" si="6"/>
        <v>10235971.754361782</v>
      </c>
      <c r="CG41" s="124">
        <f t="shared" ca="1" si="60"/>
        <v>0</v>
      </c>
      <c r="CH41" s="123">
        <f t="shared" ca="1" si="61"/>
        <v>0</v>
      </c>
      <c r="CI41" s="121"/>
      <c r="CJ41" s="123">
        <f t="shared" ca="1" si="62"/>
        <v>1506537.5744266771</v>
      </c>
      <c r="CK41" s="123">
        <f t="shared" ca="1" si="63"/>
        <v>1506537.5744266768</v>
      </c>
      <c r="CL41" s="123">
        <f t="shared" ca="1" si="64"/>
        <v>0</v>
      </c>
      <c r="CM41" s="121"/>
      <c r="CN41" s="62">
        <f t="shared" ca="1" si="65"/>
        <v>521340.17603790131</v>
      </c>
      <c r="CO41" s="62" t="b">
        <f t="shared" si="66"/>
        <v>1</v>
      </c>
      <c r="CP41" s="126">
        <f t="shared" ca="1" si="67"/>
        <v>9.7222222222222306E-4</v>
      </c>
      <c r="CQ41" s="120"/>
      <c r="CR41" s="120"/>
      <c r="CS41" s="120"/>
      <c r="CT41" s="120"/>
      <c r="CU41" s="120"/>
      <c r="CV41" s="120"/>
      <c r="CW41" s="120"/>
      <c r="CX41" s="120"/>
      <c r="CY41" s="120"/>
      <c r="CZ41" s="120"/>
      <c r="DA41" s="120"/>
      <c r="DB41" s="120"/>
      <c r="DC41" s="120"/>
      <c r="DD41" s="120"/>
      <c r="DE41" s="116"/>
      <c r="DF41" s="116"/>
      <c r="DG41" s="116"/>
      <c r="DH41" s="116"/>
      <c r="DI41" s="116"/>
      <c r="DJ41" s="116"/>
      <c r="DK41" s="116"/>
      <c r="DL41" s="116"/>
      <c r="DM41" s="116"/>
      <c r="DN41" s="116"/>
    </row>
    <row r="42" spans="1:118" x14ac:dyDescent="0.2">
      <c r="A42" s="27">
        <v>36</v>
      </c>
      <c r="B42" s="29">
        <f t="shared" si="0"/>
        <v>40210</v>
      </c>
      <c r="C42" s="30">
        <f t="shared" si="1"/>
        <v>8.3333333333333329E-2</v>
      </c>
      <c r="D42" s="55"/>
      <c r="E42" s="62">
        <f t="shared" ca="1" si="19"/>
        <v>97823080.464480624</v>
      </c>
      <c r="F42" s="63">
        <f ca="1">IF(AssetIntType1="Fixed",AssetFxdRate1,IF(A42=1,OFFSET(Vectors!$D$6,A42,MATCH(AssetFltIndx1,lstInterestRates,0)),IF(MOD($A42,AssetRateReset1)=0,MAX(MIN(OFFSET(Vectors!$D$6,A42,MATCH(AssetFltIndx1,lstInterestRates,0)),(F41-AssetMarg1)+AssetPdCapFl1,AssetLifeCap1-AssetMarg1),(F41-AssetMarg1)-AssetPdCapFl1,AssetLifeFloor1-AssetMarg1),F41)))+AssetMarg1</f>
        <v>0.09</v>
      </c>
      <c r="G42" s="62">
        <f t="shared" ca="1" si="7"/>
        <v>804622.61694478267</v>
      </c>
      <c r="H42" s="62">
        <f t="shared" ca="1" si="20"/>
        <v>733673.10348360462</v>
      </c>
      <c r="I42" s="62">
        <f t="shared" ca="1" si="21"/>
        <v>70949.513461178052</v>
      </c>
      <c r="J42" s="62">
        <f t="shared" ca="1" si="2"/>
        <v>97752130.951019451</v>
      </c>
      <c r="K42" s="55"/>
      <c r="L42" s="62">
        <f t="shared" ca="1" si="22"/>
        <v>87990813.980961546</v>
      </c>
      <c r="M42" s="68">
        <f ca="1">IF(pdrLossTime1="",OFFSET(Vectors!$AE$6,A42+_Age1,MATCH(SDA_Loss,lstSDA,0)),OFFSET(Vectors!$X$6,A42+_Age1,MATCH(pdrLossTime1,lstDefaultCurve,0)))</f>
        <v>2.7777777777777779E-5</v>
      </c>
      <c r="N42" s="62">
        <f t="shared" ca="1" si="8"/>
        <v>2777.7777777777778</v>
      </c>
      <c r="O42" s="67">
        <f t="shared" ca="1" si="23"/>
        <v>0.97752130951019456</v>
      </c>
      <c r="P42" s="68">
        <f ca="1">OFFSET(Vectors!$L$6,A42+_Age1,MATCH(pdrPrepay1,lstPrepayCurve,0))*pdrPrepayStress1</f>
        <v>5.1430128318229462E-3</v>
      </c>
      <c r="Q42" s="62">
        <f t="shared" ca="1" si="24"/>
        <v>452209.66690650891</v>
      </c>
      <c r="R42" s="62">
        <f t="shared" ca="1" si="25"/>
        <v>63816.313383087712</v>
      </c>
      <c r="S42" s="69">
        <f t="shared" ca="1" si="26"/>
        <v>0.09</v>
      </c>
      <c r="T42" s="62">
        <f t="shared" ca="1" si="27"/>
        <v>659910.27152387821</v>
      </c>
      <c r="U42" s="62">
        <f t="shared" ca="1" si="9"/>
        <v>1111.1111111111111</v>
      </c>
      <c r="V42" s="62">
        <f t="shared" ca="1" si="3"/>
        <v>87472010.222894177</v>
      </c>
      <c r="W42" s="55"/>
      <c r="X42" s="62">
        <f t="shared" ca="1" si="28"/>
        <v>1177047.3629245858</v>
      </c>
      <c r="Y42" s="55"/>
      <c r="Z42" s="118" t="b">
        <v>0</v>
      </c>
      <c r="AA42" s="120" t="b">
        <f t="shared" si="10"/>
        <v>0</v>
      </c>
      <c r="AB42" s="120" t="b">
        <f t="shared" si="11"/>
        <v>1</v>
      </c>
      <c r="AC42" s="120" t="b">
        <f t="shared" ca="1" si="12"/>
        <v>0</v>
      </c>
      <c r="AD42" s="121"/>
      <c r="AE42" s="129">
        <v>62984859.615542836</v>
      </c>
      <c r="AF42" s="69">
        <f ca="1">IF(Swap_Active="No",0,OFFSET(Vectors!$D$6,Vectors!A42,MATCH(Swap_In,lstInterestRates,0)))</f>
        <v>6.1869000000000056E-2</v>
      </c>
      <c r="AG42" s="62">
        <f t="shared" ca="1" si="29"/>
        <v>324734.18996283528</v>
      </c>
      <c r="AH42" s="69">
        <f ca="1">IF(Swap_Active="No",0,OFFSET(Vectors!$D$6,Vectors!A42,MATCH(Swap_Out,lstInterestRates,0)))</f>
        <v>0.04</v>
      </c>
      <c r="AI42" s="62">
        <f t="shared" ca="1" si="30"/>
        <v>209949.53205180942</v>
      </c>
      <c r="AJ42" s="62">
        <f t="shared" ca="1" si="31"/>
        <v>114784.65791102586</v>
      </c>
      <c r="AK42" s="62">
        <f t="shared" ca="1" si="32"/>
        <v>1291832.0208356117</v>
      </c>
      <c r="AL42" s="121"/>
      <c r="AM42" s="123">
        <f t="shared" ca="1" si="13"/>
        <v>176673.61904223045</v>
      </c>
      <c r="AN42" s="124">
        <f t="shared" ca="1" si="33"/>
        <v>176673.61904223045</v>
      </c>
      <c r="AO42" s="125">
        <f t="shared" ca="1" si="34"/>
        <v>0</v>
      </c>
      <c r="AP42" s="123">
        <f t="shared" ca="1" si="35"/>
        <v>1115158.4017933812</v>
      </c>
      <c r="AQ42" s="121"/>
      <c r="AR42" s="126">
        <f ca="1">IF(LiabIntType1="Fixed",LiabFxdRate1,OFFSET(Vectors!$D$6,Vectors!A42,MATCH(LiabLoanIndex1,lstInterestRates,0))+LiabMarg1)</f>
        <v>7.1869000000000058E-2</v>
      </c>
      <c r="AS42" s="122">
        <f t="shared" ca="1" si="36"/>
        <v>431533.99538997089</v>
      </c>
      <c r="AT42" s="124">
        <f t="shared" ca="1" si="37"/>
        <v>431533.99538997089</v>
      </c>
      <c r="AU42" s="123">
        <f t="shared" ca="1" si="38"/>
        <v>0</v>
      </c>
      <c r="AV42" s="123">
        <f t="shared" ca="1" si="14"/>
        <v>0</v>
      </c>
      <c r="AW42" s="123">
        <f t="shared" ca="1" si="39"/>
        <v>0</v>
      </c>
      <c r="AX42" s="124">
        <f t="shared" ca="1" si="40"/>
        <v>683624.40640341025</v>
      </c>
      <c r="AY42" s="121"/>
      <c r="AZ42" s="122">
        <f t="shared" ca="1" si="15"/>
        <v>683624.40640341025</v>
      </c>
      <c r="BA42" s="124">
        <f t="shared" ca="1" si="41"/>
        <v>683624.40640341025</v>
      </c>
      <c r="BB42" s="123">
        <f t="shared" ca="1" si="42"/>
        <v>0</v>
      </c>
      <c r="BC42" s="123">
        <f t="shared" ca="1" si="16"/>
        <v>0</v>
      </c>
      <c r="BD42" s="123">
        <f t="shared" ca="1" si="43"/>
        <v>0</v>
      </c>
      <c r="BE42" s="124">
        <f t="shared" ca="1" si="44"/>
        <v>0</v>
      </c>
      <c r="BF42" s="121"/>
      <c r="BG42" s="123">
        <f t="shared" si="17"/>
        <v>1000000</v>
      </c>
      <c r="BH42" s="123">
        <f t="shared" ca="1" si="45"/>
        <v>1000000</v>
      </c>
      <c r="BI42" s="123">
        <f t="shared" ca="1" si="46"/>
        <v>0</v>
      </c>
      <c r="BJ42" s="123">
        <f t="shared" ca="1" si="47"/>
        <v>0</v>
      </c>
      <c r="BK42" s="123">
        <f t="shared" ca="1" si="4"/>
        <v>1000000</v>
      </c>
      <c r="BL42" s="123">
        <f t="shared" ca="1" si="48"/>
        <v>0</v>
      </c>
      <c r="BM42" s="121"/>
      <c r="BN42" s="126">
        <f ca="1">IF(LiabIntType2="Fixed",LiabFxdRate2,OFFSET(Vectors!$D$6,Vectors!A42,MATCH(LiabLoanIndex2,lstInterestRates,0))+LiabMarg2)</f>
        <v>0.04</v>
      </c>
      <c r="BO42" s="122">
        <f t="shared" ca="1" si="49"/>
        <v>34119.905847872607</v>
      </c>
      <c r="BP42" s="124">
        <f t="shared" ca="1" si="50"/>
        <v>0</v>
      </c>
      <c r="BQ42" s="123">
        <f t="shared" ca="1" si="51"/>
        <v>34119.905847872607</v>
      </c>
      <c r="BR42" s="123">
        <f t="shared" ca="1" si="52"/>
        <v>0</v>
      </c>
      <c r="BS42" s="121"/>
      <c r="BT42" s="123">
        <f t="shared" ca="1" si="18"/>
        <v>53192.491326841089</v>
      </c>
      <c r="BU42" s="123">
        <f t="shared" ca="1" si="53"/>
        <v>0</v>
      </c>
      <c r="BV42" s="123">
        <f t="shared" ca="1" si="54"/>
        <v>53192.491326841089</v>
      </c>
      <c r="BW42" s="123">
        <f t="shared" ca="1" si="55"/>
        <v>0</v>
      </c>
      <c r="BX42" s="121"/>
      <c r="BY42" s="123">
        <f t="shared" si="56"/>
        <v>0</v>
      </c>
      <c r="BZ42" s="123">
        <f t="shared" ca="1" si="57"/>
        <v>0</v>
      </c>
      <c r="CA42" s="121"/>
      <c r="CB42" s="122">
        <f t="shared" ca="1" si="5"/>
        <v>71369805.37110354</v>
      </c>
      <c r="CC42" s="122">
        <f t="shared" ca="1" si="58"/>
        <v>431533.99538997089</v>
      </c>
      <c r="CD42" s="124">
        <f t="shared" ca="1" si="59"/>
        <v>683624.40640341025</v>
      </c>
      <c r="CE42" s="121"/>
      <c r="CF42" s="122">
        <f t="shared" ca="1" si="6"/>
        <v>10235971.754361782</v>
      </c>
      <c r="CG42" s="124">
        <f t="shared" ca="1" si="60"/>
        <v>0</v>
      </c>
      <c r="CH42" s="123">
        <f t="shared" ca="1" si="61"/>
        <v>0</v>
      </c>
      <c r="CI42" s="121"/>
      <c r="CJ42" s="123">
        <f t="shared" ca="1" si="62"/>
        <v>1501781.5528874211</v>
      </c>
      <c r="CK42" s="123">
        <f t="shared" ca="1" si="63"/>
        <v>1501781.5528874211</v>
      </c>
      <c r="CL42" s="123">
        <f t="shared" ca="1" si="64"/>
        <v>0</v>
      </c>
      <c r="CM42" s="121"/>
      <c r="CN42" s="62">
        <f t="shared" ca="1" si="65"/>
        <v>518803.75806737435</v>
      </c>
      <c r="CO42" s="62" t="b">
        <f t="shared" si="66"/>
        <v>1</v>
      </c>
      <c r="CP42" s="126">
        <f t="shared" ca="1" si="67"/>
        <v>1.0000000000000009E-3</v>
      </c>
      <c r="CQ42" s="120"/>
      <c r="CR42" s="120"/>
      <c r="CS42" s="120"/>
      <c r="CT42" s="120"/>
      <c r="CU42" s="120"/>
      <c r="CV42" s="120"/>
      <c r="CW42" s="120"/>
      <c r="CX42" s="120"/>
      <c r="CY42" s="120"/>
      <c r="CZ42" s="120"/>
      <c r="DA42" s="120"/>
      <c r="DB42" s="120"/>
      <c r="DC42" s="120"/>
      <c r="DD42" s="120"/>
      <c r="DE42" s="116"/>
      <c r="DF42" s="116"/>
      <c r="DG42" s="116"/>
      <c r="DH42" s="116"/>
      <c r="DI42" s="116"/>
      <c r="DJ42" s="116"/>
      <c r="DK42" s="116"/>
      <c r="DL42" s="116"/>
      <c r="DM42" s="116"/>
      <c r="DN42" s="116"/>
    </row>
    <row r="43" spans="1:118" x14ac:dyDescent="0.2">
      <c r="A43" s="27">
        <v>37</v>
      </c>
      <c r="B43" s="29">
        <f t="shared" si="0"/>
        <v>40238</v>
      </c>
      <c r="C43" s="30">
        <f t="shared" si="1"/>
        <v>8.3333333333333329E-2</v>
      </c>
      <c r="D43" s="55"/>
      <c r="E43" s="62">
        <f t="shared" ca="1" si="19"/>
        <v>97752130.951019451</v>
      </c>
      <c r="F43" s="63">
        <f ca="1">IF(AssetIntType1="Fixed",AssetFxdRate1,IF(A43=1,OFFSET(Vectors!$D$6,A43,MATCH(AssetFltIndx1,lstInterestRates,0)),IF(MOD($A43,AssetRateReset1)=0,MAX(MIN(OFFSET(Vectors!$D$6,A43,MATCH(AssetFltIndx1,lstInterestRates,0)),(F42-AssetMarg1)+AssetPdCapFl1,AssetLifeCap1-AssetMarg1),(F42-AssetMarg1)-AssetPdCapFl1,AssetLifeFloor1-AssetMarg1),F42)))+AssetMarg1</f>
        <v>0.09</v>
      </c>
      <c r="G43" s="62">
        <f t="shared" ca="1" si="7"/>
        <v>804622.61694478267</v>
      </c>
      <c r="H43" s="62">
        <f t="shared" ca="1" si="20"/>
        <v>733140.98213264591</v>
      </c>
      <c r="I43" s="62">
        <f t="shared" ca="1" si="21"/>
        <v>71481.634812136763</v>
      </c>
      <c r="J43" s="62">
        <f t="shared" ca="1" si="2"/>
        <v>97680649.316207319</v>
      </c>
      <c r="K43" s="55"/>
      <c r="L43" s="62">
        <f t="shared" ca="1" si="22"/>
        <v>87472010.222894177</v>
      </c>
      <c r="M43" s="68">
        <f ca="1">IF(pdrLossTime1="",OFFSET(Vectors!$AE$6,A43+_Age1,MATCH(SDA_Loss,lstSDA,0)),OFFSET(Vectors!$X$6,A43+_Age1,MATCH(pdrLossTime1,lstDefaultCurve,0)))</f>
        <v>2.7777777777777779E-5</v>
      </c>
      <c r="N43" s="62">
        <f t="shared" ca="1" si="8"/>
        <v>2777.7777777777778</v>
      </c>
      <c r="O43" s="67">
        <f t="shared" ca="1" si="23"/>
        <v>0.97680649316207324</v>
      </c>
      <c r="P43" s="68">
        <f ca="1">OFFSET(Vectors!$L$6,A43+_Age1,MATCH(pdrPrepay1,lstPrepayCurve,0))*pdrPrepayStress1</f>
        <v>5.1430128318229462E-3</v>
      </c>
      <c r="Q43" s="62">
        <f t="shared" ca="1" si="24"/>
        <v>449540.70201428805</v>
      </c>
      <c r="R43" s="62">
        <f t="shared" ca="1" si="25"/>
        <v>63962.224353673693</v>
      </c>
      <c r="S43" s="69">
        <f t="shared" ca="1" si="26"/>
        <v>0.09</v>
      </c>
      <c r="T43" s="62">
        <f t="shared" ca="1" si="27"/>
        <v>656019.24333837302</v>
      </c>
      <c r="U43" s="62">
        <f t="shared" ca="1" si="9"/>
        <v>1111.1111111111111</v>
      </c>
      <c r="V43" s="62">
        <f t="shared" ca="1" si="3"/>
        <v>86955729.518748447</v>
      </c>
      <c r="W43" s="55"/>
      <c r="X43" s="62">
        <f t="shared" ca="1" si="28"/>
        <v>1170633.2808174458</v>
      </c>
      <c r="Y43" s="55"/>
      <c r="Z43" s="118" t="b">
        <v>0</v>
      </c>
      <c r="AA43" s="120" t="b">
        <f t="shared" si="10"/>
        <v>0</v>
      </c>
      <c r="AB43" s="120" t="b">
        <f t="shared" si="11"/>
        <v>1</v>
      </c>
      <c r="AC43" s="120" t="b">
        <f t="shared" ca="1" si="12"/>
        <v>0</v>
      </c>
      <c r="AD43" s="121"/>
      <c r="AE43" s="129">
        <v>62247315.23184932</v>
      </c>
      <c r="AF43" s="69">
        <f ca="1">IF(Swap_Active="No",0,OFFSET(Vectors!$D$6,Vectors!A43,MATCH(Swap_In,lstInterestRates,0)))</f>
        <v>6.2494000000000056E-2</v>
      </c>
      <c r="AG43" s="62">
        <f t="shared" ca="1" si="29"/>
        <v>324173.64317493292</v>
      </c>
      <c r="AH43" s="69">
        <f ca="1">IF(Swap_Active="No",0,OFFSET(Vectors!$D$6,Vectors!A43,MATCH(Swap_Out,lstInterestRates,0)))</f>
        <v>0.04</v>
      </c>
      <c r="AI43" s="62">
        <f t="shared" ca="1" si="30"/>
        <v>207491.05077283108</v>
      </c>
      <c r="AJ43" s="62">
        <f t="shared" ca="1" si="31"/>
        <v>116682.59240210184</v>
      </c>
      <c r="AK43" s="62">
        <f t="shared" ca="1" si="32"/>
        <v>1287315.8732195478</v>
      </c>
      <c r="AL43" s="121"/>
      <c r="AM43" s="123">
        <f t="shared" ca="1" si="13"/>
        <v>175524.10260945008</v>
      </c>
      <c r="AN43" s="124">
        <f t="shared" ca="1" si="33"/>
        <v>175524.10260945008</v>
      </c>
      <c r="AO43" s="125">
        <f t="shared" ca="1" si="34"/>
        <v>0</v>
      </c>
      <c r="AP43" s="123">
        <f t="shared" ca="1" si="35"/>
        <v>1111791.7706100978</v>
      </c>
      <c r="AQ43" s="121"/>
      <c r="AR43" s="126">
        <f ca="1">IF(LiabIntType1="Fixed",LiabFxdRate1,OFFSET(Vectors!$D$6,Vectors!A43,MATCH(LiabLoanIndex1,lstInterestRates,0))+LiabMarg1)</f>
        <v>7.2494000000000058E-2</v>
      </c>
      <c r="AS43" s="122">
        <f t="shared" ca="1" si="36"/>
        <v>431156.88921439869</v>
      </c>
      <c r="AT43" s="124">
        <f t="shared" ca="1" si="37"/>
        <v>431156.88921439869</v>
      </c>
      <c r="AU43" s="123">
        <f t="shared" ca="1" si="38"/>
        <v>0</v>
      </c>
      <c r="AV43" s="123">
        <f t="shared" ca="1" si="14"/>
        <v>0</v>
      </c>
      <c r="AW43" s="123">
        <f t="shared" ca="1" si="39"/>
        <v>0</v>
      </c>
      <c r="AX43" s="124">
        <f t="shared" ca="1" si="40"/>
        <v>680634.88139569911</v>
      </c>
      <c r="AY43" s="121"/>
      <c r="AZ43" s="122">
        <f t="shared" ca="1" si="15"/>
        <v>680634.88139569911</v>
      </c>
      <c r="BA43" s="124">
        <f t="shared" ca="1" si="41"/>
        <v>680634.88139569911</v>
      </c>
      <c r="BB43" s="123">
        <f t="shared" ca="1" si="42"/>
        <v>0</v>
      </c>
      <c r="BC43" s="123">
        <f t="shared" ca="1" si="16"/>
        <v>0</v>
      </c>
      <c r="BD43" s="123">
        <f t="shared" ca="1" si="43"/>
        <v>0</v>
      </c>
      <c r="BE43" s="124">
        <f t="shared" ca="1" si="44"/>
        <v>0</v>
      </c>
      <c r="BF43" s="121"/>
      <c r="BG43" s="123">
        <f t="shared" si="17"/>
        <v>1000000</v>
      </c>
      <c r="BH43" s="123">
        <f t="shared" ca="1" si="45"/>
        <v>1000000</v>
      </c>
      <c r="BI43" s="123">
        <f t="shared" ca="1" si="46"/>
        <v>0</v>
      </c>
      <c r="BJ43" s="123">
        <f t="shared" ca="1" si="47"/>
        <v>0</v>
      </c>
      <c r="BK43" s="123">
        <f t="shared" ca="1" si="4"/>
        <v>1000000</v>
      </c>
      <c r="BL43" s="123">
        <f t="shared" ca="1" si="48"/>
        <v>0</v>
      </c>
      <c r="BM43" s="121"/>
      <c r="BN43" s="126">
        <f ca="1">IF(LiabIntType2="Fixed",LiabFxdRate2,OFFSET(Vectors!$D$6,Vectors!A43,MATCH(LiabLoanIndex2,lstInterestRates,0))+LiabMarg2)</f>
        <v>0.04</v>
      </c>
      <c r="BO43" s="122">
        <f t="shared" ca="1" si="49"/>
        <v>34119.905847872607</v>
      </c>
      <c r="BP43" s="124">
        <f t="shared" ca="1" si="50"/>
        <v>0</v>
      </c>
      <c r="BQ43" s="123">
        <f t="shared" ca="1" si="51"/>
        <v>34119.905847872607</v>
      </c>
      <c r="BR43" s="123">
        <f t="shared" ca="1" si="52"/>
        <v>0</v>
      </c>
      <c r="BS43" s="121"/>
      <c r="BT43" s="123">
        <f t="shared" ca="1" si="18"/>
        <v>52933.804835548777</v>
      </c>
      <c r="BU43" s="123">
        <f t="shared" ca="1" si="53"/>
        <v>0</v>
      </c>
      <c r="BV43" s="123">
        <f t="shared" ca="1" si="54"/>
        <v>52933.804835548777</v>
      </c>
      <c r="BW43" s="123">
        <f t="shared" ca="1" si="55"/>
        <v>0</v>
      </c>
      <c r="BX43" s="121"/>
      <c r="BY43" s="123">
        <f t="shared" si="56"/>
        <v>0</v>
      </c>
      <c r="BZ43" s="123">
        <f t="shared" ca="1" si="57"/>
        <v>0</v>
      </c>
      <c r="CA43" s="121"/>
      <c r="CB43" s="122">
        <f t="shared" ca="1" si="5"/>
        <v>70689170.489707842</v>
      </c>
      <c r="CC43" s="122">
        <f t="shared" ca="1" si="58"/>
        <v>431156.88921439869</v>
      </c>
      <c r="CD43" s="124">
        <f t="shared" ca="1" si="59"/>
        <v>680634.88139569911</v>
      </c>
      <c r="CE43" s="121"/>
      <c r="CF43" s="122">
        <f t="shared" ca="1" si="6"/>
        <v>10235971.754361782</v>
      </c>
      <c r="CG43" s="124">
        <f t="shared" ca="1" si="60"/>
        <v>0</v>
      </c>
      <c r="CH43" s="123">
        <f t="shared" ca="1" si="61"/>
        <v>0</v>
      </c>
      <c r="CI43" s="121"/>
      <c r="CJ43" s="123">
        <f t="shared" ca="1" si="62"/>
        <v>1494806.9239923786</v>
      </c>
      <c r="CK43" s="123">
        <f t="shared" ca="1" si="63"/>
        <v>1494806.9239923791</v>
      </c>
      <c r="CL43" s="123">
        <f t="shared" ca="1" si="64"/>
        <v>0</v>
      </c>
      <c r="CM43" s="121"/>
      <c r="CN43" s="62">
        <f t="shared" ca="1" si="65"/>
        <v>516280.7041457395</v>
      </c>
      <c r="CO43" s="62" t="b">
        <f t="shared" si="66"/>
        <v>1</v>
      </c>
      <c r="CP43" s="126">
        <f t="shared" ca="1" si="67"/>
        <v>1.0277777777777787E-3</v>
      </c>
      <c r="CQ43" s="120"/>
      <c r="CR43" s="120"/>
      <c r="CS43" s="120"/>
      <c r="CT43" s="120"/>
      <c r="CU43" s="120"/>
      <c r="CV43" s="120"/>
      <c r="CW43" s="120"/>
      <c r="CX43" s="120"/>
      <c r="CY43" s="120"/>
      <c r="CZ43" s="120"/>
      <c r="DA43" s="120"/>
      <c r="DB43" s="120"/>
      <c r="DC43" s="120"/>
      <c r="DD43" s="120"/>
      <c r="DE43" s="116"/>
      <c r="DF43" s="116"/>
      <c r="DG43" s="116"/>
      <c r="DH43" s="116"/>
      <c r="DI43" s="116"/>
      <c r="DJ43" s="116"/>
      <c r="DK43" s="116"/>
      <c r="DL43" s="116"/>
      <c r="DM43" s="116"/>
      <c r="DN43" s="116"/>
    </row>
    <row r="44" spans="1:118" x14ac:dyDescent="0.2">
      <c r="A44" s="27">
        <v>38</v>
      </c>
      <c r="B44" s="29">
        <f t="shared" si="0"/>
        <v>40269</v>
      </c>
      <c r="C44" s="30">
        <f t="shared" si="1"/>
        <v>8.3333333333333329E-2</v>
      </c>
      <c r="D44" s="55"/>
      <c r="E44" s="62">
        <f t="shared" ca="1" si="19"/>
        <v>97680649.316207319</v>
      </c>
      <c r="F44" s="63">
        <f ca="1">IF(AssetIntType1="Fixed",AssetFxdRate1,IF(A44=1,OFFSET(Vectors!$D$6,A44,MATCH(AssetFltIndx1,lstInterestRates,0)),IF(MOD($A44,AssetRateReset1)=0,MAX(MIN(OFFSET(Vectors!$D$6,A44,MATCH(AssetFltIndx1,lstInterestRates,0)),(F43-AssetMarg1)+AssetPdCapFl1,AssetLifeCap1-AssetMarg1),(F43-AssetMarg1)-AssetPdCapFl1,AssetLifeFloor1-AssetMarg1),F43)))+AssetMarg1</f>
        <v>0.09</v>
      </c>
      <c r="G44" s="62">
        <f t="shared" ca="1" si="7"/>
        <v>804622.61694478267</v>
      </c>
      <c r="H44" s="62">
        <f t="shared" ca="1" si="20"/>
        <v>732604.8698715549</v>
      </c>
      <c r="I44" s="62">
        <f t="shared" ca="1" si="21"/>
        <v>72017.747073227772</v>
      </c>
      <c r="J44" s="62">
        <f t="shared" ca="1" si="2"/>
        <v>97608631.569134086</v>
      </c>
      <c r="K44" s="55"/>
      <c r="L44" s="62">
        <f t="shared" ca="1" si="22"/>
        <v>86955729.518748447</v>
      </c>
      <c r="M44" s="68">
        <f ca="1">IF(pdrLossTime1="",OFFSET(Vectors!$AE$6,A44+_Age1,MATCH(SDA_Loss,lstSDA,0)),OFFSET(Vectors!$X$6,A44+_Age1,MATCH(pdrLossTime1,lstDefaultCurve,0)))</f>
        <v>2.7777777777777779E-5</v>
      </c>
      <c r="N44" s="62">
        <f t="shared" ca="1" si="8"/>
        <v>2777.7777777777778</v>
      </c>
      <c r="O44" s="67">
        <f t="shared" ca="1" si="23"/>
        <v>0.97608631569134086</v>
      </c>
      <c r="P44" s="68">
        <f ca="1">OFFSET(Vectors!$L$6,A44+_Age1,MATCH(pdrPrepay1,lstPrepayCurve,0))*pdrPrepayStress1</f>
        <v>5.1430128318229462E-3</v>
      </c>
      <c r="Q44" s="62">
        <f t="shared" ca="1" si="24"/>
        <v>446884.71156670258</v>
      </c>
      <c r="R44" s="62">
        <f t="shared" ca="1" si="25"/>
        <v>64108.456788414507</v>
      </c>
      <c r="S44" s="69">
        <f t="shared" ca="1" si="26"/>
        <v>0.09</v>
      </c>
      <c r="T44" s="62">
        <f t="shared" ca="1" si="27"/>
        <v>652147.13805727998</v>
      </c>
      <c r="U44" s="62">
        <f t="shared" ca="1" si="9"/>
        <v>1111.1111111111111</v>
      </c>
      <c r="V44" s="62">
        <f t="shared" ca="1" si="3"/>
        <v>86441958.572615549</v>
      </c>
      <c r="W44" s="55"/>
      <c r="X44" s="62">
        <f t="shared" ca="1" si="28"/>
        <v>1164251.417523508</v>
      </c>
      <c r="Y44" s="55"/>
      <c r="Z44" s="118" t="b">
        <v>0</v>
      </c>
      <c r="AA44" s="120" t="b">
        <f t="shared" si="10"/>
        <v>0</v>
      </c>
      <c r="AB44" s="120" t="b">
        <f t="shared" si="11"/>
        <v>1</v>
      </c>
      <c r="AC44" s="120" t="b">
        <f t="shared" ca="1" si="12"/>
        <v>0</v>
      </c>
      <c r="AD44" s="121"/>
      <c r="AE44" s="129">
        <v>61517273.523203641</v>
      </c>
      <c r="AF44" s="69">
        <f ca="1">IF(Swap_Active="No",0,OFFSET(Vectors!$D$6,Vectors!A44,MATCH(Swap_In,lstInterestRates,0)))</f>
        <v>6.311900000000005E-2</v>
      </c>
      <c r="AG44" s="62">
        <f t="shared" ca="1" si="29"/>
        <v>323575.73229259113</v>
      </c>
      <c r="AH44" s="69">
        <f ca="1">IF(Swap_Active="No",0,OFFSET(Vectors!$D$6,Vectors!A44,MATCH(Swap_Out,lstInterestRates,0)))</f>
        <v>0.04</v>
      </c>
      <c r="AI44" s="62">
        <f t="shared" ca="1" si="30"/>
        <v>205057.57841067881</v>
      </c>
      <c r="AJ44" s="62">
        <f t="shared" ca="1" si="31"/>
        <v>118518.15388191232</v>
      </c>
      <c r="AK44" s="62">
        <f t="shared" ca="1" si="32"/>
        <v>1282769.5714054203</v>
      </c>
      <c r="AL44" s="121"/>
      <c r="AM44" s="123">
        <f t="shared" ca="1" si="13"/>
        <v>174380.03690195899</v>
      </c>
      <c r="AN44" s="124">
        <f t="shared" ca="1" si="33"/>
        <v>174380.03690195899</v>
      </c>
      <c r="AO44" s="125">
        <f t="shared" ca="1" si="34"/>
        <v>0</v>
      </c>
      <c r="AP44" s="123">
        <f t="shared" ca="1" si="35"/>
        <v>1108389.5345034613</v>
      </c>
      <c r="AQ44" s="121"/>
      <c r="AR44" s="126">
        <f ca="1">IF(LiabIntType1="Fixed",LiabFxdRate1,OFFSET(Vectors!$D$6,Vectors!A44,MATCH(LiabLoanIndex1,lstInterestRates,0))+LiabMarg1)</f>
        <v>7.3119000000000045E-2</v>
      </c>
      <c r="AS44" s="122">
        <f t="shared" ca="1" si="36"/>
        <v>430726.78808641253</v>
      </c>
      <c r="AT44" s="124">
        <f t="shared" ca="1" si="37"/>
        <v>430726.78808641253</v>
      </c>
      <c r="AU44" s="123">
        <f t="shared" ca="1" si="38"/>
        <v>0</v>
      </c>
      <c r="AV44" s="123">
        <f t="shared" ca="1" si="14"/>
        <v>0</v>
      </c>
      <c r="AW44" s="123">
        <f t="shared" ca="1" si="39"/>
        <v>0</v>
      </c>
      <c r="AX44" s="124">
        <f t="shared" ca="1" si="40"/>
        <v>677662.74641704885</v>
      </c>
      <c r="AY44" s="121"/>
      <c r="AZ44" s="122">
        <f t="shared" ca="1" si="15"/>
        <v>677662.74641704885</v>
      </c>
      <c r="BA44" s="124">
        <f t="shared" ca="1" si="41"/>
        <v>677662.74641704885</v>
      </c>
      <c r="BB44" s="123">
        <f t="shared" ca="1" si="42"/>
        <v>0</v>
      </c>
      <c r="BC44" s="123">
        <f t="shared" ca="1" si="16"/>
        <v>0</v>
      </c>
      <c r="BD44" s="123">
        <f t="shared" ca="1" si="43"/>
        <v>0</v>
      </c>
      <c r="BE44" s="124">
        <f t="shared" ca="1" si="44"/>
        <v>0</v>
      </c>
      <c r="BF44" s="121"/>
      <c r="BG44" s="123">
        <f t="shared" si="17"/>
        <v>1000000</v>
      </c>
      <c r="BH44" s="123">
        <f t="shared" ca="1" si="45"/>
        <v>1000000</v>
      </c>
      <c r="BI44" s="123">
        <f t="shared" ca="1" si="46"/>
        <v>0</v>
      </c>
      <c r="BJ44" s="123">
        <f t="shared" ca="1" si="47"/>
        <v>0</v>
      </c>
      <c r="BK44" s="123">
        <f t="shared" ca="1" si="4"/>
        <v>1000000</v>
      </c>
      <c r="BL44" s="123">
        <f t="shared" ca="1" si="48"/>
        <v>0</v>
      </c>
      <c r="BM44" s="121"/>
      <c r="BN44" s="126">
        <f ca="1">IF(LiabIntType2="Fixed",LiabFxdRate2,OFFSET(Vectors!$D$6,Vectors!A44,MATCH(LiabLoanIndex2,lstInterestRates,0))+LiabMarg2)</f>
        <v>0.04</v>
      </c>
      <c r="BO44" s="122">
        <f t="shared" ca="1" si="49"/>
        <v>34119.905847872607</v>
      </c>
      <c r="BP44" s="124">
        <f t="shared" ca="1" si="50"/>
        <v>0</v>
      </c>
      <c r="BQ44" s="123">
        <f t="shared" ca="1" si="51"/>
        <v>34119.905847872607</v>
      </c>
      <c r="BR44" s="123">
        <f t="shared" ca="1" si="52"/>
        <v>0</v>
      </c>
      <c r="BS44" s="121"/>
      <c r="BT44" s="123">
        <f t="shared" ca="1" si="18"/>
        <v>52676.481562047411</v>
      </c>
      <c r="BU44" s="123">
        <f t="shared" ca="1" si="53"/>
        <v>0</v>
      </c>
      <c r="BV44" s="123">
        <f t="shared" ca="1" si="54"/>
        <v>52676.481562047411</v>
      </c>
      <c r="BW44" s="123">
        <f t="shared" ca="1" si="55"/>
        <v>0</v>
      </c>
      <c r="BX44" s="121"/>
      <c r="BY44" s="123">
        <f t="shared" si="56"/>
        <v>0</v>
      </c>
      <c r="BZ44" s="123">
        <f t="shared" ca="1" si="57"/>
        <v>0</v>
      </c>
      <c r="CA44" s="121"/>
      <c r="CB44" s="122">
        <f t="shared" ca="1" si="5"/>
        <v>70011507.743290797</v>
      </c>
      <c r="CC44" s="122">
        <f t="shared" ca="1" si="58"/>
        <v>430726.78808641253</v>
      </c>
      <c r="CD44" s="124">
        <f t="shared" ca="1" si="59"/>
        <v>677662.74641704885</v>
      </c>
      <c r="CE44" s="121"/>
      <c r="CF44" s="122">
        <f t="shared" ca="1" si="6"/>
        <v>10235971.754361782</v>
      </c>
      <c r="CG44" s="124">
        <f t="shared" ca="1" si="60"/>
        <v>0</v>
      </c>
      <c r="CH44" s="123">
        <f t="shared" ca="1" si="61"/>
        <v>0</v>
      </c>
      <c r="CI44" s="121"/>
      <c r="CJ44" s="123">
        <f t="shared" ca="1" si="62"/>
        <v>1487827.1498160991</v>
      </c>
      <c r="CK44" s="123">
        <f t="shared" ca="1" si="63"/>
        <v>1487827.1498160991</v>
      </c>
      <c r="CL44" s="123">
        <f t="shared" ca="1" si="64"/>
        <v>0</v>
      </c>
      <c r="CM44" s="121"/>
      <c r="CN44" s="62">
        <f t="shared" ca="1" si="65"/>
        <v>513770.94613289484</v>
      </c>
      <c r="CO44" s="62" t="b">
        <f t="shared" si="66"/>
        <v>1</v>
      </c>
      <c r="CP44" s="126">
        <f t="shared" ca="1" si="67"/>
        <v>1.0555555555555565E-3</v>
      </c>
      <c r="CQ44" s="120"/>
      <c r="CR44" s="120"/>
      <c r="CS44" s="120"/>
      <c r="CT44" s="120"/>
      <c r="CU44" s="120"/>
      <c r="CV44" s="120"/>
      <c r="CW44" s="120"/>
      <c r="CX44" s="120"/>
      <c r="CY44" s="120"/>
      <c r="CZ44" s="120"/>
      <c r="DA44" s="120"/>
      <c r="DB44" s="120"/>
      <c r="DC44" s="120"/>
      <c r="DD44" s="120"/>
      <c r="DE44" s="116"/>
      <c r="DF44" s="116"/>
      <c r="DG44" s="116"/>
      <c r="DH44" s="116"/>
      <c r="DI44" s="116"/>
      <c r="DJ44" s="116"/>
      <c r="DK44" s="116"/>
      <c r="DL44" s="116"/>
      <c r="DM44" s="116"/>
      <c r="DN44" s="116"/>
    </row>
    <row r="45" spans="1:118" x14ac:dyDescent="0.2">
      <c r="A45" s="27">
        <v>39</v>
      </c>
      <c r="B45" s="29">
        <f t="shared" si="0"/>
        <v>40299</v>
      </c>
      <c r="C45" s="30">
        <f t="shared" si="1"/>
        <v>8.3333333333333329E-2</v>
      </c>
      <c r="D45" s="55"/>
      <c r="E45" s="62">
        <f t="shared" ca="1" si="19"/>
        <v>97608631.569134086</v>
      </c>
      <c r="F45" s="63">
        <f ca="1">IF(AssetIntType1="Fixed",AssetFxdRate1,IF(A45=1,OFFSET(Vectors!$D$6,A45,MATCH(AssetFltIndx1,lstInterestRates,0)),IF(MOD($A45,AssetRateReset1)=0,MAX(MIN(OFFSET(Vectors!$D$6,A45,MATCH(AssetFltIndx1,lstInterestRates,0)),(F44-AssetMarg1)+AssetPdCapFl1,AssetLifeCap1-AssetMarg1),(F44-AssetMarg1)-AssetPdCapFl1,AssetLifeFloor1-AssetMarg1),F44)))+AssetMarg1</f>
        <v>0.09</v>
      </c>
      <c r="G45" s="62">
        <f t="shared" ca="1" si="7"/>
        <v>804622.61694478267</v>
      </c>
      <c r="H45" s="62">
        <f t="shared" ca="1" si="20"/>
        <v>732064.73676850565</v>
      </c>
      <c r="I45" s="62">
        <f t="shared" ca="1" si="21"/>
        <v>72557.880176277016</v>
      </c>
      <c r="J45" s="62">
        <f t="shared" ca="1" si="2"/>
        <v>97536073.68895781</v>
      </c>
      <c r="K45" s="55"/>
      <c r="L45" s="62">
        <f t="shared" ca="1" si="22"/>
        <v>86441958.572615549</v>
      </c>
      <c r="M45" s="68">
        <f ca="1">IF(pdrLossTime1="",OFFSET(Vectors!$AE$6,A45+_Age1,MATCH(SDA_Loss,lstSDA,0)),OFFSET(Vectors!$X$6,A45+_Age1,MATCH(pdrLossTime1,lstDefaultCurve,0)))</f>
        <v>2.7777777777777779E-5</v>
      </c>
      <c r="N45" s="62">
        <f t="shared" ca="1" si="8"/>
        <v>2777.7777777777778</v>
      </c>
      <c r="O45" s="67">
        <f t="shared" ca="1" si="23"/>
        <v>0.97536073688957814</v>
      </c>
      <c r="P45" s="68">
        <f ca="1">OFFSET(Vectors!$L$6,A45+_Age1,MATCH(pdrPrepay1,lstPrepayCurve,0))*pdrPrepayStress1</f>
        <v>5.1430128318229462E-3</v>
      </c>
      <c r="Q45" s="62">
        <f t="shared" ca="1" si="24"/>
        <v>444241.62717965868</v>
      </c>
      <c r="R45" s="62">
        <f t="shared" ca="1" si="25"/>
        <v>64255.011281508363</v>
      </c>
      <c r="S45" s="69">
        <f t="shared" ca="1" si="26"/>
        <v>0.09</v>
      </c>
      <c r="T45" s="62">
        <f t="shared" ca="1" si="27"/>
        <v>648293.85596128332</v>
      </c>
      <c r="U45" s="62">
        <f t="shared" ca="1" si="9"/>
        <v>1111.1111111111111</v>
      </c>
      <c r="V45" s="62">
        <f t="shared" ca="1" si="3"/>
        <v>85930684.156376615</v>
      </c>
      <c r="W45" s="55"/>
      <c r="X45" s="62">
        <f t="shared" ca="1" si="28"/>
        <v>1157901.6055335614</v>
      </c>
      <c r="Y45" s="55"/>
      <c r="Z45" s="118" t="b">
        <v>0</v>
      </c>
      <c r="AA45" s="120" t="b">
        <f t="shared" si="10"/>
        <v>0</v>
      </c>
      <c r="AB45" s="120" t="b">
        <f t="shared" si="11"/>
        <v>1</v>
      </c>
      <c r="AC45" s="120" t="b">
        <f t="shared" ca="1" si="12"/>
        <v>0</v>
      </c>
      <c r="AD45" s="121"/>
      <c r="AE45" s="129">
        <v>60794659.135234952</v>
      </c>
      <c r="AF45" s="69">
        <f ca="1">IF(Swap_Active="No",0,OFFSET(Vectors!$D$6,Vectors!A45,MATCH(Swap_In,lstInterestRates,0)))</f>
        <v>6.3744000000000051E-2</v>
      </c>
      <c r="AG45" s="62">
        <f t="shared" ca="1" si="29"/>
        <v>322941.22932636831</v>
      </c>
      <c r="AH45" s="69">
        <f ca="1">IF(Swap_Active="No",0,OFFSET(Vectors!$D$6,Vectors!A45,MATCH(Swap_Out,lstInterestRates,0)))</f>
        <v>0.04</v>
      </c>
      <c r="AI45" s="62">
        <f t="shared" ca="1" si="30"/>
        <v>202648.86378411649</v>
      </c>
      <c r="AJ45" s="62">
        <f t="shared" ca="1" si="31"/>
        <v>120292.36554225182</v>
      </c>
      <c r="AK45" s="62">
        <f t="shared" ca="1" si="32"/>
        <v>1278193.9710758133</v>
      </c>
      <c r="AL45" s="121"/>
      <c r="AM45" s="123">
        <f t="shared" ca="1" si="13"/>
        <v>173241.39251406374</v>
      </c>
      <c r="AN45" s="124">
        <f t="shared" ca="1" si="33"/>
        <v>173241.39251406374</v>
      </c>
      <c r="AO45" s="125">
        <f t="shared" ca="1" si="34"/>
        <v>0</v>
      </c>
      <c r="AP45" s="123">
        <f t="shared" ca="1" si="35"/>
        <v>1104952.5785617495</v>
      </c>
      <c r="AQ45" s="121"/>
      <c r="AR45" s="126">
        <f ca="1">IF(LiabIntType1="Fixed",LiabFxdRate1,OFFSET(Vectors!$D$6,Vectors!A45,MATCH(LiabLoanIndex1,lstInterestRates,0))+LiabMarg1)</f>
        <v>7.3744000000000046E-2</v>
      </c>
      <c r="AS45" s="122">
        <f t="shared" ca="1" si="36"/>
        <v>430244.05225176993</v>
      </c>
      <c r="AT45" s="124">
        <f t="shared" ca="1" si="37"/>
        <v>430244.05225176993</v>
      </c>
      <c r="AU45" s="123">
        <f t="shared" ca="1" si="38"/>
        <v>0</v>
      </c>
      <c r="AV45" s="123">
        <f t="shared" ca="1" si="14"/>
        <v>0</v>
      </c>
      <c r="AW45" s="123">
        <f t="shared" ca="1" si="39"/>
        <v>0</v>
      </c>
      <c r="AX45" s="124">
        <f t="shared" ca="1" si="40"/>
        <v>674708.52630997961</v>
      </c>
      <c r="AY45" s="121"/>
      <c r="AZ45" s="122">
        <f t="shared" ca="1" si="15"/>
        <v>674708.52630997961</v>
      </c>
      <c r="BA45" s="124">
        <f t="shared" ca="1" si="41"/>
        <v>674708.52630997961</v>
      </c>
      <c r="BB45" s="123">
        <f t="shared" ca="1" si="42"/>
        <v>0</v>
      </c>
      <c r="BC45" s="123">
        <f t="shared" ca="1" si="16"/>
        <v>0</v>
      </c>
      <c r="BD45" s="123">
        <f t="shared" ca="1" si="43"/>
        <v>0</v>
      </c>
      <c r="BE45" s="124">
        <f t="shared" ca="1" si="44"/>
        <v>0</v>
      </c>
      <c r="BF45" s="121"/>
      <c r="BG45" s="123">
        <f t="shared" si="17"/>
        <v>1000000</v>
      </c>
      <c r="BH45" s="123">
        <f t="shared" ca="1" si="45"/>
        <v>1000000</v>
      </c>
      <c r="BI45" s="123">
        <f t="shared" ca="1" si="46"/>
        <v>0</v>
      </c>
      <c r="BJ45" s="123">
        <f t="shared" ca="1" si="47"/>
        <v>0</v>
      </c>
      <c r="BK45" s="123">
        <f t="shared" ca="1" si="4"/>
        <v>1000000</v>
      </c>
      <c r="BL45" s="123">
        <f t="shared" ca="1" si="48"/>
        <v>0</v>
      </c>
      <c r="BM45" s="121"/>
      <c r="BN45" s="126">
        <f ca="1">IF(LiabIntType2="Fixed",LiabFxdRate2,OFFSET(Vectors!$D$6,Vectors!A45,MATCH(LiabLoanIndex2,lstInterestRates,0))+LiabMarg2)</f>
        <v>0.04</v>
      </c>
      <c r="BO45" s="122">
        <f t="shared" ca="1" si="49"/>
        <v>34119.905847872607</v>
      </c>
      <c r="BP45" s="124">
        <f t="shared" ca="1" si="50"/>
        <v>0</v>
      </c>
      <c r="BQ45" s="123">
        <f t="shared" ca="1" si="51"/>
        <v>34119.905847872607</v>
      </c>
      <c r="BR45" s="123">
        <f t="shared" ca="1" si="52"/>
        <v>0</v>
      </c>
      <c r="BS45" s="121"/>
      <c r="BT45" s="123">
        <f t="shared" ca="1" si="18"/>
        <v>52420.51455589883</v>
      </c>
      <c r="BU45" s="123">
        <f t="shared" ca="1" si="53"/>
        <v>0</v>
      </c>
      <c r="BV45" s="123">
        <f t="shared" ca="1" si="54"/>
        <v>52420.51455589883</v>
      </c>
      <c r="BW45" s="123">
        <f t="shared" ca="1" si="55"/>
        <v>0</v>
      </c>
      <c r="BX45" s="121"/>
      <c r="BY45" s="123">
        <f t="shared" si="56"/>
        <v>0</v>
      </c>
      <c r="BZ45" s="123">
        <f t="shared" ca="1" si="57"/>
        <v>0</v>
      </c>
      <c r="CA45" s="121"/>
      <c r="CB45" s="122">
        <f t="shared" ca="1" si="5"/>
        <v>69336799.216980815</v>
      </c>
      <c r="CC45" s="122">
        <f t="shared" ca="1" si="58"/>
        <v>430244.05225176993</v>
      </c>
      <c r="CD45" s="124">
        <f t="shared" ca="1" si="59"/>
        <v>674708.52630997961</v>
      </c>
      <c r="CE45" s="121"/>
      <c r="CF45" s="122">
        <f t="shared" ca="1" si="6"/>
        <v>10235971.754361782</v>
      </c>
      <c r="CG45" s="124">
        <f t="shared" ca="1" si="60"/>
        <v>0</v>
      </c>
      <c r="CH45" s="123">
        <f t="shared" ca="1" si="61"/>
        <v>0</v>
      </c>
      <c r="CI45" s="121"/>
      <c r="CJ45" s="123">
        <f t="shared" ca="1" si="62"/>
        <v>1480842.8348599297</v>
      </c>
      <c r="CK45" s="123">
        <f t="shared" ca="1" si="63"/>
        <v>1480842.8348599297</v>
      </c>
      <c r="CL45" s="123">
        <f t="shared" ca="1" si="64"/>
        <v>0</v>
      </c>
      <c r="CM45" s="121"/>
      <c r="CN45" s="62">
        <f t="shared" ca="1" si="65"/>
        <v>511274.4162389448</v>
      </c>
      <c r="CO45" s="62" t="b">
        <f t="shared" si="66"/>
        <v>1</v>
      </c>
      <c r="CP45" s="126">
        <f t="shared" ca="1" si="67"/>
        <v>1.0833333333333344E-3</v>
      </c>
      <c r="CQ45" s="120"/>
      <c r="CR45" s="120"/>
      <c r="CS45" s="120"/>
      <c r="CT45" s="120"/>
      <c r="CU45" s="120"/>
      <c r="CV45" s="120"/>
      <c r="CW45" s="120"/>
      <c r="CX45" s="120"/>
      <c r="CY45" s="120"/>
      <c r="CZ45" s="120"/>
      <c r="DA45" s="120"/>
      <c r="DB45" s="120"/>
      <c r="DC45" s="120"/>
      <c r="DD45" s="120"/>
      <c r="DE45" s="116"/>
      <c r="DF45" s="116"/>
      <c r="DG45" s="116"/>
      <c r="DH45" s="116"/>
      <c r="DI45" s="116"/>
      <c r="DJ45" s="116"/>
      <c r="DK45" s="116"/>
      <c r="DL45" s="116"/>
      <c r="DM45" s="116"/>
      <c r="DN45" s="116"/>
    </row>
    <row r="46" spans="1:118" x14ac:dyDescent="0.2">
      <c r="A46" s="27">
        <v>40</v>
      </c>
      <c r="B46" s="29">
        <f t="shared" si="0"/>
        <v>40330</v>
      </c>
      <c r="C46" s="30">
        <f t="shared" si="1"/>
        <v>8.3333333333333329E-2</v>
      </c>
      <c r="D46" s="55"/>
      <c r="E46" s="62">
        <f t="shared" ca="1" si="19"/>
        <v>97536073.68895781</v>
      </c>
      <c r="F46" s="63">
        <f ca="1">IF(AssetIntType1="Fixed",AssetFxdRate1,IF(A46=1,OFFSET(Vectors!$D$6,A46,MATCH(AssetFltIndx1,lstInterestRates,0)),IF(MOD($A46,AssetRateReset1)=0,MAX(MIN(OFFSET(Vectors!$D$6,A46,MATCH(AssetFltIndx1,lstInterestRates,0)),(F45-AssetMarg1)+AssetPdCapFl1,AssetLifeCap1-AssetMarg1),(F45-AssetMarg1)-AssetPdCapFl1,AssetLifeFloor1-AssetMarg1),F45)))+AssetMarg1</f>
        <v>0.09</v>
      </c>
      <c r="G46" s="62">
        <f t="shared" ca="1" si="7"/>
        <v>804622.61694478267</v>
      </c>
      <c r="H46" s="62">
        <f t="shared" ca="1" si="20"/>
        <v>731520.55266718357</v>
      </c>
      <c r="I46" s="62">
        <f t="shared" ca="1" si="21"/>
        <v>73102.0642775991</v>
      </c>
      <c r="J46" s="62">
        <f t="shared" ca="1" si="2"/>
        <v>97462971.624680206</v>
      </c>
      <c r="K46" s="55"/>
      <c r="L46" s="62">
        <f t="shared" ca="1" si="22"/>
        <v>85930684.156376615</v>
      </c>
      <c r="M46" s="68">
        <f ca="1">IF(pdrLossTime1="",OFFSET(Vectors!$AE$6,A46+_Age1,MATCH(SDA_Loss,lstSDA,0)),OFFSET(Vectors!$X$6,A46+_Age1,MATCH(pdrLossTime1,lstDefaultCurve,0)))</f>
        <v>2.7777777777777779E-5</v>
      </c>
      <c r="N46" s="62">
        <f t="shared" ca="1" si="8"/>
        <v>2777.7777777777778</v>
      </c>
      <c r="O46" s="67">
        <f t="shared" ca="1" si="23"/>
        <v>0.97462971624680206</v>
      </c>
      <c r="P46" s="68">
        <f ca="1">OFFSET(Vectors!$L$6,A46+_Age1,MATCH(pdrPrepay1,lstPrepayCurve,0))*pdrPrepayStress1</f>
        <v>5.1430128318229462E-3</v>
      </c>
      <c r="Q46" s="62">
        <f t="shared" ca="1" si="24"/>
        <v>441611.38081770786</v>
      </c>
      <c r="R46" s="62">
        <f t="shared" ca="1" si="25"/>
        <v>64401.888427049271</v>
      </c>
      <c r="S46" s="69">
        <f t="shared" ca="1" si="26"/>
        <v>0.09</v>
      </c>
      <c r="T46" s="62">
        <f t="shared" ca="1" si="27"/>
        <v>644459.29783949128</v>
      </c>
      <c r="U46" s="62">
        <f t="shared" ca="1" si="9"/>
        <v>1111.1111111111111</v>
      </c>
      <c r="V46" s="62">
        <f t="shared" ca="1" si="3"/>
        <v>85421893.109354079</v>
      </c>
      <c r="W46" s="55"/>
      <c r="X46" s="62">
        <f t="shared" ca="1" si="28"/>
        <v>1151583.6781953594</v>
      </c>
      <c r="Y46" s="55"/>
      <c r="Z46" s="118" t="b">
        <v>0</v>
      </c>
      <c r="AA46" s="120" t="b">
        <f t="shared" si="10"/>
        <v>0</v>
      </c>
      <c r="AB46" s="120" t="b">
        <f t="shared" si="11"/>
        <v>1</v>
      </c>
      <c r="AC46" s="120" t="b">
        <f t="shared" ca="1" si="12"/>
        <v>0</v>
      </c>
      <c r="AD46" s="121"/>
      <c r="AE46" s="129">
        <v>60079397.467959717</v>
      </c>
      <c r="AF46" s="69">
        <f ca="1">IF(Swap_Active="No",0,OFFSET(Vectors!$D$6,Vectors!A46,MATCH(Swap_In,lstInterestRates,0)))</f>
        <v>6.4369000000000051E-2</v>
      </c>
      <c r="AG46" s="62">
        <f t="shared" ca="1" si="29"/>
        <v>322270.89463459182</v>
      </c>
      <c r="AH46" s="69">
        <f ca="1">IF(Swap_Active="No",0,OFFSET(Vectors!$D$6,Vectors!A46,MATCH(Swap_Out,lstInterestRates,0)))</f>
        <v>0.04</v>
      </c>
      <c r="AI46" s="62">
        <f t="shared" ca="1" si="30"/>
        <v>200264.6582265324</v>
      </c>
      <c r="AJ46" s="62">
        <f t="shared" ca="1" si="31"/>
        <v>122006.23640805943</v>
      </c>
      <c r="AK46" s="62">
        <f t="shared" ca="1" si="32"/>
        <v>1273589.9146034189</v>
      </c>
      <c r="AL46" s="121"/>
      <c r="AM46" s="123">
        <f t="shared" ca="1" si="13"/>
        <v>172108.13993436968</v>
      </c>
      <c r="AN46" s="124">
        <f t="shared" ca="1" si="33"/>
        <v>172108.13993436968</v>
      </c>
      <c r="AO46" s="125">
        <f t="shared" ca="1" si="34"/>
        <v>0</v>
      </c>
      <c r="AP46" s="123">
        <f t="shared" ca="1" si="35"/>
        <v>1101481.7746690493</v>
      </c>
      <c r="AQ46" s="121"/>
      <c r="AR46" s="126">
        <f ca="1">IF(LiabIntType1="Fixed",LiabFxdRate1,OFFSET(Vectors!$D$6,Vectors!A46,MATCH(LiabLoanIndex1,lstInterestRates,0))+LiabMarg1)</f>
        <v>7.4369000000000046E-2</v>
      </c>
      <c r="AS46" s="122">
        <f t="shared" ca="1" si="36"/>
        <v>429709.03508063743</v>
      </c>
      <c r="AT46" s="124">
        <f t="shared" ca="1" si="37"/>
        <v>429709.03508063743</v>
      </c>
      <c r="AU46" s="123">
        <f t="shared" ca="1" si="38"/>
        <v>0</v>
      </c>
      <c r="AV46" s="123">
        <f t="shared" ca="1" si="14"/>
        <v>0</v>
      </c>
      <c r="AW46" s="123">
        <f t="shared" ca="1" si="39"/>
        <v>0</v>
      </c>
      <c r="AX46" s="124">
        <f t="shared" ca="1" si="40"/>
        <v>671772.73958841187</v>
      </c>
      <c r="AY46" s="121"/>
      <c r="AZ46" s="122">
        <f t="shared" ca="1" si="15"/>
        <v>671772.73958841187</v>
      </c>
      <c r="BA46" s="124">
        <f t="shared" ca="1" si="41"/>
        <v>671772.73958841187</v>
      </c>
      <c r="BB46" s="123">
        <f t="shared" ca="1" si="42"/>
        <v>0</v>
      </c>
      <c r="BC46" s="123">
        <f t="shared" ca="1" si="16"/>
        <v>0</v>
      </c>
      <c r="BD46" s="123">
        <f t="shared" ca="1" si="43"/>
        <v>0</v>
      </c>
      <c r="BE46" s="124">
        <f t="shared" ca="1" si="44"/>
        <v>0</v>
      </c>
      <c r="BF46" s="121"/>
      <c r="BG46" s="123">
        <f t="shared" si="17"/>
        <v>1000000</v>
      </c>
      <c r="BH46" s="123">
        <f t="shared" ca="1" si="45"/>
        <v>1000000</v>
      </c>
      <c r="BI46" s="123">
        <f t="shared" ca="1" si="46"/>
        <v>0</v>
      </c>
      <c r="BJ46" s="123">
        <f t="shared" ca="1" si="47"/>
        <v>0</v>
      </c>
      <c r="BK46" s="123">
        <f t="shared" ca="1" si="4"/>
        <v>1000000</v>
      </c>
      <c r="BL46" s="123">
        <f t="shared" ca="1" si="48"/>
        <v>0</v>
      </c>
      <c r="BM46" s="121"/>
      <c r="BN46" s="126">
        <f ca="1">IF(LiabIntType2="Fixed",LiabFxdRate2,OFFSET(Vectors!$D$6,Vectors!A46,MATCH(LiabLoanIndex2,lstInterestRates,0))+LiabMarg2)</f>
        <v>0.04</v>
      </c>
      <c r="BO46" s="122">
        <f t="shared" ca="1" si="49"/>
        <v>34119.905847872607</v>
      </c>
      <c r="BP46" s="124">
        <f t="shared" ca="1" si="50"/>
        <v>0</v>
      </c>
      <c r="BQ46" s="123">
        <f t="shared" ca="1" si="51"/>
        <v>34119.905847872607</v>
      </c>
      <c r="BR46" s="123">
        <f t="shared" ca="1" si="52"/>
        <v>0</v>
      </c>
      <c r="BS46" s="121"/>
      <c r="BT46" s="123">
        <f t="shared" ca="1" si="18"/>
        <v>52165.896902400505</v>
      </c>
      <c r="BU46" s="123">
        <f t="shared" ca="1" si="53"/>
        <v>0</v>
      </c>
      <c r="BV46" s="123">
        <f t="shared" ca="1" si="54"/>
        <v>52165.896902400505</v>
      </c>
      <c r="BW46" s="123">
        <f t="shared" ca="1" si="55"/>
        <v>0</v>
      </c>
      <c r="BX46" s="121"/>
      <c r="BY46" s="123">
        <f t="shared" si="56"/>
        <v>0</v>
      </c>
      <c r="BZ46" s="123">
        <f t="shared" ca="1" si="57"/>
        <v>0</v>
      </c>
      <c r="CA46" s="121"/>
      <c r="CB46" s="122">
        <f t="shared" ca="1" si="5"/>
        <v>68665026.477392405</v>
      </c>
      <c r="CC46" s="122">
        <f t="shared" ca="1" si="58"/>
        <v>429709.03508063743</v>
      </c>
      <c r="CD46" s="124">
        <f t="shared" ca="1" si="59"/>
        <v>671772.73958841187</v>
      </c>
      <c r="CE46" s="121"/>
      <c r="CF46" s="122">
        <f t="shared" ca="1" si="6"/>
        <v>10235971.754361782</v>
      </c>
      <c r="CG46" s="124">
        <f t="shared" ca="1" si="60"/>
        <v>0</v>
      </c>
      <c r="CH46" s="123">
        <f t="shared" ca="1" si="61"/>
        <v>0</v>
      </c>
      <c r="CI46" s="121"/>
      <c r="CJ46" s="123">
        <f t="shared" ca="1" si="62"/>
        <v>1473854.5728299513</v>
      </c>
      <c r="CK46" s="123">
        <f t="shared" ca="1" si="63"/>
        <v>1473854.5728299515</v>
      </c>
      <c r="CL46" s="123">
        <f t="shared" ca="1" si="64"/>
        <v>0</v>
      </c>
      <c r="CM46" s="121"/>
      <c r="CN46" s="62">
        <f t="shared" ca="1" si="65"/>
        <v>508791.04702253488</v>
      </c>
      <c r="CO46" s="62" t="b">
        <f t="shared" si="66"/>
        <v>1</v>
      </c>
      <c r="CP46" s="126">
        <f t="shared" ca="1" si="67"/>
        <v>1.1111111111111122E-3</v>
      </c>
      <c r="CQ46" s="120"/>
      <c r="CR46" s="120"/>
      <c r="CS46" s="120"/>
      <c r="CT46" s="120"/>
      <c r="CU46" s="120"/>
      <c r="CV46" s="120"/>
      <c r="CW46" s="120"/>
      <c r="CX46" s="120"/>
      <c r="CY46" s="120"/>
      <c r="CZ46" s="120"/>
      <c r="DA46" s="120"/>
      <c r="DB46" s="120"/>
      <c r="DC46" s="120"/>
      <c r="DD46" s="120"/>
      <c r="DE46" s="116"/>
      <c r="DF46" s="116"/>
      <c r="DG46" s="116"/>
      <c r="DH46" s="116"/>
      <c r="DI46" s="116"/>
      <c r="DJ46" s="116"/>
      <c r="DK46" s="116"/>
      <c r="DL46" s="116"/>
      <c r="DM46" s="116"/>
      <c r="DN46" s="116"/>
    </row>
    <row r="47" spans="1:118" x14ac:dyDescent="0.2">
      <c r="A47" s="27">
        <v>41</v>
      </c>
      <c r="B47" s="29">
        <f t="shared" si="0"/>
        <v>40360</v>
      </c>
      <c r="C47" s="30">
        <f t="shared" si="1"/>
        <v>8.3333333333333329E-2</v>
      </c>
      <c r="D47" s="55"/>
      <c r="E47" s="62">
        <f t="shared" ca="1" si="19"/>
        <v>97462971.624680206</v>
      </c>
      <c r="F47" s="63">
        <f ca="1">IF(AssetIntType1="Fixed",AssetFxdRate1,IF(A47=1,OFFSET(Vectors!$D$6,A47,MATCH(AssetFltIndx1,lstInterestRates,0)),IF(MOD($A47,AssetRateReset1)=0,MAX(MIN(OFFSET(Vectors!$D$6,A47,MATCH(AssetFltIndx1,lstInterestRates,0)),(F46-AssetMarg1)+AssetPdCapFl1,AssetLifeCap1-AssetMarg1),(F46-AssetMarg1)-AssetPdCapFl1,AssetLifeFloor1-AssetMarg1),F46)))+AssetMarg1</f>
        <v>0.09</v>
      </c>
      <c r="G47" s="62">
        <f t="shared" ca="1" si="7"/>
        <v>804622.61694478267</v>
      </c>
      <c r="H47" s="62">
        <f t="shared" ca="1" si="20"/>
        <v>730972.28718510154</v>
      </c>
      <c r="I47" s="62">
        <f t="shared" ca="1" si="21"/>
        <v>73650.329759681132</v>
      </c>
      <c r="J47" s="62">
        <f t="shared" ca="1" si="2"/>
        <v>97389321.294920519</v>
      </c>
      <c r="K47" s="55"/>
      <c r="L47" s="62">
        <f t="shared" ca="1" si="22"/>
        <v>85421893.109354079</v>
      </c>
      <c r="M47" s="68">
        <f ca="1">IF(pdrLossTime1="",OFFSET(Vectors!$AE$6,A47+_Age1,MATCH(SDA_Loss,lstSDA,0)),OFFSET(Vectors!$X$6,A47+_Age1,MATCH(pdrLossTime1,lstDefaultCurve,0)))</f>
        <v>2.7777777777777779E-5</v>
      </c>
      <c r="N47" s="62">
        <f t="shared" ca="1" si="8"/>
        <v>2777.7777777777778</v>
      </c>
      <c r="O47" s="67">
        <f t="shared" ca="1" si="23"/>
        <v>0.97389321294920517</v>
      </c>
      <c r="P47" s="68">
        <f ca="1">OFFSET(Vectors!$L$6,A47+_Age1,MATCH(pdrPrepay1,lstPrepayCurve,0))*pdrPrepayStress1</f>
        <v>5.1430128318229462E-3</v>
      </c>
      <c r="Q47" s="62">
        <f t="shared" ca="1" si="24"/>
        <v>438993.9047922545</v>
      </c>
      <c r="R47" s="62">
        <f t="shared" ca="1" si="25"/>
        <v>64549.088818864657</v>
      </c>
      <c r="S47" s="69">
        <f t="shared" ca="1" si="26"/>
        <v>0.09</v>
      </c>
      <c r="T47" s="62">
        <f t="shared" ca="1" si="27"/>
        <v>640643.36498682224</v>
      </c>
      <c r="U47" s="62">
        <f t="shared" ca="1" si="9"/>
        <v>1111.1111111111111</v>
      </c>
      <c r="V47" s="62">
        <f t="shared" ca="1" si="3"/>
        <v>84915572.33796519</v>
      </c>
      <c r="W47" s="55"/>
      <c r="X47" s="62">
        <f t="shared" ca="1" si="28"/>
        <v>1145297.4697090525</v>
      </c>
      <c r="Y47" s="55"/>
      <c r="Z47" s="118" t="b">
        <v>0</v>
      </c>
      <c r="AA47" s="120" t="b">
        <f t="shared" si="10"/>
        <v>0</v>
      </c>
      <c r="AB47" s="120" t="b">
        <f t="shared" si="11"/>
        <v>1</v>
      </c>
      <c r="AC47" s="120" t="b">
        <f t="shared" ca="1" si="12"/>
        <v>0</v>
      </c>
      <c r="AD47" s="121"/>
      <c r="AE47" s="129">
        <v>59371414.668235727</v>
      </c>
      <c r="AF47" s="69">
        <f ca="1">IF(Swap_Active="No",0,OFFSET(Vectors!$D$6,Vectors!A47,MATCH(Swap_In,lstInterestRates,0)))</f>
        <v>6.4994000000000052E-2</v>
      </c>
      <c r="AG47" s="62">
        <f t="shared" ca="1" si="29"/>
        <v>321565.47707894299</v>
      </c>
      <c r="AH47" s="69">
        <f ca="1">IF(Swap_Active="No",0,OFFSET(Vectors!$D$6,Vectors!A47,MATCH(Swap_Out,lstInterestRates,0)))</f>
        <v>0.04</v>
      </c>
      <c r="AI47" s="62">
        <f t="shared" ca="1" si="30"/>
        <v>197904.71556078576</v>
      </c>
      <c r="AJ47" s="62">
        <f t="shared" ca="1" si="31"/>
        <v>123660.76151815723</v>
      </c>
      <c r="AK47" s="62">
        <f t="shared" ca="1" si="32"/>
        <v>1268958.2312272098</v>
      </c>
      <c r="AL47" s="121"/>
      <c r="AM47" s="123">
        <f t="shared" ca="1" si="13"/>
        <v>170980.24954783695</v>
      </c>
      <c r="AN47" s="124">
        <f t="shared" ca="1" si="33"/>
        <v>170980.24954783695</v>
      </c>
      <c r="AO47" s="125">
        <f t="shared" ca="1" si="34"/>
        <v>0</v>
      </c>
      <c r="AP47" s="123">
        <f t="shared" ca="1" si="35"/>
        <v>1097977.981679373</v>
      </c>
      <c r="AQ47" s="121"/>
      <c r="AR47" s="126">
        <f ca="1">IF(LiabIntType1="Fixed",LiabFxdRate1,OFFSET(Vectors!$D$6,Vectors!A47,MATCH(LiabLoanIndex1,lstInterestRates,0))+LiabMarg1)</f>
        <v>7.4994000000000047E-2</v>
      </c>
      <c r="AS47" s="122">
        <f t="shared" ca="1" si="36"/>
        <v>429122.08297046408</v>
      </c>
      <c r="AT47" s="124">
        <f t="shared" ca="1" si="37"/>
        <v>429122.08297046408</v>
      </c>
      <c r="AU47" s="123">
        <f t="shared" ca="1" si="38"/>
        <v>0</v>
      </c>
      <c r="AV47" s="123">
        <f t="shared" ca="1" si="14"/>
        <v>0</v>
      </c>
      <c r="AW47" s="123">
        <f t="shared" ca="1" si="39"/>
        <v>0</v>
      </c>
      <c r="AX47" s="124">
        <f t="shared" ca="1" si="40"/>
        <v>668855.89870890882</v>
      </c>
      <c r="AY47" s="121"/>
      <c r="AZ47" s="122">
        <f t="shared" ca="1" si="15"/>
        <v>668855.89870890882</v>
      </c>
      <c r="BA47" s="124">
        <f t="shared" ca="1" si="41"/>
        <v>668855.89870890882</v>
      </c>
      <c r="BB47" s="123">
        <f t="shared" ca="1" si="42"/>
        <v>0</v>
      </c>
      <c r="BC47" s="123">
        <f t="shared" ca="1" si="16"/>
        <v>0</v>
      </c>
      <c r="BD47" s="123">
        <f t="shared" ca="1" si="43"/>
        <v>0</v>
      </c>
      <c r="BE47" s="124">
        <f t="shared" ca="1" si="44"/>
        <v>0</v>
      </c>
      <c r="BF47" s="121"/>
      <c r="BG47" s="123">
        <f t="shared" si="17"/>
        <v>1000000</v>
      </c>
      <c r="BH47" s="123">
        <f t="shared" ca="1" si="45"/>
        <v>1000000</v>
      </c>
      <c r="BI47" s="123">
        <f t="shared" ca="1" si="46"/>
        <v>0</v>
      </c>
      <c r="BJ47" s="123">
        <f t="shared" ca="1" si="47"/>
        <v>0</v>
      </c>
      <c r="BK47" s="123">
        <f t="shared" ca="1" si="4"/>
        <v>1000000</v>
      </c>
      <c r="BL47" s="123">
        <f t="shared" ca="1" si="48"/>
        <v>0</v>
      </c>
      <c r="BM47" s="121"/>
      <c r="BN47" s="126">
        <f ca="1">IF(LiabIntType2="Fixed",LiabFxdRate2,OFFSET(Vectors!$D$6,Vectors!A47,MATCH(LiabLoanIndex2,lstInterestRates,0))+LiabMarg2)</f>
        <v>0.04</v>
      </c>
      <c r="BO47" s="122">
        <f t="shared" ca="1" si="49"/>
        <v>34119.905847872607</v>
      </c>
      <c r="BP47" s="124">
        <f t="shared" ca="1" si="50"/>
        <v>0</v>
      </c>
      <c r="BQ47" s="123">
        <f t="shared" ca="1" si="51"/>
        <v>34119.905847872607</v>
      </c>
      <c r="BR47" s="123">
        <f t="shared" ca="1" si="52"/>
        <v>0</v>
      </c>
      <c r="BS47" s="121"/>
      <c r="BT47" s="123">
        <f t="shared" ca="1" si="18"/>
        <v>51912.621722385076</v>
      </c>
      <c r="BU47" s="123">
        <f t="shared" ca="1" si="53"/>
        <v>0</v>
      </c>
      <c r="BV47" s="123">
        <f t="shared" ca="1" si="54"/>
        <v>51912.621722385076</v>
      </c>
      <c r="BW47" s="123">
        <f t="shared" ca="1" si="55"/>
        <v>0</v>
      </c>
      <c r="BX47" s="121"/>
      <c r="BY47" s="123">
        <f t="shared" si="56"/>
        <v>0</v>
      </c>
      <c r="BZ47" s="123">
        <f t="shared" ca="1" si="57"/>
        <v>0</v>
      </c>
      <c r="CA47" s="121"/>
      <c r="CB47" s="122">
        <f t="shared" ca="1" si="5"/>
        <v>67996170.578683496</v>
      </c>
      <c r="CC47" s="122">
        <f t="shared" ca="1" si="58"/>
        <v>429122.08297046408</v>
      </c>
      <c r="CD47" s="124">
        <f t="shared" ca="1" si="59"/>
        <v>668855.89870890882</v>
      </c>
      <c r="CE47" s="121"/>
      <c r="CF47" s="122">
        <f t="shared" ca="1" si="6"/>
        <v>10235971.754361782</v>
      </c>
      <c r="CG47" s="124">
        <f t="shared" ca="1" si="60"/>
        <v>0</v>
      </c>
      <c r="CH47" s="123">
        <f t="shared" ca="1" si="61"/>
        <v>0</v>
      </c>
      <c r="CI47" s="121"/>
      <c r="CJ47" s="123">
        <f t="shared" ca="1" si="62"/>
        <v>1466862.9467879955</v>
      </c>
      <c r="CK47" s="123">
        <f t="shared" ca="1" si="63"/>
        <v>1466862.9467879955</v>
      </c>
      <c r="CL47" s="123">
        <f t="shared" ca="1" si="64"/>
        <v>0</v>
      </c>
      <c r="CM47" s="121"/>
      <c r="CN47" s="62">
        <f t="shared" ca="1" si="65"/>
        <v>506320.77138889692</v>
      </c>
      <c r="CO47" s="62" t="b">
        <f t="shared" si="66"/>
        <v>1</v>
      </c>
      <c r="CP47" s="126">
        <f t="shared" ca="1" si="67"/>
        <v>1.13888888888889E-3</v>
      </c>
      <c r="CQ47" s="120"/>
      <c r="CR47" s="120"/>
      <c r="CS47" s="120"/>
      <c r="CT47" s="120"/>
      <c r="CU47" s="120"/>
      <c r="CV47" s="120"/>
      <c r="CW47" s="120"/>
      <c r="CX47" s="120"/>
      <c r="CY47" s="120"/>
      <c r="CZ47" s="120"/>
      <c r="DA47" s="120"/>
      <c r="DB47" s="120"/>
      <c r="DC47" s="120"/>
      <c r="DD47" s="120"/>
      <c r="DE47" s="116"/>
      <c r="DF47" s="116"/>
      <c r="DG47" s="116"/>
      <c r="DH47" s="116"/>
      <c r="DI47" s="116"/>
      <c r="DJ47" s="116"/>
      <c r="DK47" s="116"/>
      <c r="DL47" s="116"/>
      <c r="DM47" s="116"/>
      <c r="DN47" s="116"/>
    </row>
    <row r="48" spans="1:118" x14ac:dyDescent="0.2">
      <c r="A48" s="27">
        <v>42</v>
      </c>
      <c r="B48" s="29">
        <f t="shared" si="0"/>
        <v>40391</v>
      </c>
      <c r="C48" s="30">
        <f t="shared" si="1"/>
        <v>8.3333333333333329E-2</v>
      </c>
      <c r="D48" s="55"/>
      <c r="E48" s="62">
        <f t="shared" ca="1" si="19"/>
        <v>97389321.294920519</v>
      </c>
      <c r="F48" s="63">
        <f ca="1">IF(AssetIntType1="Fixed",AssetFxdRate1,IF(A48=1,OFFSET(Vectors!$D$6,A48,MATCH(AssetFltIndx1,lstInterestRates,0)),IF(MOD($A48,AssetRateReset1)=0,MAX(MIN(OFFSET(Vectors!$D$6,A48,MATCH(AssetFltIndx1,lstInterestRates,0)),(F47-AssetMarg1)+AssetPdCapFl1,AssetLifeCap1-AssetMarg1),(F47-AssetMarg1)-AssetPdCapFl1,AssetLifeFloor1-AssetMarg1),F47)))+AssetMarg1</f>
        <v>0.09</v>
      </c>
      <c r="G48" s="62">
        <f t="shared" ca="1" si="7"/>
        <v>804622.61694478267</v>
      </c>
      <c r="H48" s="62">
        <f t="shared" ca="1" si="20"/>
        <v>730419.90971190389</v>
      </c>
      <c r="I48" s="62">
        <f t="shared" ca="1" si="21"/>
        <v>74202.707232878776</v>
      </c>
      <c r="J48" s="62">
        <f t="shared" ca="1" si="2"/>
        <v>97315118.587687641</v>
      </c>
      <c r="K48" s="55"/>
      <c r="L48" s="62">
        <f t="shared" ca="1" si="22"/>
        <v>84915572.33796519</v>
      </c>
      <c r="M48" s="68">
        <f ca="1">IF(pdrLossTime1="",OFFSET(Vectors!$AE$6,A48+_Age1,MATCH(SDA_Loss,lstSDA,0)),OFFSET(Vectors!$X$6,A48+_Age1,MATCH(pdrLossTime1,lstDefaultCurve,0)))</f>
        <v>2.7777777777777779E-5</v>
      </c>
      <c r="N48" s="62">
        <f t="shared" ca="1" si="8"/>
        <v>2777.7777777777778</v>
      </c>
      <c r="O48" s="67">
        <f t="shared" ca="1" si="23"/>
        <v>0.97315118587687643</v>
      </c>
      <c r="P48" s="68">
        <f ca="1">OFFSET(Vectors!$L$6,A48+_Age1,MATCH(pdrPrepay1,lstPrepayCurve,0))*pdrPrepayStress1</f>
        <v>5.1430128318229462E-3</v>
      </c>
      <c r="Q48" s="62">
        <f t="shared" ca="1" si="24"/>
        <v>436389.13175977318</v>
      </c>
      <c r="R48" s="62">
        <f t="shared" ca="1" si="25"/>
        <v>64696.6130505642</v>
      </c>
      <c r="S48" s="69">
        <f t="shared" ca="1" si="26"/>
        <v>0.09</v>
      </c>
      <c r="T48" s="62">
        <f t="shared" ca="1" si="27"/>
        <v>636845.95920140564</v>
      </c>
      <c r="U48" s="62">
        <f t="shared" ca="1" si="9"/>
        <v>1111.1111111111111</v>
      </c>
      <c r="V48" s="62">
        <f t="shared" ca="1" si="3"/>
        <v>84411708.815377071</v>
      </c>
      <c r="W48" s="55"/>
      <c r="X48" s="62">
        <f t="shared" ca="1" si="28"/>
        <v>1139042.815122854</v>
      </c>
      <c r="Y48" s="55"/>
      <c r="Z48" s="118" t="b">
        <v>0</v>
      </c>
      <c r="AA48" s="120" t="b">
        <f t="shared" si="10"/>
        <v>0</v>
      </c>
      <c r="AB48" s="120" t="b">
        <f t="shared" si="11"/>
        <v>1</v>
      </c>
      <c r="AC48" s="120" t="b">
        <f t="shared" ca="1" si="12"/>
        <v>0</v>
      </c>
      <c r="AD48" s="121"/>
      <c r="AE48" s="129">
        <v>58670637.622291453</v>
      </c>
      <c r="AF48" s="69">
        <f ca="1">IF(Swap_Active="No",0,OFFSET(Vectors!$D$6,Vectors!A48,MATCH(Swap_In,lstInterestRates,0)))</f>
        <v>6.5619000000000052E-2</v>
      </c>
      <c r="AG48" s="62">
        <f t="shared" ca="1" si="29"/>
        <v>320825.71417809546</v>
      </c>
      <c r="AH48" s="69">
        <f ca="1">IF(Swap_Active="No",0,OFFSET(Vectors!$D$6,Vectors!A48,MATCH(Swap_Out,lstInterestRates,0)))</f>
        <v>0.04</v>
      </c>
      <c r="AI48" s="62">
        <f t="shared" ca="1" si="30"/>
        <v>195568.79207430483</v>
      </c>
      <c r="AJ48" s="62">
        <f t="shared" ca="1" si="31"/>
        <v>125256.92210379062</v>
      </c>
      <c r="AK48" s="62">
        <f t="shared" ca="1" si="32"/>
        <v>1264299.7372266445</v>
      </c>
      <c r="AL48" s="121"/>
      <c r="AM48" s="123">
        <f t="shared" ca="1" si="13"/>
        <v>169857.69163772676</v>
      </c>
      <c r="AN48" s="124">
        <f t="shared" ca="1" si="33"/>
        <v>169857.69163772676</v>
      </c>
      <c r="AO48" s="125">
        <f t="shared" ca="1" si="34"/>
        <v>0</v>
      </c>
      <c r="AP48" s="123">
        <f t="shared" ca="1" si="35"/>
        <v>1094442.0455889178</v>
      </c>
      <c r="AQ48" s="121"/>
      <c r="AR48" s="126">
        <f ca="1">IF(LiabIntType1="Fixed",LiabFxdRate1,OFFSET(Vectors!$D$6,Vectors!A48,MATCH(LiabLoanIndex1,lstInterestRates,0))+LiabMarg1)</f>
        <v>7.5619000000000047E-2</v>
      </c>
      <c r="AS48" s="122">
        <f t="shared" ca="1" si="36"/>
        <v>428483.53524912253</v>
      </c>
      <c r="AT48" s="124">
        <f t="shared" ca="1" si="37"/>
        <v>428483.53524912253</v>
      </c>
      <c r="AU48" s="123">
        <f t="shared" ca="1" si="38"/>
        <v>0</v>
      </c>
      <c r="AV48" s="123">
        <f t="shared" ca="1" si="14"/>
        <v>0</v>
      </c>
      <c r="AW48" s="123">
        <f t="shared" ca="1" si="39"/>
        <v>0</v>
      </c>
      <c r="AX48" s="124">
        <f t="shared" ca="1" si="40"/>
        <v>665958.51033979526</v>
      </c>
      <c r="AY48" s="121"/>
      <c r="AZ48" s="122">
        <f t="shared" ca="1" si="15"/>
        <v>665958.51033979526</v>
      </c>
      <c r="BA48" s="124">
        <f t="shared" ca="1" si="41"/>
        <v>665958.51033979526</v>
      </c>
      <c r="BB48" s="123">
        <f t="shared" ca="1" si="42"/>
        <v>0</v>
      </c>
      <c r="BC48" s="123">
        <f t="shared" ca="1" si="16"/>
        <v>0</v>
      </c>
      <c r="BD48" s="123">
        <f t="shared" ca="1" si="43"/>
        <v>0</v>
      </c>
      <c r="BE48" s="124">
        <f t="shared" ca="1" si="44"/>
        <v>0</v>
      </c>
      <c r="BF48" s="121"/>
      <c r="BG48" s="123">
        <f t="shared" si="17"/>
        <v>1000000</v>
      </c>
      <c r="BH48" s="123">
        <f t="shared" ca="1" si="45"/>
        <v>1000000</v>
      </c>
      <c r="BI48" s="123">
        <f t="shared" ca="1" si="46"/>
        <v>0</v>
      </c>
      <c r="BJ48" s="123">
        <f t="shared" ca="1" si="47"/>
        <v>0</v>
      </c>
      <c r="BK48" s="123">
        <f t="shared" ca="1" si="4"/>
        <v>1000000</v>
      </c>
      <c r="BL48" s="123">
        <f t="shared" ca="1" si="48"/>
        <v>0</v>
      </c>
      <c r="BM48" s="121"/>
      <c r="BN48" s="126">
        <f ca="1">IF(LiabIntType2="Fixed",LiabFxdRate2,OFFSET(Vectors!$D$6,Vectors!A48,MATCH(LiabLoanIndex2,lstInterestRates,0))+LiabMarg2)</f>
        <v>0.04</v>
      </c>
      <c r="BO48" s="122">
        <f t="shared" ca="1" si="49"/>
        <v>34119.905847872607</v>
      </c>
      <c r="BP48" s="124">
        <f t="shared" ca="1" si="50"/>
        <v>0</v>
      </c>
      <c r="BQ48" s="123">
        <f t="shared" ca="1" si="51"/>
        <v>34119.905847872607</v>
      </c>
      <c r="BR48" s="123">
        <f t="shared" ca="1" si="52"/>
        <v>0</v>
      </c>
      <c r="BS48" s="121"/>
      <c r="BT48" s="123">
        <f t="shared" ca="1" si="18"/>
        <v>51660.682172042609</v>
      </c>
      <c r="BU48" s="123">
        <f t="shared" ca="1" si="53"/>
        <v>0</v>
      </c>
      <c r="BV48" s="123">
        <f t="shared" ca="1" si="54"/>
        <v>51660.682172042609</v>
      </c>
      <c r="BW48" s="123">
        <f t="shared" ca="1" si="55"/>
        <v>0</v>
      </c>
      <c r="BX48" s="121"/>
      <c r="BY48" s="123">
        <f t="shared" si="56"/>
        <v>0</v>
      </c>
      <c r="BZ48" s="123">
        <f t="shared" ca="1" si="57"/>
        <v>0</v>
      </c>
      <c r="CA48" s="121"/>
      <c r="CB48" s="122">
        <f t="shared" ca="1" si="5"/>
        <v>67330212.068343699</v>
      </c>
      <c r="CC48" s="122">
        <f t="shared" ca="1" si="58"/>
        <v>428483.53524912253</v>
      </c>
      <c r="CD48" s="124">
        <f t="shared" ca="1" si="59"/>
        <v>665958.51033979526</v>
      </c>
      <c r="CE48" s="121"/>
      <c r="CF48" s="122">
        <f t="shared" ca="1" si="6"/>
        <v>10235971.754361782</v>
      </c>
      <c r="CG48" s="124">
        <f t="shared" ca="1" si="60"/>
        <v>0</v>
      </c>
      <c r="CH48" s="123">
        <f t="shared" ca="1" si="61"/>
        <v>0</v>
      </c>
      <c r="CI48" s="121"/>
      <c r="CJ48" s="123">
        <f t="shared" ca="1" si="62"/>
        <v>1459868.5293009495</v>
      </c>
      <c r="CK48" s="123">
        <f t="shared" ca="1" si="63"/>
        <v>1459868.5293009495</v>
      </c>
      <c r="CL48" s="123">
        <f t="shared" ca="1" si="64"/>
        <v>0</v>
      </c>
      <c r="CM48" s="121"/>
      <c r="CN48" s="62">
        <f t="shared" ca="1" si="65"/>
        <v>503863.52258811513</v>
      </c>
      <c r="CO48" s="62" t="b">
        <f t="shared" si="66"/>
        <v>1</v>
      </c>
      <c r="CP48" s="126">
        <f t="shared" ca="1" si="67"/>
        <v>1.1666666666666678E-3</v>
      </c>
      <c r="CQ48" s="120"/>
      <c r="CR48" s="120"/>
      <c r="CS48" s="120"/>
      <c r="CT48" s="120"/>
      <c r="CU48" s="120"/>
      <c r="CV48" s="120"/>
      <c r="CW48" s="120"/>
      <c r="CX48" s="120"/>
      <c r="CY48" s="120"/>
      <c r="CZ48" s="120"/>
      <c r="DA48" s="120"/>
      <c r="DB48" s="120"/>
      <c r="DC48" s="120"/>
      <c r="DD48" s="120"/>
      <c r="DE48" s="116"/>
      <c r="DF48" s="116"/>
      <c r="DG48" s="116"/>
      <c r="DH48" s="116"/>
      <c r="DI48" s="116"/>
      <c r="DJ48" s="116"/>
      <c r="DK48" s="116"/>
      <c r="DL48" s="116"/>
      <c r="DM48" s="116"/>
      <c r="DN48" s="116"/>
    </row>
    <row r="49" spans="1:118" x14ac:dyDescent="0.2">
      <c r="A49" s="27">
        <v>43</v>
      </c>
      <c r="B49" s="29">
        <f t="shared" si="0"/>
        <v>40422</v>
      </c>
      <c r="C49" s="30">
        <f t="shared" si="1"/>
        <v>8.3333333333333329E-2</v>
      </c>
      <c r="D49" s="55"/>
      <c r="E49" s="62">
        <f t="shared" ca="1" si="19"/>
        <v>97315118.587687641</v>
      </c>
      <c r="F49" s="63">
        <f ca="1">IF(AssetIntType1="Fixed",AssetFxdRate1,IF(A49=1,OFFSET(Vectors!$D$6,A49,MATCH(AssetFltIndx1,lstInterestRates,0)),IF(MOD($A49,AssetRateReset1)=0,MAX(MIN(OFFSET(Vectors!$D$6,A49,MATCH(AssetFltIndx1,lstInterestRates,0)),(F48-AssetMarg1)+AssetPdCapFl1,AssetLifeCap1-AssetMarg1),(F48-AssetMarg1)-AssetPdCapFl1,AssetLifeFloor1-AssetMarg1),F48)))+AssetMarg1</f>
        <v>0.09</v>
      </c>
      <c r="G49" s="62">
        <f t="shared" ca="1" si="7"/>
        <v>804622.61694478267</v>
      </c>
      <c r="H49" s="62">
        <f t="shared" ca="1" si="20"/>
        <v>729863.38940765732</v>
      </c>
      <c r="I49" s="62">
        <f t="shared" ca="1" si="21"/>
        <v>74759.227537125349</v>
      </c>
      <c r="J49" s="62">
        <f t="shared" ca="1" si="2"/>
        <v>97240359.360150516</v>
      </c>
      <c r="K49" s="55"/>
      <c r="L49" s="62">
        <f t="shared" ca="1" si="22"/>
        <v>84411708.815377071</v>
      </c>
      <c r="M49" s="68">
        <f ca="1">IF(pdrLossTime1="",OFFSET(Vectors!$AE$6,A49+_Age1,MATCH(SDA_Loss,lstSDA,0)),OFFSET(Vectors!$X$6,A49+_Age1,MATCH(pdrLossTime1,lstDefaultCurve,0)))</f>
        <v>2.7777777777777779E-5</v>
      </c>
      <c r="N49" s="62">
        <f t="shared" ca="1" si="8"/>
        <v>2777.7777777777778</v>
      </c>
      <c r="O49" s="67">
        <f t="shared" ca="1" si="23"/>
        <v>0.97240359360150519</v>
      </c>
      <c r="P49" s="68">
        <f ca="1">OFFSET(Vectors!$L$6,A49+_Age1,MATCH(pdrPrepay1,lstPrepayCurve,0))*pdrPrepayStress1</f>
        <v>5.1430128318229462E-3</v>
      </c>
      <c r="Q49" s="62">
        <f t="shared" ca="1" si="24"/>
        <v>433796.99472003517</v>
      </c>
      <c r="R49" s="62">
        <f t="shared" ca="1" si="25"/>
        <v>64844.4617155714</v>
      </c>
      <c r="S49" s="69">
        <f t="shared" ca="1" si="26"/>
        <v>0.09</v>
      </c>
      <c r="T49" s="62">
        <f t="shared" ca="1" si="27"/>
        <v>633066.98278199474</v>
      </c>
      <c r="U49" s="62">
        <f t="shared" ca="1" si="9"/>
        <v>1111.1111111111111</v>
      </c>
      <c r="V49" s="62">
        <f t="shared" ca="1" si="3"/>
        <v>83910289.581163689</v>
      </c>
      <c r="W49" s="55"/>
      <c r="X49" s="62">
        <f t="shared" ca="1" si="28"/>
        <v>1132819.5503287124</v>
      </c>
      <c r="Y49" s="55"/>
      <c r="Z49" s="118" t="b">
        <v>0</v>
      </c>
      <c r="AA49" s="120" t="b">
        <f t="shared" si="10"/>
        <v>0</v>
      </c>
      <c r="AB49" s="120" t="b">
        <f t="shared" si="11"/>
        <v>1</v>
      </c>
      <c r="AC49" s="120" t="b">
        <f t="shared" ca="1" si="12"/>
        <v>0</v>
      </c>
      <c r="AD49" s="121"/>
      <c r="AE49" s="129">
        <v>57976993.948330209</v>
      </c>
      <c r="AF49" s="69">
        <f ca="1">IF(Swap_Active="No",0,OFFSET(Vectors!$D$6,Vectors!A49,MATCH(Swap_In,lstInterestRates,0)))</f>
        <v>6.6244000000000053E-2</v>
      </c>
      <c r="AG49" s="62">
        <f t="shared" ca="1" si="29"/>
        <v>320052.33225943241</v>
      </c>
      <c r="AH49" s="69">
        <f ca="1">IF(Swap_Active="No",0,OFFSET(Vectors!$D$6,Vectors!A49,MATCH(Swap_Out,lstInterestRates,0)))</f>
        <v>0.04</v>
      </c>
      <c r="AI49" s="62">
        <f t="shared" ca="1" si="30"/>
        <v>193256.64649443401</v>
      </c>
      <c r="AJ49" s="62">
        <f t="shared" ca="1" si="31"/>
        <v>126795.6857649984</v>
      </c>
      <c r="AK49" s="62">
        <f t="shared" ca="1" si="32"/>
        <v>1259615.2360937109</v>
      </c>
      <c r="AL49" s="121"/>
      <c r="AM49" s="123">
        <f t="shared" ca="1" si="13"/>
        <v>168740.4363874383</v>
      </c>
      <c r="AN49" s="124">
        <f t="shared" ca="1" si="33"/>
        <v>168740.4363874383</v>
      </c>
      <c r="AO49" s="125">
        <f t="shared" ca="1" si="34"/>
        <v>0</v>
      </c>
      <c r="AP49" s="123">
        <f t="shared" ca="1" si="35"/>
        <v>1090874.7997062725</v>
      </c>
      <c r="AQ49" s="121"/>
      <c r="AR49" s="126">
        <f ca="1">IF(LiabIntType1="Fixed",LiabFxdRate1,OFFSET(Vectors!$D$6,Vectors!A49,MATCH(LiabLoanIndex1,lstInterestRates,0))+LiabMarg1)</f>
        <v>7.6244000000000048E-2</v>
      </c>
      <c r="AS49" s="122">
        <f t="shared" ca="1" si="36"/>
        <v>427793.72407823335</v>
      </c>
      <c r="AT49" s="124">
        <f t="shared" ca="1" si="37"/>
        <v>427793.72407823335</v>
      </c>
      <c r="AU49" s="123">
        <f t="shared" ca="1" si="38"/>
        <v>0</v>
      </c>
      <c r="AV49" s="123">
        <f t="shared" ca="1" si="14"/>
        <v>0</v>
      </c>
      <c r="AW49" s="123">
        <f t="shared" ca="1" si="39"/>
        <v>0</v>
      </c>
      <c r="AX49" s="124">
        <f t="shared" ca="1" si="40"/>
        <v>663081.07562803919</v>
      </c>
      <c r="AY49" s="121"/>
      <c r="AZ49" s="122">
        <f t="shared" ca="1" si="15"/>
        <v>663081.07562803919</v>
      </c>
      <c r="BA49" s="124">
        <f t="shared" ca="1" si="41"/>
        <v>663081.07562803919</v>
      </c>
      <c r="BB49" s="123">
        <f t="shared" ca="1" si="42"/>
        <v>0</v>
      </c>
      <c r="BC49" s="123">
        <f t="shared" ca="1" si="16"/>
        <v>0</v>
      </c>
      <c r="BD49" s="123">
        <f t="shared" ca="1" si="43"/>
        <v>0</v>
      </c>
      <c r="BE49" s="124">
        <f t="shared" ca="1" si="44"/>
        <v>0</v>
      </c>
      <c r="BF49" s="121"/>
      <c r="BG49" s="123">
        <f t="shared" si="17"/>
        <v>1000000</v>
      </c>
      <c r="BH49" s="123">
        <f t="shared" ca="1" si="45"/>
        <v>1000000</v>
      </c>
      <c r="BI49" s="123">
        <f t="shared" ca="1" si="46"/>
        <v>0</v>
      </c>
      <c r="BJ49" s="123">
        <f t="shared" ca="1" si="47"/>
        <v>0</v>
      </c>
      <c r="BK49" s="123">
        <f t="shared" ca="1" si="4"/>
        <v>1000000</v>
      </c>
      <c r="BL49" s="123">
        <f t="shared" ca="1" si="48"/>
        <v>0</v>
      </c>
      <c r="BM49" s="121"/>
      <c r="BN49" s="126">
        <f ca="1">IF(LiabIntType2="Fixed",LiabFxdRate2,OFFSET(Vectors!$D$6,Vectors!A49,MATCH(LiabLoanIndex2,lstInterestRates,0))+LiabMarg2)</f>
        <v>0.04</v>
      </c>
      <c r="BO49" s="122">
        <f t="shared" ca="1" si="49"/>
        <v>34119.905847872607</v>
      </c>
      <c r="BP49" s="124">
        <f t="shared" ca="1" si="50"/>
        <v>0</v>
      </c>
      <c r="BQ49" s="123">
        <f t="shared" ca="1" si="51"/>
        <v>34119.905847872607</v>
      </c>
      <c r="BR49" s="123">
        <f t="shared" ca="1" si="52"/>
        <v>0</v>
      </c>
      <c r="BS49" s="121"/>
      <c r="BT49" s="123">
        <f t="shared" ca="1" si="18"/>
        <v>51410.071442741995</v>
      </c>
      <c r="BU49" s="123">
        <f t="shared" ca="1" si="53"/>
        <v>0</v>
      </c>
      <c r="BV49" s="123">
        <f t="shared" ca="1" si="54"/>
        <v>51410.071442741995</v>
      </c>
      <c r="BW49" s="123">
        <f t="shared" ca="1" si="55"/>
        <v>0</v>
      </c>
      <c r="BX49" s="121"/>
      <c r="BY49" s="123">
        <f t="shared" si="56"/>
        <v>0</v>
      </c>
      <c r="BZ49" s="123">
        <f t="shared" ca="1" si="57"/>
        <v>0</v>
      </c>
      <c r="CA49" s="121"/>
      <c r="CB49" s="122">
        <f t="shared" ca="1" si="5"/>
        <v>66667130.992715657</v>
      </c>
      <c r="CC49" s="122">
        <f t="shared" ca="1" si="58"/>
        <v>427793.72407823335</v>
      </c>
      <c r="CD49" s="124">
        <f t="shared" ca="1" si="59"/>
        <v>663081.07562803919</v>
      </c>
      <c r="CE49" s="121"/>
      <c r="CF49" s="122">
        <f t="shared" ca="1" si="6"/>
        <v>10235971.754361782</v>
      </c>
      <c r="CG49" s="124">
        <f t="shared" ca="1" si="60"/>
        <v>0</v>
      </c>
      <c r="CH49" s="123">
        <f t="shared" ca="1" si="61"/>
        <v>0</v>
      </c>
      <c r="CI49" s="121"/>
      <c r="CJ49" s="123">
        <f t="shared" ca="1" si="62"/>
        <v>1452871.8825881449</v>
      </c>
      <c r="CK49" s="123">
        <f t="shared" ca="1" si="63"/>
        <v>1452871.8825881449</v>
      </c>
      <c r="CL49" s="123">
        <f t="shared" ca="1" si="64"/>
        <v>0</v>
      </c>
      <c r="CM49" s="121"/>
      <c r="CN49" s="62">
        <f t="shared" ca="1" si="65"/>
        <v>501419.23421338433</v>
      </c>
      <c r="CO49" s="62" t="b">
        <f t="shared" si="66"/>
        <v>1</v>
      </c>
      <c r="CP49" s="126">
        <f t="shared" ca="1" si="67"/>
        <v>1.1944444444444457E-3</v>
      </c>
      <c r="CQ49" s="120"/>
      <c r="CR49" s="120"/>
      <c r="CS49" s="120"/>
      <c r="CT49" s="120"/>
      <c r="CU49" s="120"/>
      <c r="CV49" s="120"/>
      <c r="CW49" s="120"/>
      <c r="CX49" s="120"/>
      <c r="CY49" s="120"/>
      <c r="CZ49" s="120"/>
      <c r="DA49" s="120"/>
      <c r="DB49" s="120"/>
      <c r="DC49" s="120"/>
      <c r="DD49" s="120"/>
      <c r="DE49" s="116"/>
      <c r="DF49" s="116"/>
      <c r="DG49" s="116"/>
      <c r="DH49" s="116"/>
      <c r="DI49" s="116"/>
      <c r="DJ49" s="116"/>
      <c r="DK49" s="116"/>
      <c r="DL49" s="116"/>
      <c r="DM49" s="116"/>
      <c r="DN49" s="116"/>
    </row>
    <row r="50" spans="1:118" x14ac:dyDescent="0.2">
      <c r="A50" s="27">
        <v>44</v>
      </c>
      <c r="B50" s="29">
        <f t="shared" si="0"/>
        <v>40452</v>
      </c>
      <c r="C50" s="30">
        <f t="shared" si="1"/>
        <v>8.3333333333333329E-2</v>
      </c>
      <c r="D50" s="55"/>
      <c r="E50" s="62">
        <f t="shared" ca="1" si="19"/>
        <v>97240359.360150516</v>
      </c>
      <c r="F50" s="63">
        <f ca="1">IF(AssetIntType1="Fixed",AssetFxdRate1,IF(A50=1,OFFSET(Vectors!$D$6,A50,MATCH(AssetFltIndx1,lstInterestRates,0)),IF(MOD($A50,AssetRateReset1)=0,MAX(MIN(OFFSET(Vectors!$D$6,A50,MATCH(AssetFltIndx1,lstInterestRates,0)),(F49-AssetMarg1)+AssetPdCapFl1,AssetLifeCap1-AssetMarg1),(F49-AssetMarg1)-AssetPdCapFl1,AssetLifeFloor1-AssetMarg1),F49)))+AssetMarg1</f>
        <v>0.09</v>
      </c>
      <c r="G50" s="62">
        <f t="shared" ca="1" si="7"/>
        <v>804622.61694478267</v>
      </c>
      <c r="H50" s="62">
        <f t="shared" ca="1" si="20"/>
        <v>729302.69520112884</v>
      </c>
      <c r="I50" s="62">
        <f t="shared" ca="1" si="21"/>
        <v>75319.921743653831</v>
      </c>
      <c r="J50" s="62">
        <f t="shared" ca="1" si="2"/>
        <v>97165039.438406855</v>
      </c>
      <c r="K50" s="55"/>
      <c r="L50" s="62">
        <f t="shared" ca="1" si="22"/>
        <v>83910289.581163689</v>
      </c>
      <c r="M50" s="68">
        <f ca="1">IF(pdrLossTime1="",OFFSET(Vectors!$AE$6,A50+_Age1,MATCH(SDA_Loss,lstSDA,0)),OFFSET(Vectors!$X$6,A50+_Age1,MATCH(pdrLossTime1,lstDefaultCurve,0)))</f>
        <v>2.7777777777777779E-5</v>
      </c>
      <c r="N50" s="62">
        <f t="shared" ca="1" si="8"/>
        <v>2777.7777777777778</v>
      </c>
      <c r="O50" s="67">
        <f t="shared" ca="1" si="23"/>
        <v>0.97165039438406853</v>
      </c>
      <c r="P50" s="68">
        <f ca="1">OFFSET(Vectors!$L$6,A50+_Age1,MATCH(pdrPrepay1,lstPrepayCurve,0))*pdrPrepayStress1</f>
        <v>5.1430128318229462E-3</v>
      </c>
      <c r="Q50" s="62">
        <f t="shared" ca="1" si="24"/>
        <v>431217.42701434437</v>
      </c>
      <c r="R50" s="62">
        <f t="shared" ca="1" si="25"/>
        <v>64992.635406967318</v>
      </c>
      <c r="S50" s="69">
        <f t="shared" ca="1" si="26"/>
        <v>0.09</v>
      </c>
      <c r="T50" s="62">
        <f t="shared" ca="1" si="27"/>
        <v>629306.33852539433</v>
      </c>
      <c r="U50" s="62">
        <f t="shared" ca="1" si="9"/>
        <v>1111.1111111111111</v>
      </c>
      <c r="V50" s="62">
        <f t="shared" ca="1" si="3"/>
        <v>83411301.740964592</v>
      </c>
      <c r="W50" s="55"/>
      <c r="X50" s="62">
        <f t="shared" ca="1" si="28"/>
        <v>1126627.5120578171</v>
      </c>
      <c r="Y50" s="55"/>
      <c r="Z50" s="118" t="b">
        <v>0</v>
      </c>
      <c r="AA50" s="120" t="b">
        <f t="shared" si="10"/>
        <v>0</v>
      </c>
      <c r="AB50" s="120" t="b">
        <f t="shared" si="11"/>
        <v>1</v>
      </c>
      <c r="AC50" s="120" t="b">
        <f t="shared" ca="1" si="12"/>
        <v>0</v>
      </c>
      <c r="AD50" s="121"/>
      <c r="AE50" s="129">
        <v>57290411.989208229</v>
      </c>
      <c r="AF50" s="69">
        <f ca="1">IF(Swap_Active="No",0,OFFSET(Vectors!$D$6,Vectors!A50,MATCH(Swap_In,lstInterestRates,0)))</f>
        <v>6.6869000000000053E-2</v>
      </c>
      <c r="AG50" s="62">
        <f t="shared" ca="1" si="29"/>
        <v>319246.04660886398</v>
      </c>
      <c r="AH50" s="69">
        <f ca="1">IF(Swap_Active="No",0,OFFSET(Vectors!$D$6,Vectors!A50,MATCH(Swap_Out,lstInterestRates,0)))</f>
        <v>0.04</v>
      </c>
      <c r="AI50" s="62">
        <f t="shared" ca="1" si="30"/>
        <v>190968.03996402741</v>
      </c>
      <c r="AJ50" s="62">
        <f t="shared" ca="1" si="31"/>
        <v>128278.00664483657</v>
      </c>
      <c r="AK50" s="62">
        <f t="shared" ca="1" si="32"/>
        <v>1254905.5187026537</v>
      </c>
      <c r="AL50" s="121"/>
      <c r="AM50" s="123">
        <f t="shared" ca="1" si="13"/>
        <v>167628.45388223766</v>
      </c>
      <c r="AN50" s="124">
        <f t="shared" ca="1" si="33"/>
        <v>167628.45388223766</v>
      </c>
      <c r="AO50" s="125">
        <f t="shared" ca="1" si="34"/>
        <v>0</v>
      </c>
      <c r="AP50" s="123">
        <f t="shared" ca="1" si="35"/>
        <v>1087277.064820416</v>
      </c>
      <c r="AQ50" s="121"/>
      <c r="AR50" s="126">
        <f ca="1">IF(LiabIntType1="Fixed",LiabFxdRate1,OFFSET(Vectors!$D$6,Vectors!A50,MATCH(LiabLoanIndex1,lstInterestRates,0))+LiabMarg1)</f>
        <v>7.6869000000000048E-2</v>
      </c>
      <c r="AS50" s="122">
        <f t="shared" ca="1" si="36"/>
        <v>427052.97435658856</v>
      </c>
      <c r="AT50" s="124">
        <f t="shared" ca="1" si="37"/>
        <v>427052.97435658856</v>
      </c>
      <c r="AU50" s="123">
        <f t="shared" ca="1" si="38"/>
        <v>0</v>
      </c>
      <c r="AV50" s="123">
        <f t="shared" ca="1" si="14"/>
        <v>0</v>
      </c>
      <c r="AW50" s="123">
        <f t="shared" ca="1" si="39"/>
        <v>0</v>
      </c>
      <c r="AX50" s="124">
        <f t="shared" ca="1" si="40"/>
        <v>660224.09046382748</v>
      </c>
      <c r="AY50" s="121"/>
      <c r="AZ50" s="122">
        <f t="shared" ca="1" si="15"/>
        <v>660224.09046382748</v>
      </c>
      <c r="BA50" s="124">
        <f t="shared" ca="1" si="41"/>
        <v>660224.09046382748</v>
      </c>
      <c r="BB50" s="123">
        <f t="shared" ca="1" si="42"/>
        <v>0</v>
      </c>
      <c r="BC50" s="123">
        <f t="shared" ca="1" si="16"/>
        <v>0</v>
      </c>
      <c r="BD50" s="123">
        <f t="shared" ca="1" si="43"/>
        <v>0</v>
      </c>
      <c r="BE50" s="124">
        <f t="shared" ca="1" si="44"/>
        <v>0</v>
      </c>
      <c r="BF50" s="121"/>
      <c r="BG50" s="123">
        <f t="shared" si="17"/>
        <v>1000000</v>
      </c>
      <c r="BH50" s="123">
        <f t="shared" ca="1" si="45"/>
        <v>1000000</v>
      </c>
      <c r="BI50" s="123">
        <f t="shared" ca="1" si="46"/>
        <v>0</v>
      </c>
      <c r="BJ50" s="123">
        <f t="shared" ca="1" si="47"/>
        <v>0</v>
      </c>
      <c r="BK50" s="123">
        <f t="shared" ca="1" si="4"/>
        <v>1000000</v>
      </c>
      <c r="BL50" s="123">
        <f t="shared" ca="1" si="48"/>
        <v>0</v>
      </c>
      <c r="BM50" s="121"/>
      <c r="BN50" s="126">
        <f ca="1">IF(LiabIntType2="Fixed",LiabFxdRate2,OFFSET(Vectors!$D$6,Vectors!A50,MATCH(LiabLoanIndex2,lstInterestRates,0))+LiabMarg2)</f>
        <v>0.04</v>
      </c>
      <c r="BO50" s="122">
        <f t="shared" ca="1" si="49"/>
        <v>34119.905847872607</v>
      </c>
      <c r="BP50" s="124">
        <f t="shared" ca="1" si="50"/>
        <v>0</v>
      </c>
      <c r="BQ50" s="123">
        <f t="shared" ca="1" si="51"/>
        <v>34119.905847872607</v>
      </c>
      <c r="BR50" s="123">
        <f t="shared" ca="1" si="52"/>
        <v>0</v>
      </c>
      <c r="BS50" s="121"/>
      <c r="BT50" s="123">
        <f t="shared" ca="1" si="18"/>
        <v>51160.782760834023</v>
      </c>
      <c r="BU50" s="123">
        <f t="shared" ca="1" si="53"/>
        <v>0</v>
      </c>
      <c r="BV50" s="123">
        <f t="shared" ca="1" si="54"/>
        <v>51160.782760834023</v>
      </c>
      <c r="BW50" s="123">
        <f t="shared" ca="1" si="55"/>
        <v>0</v>
      </c>
      <c r="BX50" s="121"/>
      <c r="BY50" s="123">
        <f t="shared" si="56"/>
        <v>0</v>
      </c>
      <c r="BZ50" s="123">
        <f t="shared" ca="1" si="57"/>
        <v>0</v>
      </c>
      <c r="CA50" s="121"/>
      <c r="CB50" s="122">
        <f t="shared" ca="1" si="5"/>
        <v>66006906.902251832</v>
      </c>
      <c r="CC50" s="122">
        <f t="shared" ca="1" si="58"/>
        <v>427052.97435658856</v>
      </c>
      <c r="CD50" s="124">
        <f t="shared" ca="1" si="59"/>
        <v>660224.09046382748</v>
      </c>
      <c r="CE50" s="121"/>
      <c r="CF50" s="122">
        <f t="shared" ca="1" si="6"/>
        <v>10235971.754361782</v>
      </c>
      <c r="CG50" s="124">
        <f t="shared" ca="1" si="60"/>
        <v>0</v>
      </c>
      <c r="CH50" s="123">
        <f t="shared" ca="1" si="61"/>
        <v>0</v>
      </c>
      <c r="CI50" s="121"/>
      <c r="CJ50" s="123">
        <f t="shared" ca="1" si="62"/>
        <v>1445873.5586666809</v>
      </c>
      <c r="CK50" s="123">
        <f t="shared" ca="1" si="63"/>
        <v>1445873.5586666809</v>
      </c>
      <c r="CL50" s="123">
        <f t="shared" ca="1" si="64"/>
        <v>0</v>
      </c>
      <c r="CM50" s="121"/>
      <c r="CN50" s="62">
        <f t="shared" ca="1" si="65"/>
        <v>498987.84019908943</v>
      </c>
      <c r="CO50" s="62" t="b">
        <f t="shared" si="66"/>
        <v>1</v>
      </c>
      <c r="CP50" s="126">
        <f t="shared" ca="1" si="67"/>
        <v>1.2222222222222235E-3</v>
      </c>
      <c r="CQ50" s="120"/>
      <c r="CR50" s="120"/>
      <c r="CS50" s="120"/>
      <c r="CT50" s="120"/>
      <c r="CU50" s="120"/>
      <c r="CV50" s="120"/>
      <c r="CW50" s="120"/>
      <c r="CX50" s="120"/>
      <c r="CY50" s="120"/>
      <c r="CZ50" s="120"/>
      <c r="DA50" s="120"/>
      <c r="DB50" s="120"/>
      <c r="DC50" s="120"/>
      <c r="DD50" s="120"/>
      <c r="DE50" s="116"/>
      <c r="DF50" s="116"/>
      <c r="DG50" s="116"/>
      <c r="DH50" s="116"/>
      <c r="DI50" s="116"/>
      <c r="DJ50" s="116"/>
      <c r="DK50" s="116"/>
      <c r="DL50" s="116"/>
      <c r="DM50" s="116"/>
      <c r="DN50" s="116"/>
    </row>
    <row r="51" spans="1:118" x14ac:dyDescent="0.2">
      <c r="A51" s="27">
        <v>45</v>
      </c>
      <c r="B51" s="29">
        <f t="shared" si="0"/>
        <v>40483</v>
      </c>
      <c r="C51" s="30">
        <f t="shared" si="1"/>
        <v>8.3333333333333329E-2</v>
      </c>
      <c r="D51" s="55"/>
      <c r="E51" s="62">
        <f t="shared" ca="1" si="19"/>
        <v>97165039.438406855</v>
      </c>
      <c r="F51" s="63">
        <f ca="1">IF(AssetIntType1="Fixed",AssetFxdRate1,IF(A51=1,OFFSET(Vectors!$D$6,A51,MATCH(AssetFltIndx1,lstInterestRates,0)),IF(MOD($A51,AssetRateReset1)=0,MAX(MIN(OFFSET(Vectors!$D$6,A51,MATCH(AssetFltIndx1,lstInterestRates,0)),(F50-AssetMarg1)+AssetPdCapFl1,AssetLifeCap1-AssetMarg1),(F50-AssetMarg1)-AssetPdCapFl1,AssetLifeFloor1-AssetMarg1),F50)))+AssetMarg1</f>
        <v>0.09</v>
      </c>
      <c r="G51" s="62">
        <f t="shared" ca="1" si="7"/>
        <v>804622.61694478267</v>
      </c>
      <c r="H51" s="62">
        <f t="shared" ca="1" si="20"/>
        <v>728737.79578805133</v>
      </c>
      <c r="I51" s="62">
        <f t="shared" ca="1" si="21"/>
        <v>75884.821156731341</v>
      </c>
      <c r="J51" s="62">
        <f t="shared" ca="1" si="2"/>
        <v>97089154.61725013</v>
      </c>
      <c r="K51" s="55"/>
      <c r="L51" s="62">
        <f t="shared" ca="1" si="22"/>
        <v>83411301.740964592</v>
      </c>
      <c r="M51" s="68">
        <f ca="1">IF(pdrLossTime1="",OFFSET(Vectors!$AE$6,A51+_Age1,MATCH(SDA_Loss,lstSDA,0)),OFFSET(Vectors!$X$6,A51+_Age1,MATCH(pdrLossTime1,lstDefaultCurve,0)))</f>
        <v>2.7777777777777779E-5</v>
      </c>
      <c r="N51" s="62">
        <f t="shared" ca="1" si="8"/>
        <v>2777.7777777777778</v>
      </c>
      <c r="O51" s="67">
        <f t="shared" ca="1" si="23"/>
        <v>0.97089154617250129</v>
      </c>
      <c r="P51" s="68">
        <f ca="1">OFFSET(Vectors!$L$6,A51+_Age1,MATCH(pdrPrepay1,lstPrepayCurve,0))*pdrPrepayStress1</f>
        <v>5.1430128318229462E-3</v>
      </c>
      <c r="Q51" s="62">
        <f t="shared" ca="1" si="24"/>
        <v>428650.36232378206</v>
      </c>
      <c r="R51" s="62">
        <f t="shared" ca="1" si="25"/>
        <v>65141.134717548397</v>
      </c>
      <c r="S51" s="69">
        <f t="shared" ca="1" si="26"/>
        <v>0.09</v>
      </c>
      <c r="T51" s="62">
        <f t="shared" ca="1" si="27"/>
        <v>625563.92972390109</v>
      </c>
      <c r="U51" s="62">
        <f t="shared" ca="1" si="9"/>
        <v>1111.1111111111111</v>
      </c>
      <c r="V51" s="62">
        <f t="shared" ca="1" si="3"/>
        <v>82914732.466145486</v>
      </c>
      <c r="W51" s="55"/>
      <c r="X51" s="62">
        <f t="shared" ca="1" si="28"/>
        <v>1120466.5378763424</v>
      </c>
      <c r="Y51" s="55"/>
      <c r="Z51" s="118" t="b">
        <v>0</v>
      </c>
      <c r="AA51" s="120" t="b">
        <f t="shared" si="10"/>
        <v>0</v>
      </c>
      <c r="AB51" s="120" t="b">
        <f t="shared" si="11"/>
        <v>1</v>
      </c>
      <c r="AC51" s="120" t="b">
        <f t="shared" ca="1" si="12"/>
        <v>0</v>
      </c>
      <c r="AD51" s="121"/>
      <c r="AE51" s="129">
        <v>56610820.805186033</v>
      </c>
      <c r="AF51" s="69">
        <f ca="1">IF(Swap_Active="No",0,OFFSET(Vectors!$D$6,Vectors!A51,MATCH(Swap_In,lstInterestRates,0)))</f>
        <v>6.7494000000000054E-2</v>
      </c>
      <c r="AG51" s="62">
        <f t="shared" ca="1" si="29"/>
        <v>318407.56161876908</v>
      </c>
      <c r="AH51" s="69">
        <f ca="1">IF(Swap_Active="No",0,OFFSET(Vectors!$D$6,Vectors!A51,MATCH(Swap_Out,lstInterestRates,0)))</f>
        <v>0.04</v>
      </c>
      <c r="AI51" s="62">
        <f t="shared" ca="1" si="30"/>
        <v>188702.73601728678</v>
      </c>
      <c r="AJ51" s="62">
        <f t="shared" ca="1" si="31"/>
        <v>129704.8256014823</v>
      </c>
      <c r="AK51" s="62">
        <f t="shared" ca="1" si="32"/>
        <v>1250171.3634778247</v>
      </c>
      <c r="AL51" s="121"/>
      <c r="AM51" s="123">
        <f t="shared" ca="1" si="13"/>
        <v>166521.71411087923</v>
      </c>
      <c r="AN51" s="124">
        <f t="shared" ca="1" si="33"/>
        <v>166521.71411087923</v>
      </c>
      <c r="AO51" s="125">
        <f t="shared" ca="1" si="34"/>
        <v>0</v>
      </c>
      <c r="AP51" s="123">
        <f t="shared" ca="1" si="35"/>
        <v>1083649.6493669455</v>
      </c>
      <c r="AQ51" s="121"/>
      <c r="AR51" s="126">
        <f ca="1">IF(LiabIntType1="Fixed",LiabFxdRate1,OFFSET(Vectors!$D$6,Vectors!A51,MATCH(LiabLoanIndex1,lstInterestRates,0))+LiabMarg1)</f>
        <v>7.7494000000000049E-2</v>
      </c>
      <c r="AS51" s="122">
        <f t="shared" ca="1" si="36"/>
        <v>426261.60362359218</v>
      </c>
      <c r="AT51" s="124">
        <f t="shared" ca="1" si="37"/>
        <v>426261.60362359218</v>
      </c>
      <c r="AU51" s="123">
        <f t="shared" ca="1" si="38"/>
        <v>0</v>
      </c>
      <c r="AV51" s="123">
        <f t="shared" ca="1" si="14"/>
        <v>0</v>
      </c>
      <c r="AW51" s="123">
        <f t="shared" ca="1" si="39"/>
        <v>0</v>
      </c>
      <c r="AX51" s="124">
        <f t="shared" ca="1" si="40"/>
        <v>657388.04574335332</v>
      </c>
      <c r="AY51" s="121"/>
      <c r="AZ51" s="122">
        <f t="shared" ca="1" si="15"/>
        <v>657388.04574335332</v>
      </c>
      <c r="BA51" s="124">
        <f t="shared" ca="1" si="41"/>
        <v>657388.04574335332</v>
      </c>
      <c r="BB51" s="123">
        <f t="shared" ca="1" si="42"/>
        <v>0</v>
      </c>
      <c r="BC51" s="123">
        <f t="shared" ca="1" si="16"/>
        <v>0</v>
      </c>
      <c r="BD51" s="123">
        <f t="shared" ca="1" si="43"/>
        <v>0</v>
      </c>
      <c r="BE51" s="124">
        <f t="shared" ca="1" si="44"/>
        <v>0</v>
      </c>
      <c r="BF51" s="121"/>
      <c r="BG51" s="123">
        <f t="shared" si="17"/>
        <v>1000000</v>
      </c>
      <c r="BH51" s="123">
        <f t="shared" ca="1" si="45"/>
        <v>1000000</v>
      </c>
      <c r="BI51" s="123">
        <f t="shared" ca="1" si="46"/>
        <v>0</v>
      </c>
      <c r="BJ51" s="123">
        <f t="shared" ca="1" si="47"/>
        <v>0</v>
      </c>
      <c r="BK51" s="123">
        <f t="shared" ca="1" si="4"/>
        <v>1000000</v>
      </c>
      <c r="BL51" s="123">
        <f t="shared" ca="1" si="48"/>
        <v>0</v>
      </c>
      <c r="BM51" s="121"/>
      <c r="BN51" s="126">
        <f ca="1">IF(LiabIntType2="Fixed",LiabFxdRate2,OFFSET(Vectors!$D$6,Vectors!A51,MATCH(LiabLoanIndex2,lstInterestRates,0))+LiabMarg2)</f>
        <v>0.04</v>
      </c>
      <c r="BO51" s="122">
        <f t="shared" ca="1" si="49"/>
        <v>34119.905847872607</v>
      </c>
      <c r="BP51" s="124">
        <f t="shared" ca="1" si="50"/>
        <v>0</v>
      </c>
      <c r="BQ51" s="123">
        <f t="shared" ca="1" si="51"/>
        <v>34119.905847872607</v>
      </c>
      <c r="BR51" s="123">
        <f t="shared" ca="1" si="52"/>
        <v>0</v>
      </c>
      <c r="BS51" s="121"/>
      <c r="BT51" s="123">
        <f t="shared" ca="1" si="18"/>
        <v>50912.80938747742</v>
      </c>
      <c r="BU51" s="123">
        <f t="shared" ca="1" si="53"/>
        <v>0</v>
      </c>
      <c r="BV51" s="123">
        <f t="shared" ca="1" si="54"/>
        <v>50912.80938747742</v>
      </c>
      <c r="BW51" s="123">
        <f t="shared" ca="1" si="55"/>
        <v>0</v>
      </c>
      <c r="BX51" s="121"/>
      <c r="BY51" s="123">
        <f t="shared" si="56"/>
        <v>0</v>
      </c>
      <c r="BZ51" s="123">
        <f t="shared" ca="1" si="57"/>
        <v>0</v>
      </c>
      <c r="CA51" s="121"/>
      <c r="CB51" s="122">
        <f t="shared" ca="1" si="5"/>
        <v>65349518.856508479</v>
      </c>
      <c r="CC51" s="122">
        <f t="shared" ca="1" si="58"/>
        <v>426261.60362359218</v>
      </c>
      <c r="CD51" s="124">
        <f t="shared" ca="1" si="59"/>
        <v>657388.04574335332</v>
      </c>
      <c r="CE51" s="121"/>
      <c r="CF51" s="122">
        <f t="shared" ca="1" si="6"/>
        <v>10235971.754361782</v>
      </c>
      <c r="CG51" s="124">
        <f t="shared" ca="1" si="60"/>
        <v>0</v>
      </c>
      <c r="CH51" s="123">
        <f t="shared" ca="1" si="61"/>
        <v>0</v>
      </c>
      <c r="CI51" s="121"/>
      <c r="CJ51" s="123">
        <f t="shared" ca="1" si="62"/>
        <v>1438874.0994951115</v>
      </c>
      <c r="CK51" s="123">
        <f t="shared" ca="1" si="63"/>
        <v>1438874.0994951115</v>
      </c>
      <c r="CL51" s="123">
        <f t="shared" ca="1" si="64"/>
        <v>0</v>
      </c>
      <c r="CM51" s="121"/>
      <c r="CN51" s="62">
        <f t="shared" ca="1" si="65"/>
        <v>496569.27481910819</v>
      </c>
      <c r="CO51" s="62" t="b">
        <f t="shared" si="66"/>
        <v>1</v>
      </c>
      <c r="CP51" s="126">
        <f t="shared" ca="1" si="67"/>
        <v>1.2500000000000013E-3</v>
      </c>
      <c r="CQ51" s="120"/>
      <c r="CR51" s="120"/>
      <c r="CS51" s="120"/>
      <c r="CT51" s="120"/>
      <c r="CU51" s="120"/>
      <c r="CV51" s="120"/>
      <c r="CW51" s="120"/>
      <c r="CX51" s="120"/>
      <c r="CY51" s="120"/>
      <c r="CZ51" s="120"/>
      <c r="DA51" s="120"/>
      <c r="DB51" s="120"/>
      <c r="DC51" s="120"/>
      <c r="DD51" s="120"/>
      <c r="DE51" s="116"/>
      <c r="DF51" s="116"/>
      <c r="DG51" s="116"/>
      <c r="DH51" s="116"/>
      <c r="DI51" s="116"/>
      <c r="DJ51" s="116"/>
      <c r="DK51" s="116"/>
      <c r="DL51" s="116"/>
      <c r="DM51" s="116"/>
      <c r="DN51" s="116"/>
    </row>
    <row r="52" spans="1:118" x14ac:dyDescent="0.2">
      <c r="A52" s="27">
        <v>46</v>
      </c>
      <c r="B52" s="29">
        <f t="shared" si="0"/>
        <v>40513</v>
      </c>
      <c r="C52" s="30">
        <f t="shared" si="1"/>
        <v>8.3333333333333329E-2</v>
      </c>
      <c r="D52" s="55"/>
      <c r="E52" s="62">
        <f t="shared" ca="1" si="19"/>
        <v>97089154.61725013</v>
      </c>
      <c r="F52" s="63">
        <f ca="1">IF(AssetIntType1="Fixed",AssetFxdRate1,IF(A52=1,OFFSET(Vectors!$D$6,A52,MATCH(AssetFltIndx1,lstInterestRates,0)),IF(MOD($A52,AssetRateReset1)=0,MAX(MIN(OFFSET(Vectors!$D$6,A52,MATCH(AssetFltIndx1,lstInterestRates,0)),(F51-AssetMarg1)+AssetPdCapFl1,AssetLifeCap1-AssetMarg1),(F51-AssetMarg1)-AssetPdCapFl1,AssetLifeFloor1-AssetMarg1),F51)))+AssetMarg1</f>
        <v>0.09</v>
      </c>
      <c r="G52" s="62">
        <f t="shared" ca="1" si="7"/>
        <v>804622.61694478267</v>
      </c>
      <c r="H52" s="62">
        <f t="shared" ca="1" si="20"/>
        <v>728168.65962937591</v>
      </c>
      <c r="I52" s="62">
        <f t="shared" ca="1" si="21"/>
        <v>76453.957315406762</v>
      </c>
      <c r="J52" s="62">
        <f t="shared" ca="1" si="2"/>
        <v>97012700.659934729</v>
      </c>
      <c r="K52" s="55"/>
      <c r="L52" s="62">
        <f t="shared" ca="1" si="22"/>
        <v>82914732.466145486</v>
      </c>
      <c r="M52" s="68">
        <f ca="1">IF(pdrLossTime1="",OFFSET(Vectors!$AE$6,A52+_Age1,MATCH(SDA_Loss,lstSDA,0)),OFFSET(Vectors!$X$6,A52+_Age1,MATCH(pdrLossTime1,lstDefaultCurve,0)))</f>
        <v>2.7777777777777779E-5</v>
      </c>
      <c r="N52" s="62">
        <f t="shared" ca="1" si="8"/>
        <v>2777.7777777777778</v>
      </c>
      <c r="O52" s="67">
        <f t="shared" ca="1" si="23"/>
        <v>0.97012700659934725</v>
      </c>
      <c r="P52" s="68">
        <f ca="1">OFFSET(Vectors!$L$6,A52+_Age1,MATCH(pdrPrepay1,lstPrepayCurve,0))*pdrPrepayStress1</f>
        <v>5.1430128318229462E-3</v>
      </c>
      <c r="Q52" s="62">
        <f t="shared" ca="1" si="24"/>
        <v>426095.7346674616</v>
      </c>
      <c r="R52" s="62">
        <f t="shared" ca="1" si="25"/>
        <v>65289.96023985566</v>
      </c>
      <c r="S52" s="69">
        <f t="shared" ca="1" si="26"/>
        <v>0.09</v>
      </c>
      <c r="T52" s="62">
        <f t="shared" ca="1" si="27"/>
        <v>621839.66016275785</v>
      </c>
      <c r="U52" s="62">
        <f t="shared" ca="1" si="9"/>
        <v>1111.1111111111111</v>
      </c>
      <c r="V52" s="62">
        <f t="shared" ca="1" si="3"/>
        <v>82420568.993460387</v>
      </c>
      <c r="W52" s="55"/>
      <c r="X52" s="62">
        <f t="shared" ca="1" si="28"/>
        <v>1114336.466181186</v>
      </c>
      <c r="Y52" s="55"/>
      <c r="Z52" s="118" t="b">
        <v>0</v>
      </c>
      <c r="AA52" s="120" t="b">
        <f t="shared" si="10"/>
        <v>0</v>
      </c>
      <c r="AB52" s="120" t="b">
        <f t="shared" si="11"/>
        <v>1</v>
      </c>
      <c r="AC52" s="120" t="b">
        <f t="shared" ca="1" si="12"/>
        <v>0</v>
      </c>
      <c r="AD52" s="121"/>
      <c r="AE52" s="129">
        <v>55938150.166752167</v>
      </c>
      <c r="AF52" s="69">
        <f ca="1">IF(Swap_Active="No",0,OFFSET(Vectors!$D$6,Vectors!A52,MATCH(Swap_In,lstInterestRates,0)))</f>
        <v>6.8119000000000055E-2</v>
      </c>
      <c r="AG52" s="62">
        <f t="shared" ca="1" si="29"/>
        <v>317537.57093408279</v>
      </c>
      <c r="AH52" s="69">
        <f ca="1">IF(Swap_Active="No",0,OFFSET(Vectors!$D$6,Vectors!A52,MATCH(Swap_Out,lstInterestRates,0)))</f>
        <v>0.04</v>
      </c>
      <c r="AI52" s="62">
        <f t="shared" ca="1" si="30"/>
        <v>186460.50055584055</v>
      </c>
      <c r="AJ52" s="62">
        <f t="shared" ca="1" si="31"/>
        <v>131077.07037824224</v>
      </c>
      <c r="AK52" s="62">
        <f t="shared" ca="1" si="32"/>
        <v>1245413.5365594283</v>
      </c>
      <c r="AL52" s="121"/>
      <c r="AM52" s="123">
        <f t="shared" ca="1" si="13"/>
        <v>165420.186967121</v>
      </c>
      <c r="AN52" s="124">
        <f t="shared" ca="1" si="33"/>
        <v>165420.186967121</v>
      </c>
      <c r="AO52" s="125">
        <f t="shared" ca="1" si="34"/>
        <v>0</v>
      </c>
      <c r="AP52" s="123">
        <f t="shared" ca="1" si="35"/>
        <v>1079993.3495923073</v>
      </c>
      <c r="AQ52" s="121"/>
      <c r="AR52" s="126">
        <f ca="1">IF(LiabIntType1="Fixed",LiabFxdRate1,OFFSET(Vectors!$D$6,Vectors!A52,MATCH(LiabLoanIndex1,lstInterestRates,0))+LiabMarg1)</f>
        <v>7.811900000000005E-2</v>
      </c>
      <c r="AS52" s="122">
        <f t="shared" ca="1" si="36"/>
        <v>425419.92196263245</v>
      </c>
      <c r="AT52" s="124">
        <f t="shared" ca="1" si="37"/>
        <v>425419.92196263245</v>
      </c>
      <c r="AU52" s="123">
        <f t="shared" ca="1" si="38"/>
        <v>0</v>
      </c>
      <c r="AV52" s="123">
        <f t="shared" ca="1" si="14"/>
        <v>0</v>
      </c>
      <c r="AW52" s="123">
        <f t="shared" ca="1" si="39"/>
        <v>0</v>
      </c>
      <c r="AX52" s="124">
        <f t="shared" ca="1" si="40"/>
        <v>654573.4276296749</v>
      </c>
      <c r="AY52" s="121"/>
      <c r="AZ52" s="122">
        <f t="shared" ca="1" si="15"/>
        <v>654573.4276296749</v>
      </c>
      <c r="BA52" s="124">
        <f t="shared" ca="1" si="41"/>
        <v>654573.4276296749</v>
      </c>
      <c r="BB52" s="123">
        <f t="shared" ca="1" si="42"/>
        <v>0</v>
      </c>
      <c r="BC52" s="123">
        <f t="shared" ca="1" si="16"/>
        <v>0</v>
      </c>
      <c r="BD52" s="123">
        <f t="shared" ca="1" si="43"/>
        <v>0</v>
      </c>
      <c r="BE52" s="124">
        <f t="shared" ca="1" si="44"/>
        <v>0</v>
      </c>
      <c r="BF52" s="121"/>
      <c r="BG52" s="123">
        <f t="shared" si="17"/>
        <v>1000000</v>
      </c>
      <c r="BH52" s="123">
        <f t="shared" ca="1" si="45"/>
        <v>1000000</v>
      </c>
      <c r="BI52" s="123">
        <f t="shared" ca="1" si="46"/>
        <v>0</v>
      </c>
      <c r="BJ52" s="123">
        <f t="shared" ca="1" si="47"/>
        <v>0</v>
      </c>
      <c r="BK52" s="123">
        <f t="shared" ca="1" si="4"/>
        <v>1000000</v>
      </c>
      <c r="BL52" s="123">
        <f t="shared" ca="1" si="48"/>
        <v>0</v>
      </c>
      <c r="BM52" s="121"/>
      <c r="BN52" s="126">
        <f ca="1">IF(LiabIntType2="Fixed",LiabFxdRate2,OFFSET(Vectors!$D$6,Vectors!A52,MATCH(LiabLoanIndex2,lstInterestRates,0))+LiabMarg2)</f>
        <v>0.04</v>
      </c>
      <c r="BO52" s="122">
        <f t="shared" ca="1" si="49"/>
        <v>34119.905847872607</v>
      </c>
      <c r="BP52" s="124">
        <f t="shared" ca="1" si="50"/>
        <v>0</v>
      </c>
      <c r="BQ52" s="123">
        <f t="shared" ca="1" si="51"/>
        <v>34119.905847872607</v>
      </c>
      <c r="BR52" s="123">
        <f t="shared" ca="1" si="52"/>
        <v>0</v>
      </c>
      <c r="BS52" s="121"/>
      <c r="BT52" s="123">
        <f t="shared" ca="1" si="18"/>
        <v>50666.144618462829</v>
      </c>
      <c r="BU52" s="123">
        <f t="shared" ca="1" si="53"/>
        <v>0</v>
      </c>
      <c r="BV52" s="123">
        <f t="shared" ca="1" si="54"/>
        <v>50666.144618462829</v>
      </c>
      <c r="BW52" s="123">
        <f t="shared" ca="1" si="55"/>
        <v>0</v>
      </c>
      <c r="BX52" s="121"/>
      <c r="BY52" s="123">
        <f t="shared" si="56"/>
        <v>0</v>
      </c>
      <c r="BZ52" s="123">
        <f t="shared" ca="1" si="57"/>
        <v>0</v>
      </c>
      <c r="CA52" s="121"/>
      <c r="CB52" s="122">
        <f t="shared" ca="1" si="5"/>
        <v>64694945.428878807</v>
      </c>
      <c r="CC52" s="122">
        <f t="shared" ca="1" si="58"/>
        <v>425419.92196263245</v>
      </c>
      <c r="CD52" s="124">
        <f t="shared" ca="1" si="59"/>
        <v>654573.4276296749</v>
      </c>
      <c r="CE52" s="121"/>
      <c r="CF52" s="122">
        <f t="shared" ca="1" si="6"/>
        <v>10235971.754361782</v>
      </c>
      <c r="CG52" s="124">
        <f t="shared" ca="1" si="60"/>
        <v>0</v>
      </c>
      <c r="CH52" s="123">
        <f t="shared" ca="1" si="61"/>
        <v>0</v>
      </c>
      <c r="CI52" s="121"/>
      <c r="CJ52" s="123">
        <f t="shared" ca="1" si="62"/>
        <v>1431874.0371152689</v>
      </c>
      <c r="CK52" s="123">
        <f t="shared" ca="1" si="63"/>
        <v>1431874.0371152689</v>
      </c>
      <c r="CL52" s="123">
        <f t="shared" ca="1" si="64"/>
        <v>0</v>
      </c>
      <c r="CM52" s="121"/>
      <c r="CN52" s="62">
        <f t="shared" ca="1" si="65"/>
        <v>494163.47268509504</v>
      </c>
      <c r="CO52" s="62" t="b">
        <f t="shared" si="66"/>
        <v>1</v>
      </c>
      <c r="CP52" s="126">
        <f t="shared" ca="1" si="67"/>
        <v>1.2777777777777792E-3</v>
      </c>
      <c r="CQ52" s="120"/>
      <c r="CR52" s="120"/>
      <c r="CS52" s="120"/>
      <c r="CT52" s="120"/>
      <c r="CU52" s="120"/>
      <c r="CV52" s="120"/>
      <c r="CW52" s="120"/>
      <c r="CX52" s="120"/>
      <c r="CY52" s="120"/>
      <c r="CZ52" s="120"/>
      <c r="DA52" s="120"/>
      <c r="DB52" s="120"/>
      <c r="DC52" s="120"/>
      <c r="DD52" s="120"/>
      <c r="DE52" s="116"/>
      <c r="DF52" s="116"/>
      <c r="DG52" s="116"/>
      <c r="DH52" s="116"/>
      <c r="DI52" s="116"/>
      <c r="DJ52" s="116"/>
      <c r="DK52" s="116"/>
      <c r="DL52" s="116"/>
      <c r="DM52" s="116"/>
      <c r="DN52" s="116"/>
    </row>
    <row r="53" spans="1:118" x14ac:dyDescent="0.2">
      <c r="A53" s="27">
        <v>47</v>
      </c>
      <c r="B53" s="29">
        <f t="shared" si="0"/>
        <v>40544</v>
      </c>
      <c r="C53" s="30">
        <f t="shared" si="1"/>
        <v>8.3333333333333329E-2</v>
      </c>
      <c r="D53" s="55"/>
      <c r="E53" s="62">
        <f t="shared" ca="1" si="19"/>
        <v>97012700.659934729</v>
      </c>
      <c r="F53" s="63">
        <f ca="1">IF(AssetIntType1="Fixed",AssetFxdRate1,IF(A53=1,OFFSET(Vectors!$D$6,A53,MATCH(AssetFltIndx1,lstInterestRates,0)),IF(MOD($A53,AssetRateReset1)=0,MAX(MIN(OFFSET(Vectors!$D$6,A53,MATCH(AssetFltIndx1,lstInterestRates,0)),(F52-AssetMarg1)+AssetPdCapFl1,AssetLifeCap1-AssetMarg1),(F52-AssetMarg1)-AssetPdCapFl1,AssetLifeFloor1-AssetMarg1),F52)))+AssetMarg1</f>
        <v>0.09</v>
      </c>
      <c r="G53" s="62">
        <f t="shared" ca="1" si="7"/>
        <v>804622.61694478267</v>
      </c>
      <c r="H53" s="62">
        <f t="shared" ca="1" si="20"/>
        <v>727595.25494951045</v>
      </c>
      <c r="I53" s="62">
        <f t="shared" ca="1" si="21"/>
        <v>77027.361995272222</v>
      </c>
      <c r="J53" s="62">
        <f t="shared" ca="1" si="2"/>
        <v>96935673.297939464</v>
      </c>
      <c r="K53" s="55"/>
      <c r="L53" s="62">
        <f t="shared" ca="1" si="22"/>
        <v>82420568.993460387</v>
      </c>
      <c r="M53" s="68">
        <f ca="1">IF(pdrLossTime1="",OFFSET(Vectors!$AE$6,A53+_Age1,MATCH(SDA_Loss,lstSDA,0)),OFFSET(Vectors!$X$6,A53+_Age1,MATCH(pdrLossTime1,lstDefaultCurve,0)))</f>
        <v>2.7777777777777779E-5</v>
      </c>
      <c r="N53" s="62">
        <f t="shared" ca="1" si="8"/>
        <v>2777.7777777777778</v>
      </c>
      <c r="O53" s="67">
        <f t="shared" ca="1" si="23"/>
        <v>0.96935673297939462</v>
      </c>
      <c r="P53" s="68">
        <f ca="1">OFFSET(Vectors!$L$6,A53+_Age1,MATCH(pdrPrepay1,lstPrepayCurve,0))*pdrPrepayStress1</f>
        <v>5.1430128318229462E-3</v>
      </c>
      <c r="Q53" s="62">
        <f t="shared" ca="1" si="24"/>
        <v>423553.47840079089</v>
      </c>
      <c r="R53" s="62">
        <f t="shared" ca="1" si="25"/>
        <v>65439.112566034673</v>
      </c>
      <c r="S53" s="69">
        <f t="shared" ca="1" si="26"/>
        <v>0.09</v>
      </c>
      <c r="T53" s="62">
        <f t="shared" ca="1" si="27"/>
        <v>618133.43411761953</v>
      </c>
      <c r="U53" s="62">
        <f t="shared" ca="1" si="9"/>
        <v>1111.1111111111111</v>
      </c>
      <c r="V53" s="62">
        <f t="shared" ca="1" si="3"/>
        <v>81928798.624715775</v>
      </c>
      <c r="W53" s="55"/>
      <c r="X53" s="62">
        <f t="shared" ca="1" si="28"/>
        <v>1108237.136195556</v>
      </c>
      <c r="Y53" s="55"/>
      <c r="Z53" s="118" t="b">
        <v>0</v>
      </c>
      <c r="AA53" s="120" t="b">
        <f t="shared" si="10"/>
        <v>0</v>
      </c>
      <c r="AB53" s="120" t="b">
        <f t="shared" si="11"/>
        <v>1</v>
      </c>
      <c r="AC53" s="120" t="b">
        <f t="shared" ca="1" si="12"/>
        <v>0</v>
      </c>
      <c r="AD53" s="121"/>
      <c r="AE53" s="129">
        <v>55272330.547518872</v>
      </c>
      <c r="AF53" s="69">
        <f ca="1">IF(Swap_Active="No",0,OFFSET(Vectors!$D$6,Vectors!A53,MATCH(Swap_In,lstInterestRates,0)))</f>
        <v>6.8744000000000055E-2</v>
      </c>
      <c r="AG53" s="62">
        <f t="shared" ca="1" si="29"/>
        <v>316636.75759655336</v>
      </c>
      <c r="AH53" s="69">
        <f ca="1">IF(Swap_Active="No",0,OFFSET(Vectors!$D$6,Vectors!A53,MATCH(Swap_Out,lstInterestRates,0)))</f>
        <v>0.04</v>
      </c>
      <c r="AI53" s="62">
        <f t="shared" ca="1" si="30"/>
        <v>184241.10182506291</v>
      </c>
      <c r="AJ53" s="62">
        <f t="shared" ca="1" si="31"/>
        <v>132395.65577149045</v>
      </c>
      <c r="AK53" s="62">
        <f t="shared" ca="1" si="32"/>
        <v>1240632.7919670464</v>
      </c>
      <c r="AL53" s="121"/>
      <c r="AM53" s="123">
        <f t="shared" ca="1" si="13"/>
        <v>164323.84225113346</v>
      </c>
      <c r="AN53" s="124">
        <f t="shared" ca="1" si="33"/>
        <v>164323.84225113346</v>
      </c>
      <c r="AO53" s="125">
        <f t="shared" ca="1" si="34"/>
        <v>0</v>
      </c>
      <c r="AP53" s="123">
        <f t="shared" ca="1" si="35"/>
        <v>1076308.949715913</v>
      </c>
      <c r="AQ53" s="121"/>
      <c r="AR53" s="126">
        <f ca="1">IF(LiabIntType1="Fixed",LiabFxdRate1,OFFSET(Vectors!$D$6,Vectors!A53,MATCH(LiabLoanIndex1,lstInterestRates,0))+LiabMarg1)</f>
        <v>7.874400000000005E-2</v>
      </c>
      <c r="AS53" s="122">
        <f t="shared" ca="1" si="36"/>
        <v>424528.23190430296</v>
      </c>
      <c r="AT53" s="124">
        <f t="shared" ca="1" si="37"/>
        <v>424528.23190430296</v>
      </c>
      <c r="AU53" s="123">
        <f t="shared" ca="1" si="38"/>
        <v>0</v>
      </c>
      <c r="AV53" s="123">
        <f t="shared" ca="1" si="14"/>
        <v>0</v>
      </c>
      <c r="AW53" s="123">
        <f t="shared" ca="1" si="39"/>
        <v>0</v>
      </c>
      <c r="AX53" s="124">
        <f t="shared" ca="1" si="40"/>
        <v>651780.71781161008</v>
      </c>
      <c r="AY53" s="121"/>
      <c r="AZ53" s="122">
        <f t="shared" ca="1" si="15"/>
        <v>651780.71781161008</v>
      </c>
      <c r="BA53" s="124">
        <f t="shared" ca="1" si="41"/>
        <v>651780.71781161008</v>
      </c>
      <c r="BB53" s="123">
        <f t="shared" ca="1" si="42"/>
        <v>0</v>
      </c>
      <c r="BC53" s="123">
        <f t="shared" ca="1" si="16"/>
        <v>0</v>
      </c>
      <c r="BD53" s="123">
        <f t="shared" ca="1" si="43"/>
        <v>0</v>
      </c>
      <c r="BE53" s="124">
        <f t="shared" ca="1" si="44"/>
        <v>0</v>
      </c>
      <c r="BF53" s="121"/>
      <c r="BG53" s="123">
        <f t="shared" si="17"/>
        <v>1000000</v>
      </c>
      <c r="BH53" s="123">
        <f t="shared" ca="1" si="45"/>
        <v>1000000</v>
      </c>
      <c r="BI53" s="123">
        <f t="shared" ca="1" si="46"/>
        <v>0</v>
      </c>
      <c r="BJ53" s="123">
        <f t="shared" ca="1" si="47"/>
        <v>0</v>
      </c>
      <c r="BK53" s="123">
        <f t="shared" ca="1" si="4"/>
        <v>1000000</v>
      </c>
      <c r="BL53" s="123">
        <f t="shared" ca="1" si="48"/>
        <v>0</v>
      </c>
      <c r="BM53" s="121"/>
      <c r="BN53" s="126">
        <f ca="1">IF(LiabIntType2="Fixed",LiabFxdRate2,OFFSET(Vectors!$D$6,Vectors!A53,MATCH(LiabLoanIndex2,lstInterestRates,0))+LiabMarg2)</f>
        <v>0.04</v>
      </c>
      <c r="BO53" s="122">
        <f t="shared" ca="1" si="49"/>
        <v>34119.905847872607</v>
      </c>
      <c r="BP53" s="124">
        <f t="shared" ca="1" si="50"/>
        <v>0</v>
      </c>
      <c r="BQ53" s="123">
        <f t="shared" ca="1" si="51"/>
        <v>34119.905847872607</v>
      </c>
      <c r="BR53" s="123">
        <f t="shared" ca="1" si="52"/>
        <v>0</v>
      </c>
      <c r="BS53" s="121"/>
      <c r="BT53" s="123">
        <f t="shared" ca="1" si="18"/>
        <v>50420.781784020321</v>
      </c>
      <c r="BU53" s="123">
        <f t="shared" ca="1" si="53"/>
        <v>0</v>
      </c>
      <c r="BV53" s="123">
        <f t="shared" ca="1" si="54"/>
        <v>50420.781784020321</v>
      </c>
      <c r="BW53" s="123">
        <f t="shared" ca="1" si="55"/>
        <v>0</v>
      </c>
      <c r="BX53" s="121"/>
      <c r="BY53" s="123">
        <f t="shared" si="56"/>
        <v>0</v>
      </c>
      <c r="BZ53" s="123">
        <f t="shared" ca="1" si="57"/>
        <v>0</v>
      </c>
      <c r="CA53" s="121"/>
      <c r="CB53" s="122">
        <f t="shared" ca="1" si="5"/>
        <v>64043164.7110672</v>
      </c>
      <c r="CC53" s="122">
        <f t="shared" ca="1" si="58"/>
        <v>424528.23190430296</v>
      </c>
      <c r="CD53" s="124">
        <f t="shared" ca="1" si="59"/>
        <v>651780.71781161008</v>
      </c>
      <c r="CE53" s="121"/>
      <c r="CF53" s="122">
        <f t="shared" ca="1" si="6"/>
        <v>10235971.754361782</v>
      </c>
      <c r="CG53" s="124">
        <f t="shared" ca="1" si="60"/>
        <v>0</v>
      </c>
      <c r="CH53" s="123">
        <f t="shared" ca="1" si="61"/>
        <v>0</v>
      </c>
      <c r="CI53" s="121"/>
      <c r="CJ53" s="123">
        <f t="shared" ca="1" si="62"/>
        <v>1424873.8937921093</v>
      </c>
      <c r="CK53" s="123">
        <f t="shared" ca="1" si="63"/>
        <v>1424873.8937921096</v>
      </c>
      <c r="CL53" s="123">
        <f t="shared" ca="1" si="64"/>
        <v>0</v>
      </c>
      <c r="CM53" s="121"/>
      <c r="CN53" s="62">
        <f t="shared" ca="1" si="65"/>
        <v>491770.3687446033</v>
      </c>
      <c r="CO53" s="62" t="b">
        <f t="shared" si="66"/>
        <v>1</v>
      </c>
      <c r="CP53" s="126">
        <f t="shared" ca="1" si="67"/>
        <v>1.305555555555557E-3</v>
      </c>
      <c r="CQ53" s="120"/>
      <c r="CR53" s="120"/>
      <c r="CS53" s="120"/>
      <c r="CT53" s="120"/>
      <c r="CU53" s="120"/>
      <c r="CV53" s="120"/>
      <c r="CW53" s="120"/>
      <c r="CX53" s="120"/>
      <c r="CY53" s="120"/>
      <c r="CZ53" s="120"/>
      <c r="DA53" s="120"/>
      <c r="DB53" s="120"/>
      <c r="DC53" s="120"/>
      <c r="DD53" s="120"/>
      <c r="DE53" s="116"/>
      <c r="DF53" s="116"/>
      <c r="DG53" s="116"/>
      <c r="DH53" s="116"/>
      <c r="DI53" s="116"/>
      <c r="DJ53" s="116"/>
      <c r="DK53" s="116"/>
      <c r="DL53" s="116"/>
      <c r="DM53" s="116"/>
      <c r="DN53" s="116"/>
    </row>
    <row r="54" spans="1:118" x14ac:dyDescent="0.2">
      <c r="A54" s="27">
        <v>48</v>
      </c>
      <c r="B54" s="29">
        <f t="shared" si="0"/>
        <v>40575</v>
      </c>
      <c r="C54" s="30">
        <f t="shared" si="1"/>
        <v>8.3333333333333329E-2</v>
      </c>
      <c r="D54" s="55"/>
      <c r="E54" s="62">
        <f t="shared" ca="1" si="19"/>
        <v>96935673.297939464</v>
      </c>
      <c r="F54" s="63">
        <f ca="1">IF(AssetIntType1="Fixed",AssetFxdRate1,IF(A54=1,OFFSET(Vectors!$D$6,A54,MATCH(AssetFltIndx1,lstInterestRates,0)),IF(MOD($A54,AssetRateReset1)=0,MAX(MIN(OFFSET(Vectors!$D$6,A54,MATCH(AssetFltIndx1,lstInterestRates,0)),(F53-AssetMarg1)+AssetPdCapFl1,AssetLifeCap1-AssetMarg1),(F53-AssetMarg1)-AssetPdCapFl1,AssetLifeFloor1-AssetMarg1),F53)))+AssetMarg1</f>
        <v>0.09</v>
      </c>
      <c r="G54" s="62">
        <f t="shared" ca="1" si="7"/>
        <v>804622.61694478267</v>
      </c>
      <c r="H54" s="62">
        <f t="shared" ca="1" si="20"/>
        <v>727017.54973454599</v>
      </c>
      <c r="I54" s="62">
        <f t="shared" ca="1" si="21"/>
        <v>77605.067210236681</v>
      </c>
      <c r="J54" s="62">
        <f t="shared" ca="1" si="2"/>
        <v>96858068.230729222</v>
      </c>
      <c r="K54" s="55"/>
      <c r="L54" s="62">
        <f t="shared" ca="1" si="22"/>
        <v>81928798.624715775</v>
      </c>
      <c r="M54" s="68">
        <f ca="1">IF(pdrLossTime1="",OFFSET(Vectors!$AE$6,A54+_Age1,MATCH(SDA_Loss,lstSDA,0)),OFFSET(Vectors!$X$6,A54+_Age1,MATCH(pdrLossTime1,lstDefaultCurve,0)))</f>
        <v>2.7777777777777779E-5</v>
      </c>
      <c r="N54" s="62">
        <f t="shared" ca="1" si="8"/>
        <v>2777.7777777777778</v>
      </c>
      <c r="O54" s="67">
        <f t="shared" ca="1" si="23"/>
        <v>0.96858068230729222</v>
      </c>
      <c r="P54" s="68">
        <f ca="1">OFFSET(Vectors!$L$6,A54+_Age1,MATCH(pdrPrepay1,lstPrepayCurve,0))*pdrPrepayStress1</f>
        <v>5.1430128318229462E-3</v>
      </c>
      <c r="Q54" s="62">
        <f t="shared" ca="1" si="24"/>
        <v>421023.52821374492</v>
      </c>
      <c r="R54" s="62">
        <f t="shared" ca="1" si="25"/>
        <v>65588.592287929947</v>
      </c>
      <c r="S54" s="69">
        <f t="shared" ca="1" si="26"/>
        <v>0.09</v>
      </c>
      <c r="T54" s="62">
        <f t="shared" ca="1" si="27"/>
        <v>614445.156352035</v>
      </c>
      <c r="U54" s="62">
        <f t="shared" ca="1" si="9"/>
        <v>1111.1111111111111</v>
      </c>
      <c r="V54" s="62">
        <f t="shared" ca="1" si="3"/>
        <v>81439408.726436332</v>
      </c>
      <c r="W54" s="55"/>
      <c r="X54" s="62">
        <f t="shared" ca="1" si="28"/>
        <v>1102168.387964821</v>
      </c>
      <c r="Y54" s="55"/>
      <c r="Z54" s="118" t="b">
        <v>0</v>
      </c>
      <c r="AA54" s="120" t="b">
        <f t="shared" si="10"/>
        <v>0</v>
      </c>
      <c r="AB54" s="120" t="b">
        <f t="shared" si="11"/>
        <v>1</v>
      </c>
      <c r="AC54" s="120" t="b">
        <f t="shared" ca="1" si="12"/>
        <v>0</v>
      </c>
      <c r="AD54" s="121"/>
      <c r="AE54" s="129">
        <v>54613293.117188625</v>
      </c>
      <c r="AF54" s="69">
        <f ca="1">IF(Swap_Active="No",0,OFFSET(Vectors!$D$6,Vectors!A54,MATCH(Swap_In,lstInterestRates,0)))</f>
        <v>6.9369000000000056E-2</v>
      </c>
      <c r="AG54" s="62">
        <f t="shared" ca="1" si="29"/>
        <v>315705.79418718838</v>
      </c>
      <c r="AH54" s="69">
        <f ca="1">IF(Swap_Active="No",0,OFFSET(Vectors!$D$6,Vectors!A54,MATCH(Swap_Out,lstInterestRates,0)))</f>
        <v>0.04</v>
      </c>
      <c r="AI54" s="62">
        <f t="shared" ca="1" si="30"/>
        <v>182044.31039062876</v>
      </c>
      <c r="AJ54" s="62">
        <f t="shared" ca="1" si="31"/>
        <v>133661.48379655962</v>
      </c>
      <c r="AK54" s="62">
        <f t="shared" ca="1" si="32"/>
        <v>1235829.8717613807</v>
      </c>
      <c r="AL54" s="121"/>
      <c r="AM54" s="123">
        <f t="shared" ca="1" si="13"/>
        <v>163232.64967080427</v>
      </c>
      <c r="AN54" s="124">
        <f t="shared" ca="1" si="33"/>
        <v>163232.64967080427</v>
      </c>
      <c r="AO54" s="125">
        <f t="shared" ca="1" si="34"/>
        <v>0</v>
      </c>
      <c r="AP54" s="123">
        <f t="shared" ca="1" si="35"/>
        <v>1072597.2220905763</v>
      </c>
      <c r="AQ54" s="121"/>
      <c r="AR54" s="126">
        <f ca="1">IF(LiabIntType1="Fixed",LiabFxdRate1,OFFSET(Vectors!$D$6,Vectors!A54,MATCH(LiabLoanIndex1,lstInterestRates,0))+LiabMarg1)</f>
        <v>7.9369000000000051E-2</v>
      </c>
      <c r="AS54" s="122">
        <f t="shared" ca="1" si="36"/>
        <v>423586.82832939131</v>
      </c>
      <c r="AT54" s="124">
        <f t="shared" ca="1" si="37"/>
        <v>423586.82832939131</v>
      </c>
      <c r="AU54" s="123">
        <f t="shared" ca="1" si="38"/>
        <v>0</v>
      </c>
      <c r="AV54" s="123">
        <f t="shared" ca="1" si="14"/>
        <v>0</v>
      </c>
      <c r="AW54" s="123">
        <f t="shared" ca="1" si="39"/>
        <v>0</v>
      </c>
      <c r="AX54" s="124">
        <f t="shared" ca="1" si="40"/>
        <v>649010.393761185</v>
      </c>
      <c r="AY54" s="121"/>
      <c r="AZ54" s="122">
        <f t="shared" ca="1" si="15"/>
        <v>649010.393761185</v>
      </c>
      <c r="BA54" s="124">
        <f t="shared" ca="1" si="41"/>
        <v>649010.393761185</v>
      </c>
      <c r="BB54" s="123">
        <f t="shared" ca="1" si="42"/>
        <v>0</v>
      </c>
      <c r="BC54" s="123">
        <f t="shared" ca="1" si="16"/>
        <v>0</v>
      </c>
      <c r="BD54" s="123">
        <f t="shared" ca="1" si="43"/>
        <v>0</v>
      </c>
      <c r="BE54" s="124">
        <f t="shared" ca="1" si="44"/>
        <v>0</v>
      </c>
      <c r="BF54" s="121"/>
      <c r="BG54" s="123">
        <f t="shared" si="17"/>
        <v>1000000</v>
      </c>
      <c r="BH54" s="123">
        <f t="shared" ca="1" si="45"/>
        <v>1000000</v>
      </c>
      <c r="BI54" s="123">
        <f t="shared" ca="1" si="46"/>
        <v>0</v>
      </c>
      <c r="BJ54" s="123">
        <f t="shared" ca="1" si="47"/>
        <v>0</v>
      </c>
      <c r="BK54" s="123">
        <f t="shared" ca="1" si="4"/>
        <v>1000000</v>
      </c>
      <c r="BL54" s="123">
        <f t="shared" ca="1" si="48"/>
        <v>0</v>
      </c>
      <c r="BM54" s="121"/>
      <c r="BN54" s="126">
        <f ca="1">IF(LiabIntType2="Fixed",LiabFxdRate2,OFFSET(Vectors!$D$6,Vectors!A54,MATCH(LiabLoanIndex2,lstInterestRates,0))+LiabMarg2)</f>
        <v>0.04</v>
      </c>
      <c r="BO54" s="122">
        <f t="shared" ca="1" si="49"/>
        <v>34119.905847872607</v>
      </c>
      <c r="BP54" s="124">
        <f t="shared" ca="1" si="50"/>
        <v>0</v>
      </c>
      <c r="BQ54" s="123">
        <f t="shared" ca="1" si="51"/>
        <v>34119.905847872607</v>
      </c>
      <c r="BR54" s="123">
        <f t="shared" ca="1" si="52"/>
        <v>0</v>
      </c>
      <c r="BS54" s="121"/>
      <c r="BT54" s="123">
        <f t="shared" ca="1" si="18"/>
        <v>50176.714248652002</v>
      </c>
      <c r="BU54" s="123">
        <f t="shared" ca="1" si="53"/>
        <v>0</v>
      </c>
      <c r="BV54" s="123">
        <f t="shared" ca="1" si="54"/>
        <v>50176.714248652002</v>
      </c>
      <c r="BW54" s="123">
        <f t="shared" ca="1" si="55"/>
        <v>0</v>
      </c>
      <c r="BX54" s="121"/>
      <c r="BY54" s="123">
        <f t="shared" si="56"/>
        <v>0</v>
      </c>
      <c r="BZ54" s="123">
        <f t="shared" ca="1" si="57"/>
        <v>0</v>
      </c>
      <c r="CA54" s="121"/>
      <c r="CB54" s="122">
        <f t="shared" ca="1" si="5"/>
        <v>63394154.317306012</v>
      </c>
      <c r="CC54" s="122">
        <f t="shared" ca="1" si="58"/>
        <v>423586.82832939131</v>
      </c>
      <c r="CD54" s="124">
        <f t="shared" ca="1" si="59"/>
        <v>649010.393761185</v>
      </c>
      <c r="CE54" s="121"/>
      <c r="CF54" s="122">
        <f t="shared" ca="1" si="6"/>
        <v>10235971.754361782</v>
      </c>
      <c r="CG54" s="124">
        <f t="shared" ca="1" si="60"/>
        <v>0</v>
      </c>
      <c r="CH54" s="123">
        <f t="shared" ca="1" si="61"/>
        <v>0</v>
      </c>
      <c r="CI54" s="121"/>
      <c r="CJ54" s="123">
        <f t="shared" ca="1" si="62"/>
        <v>1417874.1821520093</v>
      </c>
      <c r="CK54" s="123">
        <f t="shared" ca="1" si="63"/>
        <v>1417874.1821520093</v>
      </c>
      <c r="CL54" s="123">
        <f t="shared" ca="1" si="64"/>
        <v>0</v>
      </c>
      <c r="CM54" s="121"/>
      <c r="CN54" s="62">
        <f t="shared" ca="1" si="65"/>
        <v>489389.89827945264</v>
      </c>
      <c r="CO54" s="62" t="b">
        <f t="shared" si="66"/>
        <v>1</v>
      </c>
      <c r="CP54" s="126">
        <f t="shared" ca="1" si="67"/>
        <v>1.3333333333333348E-3</v>
      </c>
      <c r="CQ54" s="120"/>
      <c r="CR54" s="120"/>
      <c r="CS54" s="120"/>
      <c r="CT54" s="120"/>
      <c r="CU54" s="120"/>
      <c r="CV54" s="120"/>
      <c r="CW54" s="120"/>
      <c r="CX54" s="120"/>
      <c r="CY54" s="120"/>
      <c r="CZ54" s="120"/>
      <c r="DA54" s="120"/>
      <c r="DB54" s="120"/>
      <c r="DC54" s="120"/>
      <c r="DD54" s="120"/>
      <c r="DE54" s="116"/>
      <c r="DF54" s="116"/>
      <c r="DG54" s="116"/>
      <c r="DH54" s="116"/>
      <c r="DI54" s="116"/>
      <c r="DJ54" s="116"/>
      <c r="DK54" s="116"/>
      <c r="DL54" s="116"/>
      <c r="DM54" s="116"/>
      <c r="DN54" s="116"/>
    </row>
    <row r="55" spans="1:118" x14ac:dyDescent="0.2">
      <c r="A55" s="27">
        <v>49</v>
      </c>
      <c r="B55" s="29">
        <f t="shared" si="0"/>
        <v>40603</v>
      </c>
      <c r="C55" s="30">
        <f t="shared" si="1"/>
        <v>8.3333333333333329E-2</v>
      </c>
      <c r="D55" s="55"/>
      <c r="E55" s="62">
        <f t="shared" ca="1" si="19"/>
        <v>96858068.230729222</v>
      </c>
      <c r="F55" s="63">
        <f ca="1">IF(AssetIntType1="Fixed",AssetFxdRate1,IF(A55=1,OFFSET(Vectors!$D$6,A55,MATCH(AssetFltIndx1,lstInterestRates,0)),IF(MOD($A55,AssetRateReset1)=0,MAX(MIN(OFFSET(Vectors!$D$6,A55,MATCH(AssetFltIndx1,lstInterestRates,0)),(F54-AssetMarg1)+AssetPdCapFl1,AssetLifeCap1-AssetMarg1),(F54-AssetMarg1)-AssetPdCapFl1,AssetLifeFloor1-AssetMarg1),F54)))+AssetMarg1</f>
        <v>0.09</v>
      </c>
      <c r="G55" s="62">
        <f t="shared" ca="1" si="7"/>
        <v>804622.61694478267</v>
      </c>
      <c r="H55" s="62">
        <f t="shared" ca="1" si="20"/>
        <v>726435.51173046918</v>
      </c>
      <c r="I55" s="62">
        <f t="shared" ca="1" si="21"/>
        <v>78187.105214313488</v>
      </c>
      <c r="J55" s="62">
        <f t="shared" ca="1" si="2"/>
        <v>96779881.12551491</v>
      </c>
      <c r="K55" s="55"/>
      <c r="L55" s="62">
        <f t="shared" ca="1" si="22"/>
        <v>81439408.726436332</v>
      </c>
      <c r="M55" s="68">
        <f ca="1">IF(pdrLossTime1="",OFFSET(Vectors!$AE$6,A55+_Age1,MATCH(SDA_Loss,lstSDA,0)),OFFSET(Vectors!$X$6,A55+_Age1,MATCH(pdrLossTime1,lstDefaultCurve,0)))</f>
        <v>2.7777777777777779E-5</v>
      </c>
      <c r="N55" s="62">
        <f t="shared" ca="1" si="8"/>
        <v>2777.7777777777778</v>
      </c>
      <c r="O55" s="67">
        <f t="shared" ca="1" si="23"/>
        <v>0.96779881125514911</v>
      </c>
      <c r="P55" s="68">
        <f ca="1">OFFSET(Vectors!$L$6,A55+_Age1,MATCH(pdrPrepay1,lstPrepayCurve,0))*pdrPrepayStress1</f>
        <v>5.1430128318229462E-3</v>
      </c>
      <c r="Q55" s="62">
        <f t="shared" ca="1" si="24"/>
        <v>418505.81912914763</v>
      </c>
      <c r="R55" s="62">
        <f t="shared" ca="1" si="25"/>
        <v>65738.399996929176</v>
      </c>
      <c r="S55" s="69">
        <f t="shared" ca="1" si="26"/>
        <v>0.09</v>
      </c>
      <c r="T55" s="62">
        <f t="shared" ca="1" si="27"/>
        <v>610774.73211493914</v>
      </c>
      <c r="U55" s="62">
        <f t="shared" ca="1" si="9"/>
        <v>1111.1111111111111</v>
      </c>
      <c r="V55" s="62">
        <f t="shared" ca="1" si="3"/>
        <v>80952386.729532465</v>
      </c>
      <c r="W55" s="55"/>
      <c r="X55" s="62">
        <f t="shared" ca="1" si="28"/>
        <v>1096130.0623521269</v>
      </c>
      <c r="Y55" s="55"/>
      <c r="Z55" s="118" t="b">
        <v>0</v>
      </c>
      <c r="AA55" s="120" t="b">
        <f t="shared" si="10"/>
        <v>0</v>
      </c>
      <c r="AB55" s="120" t="b">
        <f t="shared" si="11"/>
        <v>1</v>
      </c>
      <c r="AC55" s="120" t="b">
        <f t="shared" ca="1" si="12"/>
        <v>0</v>
      </c>
      <c r="AD55" s="121"/>
      <c r="AE55" s="129">
        <v>53960969.734591164</v>
      </c>
      <c r="AF55" s="69">
        <f ca="1">IF(Swap_Active="No",0,OFFSET(Vectors!$D$6,Vectors!A55,MATCH(Swap_In,lstInterestRates,0)))</f>
        <v>6.9369000000000056E-2</v>
      </c>
      <c r="AG55" s="62">
        <f t="shared" ca="1" si="29"/>
        <v>311934.87579323811</v>
      </c>
      <c r="AH55" s="69">
        <f ca="1">IF(Swap_Active="No",0,OFFSET(Vectors!$D$6,Vectors!A55,MATCH(Swap_Out,lstInterestRates,0)))</f>
        <v>0.04</v>
      </c>
      <c r="AI55" s="62">
        <f t="shared" ca="1" si="30"/>
        <v>179869.89911530388</v>
      </c>
      <c r="AJ55" s="62">
        <f t="shared" ca="1" si="31"/>
        <v>132064.97667793423</v>
      </c>
      <c r="AK55" s="62">
        <f t="shared" ca="1" si="32"/>
        <v>1228195.0390300611</v>
      </c>
      <c r="AL55" s="121"/>
      <c r="AM55" s="123">
        <f t="shared" ca="1" si="13"/>
        <v>162146.57884293806</v>
      </c>
      <c r="AN55" s="124">
        <f t="shared" ca="1" si="33"/>
        <v>162146.57884293806</v>
      </c>
      <c r="AO55" s="125">
        <f t="shared" ca="1" si="34"/>
        <v>0</v>
      </c>
      <c r="AP55" s="123">
        <f t="shared" ca="1" si="35"/>
        <v>1066048.4601871232</v>
      </c>
      <c r="AQ55" s="121"/>
      <c r="AR55" s="126">
        <f ca="1">IF(LiabIntType1="Fixed",LiabFxdRate1,OFFSET(Vectors!$D$6,Vectors!A55,MATCH(LiabLoanIndex1,lstInterestRates,0))+LiabMarg1)</f>
        <v>7.9369000000000051E-2</v>
      </c>
      <c r="AS55" s="122">
        <f t="shared" ca="1" si="36"/>
        <v>419294.21950085531</v>
      </c>
      <c r="AT55" s="124">
        <f t="shared" ca="1" si="37"/>
        <v>419294.21950085531</v>
      </c>
      <c r="AU55" s="123">
        <f t="shared" ca="1" si="38"/>
        <v>0</v>
      </c>
      <c r="AV55" s="123">
        <f t="shared" ca="1" si="14"/>
        <v>0</v>
      </c>
      <c r="AW55" s="123">
        <f t="shared" ca="1" si="39"/>
        <v>0</v>
      </c>
      <c r="AX55" s="124">
        <f t="shared" ca="1" si="40"/>
        <v>646754.24068626785</v>
      </c>
      <c r="AY55" s="121"/>
      <c r="AZ55" s="122">
        <f t="shared" ca="1" si="15"/>
        <v>646754.24068626785</v>
      </c>
      <c r="BA55" s="124">
        <f t="shared" ca="1" si="41"/>
        <v>646754.24068626785</v>
      </c>
      <c r="BB55" s="123">
        <f t="shared" ca="1" si="42"/>
        <v>0</v>
      </c>
      <c r="BC55" s="123">
        <f t="shared" ca="1" si="16"/>
        <v>0</v>
      </c>
      <c r="BD55" s="123">
        <f t="shared" ca="1" si="43"/>
        <v>0</v>
      </c>
      <c r="BE55" s="124">
        <f t="shared" ca="1" si="44"/>
        <v>0</v>
      </c>
      <c r="BF55" s="121"/>
      <c r="BG55" s="123">
        <f t="shared" si="17"/>
        <v>1000000</v>
      </c>
      <c r="BH55" s="123">
        <f t="shared" ca="1" si="45"/>
        <v>1000000</v>
      </c>
      <c r="BI55" s="123">
        <f t="shared" ca="1" si="46"/>
        <v>0</v>
      </c>
      <c r="BJ55" s="123">
        <f t="shared" ca="1" si="47"/>
        <v>0</v>
      </c>
      <c r="BK55" s="123">
        <f t="shared" ca="1" si="4"/>
        <v>1000000</v>
      </c>
      <c r="BL55" s="123">
        <f t="shared" ca="1" si="48"/>
        <v>0</v>
      </c>
      <c r="BM55" s="121"/>
      <c r="BN55" s="126">
        <f ca="1">IF(LiabIntType2="Fixed",LiabFxdRate2,OFFSET(Vectors!$D$6,Vectors!A55,MATCH(LiabLoanIndex2,lstInterestRates,0))+LiabMarg2)</f>
        <v>0.04</v>
      </c>
      <c r="BO55" s="122">
        <f t="shared" ca="1" si="49"/>
        <v>34119.905847872607</v>
      </c>
      <c r="BP55" s="124">
        <f t="shared" ca="1" si="50"/>
        <v>0</v>
      </c>
      <c r="BQ55" s="123">
        <f t="shared" ca="1" si="51"/>
        <v>34119.905847872607</v>
      </c>
      <c r="BR55" s="123">
        <f t="shared" ca="1" si="52"/>
        <v>0</v>
      </c>
      <c r="BS55" s="121"/>
      <c r="BT55" s="123">
        <f t="shared" ca="1" si="18"/>
        <v>49933.935410939805</v>
      </c>
      <c r="BU55" s="123">
        <f t="shared" ca="1" si="53"/>
        <v>0</v>
      </c>
      <c r="BV55" s="123">
        <f t="shared" ca="1" si="54"/>
        <v>49933.935410939805</v>
      </c>
      <c r="BW55" s="123">
        <f t="shared" ca="1" si="55"/>
        <v>0</v>
      </c>
      <c r="BX55" s="121"/>
      <c r="BY55" s="123">
        <f t="shared" si="56"/>
        <v>0</v>
      </c>
      <c r="BZ55" s="123">
        <f t="shared" ca="1" si="57"/>
        <v>0</v>
      </c>
      <c r="CA55" s="121"/>
      <c r="CB55" s="122">
        <f t="shared" ca="1" si="5"/>
        <v>62747400.076619744</v>
      </c>
      <c r="CC55" s="122">
        <f t="shared" ca="1" si="58"/>
        <v>419294.21950085531</v>
      </c>
      <c r="CD55" s="124">
        <f t="shared" ca="1" si="59"/>
        <v>646754.24068626785</v>
      </c>
      <c r="CE55" s="121"/>
      <c r="CF55" s="122">
        <f t="shared" ca="1" si="6"/>
        <v>10235971.754361782</v>
      </c>
      <c r="CG55" s="124">
        <f t="shared" ca="1" si="60"/>
        <v>0</v>
      </c>
      <c r="CH55" s="123">
        <f t="shared" ca="1" si="61"/>
        <v>0</v>
      </c>
      <c r="CI55" s="121"/>
      <c r="CJ55" s="123">
        <f t="shared" ca="1" si="62"/>
        <v>1408064.9381453651</v>
      </c>
      <c r="CK55" s="123">
        <f t="shared" ca="1" si="63"/>
        <v>1408064.9381453651</v>
      </c>
      <c r="CL55" s="123">
        <f t="shared" ca="1" si="64"/>
        <v>0</v>
      </c>
      <c r="CM55" s="121"/>
      <c r="CN55" s="62">
        <f t="shared" ca="1" si="65"/>
        <v>487021.99690385454</v>
      </c>
      <c r="CO55" s="62" t="b">
        <f t="shared" si="66"/>
        <v>1</v>
      </c>
      <c r="CP55" s="126">
        <f t="shared" ca="1" si="67"/>
        <v>1.3611111111111126E-3</v>
      </c>
      <c r="CQ55" s="120"/>
      <c r="CR55" s="120"/>
      <c r="CS55" s="120"/>
      <c r="CT55" s="120"/>
      <c r="CU55" s="120"/>
      <c r="CV55" s="120"/>
      <c r="CW55" s="120"/>
      <c r="CX55" s="120"/>
      <c r="CY55" s="120"/>
      <c r="CZ55" s="120"/>
      <c r="DA55" s="120"/>
      <c r="DB55" s="120"/>
      <c r="DC55" s="120"/>
      <c r="DD55" s="120"/>
      <c r="DE55" s="116"/>
      <c r="DF55" s="116"/>
      <c r="DG55" s="116"/>
      <c r="DH55" s="116"/>
      <c r="DI55" s="116"/>
      <c r="DJ55" s="116"/>
      <c r="DK55" s="116"/>
      <c r="DL55" s="116"/>
      <c r="DM55" s="116"/>
      <c r="DN55" s="116"/>
    </row>
    <row r="56" spans="1:118" x14ac:dyDescent="0.2">
      <c r="A56" s="27">
        <v>50</v>
      </c>
      <c r="B56" s="29">
        <f t="shared" si="0"/>
        <v>40634</v>
      </c>
      <c r="C56" s="30">
        <f t="shared" si="1"/>
        <v>8.3333333333333329E-2</v>
      </c>
      <c r="D56" s="55"/>
      <c r="E56" s="62">
        <f t="shared" ca="1" si="19"/>
        <v>96779881.12551491</v>
      </c>
      <c r="F56" s="63">
        <f ca="1">IF(AssetIntType1="Fixed",AssetFxdRate1,IF(A56=1,OFFSET(Vectors!$D$6,A56,MATCH(AssetFltIndx1,lstInterestRates,0)),IF(MOD($A56,AssetRateReset1)=0,MAX(MIN(OFFSET(Vectors!$D$6,A56,MATCH(AssetFltIndx1,lstInterestRates,0)),(F55-AssetMarg1)+AssetPdCapFl1,AssetLifeCap1-AssetMarg1),(F55-AssetMarg1)-AssetPdCapFl1,AssetLifeFloor1-AssetMarg1),F55)))+AssetMarg1</f>
        <v>0.09</v>
      </c>
      <c r="G56" s="62">
        <f t="shared" ca="1" si="7"/>
        <v>804622.61694478267</v>
      </c>
      <c r="H56" s="62">
        <f t="shared" ca="1" si="20"/>
        <v>725849.10844136181</v>
      </c>
      <c r="I56" s="62">
        <f t="shared" ca="1" si="21"/>
        <v>78773.508503420861</v>
      </c>
      <c r="J56" s="62">
        <f t="shared" ca="1" si="2"/>
        <v>96701107.617011487</v>
      </c>
      <c r="K56" s="55"/>
      <c r="L56" s="62">
        <f t="shared" ca="1" si="22"/>
        <v>80952386.729532465</v>
      </c>
      <c r="M56" s="68">
        <f ca="1">IF(pdrLossTime1="",OFFSET(Vectors!$AE$6,A56+_Age1,MATCH(SDA_Loss,lstSDA,0)),OFFSET(Vectors!$X$6,A56+_Age1,MATCH(pdrLossTime1,lstDefaultCurve,0)))</f>
        <v>2.7777777777777779E-5</v>
      </c>
      <c r="N56" s="62">
        <f t="shared" ca="1" si="8"/>
        <v>2777.7777777777778</v>
      </c>
      <c r="O56" s="67">
        <f t="shared" ca="1" si="23"/>
        <v>0.96701107617011484</v>
      </c>
      <c r="P56" s="68">
        <f ca="1">OFFSET(Vectors!$L$6,A56+_Age1,MATCH(pdrPrepay1,lstPrepayCurve,0))*pdrPrepayStress1</f>
        <v>5.1430128318229462E-3</v>
      </c>
      <c r="Q56" s="62">
        <f t="shared" ca="1" si="24"/>
        <v>416000.28650096094</v>
      </c>
      <c r="R56" s="62">
        <f t="shared" ca="1" si="25"/>
        <v>65888.53628411192</v>
      </c>
      <c r="S56" s="69">
        <f t="shared" ca="1" si="26"/>
        <v>0.09</v>
      </c>
      <c r="T56" s="62">
        <f t="shared" ca="1" si="27"/>
        <v>607122.06713816011</v>
      </c>
      <c r="U56" s="62">
        <f t="shared" ca="1" si="9"/>
        <v>1111.1111111111111</v>
      </c>
      <c r="V56" s="62">
        <f t="shared" ca="1" si="3"/>
        <v>80467720.12896961</v>
      </c>
      <c r="W56" s="55"/>
      <c r="X56" s="62">
        <f t="shared" ca="1" si="28"/>
        <v>1090122.0010343441</v>
      </c>
      <c r="Y56" s="55"/>
      <c r="Z56" s="118" t="b">
        <v>0</v>
      </c>
      <c r="AA56" s="120" t="b">
        <f t="shared" si="10"/>
        <v>0</v>
      </c>
      <c r="AB56" s="120" t="b">
        <f t="shared" si="11"/>
        <v>1</v>
      </c>
      <c r="AC56" s="120" t="b">
        <f t="shared" ca="1" si="12"/>
        <v>0</v>
      </c>
      <c r="AD56" s="121"/>
      <c r="AE56" s="129">
        <v>53315292.94079008</v>
      </c>
      <c r="AF56" s="69">
        <f ca="1">IF(Swap_Active="No",0,OFFSET(Vectors!$D$6,Vectors!A56,MATCH(Swap_In,lstInterestRates,0)))</f>
        <v>6.9369000000000056E-2</v>
      </c>
      <c r="AG56" s="62">
        <f t="shared" ca="1" si="29"/>
        <v>308202.37966747244</v>
      </c>
      <c r="AH56" s="69">
        <f ca="1">IF(Swap_Active="No",0,OFFSET(Vectors!$D$6,Vectors!A56,MATCH(Swap_Out,lstInterestRates,0)))</f>
        <v>0.04</v>
      </c>
      <c r="AI56" s="62">
        <f t="shared" ca="1" si="30"/>
        <v>177717.64313596691</v>
      </c>
      <c r="AJ56" s="62">
        <f t="shared" ca="1" si="31"/>
        <v>130484.73653150554</v>
      </c>
      <c r="AK56" s="62">
        <f t="shared" ca="1" si="32"/>
        <v>1220606.7375658497</v>
      </c>
      <c r="AL56" s="121"/>
      <c r="AM56" s="123">
        <f t="shared" ca="1" si="13"/>
        <v>161065.39458114567</v>
      </c>
      <c r="AN56" s="124">
        <f t="shared" ca="1" si="33"/>
        <v>161065.39458114567</v>
      </c>
      <c r="AO56" s="125">
        <f t="shared" ca="1" si="34"/>
        <v>0</v>
      </c>
      <c r="AP56" s="123">
        <f t="shared" ca="1" si="35"/>
        <v>1059541.3429847041</v>
      </c>
      <c r="AQ56" s="121"/>
      <c r="AR56" s="126">
        <f ca="1">IF(LiabIntType1="Fixed",LiabFxdRate1,OFFSET(Vectors!$D$6,Vectors!A56,MATCH(LiabLoanIndex1,lstInterestRates,0))+LiabMarg1)</f>
        <v>7.9369000000000051E-2</v>
      </c>
      <c r="AS56" s="122">
        <f t="shared" ca="1" si="36"/>
        <v>415016.53305676964</v>
      </c>
      <c r="AT56" s="124">
        <f t="shared" ca="1" si="37"/>
        <v>415016.53305676964</v>
      </c>
      <c r="AU56" s="123">
        <f t="shared" ca="1" si="38"/>
        <v>0</v>
      </c>
      <c r="AV56" s="123">
        <f t="shared" ca="1" si="14"/>
        <v>0</v>
      </c>
      <c r="AW56" s="123">
        <f t="shared" ca="1" si="39"/>
        <v>0</v>
      </c>
      <c r="AX56" s="124">
        <f t="shared" ca="1" si="40"/>
        <v>644524.80992793443</v>
      </c>
      <c r="AY56" s="121"/>
      <c r="AZ56" s="122">
        <f t="shared" ca="1" si="15"/>
        <v>644524.80992793443</v>
      </c>
      <c r="BA56" s="124">
        <f t="shared" ca="1" si="41"/>
        <v>644524.80992793443</v>
      </c>
      <c r="BB56" s="123">
        <f t="shared" ca="1" si="42"/>
        <v>0</v>
      </c>
      <c r="BC56" s="123">
        <f t="shared" ca="1" si="16"/>
        <v>0</v>
      </c>
      <c r="BD56" s="123">
        <f t="shared" ca="1" si="43"/>
        <v>0</v>
      </c>
      <c r="BE56" s="124">
        <f t="shared" ca="1" si="44"/>
        <v>0</v>
      </c>
      <c r="BF56" s="121"/>
      <c r="BG56" s="123">
        <f t="shared" si="17"/>
        <v>1000000</v>
      </c>
      <c r="BH56" s="123">
        <f t="shared" ca="1" si="45"/>
        <v>1000000</v>
      </c>
      <c r="BI56" s="123">
        <f t="shared" ca="1" si="46"/>
        <v>0</v>
      </c>
      <c r="BJ56" s="123">
        <f t="shared" ca="1" si="47"/>
        <v>0</v>
      </c>
      <c r="BK56" s="123">
        <f t="shared" ca="1" si="4"/>
        <v>1000000</v>
      </c>
      <c r="BL56" s="123">
        <f t="shared" ca="1" si="48"/>
        <v>0</v>
      </c>
      <c r="BM56" s="121"/>
      <c r="BN56" s="126">
        <f ca="1">IF(LiabIntType2="Fixed",LiabFxdRate2,OFFSET(Vectors!$D$6,Vectors!A56,MATCH(LiabLoanIndex2,lstInterestRates,0))+LiabMarg2)</f>
        <v>0.04</v>
      </c>
      <c r="BO56" s="122">
        <f t="shared" ca="1" si="49"/>
        <v>34119.905847872607</v>
      </c>
      <c r="BP56" s="124">
        <f t="shared" ca="1" si="50"/>
        <v>0</v>
      </c>
      <c r="BQ56" s="123">
        <f t="shared" ca="1" si="51"/>
        <v>34119.905847872607</v>
      </c>
      <c r="BR56" s="123">
        <f t="shared" ca="1" si="52"/>
        <v>0</v>
      </c>
      <c r="BS56" s="121"/>
      <c r="BT56" s="123">
        <f t="shared" ca="1" si="18"/>
        <v>49692.438703385393</v>
      </c>
      <c r="BU56" s="123">
        <f t="shared" ca="1" si="53"/>
        <v>0</v>
      </c>
      <c r="BV56" s="123">
        <f t="shared" ca="1" si="54"/>
        <v>49692.438703385393</v>
      </c>
      <c r="BW56" s="123">
        <f t="shared" ca="1" si="55"/>
        <v>0</v>
      </c>
      <c r="BX56" s="121"/>
      <c r="BY56" s="123">
        <f t="shared" si="56"/>
        <v>0</v>
      </c>
      <c r="BZ56" s="123">
        <f t="shared" ca="1" si="57"/>
        <v>0</v>
      </c>
      <c r="CA56" s="121"/>
      <c r="CB56" s="122">
        <f t="shared" ca="1" si="5"/>
        <v>62102875.266691811</v>
      </c>
      <c r="CC56" s="122">
        <f t="shared" ca="1" si="58"/>
        <v>415016.53305676964</v>
      </c>
      <c r="CD56" s="124">
        <f t="shared" ca="1" si="59"/>
        <v>644524.80992793443</v>
      </c>
      <c r="CE56" s="121"/>
      <c r="CF56" s="122">
        <f t="shared" ca="1" si="6"/>
        <v>10235971.754361782</v>
      </c>
      <c r="CG56" s="124">
        <f t="shared" ca="1" si="60"/>
        <v>0</v>
      </c>
      <c r="CH56" s="123">
        <f t="shared" ca="1" si="61"/>
        <v>0</v>
      </c>
      <c r="CI56" s="121"/>
      <c r="CJ56" s="123">
        <f t="shared" ca="1" si="62"/>
        <v>1398324.3807018166</v>
      </c>
      <c r="CK56" s="123">
        <f t="shared" ca="1" si="63"/>
        <v>1398324.3807018166</v>
      </c>
      <c r="CL56" s="123">
        <f t="shared" ca="1" si="64"/>
        <v>0</v>
      </c>
      <c r="CM56" s="121"/>
      <c r="CN56" s="62">
        <f t="shared" ca="1" si="65"/>
        <v>484666.6005628506</v>
      </c>
      <c r="CO56" s="62" t="b">
        <f t="shared" si="66"/>
        <v>1</v>
      </c>
      <c r="CP56" s="126">
        <f t="shared" ca="1" si="67"/>
        <v>1.3888888888888905E-3</v>
      </c>
      <c r="CQ56" s="120"/>
      <c r="CR56" s="120"/>
      <c r="CS56" s="120"/>
      <c r="CT56" s="120"/>
      <c r="CU56" s="120"/>
      <c r="CV56" s="120"/>
      <c r="CW56" s="120"/>
      <c r="CX56" s="120"/>
      <c r="CY56" s="120"/>
      <c r="CZ56" s="120"/>
      <c r="DA56" s="120"/>
      <c r="DB56" s="120"/>
      <c r="DC56" s="120"/>
      <c r="DD56" s="120"/>
      <c r="DE56" s="116"/>
      <c r="DF56" s="116"/>
      <c r="DG56" s="116"/>
      <c r="DH56" s="116"/>
      <c r="DI56" s="116"/>
      <c r="DJ56" s="116"/>
      <c r="DK56" s="116"/>
      <c r="DL56" s="116"/>
      <c r="DM56" s="116"/>
      <c r="DN56" s="116"/>
    </row>
    <row r="57" spans="1:118" x14ac:dyDescent="0.2">
      <c r="A57" s="27">
        <v>51</v>
      </c>
      <c r="B57" s="29">
        <f t="shared" si="0"/>
        <v>40664</v>
      </c>
      <c r="C57" s="30">
        <f t="shared" si="1"/>
        <v>8.3333333333333329E-2</v>
      </c>
      <c r="D57" s="55"/>
      <c r="E57" s="62">
        <f t="shared" ca="1" si="19"/>
        <v>96701107.617011487</v>
      </c>
      <c r="F57" s="63">
        <f ca="1">IF(AssetIntType1="Fixed",AssetFxdRate1,IF(A57=1,OFFSET(Vectors!$D$6,A57,MATCH(AssetFltIndx1,lstInterestRates,0)),IF(MOD($A57,AssetRateReset1)=0,MAX(MIN(OFFSET(Vectors!$D$6,A57,MATCH(AssetFltIndx1,lstInterestRates,0)),(F56-AssetMarg1)+AssetPdCapFl1,AssetLifeCap1-AssetMarg1),(F56-AssetMarg1)-AssetPdCapFl1,AssetLifeFloor1-AssetMarg1),F56)))+AssetMarg1</f>
        <v>0.09</v>
      </c>
      <c r="G57" s="62">
        <f t="shared" ca="1" si="7"/>
        <v>804622.61694478267</v>
      </c>
      <c r="H57" s="62">
        <f t="shared" ca="1" si="20"/>
        <v>725258.3071275861</v>
      </c>
      <c r="I57" s="62">
        <f t="shared" ca="1" si="21"/>
        <v>79364.309817196568</v>
      </c>
      <c r="J57" s="62">
        <f t="shared" ca="1" si="2"/>
        <v>96621743.307194293</v>
      </c>
      <c r="K57" s="55"/>
      <c r="L57" s="62">
        <f t="shared" ca="1" si="22"/>
        <v>80467720.12896961</v>
      </c>
      <c r="M57" s="68">
        <f ca="1">IF(pdrLossTime1="",OFFSET(Vectors!$AE$6,A57+_Age1,MATCH(SDA_Loss,lstSDA,0)),OFFSET(Vectors!$X$6,A57+_Age1,MATCH(pdrLossTime1,lstDefaultCurve,0)))</f>
        <v>2.7777777777777779E-5</v>
      </c>
      <c r="N57" s="62">
        <f t="shared" ca="1" si="8"/>
        <v>2777.7777777777778</v>
      </c>
      <c r="O57" s="67">
        <f t="shared" ca="1" si="23"/>
        <v>0.96621743307194297</v>
      </c>
      <c r="P57" s="68">
        <f ca="1">OFFSET(Vectors!$L$6,A57+_Age1,MATCH(pdrPrepay1,lstPrepayCurve,0))*pdrPrepayStress1</f>
        <v>5.1430128318229462E-3</v>
      </c>
      <c r="Q57" s="62">
        <f t="shared" ca="1" si="24"/>
        <v>413506.86601258512</v>
      </c>
      <c r="R57" s="62">
        <f t="shared" ca="1" si="25"/>
        <v>66039.001740024571</v>
      </c>
      <c r="S57" s="69">
        <f t="shared" ca="1" si="26"/>
        <v>0.09</v>
      </c>
      <c r="T57" s="62">
        <f t="shared" ca="1" si="27"/>
        <v>603487.06763393874</v>
      </c>
      <c r="U57" s="62">
        <f t="shared" ca="1" si="9"/>
        <v>1111.1111111111111</v>
      </c>
      <c r="V57" s="62">
        <f t="shared" ca="1" si="3"/>
        <v>79985396.483439222</v>
      </c>
      <c r="W57" s="55"/>
      <c r="X57" s="62">
        <f t="shared" ca="1" si="28"/>
        <v>1084144.0464976593</v>
      </c>
      <c r="Y57" s="55"/>
      <c r="Z57" s="118" t="b">
        <v>0</v>
      </c>
      <c r="AA57" s="120" t="b">
        <f t="shared" si="10"/>
        <v>0</v>
      </c>
      <c r="AB57" s="120" t="b">
        <f t="shared" si="11"/>
        <v>1</v>
      </c>
      <c r="AC57" s="120" t="b">
        <f t="shared" ca="1" si="12"/>
        <v>0</v>
      </c>
      <c r="AD57" s="121"/>
      <c r="AE57" s="129">
        <v>52676195.952258356</v>
      </c>
      <c r="AF57" s="69">
        <f ca="1">IF(Swap_Active="No",0,OFFSET(Vectors!$D$6,Vectors!A57,MATCH(Swap_In,lstInterestRates,0)))</f>
        <v>6.9369000000000056E-2</v>
      </c>
      <c r="AG57" s="62">
        <f t="shared" ca="1" si="29"/>
        <v>304507.9197510177</v>
      </c>
      <c r="AH57" s="69">
        <f ca="1">IF(Swap_Active="No",0,OFFSET(Vectors!$D$6,Vectors!A57,MATCH(Swap_Out,lstInterestRates,0)))</f>
        <v>0.04</v>
      </c>
      <c r="AI57" s="62">
        <f t="shared" ca="1" si="30"/>
        <v>175587.31984086116</v>
      </c>
      <c r="AJ57" s="62">
        <f t="shared" ca="1" si="31"/>
        <v>128920.59991015654</v>
      </c>
      <c r="AK57" s="62">
        <f t="shared" ca="1" si="32"/>
        <v>1213064.6464078159</v>
      </c>
      <c r="AL57" s="121"/>
      <c r="AM57" s="123">
        <f t="shared" ca="1" si="13"/>
        <v>159989.06490940426</v>
      </c>
      <c r="AN57" s="124">
        <f t="shared" ca="1" si="33"/>
        <v>159989.06490940426</v>
      </c>
      <c r="AO57" s="125">
        <f t="shared" ca="1" si="34"/>
        <v>0</v>
      </c>
      <c r="AP57" s="123">
        <f t="shared" ca="1" si="35"/>
        <v>1053075.5814984115</v>
      </c>
      <c r="AQ57" s="121"/>
      <c r="AR57" s="126">
        <f ca="1">IF(LiabIntType1="Fixed",LiabFxdRate1,OFFSET(Vectors!$D$6,Vectors!A57,MATCH(LiabLoanIndex1,lstInterestRates,0))+LiabMarg1)</f>
        <v>7.9369000000000051E-2</v>
      </c>
      <c r="AS57" s="122">
        <f t="shared" ca="1" si="36"/>
        <v>410753.59225350543</v>
      </c>
      <c r="AT57" s="124">
        <f t="shared" ca="1" si="37"/>
        <v>410753.59225350543</v>
      </c>
      <c r="AU57" s="123">
        <f t="shared" ca="1" si="38"/>
        <v>0</v>
      </c>
      <c r="AV57" s="123">
        <f t="shared" ca="1" si="14"/>
        <v>0</v>
      </c>
      <c r="AW57" s="123">
        <f t="shared" ca="1" si="39"/>
        <v>0</v>
      </c>
      <c r="AX57" s="124">
        <f t="shared" ca="1" si="40"/>
        <v>642321.989244906</v>
      </c>
      <c r="AY57" s="121"/>
      <c r="AZ57" s="122">
        <f t="shared" ca="1" si="15"/>
        <v>642321.989244906</v>
      </c>
      <c r="BA57" s="124">
        <f t="shared" ca="1" si="41"/>
        <v>642321.989244906</v>
      </c>
      <c r="BB57" s="123">
        <f t="shared" ca="1" si="42"/>
        <v>0</v>
      </c>
      <c r="BC57" s="123">
        <f t="shared" ca="1" si="16"/>
        <v>0</v>
      </c>
      <c r="BD57" s="123">
        <f t="shared" ca="1" si="43"/>
        <v>0</v>
      </c>
      <c r="BE57" s="124">
        <f t="shared" ca="1" si="44"/>
        <v>0</v>
      </c>
      <c r="BF57" s="121"/>
      <c r="BG57" s="123">
        <f t="shared" si="17"/>
        <v>1000000</v>
      </c>
      <c r="BH57" s="123">
        <f t="shared" ca="1" si="45"/>
        <v>1000000</v>
      </c>
      <c r="BI57" s="123">
        <f t="shared" ca="1" si="46"/>
        <v>0</v>
      </c>
      <c r="BJ57" s="123">
        <f t="shared" ca="1" si="47"/>
        <v>0</v>
      </c>
      <c r="BK57" s="123">
        <f t="shared" ca="1" si="4"/>
        <v>1000000</v>
      </c>
      <c r="BL57" s="123">
        <f t="shared" ca="1" si="48"/>
        <v>0</v>
      </c>
      <c r="BM57" s="121"/>
      <c r="BN57" s="126">
        <f ca="1">IF(LiabIntType2="Fixed",LiabFxdRate2,OFFSET(Vectors!$D$6,Vectors!A57,MATCH(LiabLoanIndex2,lstInterestRates,0))+LiabMarg2)</f>
        <v>0.04</v>
      </c>
      <c r="BO57" s="122">
        <f t="shared" ca="1" si="49"/>
        <v>34119.905847872607</v>
      </c>
      <c r="BP57" s="124">
        <f t="shared" ca="1" si="50"/>
        <v>0</v>
      </c>
      <c r="BQ57" s="123">
        <f t="shared" ca="1" si="51"/>
        <v>34119.905847872607</v>
      </c>
      <c r="BR57" s="123">
        <f t="shared" ca="1" si="52"/>
        <v>0</v>
      </c>
      <c r="BS57" s="121"/>
      <c r="BT57" s="123">
        <f t="shared" ca="1" si="18"/>
        <v>49452.217592212772</v>
      </c>
      <c r="BU57" s="123">
        <f t="shared" ca="1" si="53"/>
        <v>0</v>
      </c>
      <c r="BV57" s="123">
        <f t="shared" ca="1" si="54"/>
        <v>49452.217592212772</v>
      </c>
      <c r="BW57" s="123">
        <f t="shared" ca="1" si="55"/>
        <v>0</v>
      </c>
      <c r="BX57" s="121"/>
      <c r="BY57" s="123">
        <f t="shared" si="56"/>
        <v>0</v>
      </c>
      <c r="BZ57" s="123">
        <f t="shared" ca="1" si="57"/>
        <v>0</v>
      </c>
      <c r="CA57" s="121"/>
      <c r="CB57" s="122">
        <f t="shared" ca="1" si="5"/>
        <v>61460553.277446903</v>
      </c>
      <c r="CC57" s="122">
        <f t="shared" ca="1" si="58"/>
        <v>410753.59225350543</v>
      </c>
      <c r="CD57" s="124">
        <f t="shared" ca="1" si="59"/>
        <v>642321.989244906</v>
      </c>
      <c r="CE57" s="121"/>
      <c r="CF57" s="122">
        <f t="shared" ca="1" si="6"/>
        <v>10235971.754361782</v>
      </c>
      <c r="CG57" s="124">
        <f t="shared" ca="1" si="60"/>
        <v>0</v>
      </c>
      <c r="CH57" s="123">
        <f t="shared" ca="1" si="61"/>
        <v>0</v>
      </c>
      <c r="CI57" s="121"/>
      <c r="CJ57" s="123">
        <f t="shared" ca="1" si="62"/>
        <v>1388651.9662486771</v>
      </c>
      <c r="CK57" s="123">
        <f t="shared" ca="1" si="63"/>
        <v>1388651.9662486769</v>
      </c>
      <c r="CL57" s="123">
        <f t="shared" ca="1" si="64"/>
        <v>0</v>
      </c>
      <c r="CM57" s="121"/>
      <c r="CN57" s="62">
        <f t="shared" ca="1" si="65"/>
        <v>482323.64553038741</v>
      </c>
      <c r="CO57" s="62" t="b">
        <f t="shared" si="66"/>
        <v>1</v>
      </c>
      <c r="CP57" s="126">
        <f t="shared" ca="1" si="67"/>
        <v>1.4166666666666683E-3</v>
      </c>
      <c r="CQ57" s="120"/>
      <c r="CR57" s="120"/>
      <c r="CS57" s="120"/>
      <c r="CT57" s="120"/>
      <c r="CU57" s="120"/>
      <c r="CV57" s="120"/>
      <c r="CW57" s="120"/>
      <c r="CX57" s="120"/>
      <c r="CY57" s="120"/>
      <c r="CZ57" s="120"/>
      <c r="DA57" s="120"/>
      <c r="DB57" s="120"/>
      <c r="DC57" s="120"/>
      <c r="DD57" s="120"/>
      <c r="DE57" s="116"/>
      <c r="DF57" s="116"/>
      <c r="DG57" s="116"/>
      <c r="DH57" s="116"/>
      <c r="DI57" s="116"/>
      <c r="DJ57" s="116"/>
      <c r="DK57" s="116"/>
      <c r="DL57" s="116"/>
      <c r="DM57" s="116"/>
      <c r="DN57" s="116"/>
    </row>
    <row r="58" spans="1:118" x14ac:dyDescent="0.2">
      <c r="A58" s="27">
        <v>52</v>
      </c>
      <c r="B58" s="29">
        <f t="shared" si="0"/>
        <v>40695</v>
      </c>
      <c r="C58" s="30">
        <f t="shared" si="1"/>
        <v>8.3333333333333329E-2</v>
      </c>
      <c r="D58" s="55"/>
      <c r="E58" s="62">
        <f t="shared" ca="1" si="19"/>
        <v>96621743.307194293</v>
      </c>
      <c r="F58" s="63">
        <f ca="1">IF(AssetIntType1="Fixed",AssetFxdRate1,IF(A58=1,OFFSET(Vectors!$D$6,A58,MATCH(AssetFltIndx1,lstInterestRates,0)),IF(MOD($A58,AssetRateReset1)=0,MAX(MIN(OFFSET(Vectors!$D$6,A58,MATCH(AssetFltIndx1,lstInterestRates,0)),(F57-AssetMarg1)+AssetPdCapFl1,AssetLifeCap1-AssetMarg1),(F57-AssetMarg1)-AssetPdCapFl1,AssetLifeFloor1-AssetMarg1),F57)))+AssetMarg1</f>
        <v>0.09</v>
      </c>
      <c r="G58" s="62">
        <f t="shared" ca="1" si="7"/>
        <v>804622.61694478267</v>
      </c>
      <c r="H58" s="62">
        <f t="shared" ca="1" si="20"/>
        <v>724663.07480395713</v>
      </c>
      <c r="I58" s="62">
        <f t="shared" ca="1" si="21"/>
        <v>79959.542140825535</v>
      </c>
      <c r="J58" s="62">
        <f t="shared" ca="1" si="2"/>
        <v>96541783.765053466</v>
      </c>
      <c r="K58" s="55"/>
      <c r="L58" s="62">
        <f t="shared" ca="1" si="22"/>
        <v>79985396.483439222</v>
      </c>
      <c r="M58" s="68">
        <f ca="1">IF(pdrLossTime1="",OFFSET(Vectors!$AE$6,A58+_Age1,MATCH(SDA_Loss,lstSDA,0)),OFFSET(Vectors!$X$6,A58+_Age1,MATCH(pdrLossTime1,lstDefaultCurve,0)))</f>
        <v>2.7777777777777779E-5</v>
      </c>
      <c r="N58" s="62">
        <f t="shared" ca="1" si="8"/>
        <v>2777.7777777777778</v>
      </c>
      <c r="O58" s="67">
        <f t="shared" ca="1" si="23"/>
        <v>0.96541783765053468</v>
      </c>
      <c r="P58" s="68">
        <f ca="1">OFFSET(Vectors!$L$6,A58+_Age1,MATCH(pdrPrepay1,lstPrepayCurve,0))*pdrPrepayStress1</f>
        <v>5.1430128318229462E-3</v>
      </c>
      <c r="Q58" s="62">
        <f t="shared" ca="1" si="24"/>
        <v>411025.49367516616</v>
      </c>
      <c r="R58" s="62">
        <f t="shared" ca="1" si="25"/>
        <v>66189.796954873993</v>
      </c>
      <c r="S58" s="69">
        <f t="shared" ca="1" si="26"/>
        <v>0.09</v>
      </c>
      <c r="T58" s="62">
        <f t="shared" ca="1" si="27"/>
        <v>599869.6402924608</v>
      </c>
      <c r="U58" s="62">
        <f t="shared" ca="1" si="9"/>
        <v>1111.1111111111111</v>
      </c>
      <c r="V58" s="62">
        <f t="shared" ca="1" si="3"/>
        <v>79505403.415031403</v>
      </c>
      <c r="W58" s="55"/>
      <c r="X58" s="62">
        <f t="shared" ca="1" si="28"/>
        <v>1078196.042033612</v>
      </c>
      <c r="Y58" s="55"/>
      <c r="Z58" s="118" t="b">
        <v>0</v>
      </c>
      <c r="AA58" s="120" t="b">
        <f t="shared" si="10"/>
        <v>0</v>
      </c>
      <c r="AB58" s="120" t="b">
        <f t="shared" si="11"/>
        <v>1</v>
      </c>
      <c r="AC58" s="120" t="b">
        <f t="shared" ca="1" si="12"/>
        <v>0</v>
      </c>
      <c r="AD58" s="121"/>
      <c r="AE58" s="129">
        <v>52043612.654122181</v>
      </c>
      <c r="AF58" s="69">
        <f ca="1">IF(Swap_Active="No",0,OFFSET(Vectors!$D$6,Vectors!A58,MATCH(Swap_In,lstInterestRates,0)))</f>
        <v>6.9369000000000056E-2</v>
      </c>
      <c r="AG58" s="62">
        <f t="shared" ca="1" si="29"/>
        <v>300851.11385031702</v>
      </c>
      <c r="AH58" s="69">
        <f ca="1">IF(Swap_Active="No",0,OFFSET(Vectors!$D$6,Vectors!A58,MATCH(Swap_Out,lstInterestRates,0)))</f>
        <v>0.04</v>
      </c>
      <c r="AI58" s="62">
        <f t="shared" ca="1" si="30"/>
        <v>173478.70884707393</v>
      </c>
      <c r="AJ58" s="62">
        <f t="shared" ca="1" si="31"/>
        <v>127372.4050032431</v>
      </c>
      <c r="AK58" s="62">
        <f t="shared" ca="1" si="32"/>
        <v>1205568.4470368552</v>
      </c>
      <c r="AL58" s="121"/>
      <c r="AM58" s="123">
        <f t="shared" ca="1" si="13"/>
        <v>158917.55800466822</v>
      </c>
      <c r="AN58" s="124">
        <f t="shared" ca="1" si="33"/>
        <v>158917.55800466822</v>
      </c>
      <c r="AO58" s="125">
        <f t="shared" ca="1" si="34"/>
        <v>0</v>
      </c>
      <c r="AP58" s="123">
        <f t="shared" ca="1" si="35"/>
        <v>1046650.8890321869</v>
      </c>
      <c r="AQ58" s="121"/>
      <c r="AR58" s="126">
        <f ca="1">IF(LiabIntType1="Fixed",LiabFxdRate1,OFFSET(Vectors!$D$6,Vectors!A58,MATCH(LiabLoanIndex1,lstInterestRates,0))+LiabMarg1)</f>
        <v>7.9369000000000051E-2</v>
      </c>
      <c r="AS58" s="122">
        <f t="shared" ca="1" si="36"/>
        <v>406505.22108980716</v>
      </c>
      <c r="AT58" s="124">
        <f t="shared" ca="1" si="37"/>
        <v>406505.22108980716</v>
      </c>
      <c r="AU58" s="123">
        <f t="shared" ca="1" si="38"/>
        <v>0</v>
      </c>
      <c r="AV58" s="123">
        <f t="shared" ca="1" si="14"/>
        <v>0</v>
      </c>
      <c r="AW58" s="123">
        <f t="shared" ca="1" si="39"/>
        <v>0</v>
      </c>
      <c r="AX58" s="124">
        <f t="shared" ca="1" si="40"/>
        <v>640145.66794237983</v>
      </c>
      <c r="AY58" s="121"/>
      <c r="AZ58" s="122">
        <f t="shared" ca="1" si="15"/>
        <v>640145.66794237983</v>
      </c>
      <c r="BA58" s="124">
        <f t="shared" ca="1" si="41"/>
        <v>640145.66794237983</v>
      </c>
      <c r="BB58" s="123">
        <f t="shared" ca="1" si="42"/>
        <v>0</v>
      </c>
      <c r="BC58" s="123">
        <f t="shared" ca="1" si="16"/>
        <v>0</v>
      </c>
      <c r="BD58" s="123">
        <f t="shared" ca="1" si="43"/>
        <v>0</v>
      </c>
      <c r="BE58" s="124">
        <f t="shared" ca="1" si="44"/>
        <v>0</v>
      </c>
      <c r="BF58" s="121"/>
      <c r="BG58" s="123">
        <f t="shared" si="17"/>
        <v>1000000</v>
      </c>
      <c r="BH58" s="123">
        <f t="shared" ca="1" si="45"/>
        <v>1000000</v>
      </c>
      <c r="BI58" s="123">
        <f t="shared" ca="1" si="46"/>
        <v>0</v>
      </c>
      <c r="BJ58" s="123">
        <f t="shared" ca="1" si="47"/>
        <v>0</v>
      </c>
      <c r="BK58" s="123">
        <f t="shared" ca="1" si="4"/>
        <v>1000000</v>
      </c>
      <c r="BL58" s="123">
        <f t="shared" ca="1" si="48"/>
        <v>0</v>
      </c>
      <c r="BM58" s="121"/>
      <c r="BN58" s="126">
        <f ca="1">IF(LiabIntType2="Fixed",LiabFxdRate2,OFFSET(Vectors!$D$6,Vectors!A58,MATCH(LiabLoanIndex2,lstInterestRates,0))+LiabMarg2)</f>
        <v>0.04</v>
      </c>
      <c r="BO58" s="122">
        <f t="shared" ca="1" si="49"/>
        <v>34119.905847872607</v>
      </c>
      <c r="BP58" s="124">
        <f t="shared" ca="1" si="50"/>
        <v>0</v>
      </c>
      <c r="BQ58" s="123">
        <f t="shared" ca="1" si="51"/>
        <v>34119.905847872607</v>
      </c>
      <c r="BR58" s="123">
        <f t="shared" ca="1" si="52"/>
        <v>0</v>
      </c>
      <c r="BS58" s="121"/>
      <c r="BT58" s="123">
        <f t="shared" ca="1" si="18"/>
        <v>49213.265577214624</v>
      </c>
      <c r="BU58" s="123">
        <f t="shared" ca="1" si="53"/>
        <v>0</v>
      </c>
      <c r="BV58" s="123">
        <f t="shared" ca="1" si="54"/>
        <v>49213.265577214624</v>
      </c>
      <c r="BW58" s="123">
        <f t="shared" ca="1" si="55"/>
        <v>0</v>
      </c>
      <c r="BX58" s="121"/>
      <c r="BY58" s="123">
        <f t="shared" si="56"/>
        <v>0</v>
      </c>
      <c r="BZ58" s="123">
        <f t="shared" ca="1" si="57"/>
        <v>0</v>
      </c>
      <c r="CA58" s="121"/>
      <c r="CB58" s="122">
        <f t="shared" ca="1" si="5"/>
        <v>60820407.609504521</v>
      </c>
      <c r="CC58" s="122">
        <f t="shared" ca="1" si="58"/>
        <v>406505.22108980716</v>
      </c>
      <c r="CD58" s="124">
        <f t="shared" ca="1" si="59"/>
        <v>640145.66794237983</v>
      </c>
      <c r="CE58" s="121"/>
      <c r="CF58" s="122">
        <f t="shared" ca="1" si="6"/>
        <v>10235971.754361782</v>
      </c>
      <c r="CG58" s="124">
        <f t="shared" ca="1" si="60"/>
        <v>0</v>
      </c>
      <c r="CH58" s="123">
        <f t="shared" ca="1" si="61"/>
        <v>0</v>
      </c>
      <c r="CI58" s="121"/>
      <c r="CJ58" s="123">
        <f t="shared" ca="1" si="62"/>
        <v>1379047.155883929</v>
      </c>
      <c r="CK58" s="123">
        <f t="shared" ca="1" si="63"/>
        <v>1379047.1558839292</v>
      </c>
      <c r="CL58" s="123">
        <f t="shared" ca="1" si="64"/>
        <v>0</v>
      </c>
      <c r="CM58" s="121"/>
      <c r="CN58" s="62">
        <f t="shared" ca="1" si="65"/>
        <v>479993.06840781792</v>
      </c>
      <c r="CO58" s="62" t="b">
        <f t="shared" si="66"/>
        <v>1</v>
      </c>
      <c r="CP58" s="126">
        <f t="shared" ca="1" si="67"/>
        <v>1.4444444444444461E-3</v>
      </c>
      <c r="CQ58" s="120"/>
      <c r="CR58" s="120"/>
      <c r="CS58" s="120"/>
      <c r="CT58" s="120"/>
      <c r="CU58" s="120"/>
      <c r="CV58" s="120"/>
      <c r="CW58" s="120"/>
      <c r="CX58" s="120"/>
      <c r="CY58" s="120"/>
      <c r="CZ58" s="120"/>
      <c r="DA58" s="120"/>
      <c r="DB58" s="120"/>
      <c r="DC58" s="120"/>
      <c r="DD58" s="120"/>
      <c r="DE58" s="116"/>
      <c r="DF58" s="116"/>
      <c r="DG58" s="116"/>
      <c r="DH58" s="116"/>
      <c r="DI58" s="116"/>
      <c r="DJ58" s="116"/>
      <c r="DK58" s="116"/>
      <c r="DL58" s="116"/>
      <c r="DM58" s="116"/>
      <c r="DN58" s="116"/>
    </row>
    <row r="59" spans="1:118" x14ac:dyDescent="0.2">
      <c r="A59" s="27">
        <v>53</v>
      </c>
      <c r="B59" s="29">
        <f t="shared" si="0"/>
        <v>40725</v>
      </c>
      <c r="C59" s="30">
        <f t="shared" si="1"/>
        <v>8.3333333333333329E-2</v>
      </c>
      <c r="D59" s="55"/>
      <c r="E59" s="62">
        <f t="shared" ca="1" si="19"/>
        <v>96541783.765053466</v>
      </c>
      <c r="F59" s="63">
        <f ca="1">IF(AssetIntType1="Fixed",AssetFxdRate1,IF(A59=1,OFFSET(Vectors!$D$6,A59,MATCH(AssetFltIndx1,lstInterestRates,0)),IF(MOD($A59,AssetRateReset1)=0,MAX(MIN(OFFSET(Vectors!$D$6,A59,MATCH(AssetFltIndx1,lstInterestRates,0)),(F58-AssetMarg1)+AssetPdCapFl1,AssetLifeCap1-AssetMarg1),(F58-AssetMarg1)-AssetPdCapFl1,AssetLifeFloor1-AssetMarg1),F58)))+AssetMarg1</f>
        <v>0.09</v>
      </c>
      <c r="G59" s="62">
        <f t="shared" ca="1" si="7"/>
        <v>804622.61694478267</v>
      </c>
      <c r="H59" s="62">
        <f t="shared" ca="1" si="20"/>
        <v>724063.37823790102</v>
      </c>
      <c r="I59" s="62">
        <f t="shared" ca="1" si="21"/>
        <v>80559.238706881646</v>
      </c>
      <c r="J59" s="62">
        <f t="shared" ca="1" si="2"/>
        <v>96461224.526346579</v>
      </c>
      <c r="K59" s="55"/>
      <c r="L59" s="62">
        <f t="shared" ca="1" si="22"/>
        <v>79505403.415031403</v>
      </c>
      <c r="M59" s="68">
        <f ca="1">IF(pdrLossTime1="",OFFSET(Vectors!$AE$6,A59+_Age1,MATCH(SDA_Loss,lstSDA,0)),OFFSET(Vectors!$X$6,A59+_Age1,MATCH(pdrLossTime1,lstDefaultCurve,0)))</f>
        <v>2.7777777777777779E-5</v>
      </c>
      <c r="N59" s="62">
        <f t="shared" ca="1" si="8"/>
        <v>2777.7777777777778</v>
      </c>
      <c r="O59" s="67">
        <f t="shared" ca="1" si="23"/>
        <v>0.96461224526346578</v>
      </c>
      <c r="P59" s="68">
        <f ca="1">OFFSET(Vectors!$L$6,A59+_Age1,MATCH(pdrPrepay1,lstPrepayCurve,0))*pdrPrepayStress1</f>
        <v>5.1430128318229462E-3</v>
      </c>
      <c r="Q59" s="62">
        <f t="shared" ca="1" si="24"/>
        <v>408556.10582591244</v>
      </c>
      <c r="R59" s="62">
        <f t="shared" ca="1" si="25"/>
        <v>66340.922518297026</v>
      </c>
      <c r="S59" s="69">
        <f t="shared" ca="1" si="26"/>
        <v>0.09</v>
      </c>
      <c r="T59" s="62">
        <f t="shared" ca="1" si="27"/>
        <v>596269.69227940217</v>
      </c>
      <c r="U59" s="62">
        <f t="shared" ca="1" si="9"/>
        <v>1111.1111111111111</v>
      </c>
      <c r="V59" s="62">
        <f t="shared" ca="1" si="3"/>
        <v>79027728.608909413</v>
      </c>
      <c r="W59" s="55"/>
      <c r="X59" s="62">
        <f t="shared" ca="1" si="28"/>
        <v>1072277.8317347227</v>
      </c>
      <c r="Y59" s="55"/>
      <c r="Z59" s="118" t="b">
        <v>0</v>
      </c>
      <c r="AA59" s="120" t="b">
        <f t="shared" si="10"/>
        <v>0</v>
      </c>
      <c r="AB59" s="120" t="b">
        <f t="shared" si="11"/>
        <v>1</v>
      </c>
      <c r="AC59" s="120" t="b">
        <f t="shared" ca="1" si="12"/>
        <v>0</v>
      </c>
      <c r="AD59" s="121"/>
      <c r="AE59" s="129">
        <v>51417477.593472295</v>
      </c>
      <c r="AF59" s="69">
        <f ca="1">IF(Swap_Active="No",0,OFFSET(Vectors!$D$6,Vectors!A59,MATCH(Swap_In,lstInterestRates,0)))</f>
        <v>6.9369000000000056E-2</v>
      </c>
      <c r="AG59" s="62">
        <f t="shared" ca="1" si="29"/>
        <v>297231.58359846519</v>
      </c>
      <c r="AH59" s="69">
        <f ca="1">IF(Swap_Active="No",0,OFFSET(Vectors!$D$6,Vectors!A59,MATCH(Swap_Out,lstInterestRates,0)))</f>
        <v>0.04</v>
      </c>
      <c r="AI59" s="62">
        <f t="shared" ca="1" si="30"/>
        <v>171391.59197824099</v>
      </c>
      <c r="AJ59" s="62">
        <f t="shared" ca="1" si="31"/>
        <v>125839.9916202242</v>
      </c>
      <c r="AK59" s="62">
        <f t="shared" ca="1" si="32"/>
        <v>1198117.8233549469</v>
      </c>
      <c r="AL59" s="121"/>
      <c r="AM59" s="123">
        <f t="shared" ca="1" si="13"/>
        <v>157850.84219567923</v>
      </c>
      <c r="AN59" s="124">
        <f t="shared" ca="1" si="33"/>
        <v>157850.84219567923</v>
      </c>
      <c r="AO59" s="125">
        <f t="shared" ca="1" si="34"/>
        <v>0</v>
      </c>
      <c r="AP59" s="123">
        <f t="shared" ca="1" si="35"/>
        <v>1040266.9811592677</v>
      </c>
      <c r="AQ59" s="121"/>
      <c r="AR59" s="126">
        <f ca="1">IF(LiabIntType1="Fixed",LiabFxdRate1,OFFSET(Vectors!$D$6,Vectors!A59,MATCH(LiabLoanIndex1,lstInterestRates,0))+LiabMarg1)</f>
        <v>7.9369000000000051E-2</v>
      </c>
      <c r="AS59" s="122">
        <f t="shared" ca="1" si="36"/>
        <v>402271.24429656391</v>
      </c>
      <c r="AT59" s="124">
        <f t="shared" ca="1" si="37"/>
        <v>402271.24429656391</v>
      </c>
      <c r="AU59" s="123">
        <f t="shared" ca="1" si="38"/>
        <v>0</v>
      </c>
      <c r="AV59" s="123">
        <f t="shared" ca="1" si="14"/>
        <v>0</v>
      </c>
      <c r="AW59" s="123">
        <f t="shared" ca="1" si="39"/>
        <v>0</v>
      </c>
      <c r="AX59" s="124">
        <f t="shared" ca="1" si="40"/>
        <v>637995.73686270381</v>
      </c>
      <c r="AY59" s="121"/>
      <c r="AZ59" s="122">
        <f t="shared" ca="1" si="15"/>
        <v>637995.73686270381</v>
      </c>
      <c r="BA59" s="124">
        <f t="shared" ca="1" si="41"/>
        <v>637995.73686270381</v>
      </c>
      <c r="BB59" s="123">
        <f t="shared" ca="1" si="42"/>
        <v>0</v>
      </c>
      <c r="BC59" s="123">
        <f t="shared" ca="1" si="16"/>
        <v>0</v>
      </c>
      <c r="BD59" s="123">
        <f t="shared" ca="1" si="43"/>
        <v>0</v>
      </c>
      <c r="BE59" s="124">
        <f t="shared" ca="1" si="44"/>
        <v>0</v>
      </c>
      <c r="BF59" s="121"/>
      <c r="BG59" s="123">
        <f t="shared" si="17"/>
        <v>1000000</v>
      </c>
      <c r="BH59" s="123">
        <f t="shared" ca="1" si="45"/>
        <v>1000000</v>
      </c>
      <c r="BI59" s="123">
        <f t="shared" ca="1" si="46"/>
        <v>0</v>
      </c>
      <c r="BJ59" s="123">
        <f t="shared" ca="1" si="47"/>
        <v>0</v>
      </c>
      <c r="BK59" s="123">
        <f t="shared" ca="1" si="4"/>
        <v>1000000</v>
      </c>
      <c r="BL59" s="123">
        <f t="shared" ca="1" si="48"/>
        <v>0</v>
      </c>
      <c r="BM59" s="121"/>
      <c r="BN59" s="126">
        <f ca="1">IF(LiabIntType2="Fixed",LiabFxdRate2,OFFSET(Vectors!$D$6,Vectors!A59,MATCH(LiabLoanIndex2,lstInterestRates,0))+LiabMarg2)</f>
        <v>0.04</v>
      </c>
      <c r="BO59" s="122">
        <f t="shared" ca="1" si="49"/>
        <v>34119.905847872607</v>
      </c>
      <c r="BP59" s="124">
        <f t="shared" ca="1" si="50"/>
        <v>0</v>
      </c>
      <c r="BQ59" s="123">
        <f t="shared" ca="1" si="51"/>
        <v>34119.905847872607</v>
      </c>
      <c r="BR59" s="123">
        <f t="shared" ca="1" si="52"/>
        <v>0</v>
      </c>
      <c r="BS59" s="121"/>
      <c r="BT59" s="123">
        <f t="shared" ca="1" si="18"/>
        <v>48975.576191556051</v>
      </c>
      <c r="BU59" s="123">
        <f t="shared" ca="1" si="53"/>
        <v>0</v>
      </c>
      <c r="BV59" s="123">
        <f t="shared" ca="1" si="54"/>
        <v>48975.576191556051</v>
      </c>
      <c r="BW59" s="123">
        <f t="shared" ca="1" si="55"/>
        <v>0</v>
      </c>
      <c r="BX59" s="121"/>
      <c r="BY59" s="123">
        <f t="shared" si="56"/>
        <v>0</v>
      </c>
      <c r="BZ59" s="123">
        <f t="shared" ca="1" si="57"/>
        <v>0</v>
      </c>
      <c r="CA59" s="121"/>
      <c r="CB59" s="122">
        <f t="shared" ca="1" si="5"/>
        <v>60182411.872641817</v>
      </c>
      <c r="CC59" s="122">
        <f t="shared" ca="1" si="58"/>
        <v>402271.24429656391</v>
      </c>
      <c r="CD59" s="124">
        <f t="shared" ca="1" si="59"/>
        <v>637995.73686270381</v>
      </c>
      <c r="CE59" s="121"/>
      <c r="CF59" s="122">
        <f t="shared" ca="1" si="6"/>
        <v>10235971.754361782</v>
      </c>
      <c r="CG59" s="124">
        <f t="shared" ca="1" si="60"/>
        <v>0</v>
      </c>
      <c r="CH59" s="123">
        <f t="shared" ca="1" si="61"/>
        <v>0</v>
      </c>
      <c r="CI59" s="121"/>
      <c r="CJ59" s="123">
        <f t="shared" ca="1" si="62"/>
        <v>1369509.4153331879</v>
      </c>
      <c r="CK59" s="123">
        <f t="shared" ca="1" si="63"/>
        <v>1369509.4153331879</v>
      </c>
      <c r="CL59" s="123">
        <f t="shared" ca="1" si="64"/>
        <v>0</v>
      </c>
      <c r="CM59" s="121"/>
      <c r="CN59" s="62">
        <f t="shared" ca="1" si="65"/>
        <v>477674.80612198723</v>
      </c>
      <c r="CO59" s="62" t="b">
        <f t="shared" si="66"/>
        <v>1</v>
      </c>
      <c r="CP59" s="126">
        <f t="shared" ca="1" si="67"/>
        <v>1.4722222222222239E-3</v>
      </c>
      <c r="CQ59" s="120"/>
      <c r="CR59" s="120"/>
      <c r="CS59" s="120"/>
      <c r="CT59" s="120"/>
      <c r="CU59" s="120"/>
      <c r="CV59" s="120"/>
      <c r="CW59" s="120"/>
      <c r="CX59" s="120"/>
      <c r="CY59" s="120"/>
      <c r="CZ59" s="120"/>
      <c r="DA59" s="120"/>
      <c r="DB59" s="120"/>
      <c r="DC59" s="120"/>
      <c r="DD59" s="120"/>
      <c r="DE59" s="116"/>
      <c r="DF59" s="116"/>
      <c r="DG59" s="116"/>
      <c r="DH59" s="116"/>
      <c r="DI59" s="116"/>
      <c r="DJ59" s="116"/>
      <c r="DK59" s="116"/>
      <c r="DL59" s="116"/>
      <c r="DM59" s="116"/>
      <c r="DN59" s="116"/>
    </row>
    <row r="60" spans="1:118" x14ac:dyDescent="0.2">
      <c r="A60" s="27">
        <v>54</v>
      </c>
      <c r="B60" s="29">
        <f t="shared" si="0"/>
        <v>40756</v>
      </c>
      <c r="C60" s="30">
        <f t="shared" si="1"/>
        <v>8.3333333333333329E-2</v>
      </c>
      <c r="D60" s="55"/>
      <c r="E60" s="62">
        <f t="shared" ca="1" si="19"/>
        <v>96461224.526346579</v>
      </c>
      <c r="F60" s="63">
        <f ca="1">IF(AssetIntType1="Fixed",AssetFxdRate1,IF(A60=1,OFFSET(Vectors!$D$6,A60,MATCH(AssetFltIndx1,lstInterestRates,0)),IF(MOD($A60,AssetRateReset1)=0,MAX(MIN(OFFSET(Vectors!$D$6,A60,MATCH(AssetFltIndx1,lstInterestRates,0)),(F59-AssetMarg1)+AssetPdCapFl1,AssetLifeCap1-AssetMarg1),(F59-AssetMarg1)-AssetPdCapFl1,AssetLifeFloor1-AssetMarg1),F59)))+AssetMarg1</f>
        <v>0.09</v>
      </c>
      <c r="G60" s="62">
        <f t="shared" ca="1" si="7"/>
        <v>804622.61694478267</v>
      </c>
      <c r="H60" s="62">
        <f t="shared" ca="1" si="20"/>
        <v>723459.18394759926</v>
      </c>
      <c r="I60" s="62">
        <f t="shared" ca="1" si="21"/>
        <v>81163.432997183409</v>
      </c>
      <c r="J60" s="62">
        <f t="shared" ca="1" si="2"/>
        <v>96380061.093349397</v>
      </c>
      <c r="K60" s="55"/>
      <c r="L60" s="62">
        <f t="shared" ca="1" si="22"/>
        <v>79027728.608909413</v>
      </c>
      <c r="M60" s="68">
        <f ca="1">IF(pdrLossTime1="",OFFSET(Vectors!$AE$6,A60+_Age1,MATCH(SDA_Loss,lstSDA,0)),OFFSET(Vectors!$X$6,A60+_Age1,MATCH(pdrLossTime1,lstDefaultCurve,0)))</f>
        <v>2.7777777777777779E-5</v>
      </c>
      <c r="N60" s="62">
        <f t="shared" ca="1" si="8"/>
        <v>2777.7777777777778</v>
      </c>
      <c r="O60" s="67">
        <f t="shared" ca="1" si="23"/>
        <v>0.96380061093349401</v>
      </c>
      <c r="P60" s="68">
        <f ca="1">OFFSET(Vectors!$L$6,A60+_Age1,MATCH(pdrPrepay1,lstPrepayCurve,0))*pdrPrepayStress1</f>
        <v>5.1430128318229462E-3</v>
      </c>
      <c r="Q60" s="62">
        <f t="shared" ca="1" si="24"/>
        <v>406098.63912642101</v>
      </c>
      <c r="R60" s="62">
        <f t="shared" ca="1" si="25"/>
        <v>66492.379019464744</v>
      </c>
      <c r="S60" s="69">
        <f t="shared" ca="1" si="26"/>
        <v>0.09</v>
      </c>
      <c r="T60" s="62">
        <f t="shared" ca="1" si="27"/>
        <v>592687.13123348728</v>
      </c>
      <c r="U60" s="62">
        <f t="shared" ca="1" si="9"/>
        <v>1111.1111111111111</v>
      </c>
      <c r="V60" s="62">
        <f t="shared" ca="1" si="3"/>
        <v>78552359.812985748</v>
      </c>
      <c r="W60" s="55"/>
      <c r="X60" s="62">
        <f t="shared" ca="1" si="28"/>
        <v>1066389.2604904841</v>
      </c>
      <c r="Y60" s="55"/>
      <c r="Z60" s="118" t="b">
        <v>0</v>
      </c>
      <c r="AA60" s="120" t="b">
        <f t="shared" si="10"/>
        <v>0</v>
      </c>
      <c r="AB60" s="120" t="b">
        <f t="shared" si="11"/>
        <v>1</v>
      </c>
      <c r="AC60" s="120" t="b">
        <f t="shared" ca="1" si="12"/>
        <v>0</v>
      </c>
      <c r="AD60" s="121"/>
      <c r="AE60" s="129">
        <v>50797725.972742222</v>
      </c>
      <c r="AF60" s="69">
        <f ca="1">IF(Swap_Active="No",0,OFFSET(Vectors!$D$6,Vectors!A60,MATCH(Swap_In,lstInterestRates,0)))</f>
        <v>6.9369000000000056E-2</v>
      </c>
      <c r="AG60" s="62">
        <f t="shared" ca="1" si="29"/>
        <v>293648.9544169298</v>
      </c>
      <c r="AH60" s="69">
        <f ca="1">IF(Swap_Active="No",0,OFFSET(Vectors!$D$6,Vectors!A60,MATCH(Swap_Out,lstInterestRates,0)))</f>
        <v>0.04</v>
      </c>
      <c r="AI60" s="62">
        <f t="shared" ca="1" si="30"/>
        <v>169325.75324247405</v>
      </c>
      <c r="AJ60" s="62">
        <f t="shared" ca="1" si="31"/>
        <v>124323.20117445575</v>
      </c>
      <c r="AK60" s="62">
        <f t="shared" ca="1" si="32"/>
        <v>1190712.4616649398</v>
      </c>
      <c r="AL60" s="121"/>
      <c r="AM60" s="123">
        <f t="shared" ca="1" si="13"/>
        <v>156788.88596178309</v>
      </c>
      <c r="AN60" s="124">
        <f t="shared" ca="1" si="33"/>
        <v>156788.88596178309</v>
      </c>
      <c r="AO60" s="125">
        <f t="shared" ca="1" si="34"/>
        <v>0</v>
      </c>
      <c r="AP60" s="123">
        <f t="shared" ca="1" si="35"/>
        <v>1033923.5757031566</v>
      </c>
      <c r="AQ60" s="121"/>
      <c r="AR60" s="126">
        <f ca="1">IF(LiabIntType1="Fixed",LiabFxdRate1,OFFSET(Vectors!$D$6,Vectors!A60,MATCH(LiabLoanIndex1,lstInterestRates,0))+LiabMarg1)</f>
        <v>7.9369000000000051E-2</v>
      </c>
      <c r="AS60" s="122">
        <f t="shared" ca="1" si="36"/>
        <v>398051.48732664261</v>
      </c>
      <c r="AT60" s="124">
        <f t="shared" ca="1" si="37"/>
        <v>398051.48732664261</v>
      </c>
      <c r="AU60" s="123">
        <f t="shared" ca="1" si="38"/>
        <v>0</v>
      </c>
      <c r="AV60" s="123">
        <f t="shared" ca="1" si="14"/>
        <v>0</v>
      </c>
      <c r="AW60" s="123">
        <f t="shared" ca="1" si="39"/>
        <v>0</v>
      </c>
      <c r="AX60" s="124">
        <f t="shared" ca="1" si="40"/>
        <v>635872.08837651403</v>
      </c>
      <c r="AY60" s="121"/>
      <c r="AZ60" s="122">
        <f t="shared" ca="1" si="15"/>
        <v>635872.08837651403</v>
      </c>
      <c r="BA60" s="124">
        <f t="shared" ca="1" si="41"/>
        <v>635872.08837651403</v>
      </c>
      <c r="BB60" s="123">
        <f t="shared" ca="1" si="42"/>
        <v>0</v>
      </c>
      <c r="BC60" s="123">
        <f t="shared" ca="1" si="16"/>
        <v>0</v>
      </c>
      <c r="BD60" s="123">
        <f t="shared" ca="1" si="43"/>
        <v>0</v>
      </c>
      <c r="BE60" s="124">
        <f t="shared" ca="1" si="44"/>
        <v>0</v>
      </c>
      <c r="BF60" s="121"/>
      <c r="BG60" s="123">
        <f t="shared" si="17"/>
        <v>1000000</v>
      </c>
      <c r="BH60" s="123">
        <f t="shared" ca="1" si="45"/>
        <v>1000000</v>
      </c>
      <c r="BI60" s="123">
        <f t="shared" ca="1" si="46"/>
        <v>0</v>
      </c>
      <c r="BJ60" s="123">
        <f t="shared" ca="1" si="47"/>
        <v>0</v>
      </c>
      <c r="BK60" s="123">
        <f t="shared" ca="1" si="4"/>
        <v>1000000</v>
      </c>
      <c r="BL60" s="123">
        <f t="shared" ca="1" si="48"/>
        <v>0</v>
      </c>
      <c r="BM60" s="121"/>
      <c r="BN60" s="126">
        <f ca="1">IF(LiabIntType2="Fixed",LiabFxdRate2,OFFSET(Vectors!$D$6,Vectors!A60,MATCH(LiabLoanIndex2,lstInterestRates,0))+LiabMarg2)</f>
        <v>0.04</v>
      </c>
      <c r="BO60" s="122">
        <f t="shared" ca="1" si="49"/>
        <v>34119.905847872607</v>
      </c>
      <c r="BP60" s="124">
        <f t="shared" ca="1" si="50"/>
        <v>0</v>
      </c>
      <c r="BQ60" s="123">
        <f t="shared" ca="1" si="51"/>
        <v>34119.905847872607</v>
      </c>
      <c r="BR60" s="123">
        <f t="shared" ca="1" si="52"/>
        <v>0</v>
      </c>
      <c r="BS60" s="121"/>
      <c r="BT60" s="123">
        <f t="shared" ca="1" si="18"/>
        <v>48739.143001613716</v>
      </c>
      <c r="BU60" s="123">
        <f t="shared" ca="1" si="53"/>
        <v>0</v>
      </c>
      <c r="BV60" s="123">
        <f t="shared" ca="1" si="54"/>
        <v>48739.143001613716</v>
      </c>
      <c r="BW60" s="123">
        <f t="shared" ca="1" si="55"/>
        <v>0</v>
      </c>
      <c r="BX60" s="121"/>
      <c r="BY60" s="123">
        <f t="shared" si="56"/>
        <v>0</v>
      </c>
      <c r="BZ60" s="123">
        <f t="shared" ca="1" si="57"/>
        <v>0</v>
      </c>
      <c r="CA60" s="121"/>
      <c r="CB60" s="122">
        <f t="shared" ca="1" si="5"/>
        <v>59546539.784265302</v>
      </c>
      <c r="CC60" s="122">
        <f t="shared" ca="1" si="58"/>
        <v>398051.48732664261</v>
      </c>
      <c r="CD60" s="124">
        <f t="shared" ca="1" si="59"/>
        <v>635872.08837651403</v>
      </c>
      <c r="CE60" s="121"/>
      <c r="CF60" s="122">
        <f t="shared" ca="1" si="6"/>
        <v>10235971.754361782</v>
      </c>
      <c r="CG60" s="124">
        <f t="shared" ca="1" si="60"/>
        <v>0</v>
      </c>
      <c r="CH60" s="123">
        <f t="shared" ca="1" si="61"/>
        <v>0</v>
      </c>
      <c r="CI60" s="121"/>
      <c r="CJ60" s="123">
        <f t="shared" ca="1" si="62"/>
        <v>1360038.2149074138</v>
      </c>
      <c r="CK60" s="123">
        <f t="shared" ca="1" si="63"/>
        <v>1360038.2149074138</v>
      </c>
      <c r="CL60" s="123">
        <f t="shared" ca="1" si="64"/>
        <v>0</v>
      </c>
      <c r="CM60" s="121"/>
      <c r="CN60" s="62">
        <f t="shared" ca="1" si="65"/>
        <v>475368.79592366354</v>
      </c>
      <c r="CO60" s="62" t="b">
        <f t="shared" si="66"/>
        <v>1</v>
      </c>
      <c r="CP60" s="126">
        <f t="shared" ca="1" si="67"/>
        <v>1.5000000000000018E-3</v>
      </c>
      <c r="CQ60" s="120"/>
      <c r="CR60" s="120"/>
      <c r="CS60" s="120"/>
      <c r="CT60" s="120"/>
      <c r="CU60" s="120"/>
      <c r="CV60" s="120"/>
      <c r="CW60" s="120"/>
      <c r="CX60" s="120"/>
      <c r="CY60" s="120"/>
      <c r="CZ60" s="120"/>
      <c r="DA60" s="120"/>
      <c r="DB60" s="120"/>
      <c r="DC60" s="120"/>
      <c r="DD60" s="120"/>
      <c r="DE60" s="116"/>
      <c r="DF60" s="116"/>
      <c r="DG60" s="116"/>
      <c r="DH60" s="116"/>
      <c r="DI60" s="116"/>
      <c r="DJ60" s="116"/>
      <c r="DK60" s="116"/>
      <c r="DL60" s="116"/>
      <c r="DM60" s="116"/>
      <c r="DN60" s="116"/>
    </row>
    <row r="61" spans="1:118" x14ac:dyDescent="0.2">
      <c r="A61" s="27">
        <v>55</v>
      </c>
      <c r="B61" s="29">
        <f t="shared" si="0"/>
        <v>40787</v>
      </c>
      <c r="C61" s="30">
        <f t="shared" si="1"/>
        <v>8.3333333333333329E-2</v>
      </c>
      <c r="D61" s="55"/>
      <c r="E61" s="62">
        <f t="shared" ca="1" si="19"/>
        <v>96380061.093349397</v>
      </c>
      <c r="F61" s="63">
        <f ca="1">IF(AssetIntType1="Fixed",AssetFxdRate1,IF(A61=1,OFFSET(Vectors!$D$6,A61,MATCH(AssetFltIndx1,lstInterestRates,0)),IF(MOD($A61,AssetRateReset1)=0,MAX(MIN(OFFSET(Vectors!$D$6,A61,MATCH(AssetFltIndx1,lstInterestRates,0)),(F60-AssetMarg1)+AssetPdCapFl1,AssetLifeCap1-AssetMarg1),(F60-AssetMarg1)-AssetPdCapFl1,AssetLifeFloor1-AssetMarg1),F60)))+AssetMarg1</f>
        <v>0.09</v>
      </c>
      <c r="G61" s="62">
        <f t="shared" ca="1" si="7"/>
        <v>804622.61694478267</v>
      </c>
      <c r="H61" s="62">
        <f t="shared" ca="1" si="20"/>
        <v>722850.45820012048</v>
      </c>
      <c r="I61" s="62">
        <f t="shared" ca="1" si="21"/>
        <v>81772.158744662185</v>
      </c>
      <c r="J61" s="62">
        <f t="shared" ca="1" si="2"/>
        <v>96298288.934604734</v>
      </c>
      <c r="K61" s="55"/>
      <c r="L61" s="62">
        <f t="shared" ca="1" si="22"/>
        <v>78552359.812985748</v>
      </c>
      <c r="M61" s="68">
        <f ca="1">IF(pdrLossTime1="",OFFSET(Vectors!$AE$6,A61+_Age1,MATCH(SDA_Loss,lstSDA,0)),OFFSET(Vectors!$X$6,A61+_Age1,MATCH(pdrLossTime1,lstDefaultCurve,0)))</f>
        <v>2.7777777777777779E-5</v>
      </c>
      <c r="N61" s="62">
        <f t="shared" ca="1" si="8"/>
        <v>2777.7777777777778</v>
      </c>
      <c r="O61" s="67">
        <f t="shared" ca="1" si="23"/>
        <v>0.96298288934604737</v>
      </c>
      <c r="P61" s="68">
        <f ca="1">OFFSET(Vectors!$L$6,A61+_Age1,MATCH(pdrPrepay1,lstPrepayCurve,0))*pdrPrepayStress1</f>
        <v>5.1430128318229462E-3</v>
      </c>
      <c r="Q61" s="62">
        <f t="shared" ca="1" si="24"/>
        <v>403653.03056101146</v>
      </c>
      <c r="R61" s="62">
        <f t="shared" ca="1" si="25"/>
        <v>66644.167047049108</v>
      </c>
      <c r="S61" s="69">
        <f t="shared" ca="1" si="26"/>
        <v>0.09</v>
      </c>
      <c r="T61" s="62">
        <f t="shared" ca="1" si="27"/>
        <v>589121.86526405974</v>
      </c>
      <c r="U61" s="62">
        <f t="shared" ca="1" si="9"/>
        <v>1111.1111111111111</v>
      </c>
      <c r="V61" s="62">
        <f t="shared" ca="1" si="3"/>
        <v>78079284.837599903</v>
      </c>
      <c r="W61" s="55"/>
      <c r="X61" s="62">
        <f t="shared" ca="1" si="28"/>
        <v>1060530.1739832312</v>
      </c>
      <c r="Y61" s="55"/>
      <c r="Z61" s="118" t="b">
        <v>0</v>
      </c>
      <c r="AA61" s="120" t="b">
        <f t="shared" si="10"/>
        <v>0</v>
      </c>
      <c r="AB61" s="120" t="b">
        <f t="shared" si="11"/>
        <v>1</v>
      </c>
      <c r="AC61" s="120" t="b">
        <f t="shared" ca="1" si="12"/>
        <v>0</v>
      </c>
      <c r="AD61" s="121"/>
      <c r="AE61" s="129">
        <v>50184293.643152781</v>
      </c>
      <c r="AF61" s="69">
        <f ca="1">IF(Swap_Active="No",0,OFFSET(Vectors!$D$6,Vectors!A61,MATCH(Swap_In,lstInterestRates,0)))</f>
        <v>6.9369000000000056E-2</v>
      </c>
      <c r="AG61" s="62">
        <f t="shared" ca="1" si="29"/>
        <v>290102.85547765566</v>
      </c>
      <c r="AH61" s="69">
        <f ca="1">IF(Swap_Active="No",0,OFFSET(Vectors!$D$6,Vectors!A61,MATCH(Swap_Out,lstInterestRates,0)))</f>
        <v>0.04</v>
      </c>
      <c r="AI61" s="62">
        <f t="shared" ca="1" si="30"/>
        <v>167280.97881050926</v>
      </c>
      <c r="AJ61" s="62">
        <f t="shared" ca="1" si="31"/>
        <v>122821.8766671464</v>
      </c>
      <c r="AK61" s="62">
        <f t="shared" ca="1" si="32"/>
        <v>1183352.0506503775</v>
      </c>
      <c r="AL61" s="121"/>
      <c r="AM61" s="123">
        <f t="shared" ca="1" si="13"/>
        <v>155731.65793175343</v>
      </c>
      <c r="AN61" s="124">
        <f t="shared" ca="1" si="33"/>
        <v>155731.65793175343</v>
      </c>
      <c r="AO61" s="125">
        <f t="shared" ca="1" si="34"/>
        <v>0</v>
      </c>
      <c r="AP61" s="123">
        <f t="shared" ca="1" si="35"/>
        <v>1027620.3927186241</v>
      </c>
      <c r="AQ61" s="121"/>
      <c r="AR61" s="126">
        <f ca="1">IF(LiabIntType1="Fixed",LiabFxdRate1,OFFSET(Vectors!$D$6,Vectors!A61,MATCH(LiabLoanIndex1,lstInterestRates,0))+LiabMarg1)</f>
        <v>7.9369000000000051E-2</v>
      </c>
      <c r="AS61" s="122">
        <f t="shared" ca="1" si="36"/>
        <v>393845.77634477965</v>
      </c>
      <c r="AT61" s="124">
        <f t="shared" ca="1" si="37"/>
        <v>393845.77634477965</v>
      </c>
      <c r="AU61" s="123">
        <f t="shared" ca="1" si="38"/>
        <v>0</v>
      </c>
      <c r="AV61" s="123">
        <f t="shared" ca="1" si="14"/>
        <v>0</v>
      </c>
      <c r="AW61" s="123">
        <f t="shared" ca="1" si="39"/>
        <v>0</v>
      </c>
      <c r="AX61" s="124">
        <f t="shared" ca="1" si="40"/>
        <v>633774.61637384444</v>
      </c>
      <c r="AY61" s="121"/>
      <c r="AZ61" s="122">
        <f t="shared" ca="1" si="15"/>
        <v>633774.61637384444</v>
      </c>
      <c r="BA61" s="124">
        <f t="shared" ca="1" si="41"/>
        <v>633774.61637384444</v>
      </c>
      <c r="BB61" s="123">
        <f t="shared" ca="1" si="42"/>
        <v>0</v>
      </c>
      <c r="BC61" s="123">
        <f t="shared" ca="1" si="16"/>
        <v>0</v>
      </c>
      <c r="BD61" s="123">
        <f t="shared" ca="1" si="43"/>
        <v>0</v>
      </c>
      <c r="BE61" s="124">
        <f t="shared" ca="1" si="44"/>
        <v>0</v>
      </c>
      <c r="BF61" s="121"/>
      <c r="BG61" s="123">
        <f t="shared" si="17"/>
        <v>1000000</v>
      </c>
      <c r="BH61" s="123">
        <f t="shared" ca="1" si="45"/>
        <v>1000000</v>
      </c>
      <c r="BI61" s="123">
        <f t="shared" ca="1" si="46"/>
        <v>0</v>
      </c>
      <c r="BJ61" s="123">
        <f t="shared" ca="1" si="47"/>
        <v>0</v>
      </c>
      <c r="BK61" s="123">
        <f t="shared" ca="1" si="4"/>
        <v>1000000</v>
      </c>
      <c r="BL61" s="123">
        <f t="shared" ca="1" si="48"/>
        <v>0</v>
      </c>
      <c r="BM61" s="121"/>
      <c r="BN61" s="126">
        <f ca="1">IF(LiabIntType2="Fixed",LiabFxdRate2,OFFSET(Vectors!$D$6,Vectors!A61,MATCH(LiabLoanIndex2,lstInterestRates,0))+LiabMarg2)</f>
        <v>0.04</v>
      </c>
      <c r="BO61" s="122">
        <f t="shared" ca="1" si="49"/>
        <v>34119.905847872607</v>
      </c>
      <c r="BP61" s="124">
        <f t="shared" ca="1" si="50"/>
        <v>0</v>
      </c>
      <c r="BQ61" s="123">
        <f t="shared" ca="1" si="51"/>
        <v>34119.905847872607</v>
      </c>
      <c r="BR61" s="123">
        <f t="shared" ca="1" si="52"/>
        <v>0</v>
      </c>
      <c r="BS61" s="121"/>
      <c r="BT61" s="123">
        <f t="shared" ca="1" si="18"/>
        <v>48503.959606801545</v>
      </c>
      <c r="BU61" s="123">
        <f t="shared" ca="1" si="53"/>
        <v>0</v>
      </c>
      <c r="BV61" s="123">
        <f t="shared" ca="1" si="54"/>
        <v>48503.959606801545</v>
      </c>
      <c r="BW61" s="123">
        <f t="shared" ca="1" si="55"/>
        <v>0</v>
      </c>
      <c r="BX61" s="121"/>
      <c r="BY61" s="123">
        <f t="shared" si="56"/>
        <v>0</v>
      </c>
      <c r="BZ61" s="123">
        <f t="shared" ca="1" si="57"/>
        <v>0</v>
      </c>
      <c r="CA61" s="121"/>
      <c r="CB61" s="122">
        <f t="shared" ca="1" si="5"/>
        <v>58912765.167891458</v>
      </c>
      <c r="CC61" s="122">
        <f t="shared" ca="1" si="58"/>
        <v>393845.77634477965</v>
      </c>
      <c r="CD61" s="124">
        <f t="shared" ca="1" si="59"/>
        <v>633774.61637384444</v>
      </c>
      <c r="CE61" s="121"/>
      <c r="CF61" s="122">
        <f t="shared" ca="1" si="6"/>
        <v>10235971.754361782</v>
      </c>
      <c r="CG61" s="124">
        <f t="shared" ca="1" si="60"/>
        <v>0</v>
      </c>
      <c r="CH61" s="123">
        <f t="shared" ca="1" si="61"/>
        <v>0</v>
      </c>
      <c r="CI61" s="121"/>
      <c r="CJ61" s="123">
        <f t="shared" ca="1" si="62"/>
        <v>1350633.029460887</v>
      </c>
      <c r="CK61" s="123">
        <f t="shared" ca="1" si="63"/>
        <v>1350633.0294608867</v>
      </c>
      <c r="CL61" s="123">
        <f t="shared" ca="1" si="64"/>
        <v>0</v>
      </c>
      <c r="CM61" s="121"/>
      <c r="CN61" s="62">
        <f t="shared" ca="1" si="65"/>
        <v>473074.9753858383</v>
      </c>
      <c r="CO61" s="62" t="b">
        <f t="shared" si="66"/>
        <v>1</v>
      </c>
      <c r="CP61" s="126">
        <f t="shared" ca="1" si="67"/>
        <v>1.5277777777777796E-3</v>
      </c>
      <c r="CQ61" s="120"/>
      <c r="CR61" s="120"/>
      <c r="CS61" s="120"/>
      <c r="CT61" s="120"/>
      <c r="CU61" s="120"/>
      <c r="CV61" s="120"/>
      <c r="CW61" s="120"/>
      <c r="CX61" s="120"/>
      <c r="CY61" s="120"/>
      <c r="CZ61" s="120"/>
      <c r="DA61" s="120"/>
      <c r="DB61" s="120"/>
      <c r="DC61" s="120"/>
      <c r="DD61" s="120"/>
      <c r="DE61" s="116"/>
      <c r="DF61" s="116"/>
      <c r="DG61" s="116"/>
      <c r="DH61" s="116"/>
      <c r="DI61" s="116"/>
      <c r="DJ61" s="116"/>
      <c r="DK61" s="116"/>
      <c r="DL61" s="116"/>
      <c r="DM61" s="116"/>
      <c r="DN61" s="116"/>
    </row>
    <row r="62" spans="1:118" x14ac:dyDescent="0.2">
      <c r="A62" s="27">
        <v>56</v>
      </c>
      <c r="B62" s="29">
        <f t="shared" si="0"/>
        <v>40817</v>
      </c>
      <c r="C62" s="30">
        <f t="shared" si="1"/>
        <v>8.3333333333333329E-2</v>
      </c>
      <c r="D62" s="55"/>
      <c r="E62" s="62">
        <f t="shared" ca="1" si="19"/>
        <v>96298288.934604734</v>
      </c>
      <c r="F62" s="63">
        <f ca="1">IF(AssetIntType1="Fixed",AssetFxdRate1,IF(A62=1,OFFSET(Vectors!$D$6,A62,MATCH(AssetFltIndx1,lstInterestRates,0)),IF(MOD($A62,AssetRateReset1)=0,MAX(MIN(OFFSET(Vectors!$D$6,A62,MATCH(AssetFltIndx1,lstInterestRates,0)),(F61-AssetMarg1)+AssetPdCapFl1,AssetLifeCap1-AssetMarg1),(F61-AssetMarg1)-AssetPdCapFl1,AssetLifeFloor1-AssetMarg1),F61)))+AssetMarg1</f>
        <v>0.09</v>
      </c>
      <c r="G62" s="62">
        <f t="shared" ca="1" si="7"/>
        <v>804622.61694478267</v>
      </c>
      <c r="H62" s="62">
        <f t="shared" ca="1" si="20"/>
        <v>722237.16700953548</v>
      </c>
      <c r="I62" s="62">
        <f t="shared" ca="1" si="21"/>
        <v>82385.44993524719</v>
      </c>
      <c r="J62" s="62">
        <f t="shared" ca="1" si="2"/>
        <v>96215903.484669492</v>
      </c>
      <c r="K62" s="55"/>
      <c r="L62" s="62">
        <f t="shared" ca="1" si="22"/>
        <v>78079284.837599903</v>
      </c>
      <c r="M62" s="68">
        <f ca="1">IF(pdrLossTime1="",OFFSET(Vectors!$AE$6,A62+_Age1,MATCH(SDA_Loss,lstSDA,0)),OFFSET(Vectors!$X$6,A62+_Age1,MATCH(pdrLossTime1,lstDefaultCurve,0)))</f>
        <v>2.7777777777777779E-5</v>
      </c>
      <c r="N62" s="62">
        <f t="shared" ca="1" si="8"/>
        <v>2777.7777777777778</v>
      </c>
      <c r="O62" s="67">
        <f t="shared" ca="1" si="23"/>
        <v>0.96215903484669496</v>
      </c>
      <c r="P62" s="68">
        <f ca="1">OFFSET(Vectors!$L$6,A62+_Age1,MATCH(pdrPrepay1,lstPrepayCurve,0))*pdrPrepayStress1</f>
        <v>5.1430128318229462E-3</v>
      </c>
      <c r="Q62" s="62">
        <f t="shared" ca="1" si="24"/>
        <v>401219.21743506909</v>
      </c>
      <c r="R62" s="62">
        <f t="shared" ca="1" si="25"/>
        <v>66796.287189104958</v>
      </c>
      <c r="S62" s="69">
        <f t="shared" ca="1" si="26"/>
        <v>0.09</v>
      </c>
      <c r="T62" s="62">
        <f t="shared" ca="1" si="27"/>
        <v>585573.80294866592</v>
      </c>
      <c r="U62" s="62">
        <f t="shared" ca="1" si="9"/>
        <v>1111.1111111111111</v>
      </c>
      <c r="V62" s="62">
        <f t="shared" ca="1" si="3"/>
        <v>77608491.555197954</v>
      </c>
      <c r="W62" s="55"/>
      <c r="X62" s="62">
        <f t="shared" ca="1" si="28"/>
        <v>1054700.418683951</v>
      </c>
      <c r="Y62" s="55"/>
      <c r="Z62" s="118" t="b">
        <v>0</v>
      </c>
      <c r="AA62" s="120" t="b">
        <f t="shared" si="10"/>
        <v>0</v>
      </c>
      <c r="AB62" s="120" t="b">
        <f t="shared" si="11"/>
        <v>1</v>
      </c>
      <c r="AC62" s="120" t="b">
        <f t="shared" ca="1" si="12"/>
        <v>0</v>
      </c>
      <c r="AD62" s="121"/>
      <c r="AE62" s="129">
        <v>49577117.098222107</v>
      </c>
      <c r="AF62" s="69">
        <f ca="1">IF(Swap_Active="No",0,OFFSET(Vectors!$D$6,Vectors!A62,MATCH(Swap_In,lstInterestRates,0)))</f>
        <v>6.9369000000000056E-2</v>
      </c>
      <c r="AG62" s="62">
        <f t="shared" ca="1" si="29"/>
        <v>286592.91966554767</v>
      </c>
      <c r="AH62" s="69">
        <f ca="1">IF(Swap_Active="No",0,OFFSET(Vectors!$D$6,Vectors!A62,MATCH(Swap_Out,lstInterestRates,0)))</f>
        <v>0.04</v>
      </c>
      <c r="AI62" s="62">
        <f t="shared" ca="1" si="30"/>
        <v>165257.05699407368</v>
      </c>
      <c r="AJ62" s="62">
        <f t="shared" ca="1" si="31"/>
        <v>121335.86267147399</v>
      </c>
      <c r="AK62" s="62">
        <f t="shared" ca="1" si="32"/>
        <v>1176036.281355425</v>
      </c>
      <c r="AL62" s="121"/>
      <c r="AM62" s="123">
        <f t="shared" ca="1" si="13"/>
        <v>154679.12688262126</v>
      </c>
      <c r="AN62" s="124">
        <f t="shared" ca="1" si="33"/>
        <v>154679.12688262126</v>
      </c>
      <c r="AO62" s="125">
        <f t="shared" ca="1" si="34"/>
        <v>0</v>
      </c>
      <c r="AP62" s="123">
        <f t="shared" ca="1" si="35"/>
        <v>1021357.1544728037</v>
      </c>
      <c r="AQ62" s="121"/>
      <c r="AR62" s="126">
        <f ca="1">IF(LiabIntType1="Fixed",LiabFxdRate1,OFFSET(Vectors!$D$6,Vectors!A62,MATCH(LiabLoanIndex1,lstInterestRates,0))+LiabMarg1)</f>
        <v>7.9369000000000051E-2</v>
      </c>
      <c r="AS62" s="122">
        <f t="shared" ca="1" si="36"/>
        <v>389653.93821753166</v>
      </c>
      <c r="AT62" s="124">
        <f t="shared" ca="1" si="37"/>
        <v>389653.93821753166</v>
      </c>
      <c r="AU62" s="123">
        <f t="shared" ca="1" si="38"/>
        <v>0</v>
      </c>
      <c r="AV62" s="123">
        <f t="shared" ca="1" si="14"/>
        <v>0</v>
      </c>
      <c r="AW62" s="123">
        <f t="shared" ca="1" si="39"/>
        <v>0</v>
      </c>
      <c r="AX62" s="124">
        <f t="shared" ca="1" si="40"/>
        <v>631703.21625527204</v>
      </c>
      <c r="AY62" s="121"/>
      <c r="AZ62" s="122">
        <f t="shared" ca="1" si="15"/>
        <v>631703.21625527204</v>
      </c>
      <c r="BA62" s="124">
        <f t="shared" ca="1" si="41"/>
        <v>631703.21625527204</v>
      </c>
      <c r="BB62" s="123">
        <f t="shared" ca="1" si="42"/>
        <v>0</v>
      </c>
      <c r="BC62" s="123">
        <f t="shared" ca="1" si="16"/>
        <v>0</v>
      </c>
      <c r="BD62" s="123">
        <f t="shared" ca="1" si="43"/>
        <v>0</v>
      </c>
      <c r="BE62" s="124">
        <f t="shared" ca="1" si="44"/>
        <v>0</v>
      </c>
      <c r="BF62" s="121"/>
      <c r="BG62" s="123">
        <f t="shared" si="17"/>
        <v>1000000</v>
      </c>
      <c r="BH62" s="123">
        <f t="shared" ca="1" si="45"/>
        <v>1000000</v>
      </c>
      <c r="BI62" s="123">
        <f t="shared" ca="1" si="46"/>
        <v>0</v>
      </c>
      <c r="BJ62" s="123">
        <f t="shared" ca="1" si="47"/>
        <v>0</v>
      </c>
      <c r="BK62" s="123">
        <f t="shared" ca="1" si="4"/>
        <v>1000000</v>
      </c>
      <c r="BL62" s="123">
        <f t="shared" ca="1" si="48"/>
        <v>0</v>
      </c>
      <c r="BM62" s="121"/>
      <c r="BN62" s="126">
        <f ca="1">IF(LiabIntType2="Fixed",LiabFxdRate2,OFFSET(Vectors!$D$6,Vectors!A62,MATCH(LiabLoanIndex2,lstInterestRates,0))+LiabMarg2)</f>
        <v>0.04</v>
      </c>
      <c r="BO62" s="122">
        <f t="shared" ca="1" si="49"/>
        <v>34119.905847872607</v>
      </c>
      <c r="BP62" s="124">
        <f t="shared" ca="1" si="50"/>
        <v>0</v>
      </c>
      <c r="BQ62" s="123">
        <f t="shared" ca="1" si="51"/>
        <v>34119.905847872607</v>
      </c>
      <c r="BR62" s="123">
        <f t="shared" ca="1" si="52"/>
        <v>0</v>
      </c>
      <c r="BS62" s="121"/>
      <c r="BT62" s="123">
        <f t="shared" ca="1" si="18"/>
        <v>48270.019639388789</v>
      </c>
      <c r="BU62" s="123">
        <f t="shared" ca="1" si="53"/>
        <v>0</v>
      </c>
      <c r="BV62" s="123">
        <f t="shared" ca="1" si="54"/>
        <v>48270.019639388789</v>
      </c>
      <c r="BW62" s="123">
        <f t="shared" ca="1" si="55"/>
        <v>0</v>
      </c>
      <c r="BX62" s="121"/>
      <c r="BY62" s="123">
        <f t="shared" si="56"/>
        <v>0</v>
      </c>
      <c r="BZ62" s="123">
        <f t="shared" ca="1" si="57"/>
        <v>0</v>
      </c>
      <c r="CA62" s="121"/>
      <c r="CB62" s="122">
        <f t="shared" ca="1" si="5"/>
        <v>58281061.951636188</v>
      </c>
      <c r="CC62" s="122">
        <f t="shared" ca="1" si="58"/>
        <v>389653.93821753166</v>
      </c>
      <c r="CD62" s="124">
        <f t="shared" ca="1" si="59"/>
        <v>631703.21625527204</v>
      </c>
      <c r="CE62" s="121"/>
      <c r="CF62" s="122">
        <f t="shared" ca="1" si="6"/>
        <v>10235971.754361782</v>
      </c>
      <c r="CG62" s="124">
        <f t="shared" ca="1" si="60"/>
        <v>0</v>
      </c>
      <c r="CH62" s="123">
        <f t="shared" ca="1" si="61"/>
        <v>0</v>
      </c>
      <c r="CI62" s="121"/>
      <c r="CJ62" s="123">
        <f t="shared" ca="1" si="62"/>
        <v>1341293.3383494988</v>
      </c>
      <c r="CK62" s="123">
        <f t="shared" ca="1" si="63"/>
        <v>1341293.3383494986</v>
      </c>
      <c r="CL62" s="123">
        <f t="shared" ca="1" si="64"/>
        <v>0</v>
      </c>
      <c r="CM62" s="121"/>
      <c r="CN62" s="62">
        <f t="shared" ca="1" si="65"/>
        <v>470793.28240195179</v>
      </c>
      <c r="CO62" s="62" t="b">
        <f t="shared" si="66"/>
        <v>1</v>
      </c>
      <c r="CP62" s="126">
        <f t="shared" ca="1" si="67"/>
        <v>1.5555555555555574E-3</v>
      </c>
      <c r="CQ62" s="120"/>
      <c r="CR62" s="120"/>
      <c r="CS62" s="120"/>
      <c r="CT62" s="120"/>
      <c r="CU62" s="120"/>
      <c r="CV62" s="120"/>
      <c r="CW62" s="120"/>
      <c r="CX62" s="120"/>
      <c r="CY62" s="120"/>
      <c r="CZ62" s="120"/>
      <c r="DA62" s="120"/>
      <c r="DB62" s="120"/>
      <c r="DC62" s="120"/>
      <c r="DD62" s="120"/>
      <c r="DE62" s="116"/>
      <c r="DF62" s="116"/>
      <c r="DG62" s="116"/>
      <c r="DH62" s="116"/>
      <c r="DI62" s="116"/>
      <c r="DJ62" s="116"/>
      <c r="DK62" s="116"/>
      <c r="DL62" s="116"/>
      <c r="DM62" s="116"/>
      <c r="DN62" s="116"/>
    </row>
    <row r="63" spans="1:118" x14ac:dyDescent="0.2">
      <c r="A63" s="27">
        <v>57</v>
      </c>
      <c r="B63" s="29">
        <f t="shared" si="0"/>
        <v>40848</v>
      </c>
      <c r="C63" s="30">
        <f t="shared" si="1"/>
        <v>8.3333333333333329E-2</v>
      </c>
      <c r="D63" s="55"/>
      <c r="E63" s="62">
        <f t="shared" ca="1" si="19"/>
        <v>96215903.484669492</v>
      </c>
      <c r="F63" s="63">
        <f ca="1">IF(AssetIntType1="Fixed",AssetFxdRate1,IF(A63=1,OFFSET(Vectors!$D$6,A63,MATCH(AssetFltIndx1,lstInterestRates,0)),IF(MOD($A63,AssetRateReset1)=0,MAX(MIN(OFFSET(Vectors!$D$6,A63,MATCH(AssetFltIndx1,lstInterestRates,0)),(F62-AssetMarg1)+AssetPdCapFl1,AssetLifeCap1-AssetMarg1),(F62-AssetMarg1)-AssetPdCapFl1,AssetLifeFloor1-AssetMarg1),F62)))+AssetMarg1</f>
        <v>0.09</v>
      </c>
      <c r="G63" s="62">
        <f t="shared" ca="1" si="7"/>
        <v>804622.61694478267</v>
      </c>
      <c r="H63" s="62">
        <f t="shared" ca="1" si="20"/>
        <v>721619.27613502112</v>
      </c>
      <c r="I63" s="62">
        <f t="shared" ca="1" si="21"/>
        <v>83003.340809761547</v>
      </c>
      <c r="J63" s="62">
        <f t="shared" ca="1" si="2"/>
        <v>96132900.143859729</v>
      </c>
      <c r="K63" s="55"/>
      <c r="L63" s="62">
        <f t="shared" ca="1" si="22"/>
        <v>77608491.555197954</v>
      </c>
      <c r="M63" s="68">
        <f ca="1">IF(pdrLossTime1="",OFFSET(Vectors!$AE$6,A63+_Age1,MATCH(SDA_Loss,lstSDA,0)),OFFSET(Vectors!$X$6,A63+_Age1,MATCH(pdrLossTime1,lstDefaultCurve,0)))</f>
        <v>2.7777777777777779E-5</v>
      </c>
      <c r="N63" s="62">
        <f t="shared" ca="1" si="8"/>
        <v>2777.7777777777778</v>
      </c>
      <c r="O63" s="67">
        <f t="shared" ca="1" si="23"/>
        <v>0.96132900143859734</v>
      </c>
      <c r="P63" s="68">
        <f ca="1">OFFSET(Vectors!$L$6,A63+_Age1,MATCH(pdrPrepay1,lstPrepayCurve,0))*pdrPrepayStress1</f>
        <v>5.1430128318229462E-3</v>
      </c>
      <c r="Q63" s="62">
        <f t="shared" ca="1" si="24"/>
        <v>398797.13737339666</v>
      </c>
      <c r="R63" s="62">
        <f t="shared" ca="1" si="25"/>
        <v>66948.740033176276</v>
      </c>
      <c r="S63" s="69">
        <f t="shared" ca="1" si="26"/>
        <v>0.09</v>
      </c>
      <c r="T63" s="62">
        <f t="shared" ca="1" si="27"/>
        <v>582042.8533306513</v>
      </c>
      <c r="U63" s="62">
        <f t="shared" ca="1" si="9"/>
        <v>1111.1111111111111</v>
      </c>
      <c r="V63" s="62">
        <f t="shared" ca="1" si="3"/>
        <v>77139967.900013596</v>
      </c>
      <c r="W63" s="55"/>
      <c r="X63" s="62">
        <f t="shared" ca="1" si="28"/>
        <v>1048899.8418483352</v>
      </c>
      <c r="Y63" s="55"/>
      <c r="Z63" s="118" t="b">
        <v>0</v>
      </c>
      <c r="AA63" s="120" t="b">
        <f t="shared" si="10"/>
        <v>0</v>
      </c>
      <c r="AB63" s="120" t="b">
        <f t="shared" si="11"/>
        <v>1</v>
      </c>
      <c r="AC63" s="120" t="b">
        <f t="shared" ca="1" si="12"/>
        <v>0</v>
      </c>
      <c r="AD63" s="121"/>
      <c r="AE63" s="129">
        <v>48976133.467340618</v>
      </c>
      <c r="AF63" s="69">
        <f ca="1">IF(Swap_Active="No",0,OFFSET(Vectors!$D$6,Vectors!A63,MATCH(Swap_In,lstInterestRates,0)))</f>
        <v>6.9369000000000056E-2</v>
      </c>
      <c r="AG63" s="62">
        <f t="shared" ca="1" si="29"/>
        <v>283118.7835413295</v>
      </c>
      <c r="AH63" s="69">
        <f ca="1">IF(Swap_Active="No",0,OFFSET(Vectors!$D$6,Vectors!A63,MATCH(Swap_Out,lstInterestRates,0)))</f>
        <v>0.04</v>
      </c>
      <c r="AI63" s="62">
        <f t="shared" ca="1" si="30"/>
        <v>163253.77822446873</v>
      </c>
      <c r="AJ63" s="62">
        <f t="shared" ca="1" si="31"/>
        <v>119865.00531686077</v>
      </c>
      <c r="AK63" s="62">
        <f t="shared" ca="1" si="32"/>
        <v>1168764.847165196</v>
      </c>
      <c r="AL63" s="121"/>
      <c r="AM63" s="123">
        <f t="shared" ca="1" si="13"/>
        <v>153631.26173851168</v>
      </c>
      <c r="AN63" s="124">
        <f t="shared" ca="1" si="33"/>
        <v>153631.26173851168</v>
      </c>
      <c r="AO63" s="125">
        <f t="shared" ca="1" si="34"/>
        <v>0</v>
      </c>
      <c r="AP63" s="123">
        <f t="shared" ca="1" si="35"/>
        <v>1015133.5854266842</v>
      </c>
      <c r="AQ63" s="121"/>
      <c r="AR63" s="126">
        <f ca="1">IF(LiabIntType1="Fixed",LiabFxdRate1,OFFSET(Vectors!$D$6,Vectors!A63,MATCH(LiabLoanIndex1,lstInterestRates,0))+LiabMarg1)</f>
        <v>7.9369000000000051E-2</v>
      </c>
      <c r="AS63" s="122">
        <f t="shared" ca="1" si="36"/>
        <v>385475.80050328461</v>
      </c>
      <c r="AT63" s="124">
        <f t="shared" ca="1" si="37"/>
        <v>385475.80050328461</v>
      </c>
      <c r="AU63" s="123">
        <f t="shared" ca="1" si="38"/>
        <v>0</v>
      </c>
      <c r="AV63" s="123">
        <f t="shared" ca="1" si="14"/>
        <v>0</v>
      </c>
      <c r="AW63" s="123">
        <f t="shared" ca="1" si="39"/>
        <v>0</v>
      </c>
      <c r="AX63" s="124">
        <f t="shared" ca="1" si="40"/>
        <v>629657.78492339957</v>
      </c>
      <c r="AY63" s="121"/>
      <c r="AZ63" s="122">
        <f t="shared" ca="1" si="15"/>
        <v>629657.78492339957</v>
      </c>
      <c r="BA63" s="124">
        <f t="shared" ca="1" si="41"/>
        <v>629657.78492339957</v>
      </c>
      <c r="BB63" s="123">
        <f t="shared" ca="1" si="42"/>
        <v>0</v>
      </c>
      <c r="BC63" s="123">
        <f t="shared" ca="1" si="16"/>
        <v>0</v>
      </c>
      <c r="BD63" s="123">
        <f t="shared" ca="1" si="43"/>
        <v>0</v>
      </c>
      <c r="BE63" s="124">
        <f t="shared" ca="1" si="44"/>
        <v>0</v>
      </c>
      <c r="BF63" s="121"/>
      <c r="BG63" s="123">
        <f t="shared" si="17"/>
        <v>1000000</v>
      </c>
      <c r="BH63" s="123">
        <f t="shared" ca="1" si="45"/>
        <v>1000000</v>
      </c>
      <c r="BI63" s="123">
        <f t="shared" ca="1" si="46"/>
        <v>0</v>
      </c>
      <c r="BJ63" s="123">
        <f t="shared" ca="1" si="47"/>
        <v>0</v>
      </c>
      <c r="BK63" s="123">
        <f t="shared" ca="1" si="4"/>
        <v>1000000</v>
      </c>
      <c r="BL63" s="123">
        <f t="shared" ca="1" si="48"/>
        <v>0</v>
      </c>
      <c r="BM63" s="121"/>
      <c r="BN63" s="126">
        <f ca="1">IF(LiabIntType2="Fixed",LiabFxdRate2,OFFSET(Vectors!$D$6,Vectors!A63,MATCH(LiabLoanIndex2,lstInterestRates,0))+LiabMarg2)</f>
        <v>0.04</v>
      </c>
      <c r="BO63" s="122">
        <f t="shared" ca="1" si="49"/>
        <v>34119.905847872607</v>
      </c>
      <c r="BP63" s="124">
        <f t="shared" ca="1" si="50"/>
        <v>0</v>
      </c>
      <c r="BQ63" s="123">
        <f t="shared" ca="1" si="51"/>
        <v>34119.905847872607</v>
      </c>
      <c r="BR63" s="123">
        <f t="shared" ca="1" si="52"/>
        <v>0</v>
      </c>
      <c r="BS63" s="121"/>
      <c r="BT63" s="123">
        <f t="shared" ca="1" si="18"/>
        <v>48037.316764341893</v>
      </c>
      <c r="BU63" s="123">
        <f t="shared" ca="1" si="53"/>
        <v>0</v>
      </c>
      <c r="BV63" s="123">
        <f t="shared" ca="1" si="54"/>
        <v>48037.316764341893</v>
      </c>
      <c r="BW63" s="123">
        <f t="shared" ca="1" si="55"/>
        <v>0</v>
      </c>
      <c r="BX63" s="121"/>
      <c r="BY63" s="123">
        <f t="shared" si="56"/>
        <v>0</v>
      </c>
      <c r="BZ63" s="123">
        <f t="shared" ca="1" si="57"/>
        <v>0</v>
      </c>
      <c r="CA63" s="121"/>
      <c r="CB63" s="122">
        <f t="shared" ca="1" si="5"/>
        <v>57651404.166712791</v>
      </c>
      <c r="CC63" s="122">
        <f t="shared" ca="1" si="58"/>
        <v>385475.80050328461</v>
      </c>
      <c r="CD63" s="124">
        <f t="shared" ca="1" si="59"/>
        <v>629657.78492339957</v>
      </c>
      <c r="CE63" s="121"/>
      <c r="CF63" s="122">
        <f t="shared" ca="1" si="6"/>
        <v>10235971.754361782</v>
      </c>
      <c r="CG63" s="124">
        <f t="shared" ca="1" si="60"/>
        <v>0</v>
      </c>
      <c r="CH63" s="123">
        <f t="shared" ca="1" si="61"/>
        <v>0</v>
      </c>
      <c r="CI63" s="121"/>
      <c r="CJ63" s="123">
        <f t="shared" ca="1" si="62"/>
        <v>1332018.6253896647</v>
      </c>
      <c r="CK63" s="123">
        <f t="shared" ca="1" si="63"/>
        <v>1332018.6253896647</v>
      </c>
      <c r="CL63" s="123">
        <f t="shared" ca="1" si="64"/>
        <v>0</v>
      </c>
      <c r="CM63" s="121"/>
      <c r="CN63" s="62">
        <f t="shared" ca="1" si="65"/>
        <v>468523.65518435067</v>
      </c>
      <c r="CO63" s="62" t="b">
        <f t="shared" si="66"/>
        <v>1</v>
      </c>
      <c r="CP63" s="126">
        <f t="shared" ca="1" si="67"/>
        <v>1.5833333333333352E-3</v>
      </c>
      <c r="CQ63" s="120"/>
      <c r="CR63" s="120"/>
      <c r="CS63" s="120"/>
      <c r="CT63" s="120"/>
      <c r="CU63" s="120"/>
      <c r="CV63" s="120"/>
      <c r="CW63" s="120"/>
      <c r="CX63" s="120"/>
      <c r="CY63" s="120"/>
      <c r="CZ63" s="120"/>
      <c r="DA63" s="120"/>
      <c r="DB63" s="120"/>
      <c r="DC63" s="120"/>
      <c r="DD63" s="120"/>
      <c r="DE63" s="116"/>
      <c r="DF63" s="116"/>
      <c r="DG63" s="116"/>
      <c r="DH63" s="116"/>
      <c r="DI63" s="116"/>
      <c r="DJ63" s="116"/>
      <c r="DK63" s="116"/>
      <c r="DL63" s="116"/>
      <c r="DM63" s="116"/>
      <c r="DN63" s="116"/>
    </row>
    <row r="64" spans="1:118" x14ac:dyDescent="0.2">
      <c r="A64" s="27">
        <v>58</v>
      </c>
      <c r="B64" s="29">
        <f t="shared" si="0"/>
        <v>40878</v>
      </c>
      <c r="C64" s="30">
        <f t="shared" si="1"/>
        <v>8.3333333333333329E-2</v>
      </c>
      <c r="D64" s="55"/>
      <c r="E64" s="62">
        <f t="shared" ca="1" si="19"/>
        <v>96132900.143859729</v>
      </c>
      <c r="F64" s="63">
        <f ca="1">IF(AssetIntType1="Fixed",AssetFxdRate1,IF(A64=1,OFFSET(Vectors!$D$6,A64,MATCH(AssetFltIndx1,lstInterestRates,0)),IF(MOD($A64,AssetRateReset1)=0,MAX(MIN(OFFSET(Vectors!$D$6,A64,MATCH(AssetFltIndx1,lstInterestRates,0)),(F63-AssetMarg1)+AssetPdCapFl1,AssetLifeCap1-AssetMarg1),(F63-AssetMarg1)-AssetPdCapFl1,AssetLifeFloor1-AssetMarg1),F63)))+AssetMarg1</f>
        <v>0.09</v>
      </c>
      <c r="G64" s="62">
        <f t="shared" ca="1" si="7"/>
        <v>804622.61694478267</v>
      </c>
      <c r="H64" s="62">
        <f t="shared" ca="1" si="20"/>
        <v>720996.75107894791</v>
      </c>
      <c r="I64" s="62">
        <f t="shared" ca="1" si="21"/>
        <v>83625.865865834756</v>
      </c>
      <c r="J64" s="62">
        <f t="shared" ca="1" si="2"/>
        <v>96049274.277993888</v>
      </c>
      <c r="K64" s="55"/>
      <c r="L64" s="62">
        <f t="shared" ca="1" si="22"/>
        <v>77139967.900013596</v>
      </c>
      <c r="M64" s="68">
        <f ca="1">IF(pdrLossTime1="",OFFSET(Vectors!$AE$6,A64+_Age1,MATCH(SDA_Loss,lstSDA,0)),OFFSET(Vectors!$X$6,A64+_Age1,MATCH(pdrLossTime1,lstDefaultCurve,0)))</f>
        <v>2.7777777777777779E-5</v>
      </c>
      <c r="N64" s="62">
        <f t="shared" ca="1" si="8"/>
        <v>2777.7777777777778</v>
      </c>
      <c r="O64" s="67">
        <f t="shared" ca="1" si="23"/>
        <v>0.9604927427799389</v>
      </c>
      <c r="P64" s="68">
        <f ca="1">OFFSET(Vectors!$L$6,A64+_Age1,MATCH(pdrPrepay1,lstPrepayCurve,0))*pdrPrepayStress1</f>
        <v>5.1430128318229462E-3</v>
      </c>
      <c r="Q64" s="62">
        <f t="shared" ca="1" si="24"/>
        <v>396386.72831857507</v>
      </c>
      <c r="R64" s="62">
        <f t="shared" ca="1" si="25"/>
        <v>67101.526166141033</v>
      </c>
      <c r="S64" s="69">
        <f t="shared" ca="1" si="26"/>
        <v>0.09</v>
      </c>
      <c r="T64" s="62">
        <f t="shared" ca="1" si="27"/>
        <v>578528.92591676861</v>
      </c>
      <c r="U64" s="62">
        <f t="shared" ca="1" si="9"/>
        <v>1111.1111111111111</v>
      </c>
      <c r="V64" s="62">
        <f t="shared" ca="1" si="3"/>
        <v>76673701.867751107</v>
      </c>
      <c r="W64" s="55"/>
      <c r="X64" s="62">
        <f t="shared" ca="1" si="28"/>
        <v>1043128.2915125958</v>
      </c>
      <c r="Y64" s="55"/>
      <c r="Z64" s="118" t="b">
        <v>0</v>
      </c>
      <c r="AA64" s="120" t="b">
        <f t="shared" si="10"/>
        <v>0</v>
      </c>
      <c r="AB64" s="120" t="b">
        <f t="shared" si="11"/>
        <v>1</v>
      </c>
      <c r="AC64" s="120" t="b">
        <f t="shared" ca="1" si="12"/>
        <v>0</v>
      </c>
      <c r="AD64" s="121"/>
      <c r="AE64" s="129">
        <v>48381280.509410158</v>
      </c>
      <c r="AF64" s="69">
        <f ca="1">IF(Swap_Active="No",0,OFFSET(Vectors!$D$6,Vectors!A64,MATCH(Swap_In,lstInterestRates,0)))</f>
        <v>6.9369000000000056E-2</v>
      </c>
      <c r="AG64" s="62">
        <f t="shared" ca="1" si="29"/>
        <v>279680.08730477298</v>
      </c>
      <c r="AH64" s="69">
        <f ca="1">IF(Swap_Active="No",0,OFFSET(Vectors!$D$6,Vectors!A64,MATCH(Swap_Out,lstInterestRates,0)))</f>
        <v>0.04</v>
      </c>
      <c r="AI64" s="62">
        <f t="shared" ca="1" si="30"/>
        <v>161270.93503136717</v>
      </c>
      <c r="AJ64" s="62">
        <f t="shared" ca="1" si="31"/>
        <v>118409.15227340581</v>
      </c>
      <c r="AK64" s="62">
        <f t="shared" ca="1" si="32"/>
        <v>1161537.4437860018</v>
      </c>
      <c r="AL64" s="121"/>
      <c r="AM64" s="123">
        <f t="shared" ca="1" si="13"/>
        <v>152588.03156948631</v>
      </c>
      <c r="AN64" s="124">
        <f t="shared" ca="1" si="33"/>
        <v>152588.03156948631</v>
      </c>
      <c r="AO64" s="125">
        <f t="shared" ca="1" si="34"/>
        <v>0</v>
      </c>
      <c r="AP64" s="123">
        <f t="shared" ca="1" si="35"/>
        <v>1008949.4122165155</v>
      </c>
      <c r="AQ64" s="121"/>
      <c r="AR64" s="126">
        <f ca="1">IF(LiabIntType1="Fixed",LiabFxdRate1,OFFSET(Vectors!$D$6,Vectors!A64,MATCH(LiabLoanIndex1,lstInterestRates,0))+LiabMarg1)</f>
        <v>7.9369000000000051E-2</v>
      </c>
      <c r="AS64" s="122">
        <f t="shared" ca="1" si="36"/>
        <v>381311.19144231919</v>
      </c>
      <c r="AT64" s="124">
        <f t="shared" ca="1" si="37"/>
        <v>381311.19144231919</v>
      </c>
      <c r="AU64" s="123">
        <f t="shared" ca="1" si="38"/>
        <v>0</v>
      </c>
      <c r="AV64" s="123">
        <f t="shared" ca="1" si="14"/>
        <v>0</v>
      </c>
      <c r="AW64" s="123">
        <f t="shared" ca="1" si="39"/>
        <v>0</v>
      </c>
      <c r="AX64" s="124">
        <f t="shared" ca="1" si="40"/>
        <v>627638.22077419632</v>
      </c>
      <c r="AY64" s="121"/>
      <c r="AZ64" s="122">
        <f t="shared" ca="1" si="15"/>
        <v>627638.22077419632</v>
      </c>
      <c r="BA64" s="124">
        <f t="shared" ca="1" si="41"/>
        <v>627638.22077419632</v>
      </c>
      <c r="BB64" s="123">
        <f t="shared" ca="1" si="42"/>
        <v>0</v>
      </c>
      <c r="BC64" s="123">
        <f t="shared" ca="1" si="16"/>
        <v>0</v>
      </c>
      <c r="BD64" s="123">
        <f t="shared" ca="1" si="43"/>
        <v>0</v>
      </c>
      <c r="BE64" s="124">
        <f t="shared" ca="1" si="44"/>
        <v>0</v>
      </c>
      <c r="BF64" s="121"/>
      <c r="BG64" s="123">
        <f t="shared" si="17"/>
        <v>1000000</v>
      </c>
      <c r="BH64" s="123">
        <f t="shared" ca="1" si="45"/>
        <v>1000000</v>
      </c>
      <c r="BI64" s="123">
        <f t="shared" ca="1" si="46"/>
        <v>0</v>
      </c>
      <c r="BJ64" s="123">
        <f t="shared" ca="1" si="47"/>
        <v>0</v>
      </c>
      <c r="BK64" s="123">
        <f t="shared" ca="1" si="4"/>
        <v>1000000</v>
      </c>
      <c r="BL64" s="123">
        <f t="shared" ca="1" si="48"/>
        <v>0</v>
      </c>
      <c r="BM64" s="121"/>
      <c r="BN64" s="126">
        <f ca="1">IF(LiabIntType2="Fixed",LiabFxdRate2,OFFSET(Vectors!$D$6,Vectors!A64,MATCH(LiabLoanIndex2,lstInterestRates,0))+LiabMarg2)</f>
        <v>0.04</v>
      </c>
      <c r="BO64" s="122">
        <f t="shared" ca="1" si="49"/>
        <v>34119.905847872607</v>
      </c>
      <c r="BP64" s="124">
        <f t="shared" ca="1" si="50"/>
        <v>0</v>
      </c>
      <c r="BQ64" s="123">
        <f t="shared" ca="1" si="51"/>
        <v>34119.905847872607</v>
      </c>
      <c r="BR64" s="123">
        <f t="shared" ca="1" si="52"/>
        <v>0</v>
      </c>
      <c r="BS64" s="121"/>
      <c r="BT64" s="123">
        <f t="shared" ca="1" si="18"/>
        <v>47805.844679140559</v>
      </c>
      <c r="BU64" s="123">
        <f t="shared" ca="1" si="53"/>
        <v>0</v>
      </c>
      <c r="BV64" s="123">
        <f t="shared" ca="1" si="54"/>
        <v>47805.844679140559</v>
      </c>
      <c r="BW64" s="123">
        <f t="shared" ca="1" si="55"/>
        <v>0</v>
      </c>
      <c r="BX64" s="121"/>
      <c r="BY64" s="123">
        <f t="shared" si="56"/>
        <v>0</v>
      </c>
      <c r="BZ64" s="123">
        <f t="shared" ca="1" si="57"/>
        <v>0</v>
      </c>
      <c r="CA64" s="121"/>
      <c r="CB64" s="122">
        <f t="shared" ca="1" si="5"/>
        <v>57023765.945938595</v>
      </c>
      <c r="CC64" s="122">
        <f t="shared" ca="1" si="58"/>
        <v>381311.19144231919</v>
      </c>
      <c r="CD64" s="124">
        <f t="shared" ca="1" si="59"/>
        <v>627638.22077419632</v>
      </c>
      <c r="CE64" s="121"/>
      <c r="CF64" s="122">
        <f t="shared" ca="1" si="6"/>
        <v>10235971.754361782</v>
      </c>
      <c r="CG64" s="124">
        <f t="shared" ca="1" si="60"/>
        <v>0</v>
      </c>
      <c r="CH64" s="123">
        <f t="shared" ca="1" si="61"/>
        <v>0</v>
      </c>
      <c r="CI64" s="121"/>
      <c r="CJ64" s="123">
        <f t="shared" ca="1" si="62"/>
        <v>1322808.3788173688</v>
      </c>
      <c r="CK64" s="123">
        <f t="shared" ca="1" si="63"/>
        <v>1322808.378817369</v>
      </c>
      <c r="CL64" s="123">
        <f t="shared" ca="1" si="64"/>
        <v>0</v>
      </c>
      <c r="CM64" s="121"/>
      <c r="CN64" s="62">
        <f t="shared" ca="1" si="65"/>
        <v>466266.03226249386</v>
      </c>
      <c r="CO64" s="62" t="b">
        <f t="shared" si="66"/>
        <v>1</v>
      </c>
      <c r="CP64" s="126">
        <f t="shared" ca="1" si="67"/>
        <v>1.6111111111111131E-3</v>
      </c>
      <c r="CQ64" s="120"/>
      <c r="CR64" s="120"/>
      <c r="CS64" s="120"/>
      <c r="CT64" s="120"/>
      <c r="CU64" s="120"/>
      <c r="CV64" s="120"/>
      <c r="CW64" s="120"/>
      <c r="CX64" s="120"/>
      <c r="CY64" s="120"/>
      <c r="CZ64" s="120"/>
      <c r="DA64" s="120"/>
      <c r="DB64" s="120"/>
      <c r="DC64" s="120"/>
      <c r="DD64" s="120"/>
      <c r="DE64" s="116"/>
      <c r="DF64" s="116"/>
      <c r="DG64" s="116"/>
      <c r="DH64" s="116"/>
      <c r="DI64" s="116"/>
      <c r="DJ64" s="116"/>
      <c r="DK64" s="116"/>
      <c r="DL64" s="116"/>
      <c r="DM64" s="116"/>
      <c r="DN64" s="116"/>
    </row>
    <row r="65" spans="1:118" x14ac:dyDescent="0.2">
      <c r="A65" s="27">
        <v>59</v>
      </c>
      <c r="B65" s="29">
        <f t="shared" si="0"/>
        <v>40909</v>
      </c>
      <c r="C65" s="30">
        <f t="shared" si="1"/>
        <v>8.3333333333333329E-2</v>
      </c>
      <c r="D65" s="55"/>
      <c r="E65" s="62">
        <f t="shared" ca="1" si="19"/>
        <v>96049274.277993888</v>
      </c>
      <c r="F65" s="63">
        <f ca="1">IF(AssetIntType1="Fixed",AssetFxdRate1,IF(A65=1,OFFSET(Vectors!$D$6,A65,MATCH(AssetFltIndx1,lstInterestRates,0)),IF(MOD($A65,AssetRateReset1)=0,MAX(MIN(OFFSET(Vectors!$D$6,A65,MATCH(AssetFltIndx1,lstInterestRates,0)),(F64-AssetMarg1)+AssetPdCapFl1,AssetLifeCap1-AssetMarg1),(F64-AssetMarg1)-AssetPdCapFl1,AssetLifeFloor1-AssetMarg1),F64)))+AssetMarg1</f>
        <v>0.09</v>
      </c>
      <c r="G65" s="62">
        <f t="shared" ca="1" si="7"/>
        <v>804622.61694478267</v>
      </c>
      <c r="H65" s="62">
        <f t="shared" ca="1" si="20"/>
        <v>720369.55708495411</v>
      </c>
      <c r="I65" s="62">
        <f t="shared" ca="1" si="21"/>
        <v>84253.059859828558</v>
      </c>
      <c r="J65" s="62">
        <f t="shared" ca="1" si="2"/>
        <v>95965021.218134061</v>
      </c>
      <c r="K65" s="55"/>
      <c r="L65" s="62">
        <f t="shared" ca="1" si="22"/>
        <v>76673701.867751107</v>
      </c>
      <c r="M65" s="68">
        <f ca="1">IF(pdrLossTime1="",OFFSET(Vectors!$AE$6,A65+_Age1,MATCH(SDA_Loss,lstSDA,0)),OFFSET(Vectors!$X$6,A65+_Age1,MATCH(pdrLossTime1,lstDefaultCurve,0)))</f>
        <v>2.7777777777777779E-5</v>
      </c>
      <c r="N65" s="62">
        <f t="shared" ca="1" si="8"/>
        <v>2777.7777777777778</v>
      </c>
      <c r="O65" s="67">
        <f t="shared" ca="1" si="23"/>
        <v>0.95965021218134061</v>
      </c>
      <c r="P65" s="68">
        <f ca="1">OFFSET(Vectors!$L$6,A65+_Age1,MATCH(pdrPrepay1,lstPrepayCurve,0))*pdrPrepayStress1</f>
        <v>5.1430128318229462E-3</v>
      </c>
      <c r="Q65" s="62">
        <f t="shared" ca="1" si="24"/>
        <v>393987.92852933187</v>
      </c>
      <c r="R65" s="62">
        <f t="shared" ca="1" si="25"/>
        <v>67254.646174260342</v>
      </c>
      <c r="S65" s="69">
        <f t="shared" ca="1" si="26"/>
        <v>0.09</v>
      </c>
      <c r="T65" s="62">
        <f t="shared" ca="1" si="27"/>
        <v>575031.93067479995</v>
      </c>
      <c r="U65" s="62">
        <f t="shared" ca="1" si="9"/>
        <v>1111.1111111111111</v>
      </c>
      <c r="V65" s="62">
        <f t="shared" ca="1" si="3"/>
        <v>76209681.515269727</v>
      </c>
      <c r="W65" s="55"/>
      <c r="X65" s="62">
        <f t="shared" ca="1" si="28"/>
        <v>1037385.6164895033</v>
      </c>
      <c r="Y65" s="55"/>
      <c r="Z65" s="118" t="b">
        <v>0</v>
      </c>
      <c r="AA65" s="120" t="b">
        <f t="shared" si="10"/>
        <v>0</v>
      </c>
      <c r="AB65" s="120" t="b">
        <f t="shared" si="11"/>
        <v>1</v>
      </c>
      <c r="AC65" s="120" t="b">
        <f t="shared" ca="1" si="12"/>
        <v>0</v>
      </c>
      <c r="AD65" s="121"/>
      <c r="AE65" s="129">
        <v>47792496.606546879</v>
      </c>
      <c r="AF65" s="69">
        <f ca="1">IF(Swap_Active="No",0,OFFSET(Vectors!$D$6,Vectors!A65,MATCH(Swap_In,lstInterestRates,0)))</f>
        <v>6.9369000000000056E-2</v>
      </c>
      <c r="AG65" s="62">
        <f t="shared" ca="1" si="29"/>
        <v>276276.47475829604</v>
      </c>
      <c r="AH65" s="69">
        <f ca="1">IF(Swap_Active="No",0,OFFSET(Vectors!$D$6,Vectors!A65,MATCH(Swap_Out,lstInterestRates,0)))</f>
        <v>0.04</v>
      </c>
      <c r="AI65" s="62">
        <f t="shared" ca="1" si="30"/>
        <v>159308.32202182291</v>
      </c>
      <c r="AJ65" s="62">
        <f t="shared" ca="1" si="31"/>
        <v>116968.15273647313</v>
      </c>
      <c r="AK65" s="62">
        <f t="shared" ca="1" si="32"/>
        <v>1154353.7692259764</v>
      </c>
      <c r="AL65" s="121"/>
      <c r="AM65" s="123">
        <f t="shared" ca="1" si="13"/>
        <v>151549.40559039291</v>
      </c>
      <c r="AN65" s="124">
        <f t="shared" ca="1" si="33"/>
        <v>151549.40559039291</v>
      </c>
      <c r="AO65" s="125">
        <f t="shared" ca="1" si="34"/>
        <v>0</v>
      </c>
      <c r="AP65" s="123">
        <f t="shared" ca="1" si="35"/>
        <v>1002804.3636355835</v>
      </c>
      <c r="AQ65" s="121"/>
      <c r="AR65" s="126">
        <f ca="1">IF(LiabIntType1="Fixed",LiabFxdRate1,OFFSET(Vectors!$D$6,Vectors!A65,MATCH(LiabLoanIndex1,lstInterestRates,0))+LiabMarg1)</f>
        <v>7.9369000000000051E-2</v>
      </c>
      <c r="AS65" s="122">
        <f t="shared" ca="1" si="36"/>
        <v>377159.93994693359</v>
      </c>
      <c r="AT65" s="124">
        <f t="shared" ca="1" si="37"/>
        <v>377159.93994693359</v>
      </c>
      <c r="AU65" s="123">
        <f t="shared" ca="1" si="38"/>
        <v>0</v>
      </c>
      <c r="AV65" s="123">
        <f t="shared" ca="1" si="14"/>
        <v>0</v>
      </c>
      <c r="AW65" s="123">
        <f t="shared" ca="1" si="39"/>
        <v>0</v>
      </c>
      <c r="AX65" s="124">
        <f t="shared" ca="1" si="40"/>
        <v>625644.4236886499</v>
      </c>
      <c r="AY65" s="121"/>
      <c r="AZ65" s="122">
        <f t="shared" ca="1" si="15"/>
        <v>625644.4236886499</v>
      </c>
      <c r="BA65" s="124">
        <f t="shared" ca="1" si="41"/>
        <v>625644.4236886499</v>
      </c>
      <c r="BB65" s="123">
        <f t="shared" ca="1" si="42"/>
        <v>0</v>
      </c>
      <c r="BC65" s="123">
        <f t="shared" ca="1" si="16"/>
        <v>0</v>
      </c>
      <c r="BD65" s="123">
        <f t="shared" ca="1" si="43"/>
        <v>0</v>
      </c>
      <c r="BE65" s="124">
        <f t="shared" ca="1" si="44"/>
        <v>0</v>
      </c>
      <c r="BF65" s="121"/>
      <c r="BG65" s="123">
        <f t="shared" si="17"/>
        <v>1000000</v>
      </c>
      <c r="BH65" s="123">
        <f t="shared" ca="1" si="45"/>
        <v>1000000</v>
      </c>
      <c r="BI65" s="123">
        <f t="shared" ca="1" si="46"/>
        <v>0</v>
      </c>
      <c r="BJ65" s="123">
        <f t="shared" ca="1" si="47"/>
        <v>0</v>
      </c>
      <c r="BK65" s="123">
        <f t="shared" ca="1" si="4"/>
        <v>1000000</v>
      </c>
      <c r="BL65" s="123">
        <f t="shared" ca="1" si="48"/>
        <v>0</v>
      </c>
      <c r="BM65" s="121"/>
      <c r="BN65" s="126">
        <f ca="1">IF(LiabIntType2="Fixed",LiabFxdRate2,OFFSET(Vectors!$D$6,Vectors!A65,MATCH(LiabLoanIndex2,lstInterestRates,0))+LiabMarg2)</f>
        <v>0.04</v>
      </c>
      <c r="BO65" s="122">
        <f t="shared" ca="1" si="49"/>
        <v>34119.905847872607</v>
      </c>
      <c r="BP65" s="124">
        <f t="shared" ca="1" si="50"/>
        <v>0</v>
      </c>
      <c r="BQ65" s="123">
        <f t="shared" ca="1" si="51"/>
        <v>34119.905847872607</v>
      </c>
      <c r="BR65" s="123">
        <f t="shared" ca="1" si="52"/>
        <v>0</v>
      </c>
      <c r="BS65" s="121"/>
      <c r="BT65" s="123">
        <f t="shared" ca="1" si="18"/>
        <v>47575.59711361544</v>
      </c>
      <c r="BU65" s="123">
        <f t="shared" ca="1" si="53"/>
        <v>0</v>
      </c>
      <c r="BV65" s="123">
        <f t="shared" ca="1" si="54"/>
        <v>47575.59711361544</v>
      </c>
      <c r="BW65" s="123">
        <f t="shared" ca="1" si="55"/>
        <v>0</v>
      </c>
      <c r="BX65" s="121"/>
      <c r="BY65" s="123">
        <f t="shared" si="56"/>
        <v>0</v>
      </c>
      <c r="BZ65" s="123">
        <f t="shared" ca="1" si="57"/>
        <v>0</v>
      </c>
      <c r="CA65" s="121"/>
      <c r="CB65" s="122">
        <f t="shared" ca="1" si="5"/>
        <v>56398121.522249945</v>
      </c>
      <c r="CC65" s="122">
        <f t="shared" ca="1" si="58"/>
        <v>377159.93994693359</v>
      </c>
      <c r="CD65" s="124">
        <f t="shared" ca="1" si="59"/>
        <v>625644.4236886499</v>
      </c>
      <c r="CE65" s="121"/>
      <c r="CF65" s="122">
        <f t="shared" ca="1" si="6"/>
        <v>10235971.754361782</v>
      </c>
      <c r="CG65" s="124">
        <f t="shared" ca="1" si="60"/>
        <v>0</v>
      </c>
      <c r="CH65" s="123">
        <f t="shared" ca="1" si="61"/>
        <v>0</v>
      </c>
      <c r="CI65" s="121"/>
      <c r="CJ65" s="123">
        <f t="shared" ca="1" si="62"/>
        <v>1313662.0912477993</v>
      </c>
      <c r="CK65" s="123">
        <f t="shared" ca="1" si="63"/>
        <v>1313662.0912477993</v>
      </c>
      <c r="CL65" s="123">
        <f t="shared" ca="1" si="64"/>
        <v>0</v>
      </c>
      <c r="CM65" s="121"/>
      <c r="CN65" s="62">
        <f t="shared" ca="1" si="65"/>
        <v>464020.35248136998</v>
      </c>
      <c r="CO65" s="62" t="b">
        <f t="shared" si="66"/>
        <v>1</v>
      </c>
      <c r="CP65" s="126">
        <f t="shared" ca="1" si="67"/>
        <v>1.6388888888888909E-3</v>
      </c>
      <c r="CQ65" s="120"/>
      <c r="CR65" s="120"/>
      <c r="CS65" s="120"/>
      <c r="CT65" s="120"/>
      <c r="CU65" s="120"/>
      <c r="CV65" s="120"/>
      <c r="CW65" s="120"/>
      <c r="CX65" s="120"/>
      <c r="CY65" s="120"/>
      <c r="CZ65" s="120"/>
      <c r="DA65" s="120"/>
      <c r="DB65" s="120"/>
      <c r="DC65" s="120"/>
      <c r="DD65" s="120"/>
      <c r="DE65" s="116"/>
      <c r="DF65" s="116"/>
      <c r="DG65" s="116"/>
      <c r="DH65" s="116"/>
      <c r="DI65" s="116"/>
      <c r="DJ65" s="116"/>
      <c r="DK65" s="116"/>
      <c r="DL65" s="116"/>
      <c r="DM65" s="116"/>
      <c r="DN65" s="116"/>
    </row>
    <row r="66" spans="1:118" x14ac:dyDescent="0.2">
      <c r="A66" s="27">
        <v>60</v>
      </c>
      <c r="B66" s="29">
        <f t="shared" si="0"/>
        <v>40940</v>
      </c>
      <c r="C66" s="30">
        <f t="shared" si="1"/>
        <v>8.3333333333333329E-2</v>
      </c>
      <c r="D66" s="55"/>
      <c r="E66" s="62">
        <f t="shared" ca="1" si="19"/>
        <v>95965021.218134061</v>
      </c>
      <c r="F66" s="63">
        <f ca="1">IF(AssetIntType1="Fixed",AssetFxdRate1,IF(A66=1,OFFSET(Vectors!$D$6,A66,MATCH(AssetFltIndx1,lstInterestRates,0)),IF(MOD($A66,AssetRateReset1)=0,MAX(MIN(OFFSET(Vectors!$D$6,A66,MATCH(AssetFltIndx1,lstInterestRates,0)),(F65-AssetMarg1)+AssetPdCapFl1,AssetLifeCap1-AssetMarg1),(F65-AssetMarg1)-AssetPdCapFl1,AssetLifeFloor1-AssetMarg1),F65)))+AssetMarg1</f>
        <v>0.09</v>
      </c>
      <c r="G66" s="62">
        <f t="shared" ca="1" si="7"/>
        <v>804622.61694478267</v>
      </c>
      <c r="H66" s="62">
        <f t="shared" ca="1" si="20"/>
        <v>719737.65913600544</v>
      </c>
      <c r="I66" s="62">
        <f t="shared" ca="1" si="21"/>
        <v>84884.957808777224</v>
      </c>
      <c r="J66" s="62">
        <f t="shared" ca="1" si="2"/>
        <v>95880136.260325283</v>
      </c>
      <c r="K66" s="55"/>
      <c r="L66" s="62">
        <f t="shared" ca="1" si="22"/>
        <v>76209681.515269727</v>
      </c>
      <c r="M66" s="68">
        <f ca="1">IF(pdrLossTime1="",OFFSET(Vectors!$AE$6,A66+_Age1,MATCH(SDA_Loss,lstSDA,0)),OFFSET(Vectors!$X$6,A66+_Age1,MATCH(pdrLossTime1,lstDefaultCurve,0)))</f>
        <v>2.7777777777777779E-5</v>
      </c>
      <c r="N66" s="62">
        <f t="shared" ca="1" si="8"/>
        <v>2777.7777777777778</v>
      </c>
      <c r="O66" s="67">
        <f t="shared" ca="1" si="23"/>
        <v>0.95880136260325288</v>
      </c>
      <c r="P66" s="68">
        <f ca="1">OFFSET(Vectors!$L$6,A66+_Age1,MATCH(pdrPrepay1,lstPrepayCurve,0))*pdrPrepayStress1</f>
        <v>5.1430128318229462E-3</v>
      </c>
      <c r="Q66" s="62">
        <f t="shared" ca="1" si="24"/>
        <v>391600.67657891882</v>
      </c>
      <c r="R66" s="62">
        <f t="shared" ca="1" si="25"/>
        <v>67408.100643155572</v>
      </c>
      <c r="S66" s="69">
        <f t="shared" ca="1" si="26"/>
        <v>0.09</v>
      </c>
      <c r="T66" s="62">
        <f t="shared" ca="1" si="27"/>
        <v>571551.77803118958</v>
      </c>
      <c r="U66" s="62">
        <f t="shared" ca="1" si="9"/>
        <v>1111.1111111111111</v>
      </c>
      <c r="V66" s="62">
        <f t="shared" ca="1" si="3"/>
        <v>75747894.960269868</v>
      </c>
      <c r="W66" s="55"/>
      <c r="X66" s="62">
        <f t="shared" ca="1" si="28"/>
        <v>1031671.6663643752</v>
      </c>
      <c r="Y66" s="55"/>
      <c r="Z66" s="118" t="b">
        <v>0</v>
      </c>
      <c r="AA66" s="120" t="b">
        <f t="shared" si="10"/>
        <v>0</v>
      </c>
      <c r="AB66" s="120" t="b">
        <f t="shared" si="11"/>
        <v>1</v>
      </c>
      <c r="AC66" s="120" t="b">
        <f t="shared" ca="1" si="12"/>
        <v>0</v>
      </c>
      <c r="AD66" s="121"/>
      <c r="AE66" s="129">
        <v>47209720.757846974</v>
      </c>
      <c r="AF66" s="69">
        <f ca="1">IF(Swap_Active="No",0,OFFSET(Vectors!$D$6,Vectors!A66,MATCH(Swap_In,lstInterestRates,0)))</f>
        <v>6.9369000000000056E-2</v>
      </c>
      <c r="AG66" s="62">
        <f t="shared" ca="1" si="29"/>
        <v>272907.59327092406</v>
      </c>
      <c r="AH66" s="69">
        <f ca="1">IF(Swap_Active="No",0,OFFSET(Vectors!$D$6,Vectors!A66,MATCH(Swap_Out,lstInterestRates,0)))</f>
        <v>0.04</v>
      </c>
      <c r="AI66" s="62">
        <f t="shared" ca="1" si="30"/>
        <v>157365.73585948991</v>
      </c>
      <c r="AJ66" s="62">
        <f t="shared" ca="1" si="31"/>
        <v>115541.85741143415</v>
      </c>
      <c r="AK66" s="62">
        <f t="shared" ca="1" si="32"/>
        <v>1147213.5237758092</v>
      </c>
      <c r="AL66" s="121"/>
      <c r="AM66" s="123">
        <f t="shared" ca="1" si="13"/>
        <v>150515.35315972034</v>
      </c>
      <c r="AN66" s="124">
        <f t="shared" ca="1" si="33"/>
        <v>150515.35315972034</v>
      </c>
      <c r="AO66" s="125">
        <f t="shared" ca="1" si="34"/>
        <v>0</v>
      </c>
      <c r="AP66" s="123">
        <f t="shared" ca="1" si="35"/>
        <v>996698.1706160889</v>
      </c>
      <c r="AQ66" s="121"/>
      <c r="AR66" s="126">
        <f ca="1">IF(LiabIntType1="Fixed",LiabFxdRate1,OFFSET(Vectors!$D$6,Vectors!A66,MATCH(LiabLoanIndex1,lstInterestRates,0))+LiabMarg1)</f>
        <v>7.9369000000000051E-2</v>
      </c>
      <c r="AS66" s="122">
        <f t="shared" ca="1" si="36"/>
        <v>373021.87559162156</v>
      </c>
      <c r="AT66" s="124">
        <f t="shared" ca="1" si="37"/>
        <v>373021.87559162156</v>
      </c>
      <c r="AU66" s="123">
        <f t="shared" ca="1" si="38"/>
        <v>0</v>
      </c>
      <c r="AV66" s="123">
        <f t="shared" ca="1" si="14"/>
        <v>0</v>
      </c>
      <c r="AW66" s="123">
        <f t="shared" ca="1" si="39"/>
        <v>0</v>
      </c>
      <c r="AX66" s="124">
        <f t="shared" ca="1" si="40"/>
        <v>623676.2950244674</v>
      </c>
      <c r="AY66" s="121"/>
      <c r="AZ66" s="122">
        <f t="shared" ca="1" si="15"/>
        <v>623676.2950244674</v>
      </c>
      <c r="BA66" s="124">
        <f t="shared" ca="1" si="41"/>
        <v>623676.2950244674</v>
      </c>
      <c r="BB66" s="123">
        <f t="shared" ca="1" si="42"/>
        <v>0</v>
      </c>
      <c r="BC66" s="123">
        <f t="shared" ca="1" si="16"/>
        <v>0</v>
      </c>
      <c r="BD66" s="123">
        <f t="shared" ca="1" si="43"/>
        <v>0</v>
      </c>
      <c r="BE66" s="124">
        <f t="shared" ca="1" si="44"/>
        <v>0</v>
      </c>
      <c r="BF66" s="121"/>
      <c r="BG66" s="123">
        <f t="shared" si="17"/>
        <v>1000000</v>
      </c>
      <c r="BH66" s="123">
        <f t="shared" ca="1" si="45"/>
        <v>1000000</v>
      </c>
      <c r="BI66" s="123">
        <f t="shared" ca="1" si="46"/>
        <v>0</v>
      </c>
      <c r="BJ66" s="123">
        <f t="shared" ca="1" si="47"/>
        <v>0</v>
      </c>
      <c r="BK66" s="123">
        <f t="shared" ca="1" si="4"/>
        <v>1000000</v>
      </c>
      <c r="BL66" s="123">
        <f t="shared" ca="1" si="48"/>
        <v>0</v>
      </c>
      <c r="BM66" s="121"/>
      <c r="BN66" s="126">
        <f ca="1">IF(LiabIntType2="Fixed",LiabFxdRate2,OFFSET(Vectors!$D$6,Vectors!A66,MATCH(LiabLoanIndex2,lstInterestRates,0))+LiabMarg2)</f>
        <v>0.04</v>
      </c>
      <c r="BO66" s="122">
        <f t="shared" ca="1" si="49"/>
        <v>34119.905847872607</v>
      </c>
      <c r="BP66" s="124">
        <f t="shared" ca="1" si="50"/>
        <v>0</v>
      </c>
      <c r="BQ66" s="123">
        <f t="shared" ca="1" si="51"/>
        <v>34119.905847872607</v>
      </c>
      <c r="BR66" s="123">
        <f t="shared" ca="1" si="52"/>
        <v>0</v>
      </c>
      <c r="BS66" s="121"/>
      <c r="BT66" s="123">
        <f t="shared" ca="1" si="18"/>
        <v>47346.567829779517</v>
      </c>
      <c r="BU66" s="123">
        <f t="shared" ca="1" si="53"/>
        <v>0</v>
      </c>
      <c r="BV66" s="123">
        <f t="shared" ca="1" si="54"/>
        <v>47346.567829779517</v>
      </c>
      <c r="BW66" s="123">
        <f t="shared" ca="1" si="55"/>
        <v>0</v>
      </c>
      <c r="BX66" s="121"/>
      <c r="BY66" s="123">
        <f t="shared" si="56"/>
        <v>0</v>
      </c>
      <c r="BZ66" s="123">
        <f t="shared" ca="1" si="57"/>
        <v>0</v>
      </c>
      <c r="CA66" s="121"/>
      <c r="CB66" s="122">
        <f t="shared" ca="1" si="5"/>
        <v>55774445.227225475</v>
      </c>
      <c r="CC66" s="122">
        <f t="shared" ca="1" si="58"/>
        <v>373021.87559162156</v>
      </c>
      <c r="CD66" s="124">
        <f t="shared" ca="1" si="59"/>
        <v>623676.2950244674</v>
      </c>
      <c r="CE66" s="121"/>
      <c r="CF66" s="122">
        <f t="shared" ca="1" si="6"/>
        <v>10235971.754361782</v>
      </c>
      <c r="CG66" s="124">
        <f t="shared" ca="1" si="60"/>
        <v>0</v>
      </c>
      <c r="CH66" s="123">
        <f t="shared" ca="1" si="61"/>
        <v>0</v>
      </c>
      <c r="CI66" s="121"/>
      <c r="CJ66" s="123">
        <f t="shared" ca="1" si="62"/>
        <v>1304579.2596352992</v>
      </c>
      <c r="CK66" s="123">
        <f t="shared" ca="1" si="63"/>
        <v>1304579.2596352992</v>
      </c>
      <c r="CL66" s="123">
        <f t="shared" ca="1" si="64"/>
        <v>0</v>
      </c>
      <c r="CM66" s="121"/>
      <c r="CN66" s="62">
        <f t="shared" ca="1" si="65"/>
        <v>461786.55499985215</v>
      </c>
      <c r="CO66" s="62" t="b">
        <f t="shared" si="66"/>
        <v>1</v>
      </c>
      <c r="CP66" s="126">
        <f t="shared" ca="1" si="67"/>
        <v>1.6666666666666687E-3</v>
      </c>
      <c r="CQ66" s="120"/>
      <c r="CR66" s="120"/>
      <c r="CS66" s="120"/>
      <c r="CT66" s="120"/>
      <c r="CU66" s="120"/>
      <c r="CV66" s="120"/>
      <c r="CW66" s="120"/>
      <c r="CX66" s="120"/>
      <c r="CY66" s="120"/>
      <c r="CZ66" s="120"/>
      <c r="DA66" s="120"/>
      <c r="DB66" s="120"/>
      <c r="DC66" s="120"/>
      <c r="DD66" s="120"/>
      <c r="DE66" s="116"/>
      <c r="DF66" s="116"/>
      <c r="DG66" s="116"/>
      <c r="DH66" s="116"/>
      <c r="DI66" s="116"/>
      <c r="DJ66" s="116"/>
      <c r="DK66" s="116"/>
      <c r="DL66" s="116"/>
      <c r="DM66" s="116"/>
      <c r="DN66" s="116"/>
    </row>
    <row r="67" spans="1:118" x14ac:dyDescent="0.2">
      <c r="A67" s="27">
        <v>61</v>
      </c>
      <c r="B67" s="29">
        <f t="shared" si="0"/>
        <v>40969</v>
      </c>
      <c r="C67" s="30">
        <f t="shared" si="1"/>
        <v>8.3333333333333329E-2</v>
      </c>
      <c r="D67" s="55"/>
      <c r="E67" s="62">
        <f t="shared" ca="1" si="19"/>
        <v>95880136.260325283</v>
      </c>
      <c r="F67" s="63">
        <f ca="1">IF(AssetIntType1="Fixed",AssetFxdRate1,IF(A67=1,OFFSET(Vectors!$D$6,A67,MATCH(AssetFltIndx1,lstInterestRates,0)),IF(MOD($A67,AssetRateReset1)=0,MAX(MIN(OFFSET(Vectors!$D$6,A67,MATCH(AssetFltIndx1,lstInterestRates,0)),(F66-AssetMarg1)+AssetPdCapFl1,AssetLifeCap1-AssetMarg1),(F66-AssetMarg1)-AssetPdCapFl1,AssetLifeFloor1-AssetMarg1),F66)))+AssetMarg1</f>
        <v>0.09</v>
      </c>
      <c r="G67" s="62">
        <f t="shared" ca="1" si="7"/>
        <v>804622.61694478267</v>
      </c>
      <c r="H67" s="62">
        <f t="shared" ca="1" si="20"/>
        <v>719101.02195243957</v>
      </c>
      <c r="I67" s="62">
        <f t="shared" ca="1" si="21"/>
        <v>85521.594992343104</v>
      </c>
      <c r="J67" s="62">
        <f t="shared" ca="1" si="2"/>
        <v>95794614.665332943</v>
      </c>
      <c r="K67" s="55"/>
      <c r="L67" s="62">
        <f t="shared" ca="1" si="22"/>
        <v>75747894.960269868</v>
      </c>
      <c r="M67" s="68">
        <f ca="1">IF(pdrLossTime1="",OFFSET(Vectors!$AE$6,A67+_Age1,MATCH(SDA_Loss,lstSDA,0)),OFFSET(Vectors!$X$6,A67+_Age1,MATCH(pdrLossTime1,lstDefaultCurve,0)))</f>
        <v>2.7777777777777779E-5</v>
      </c>
      <c r="N67" s="62">
        <f t="shared" ca="1" si="8"/>
        <v>2777.7777777777778</v>
      </c>
      <c r="O67" s="67">
        <f t="shared" ca="1" si="23"/>
        <v>0.95794614665332944</v>
      </c>
      <c r="P67" s="68">
        <f ca="1">OFFSET(Vectors!$L$6,A67+_Age1,MATCH(pdrPrepay1,lstPrepayCurve,0))*pdrPrepayStress1</f>
        <v>5.1430128318229462E-3</v>
      </c>
      <c r="Q67" s="62">
        <f t="shared" ca="1" si="24"/>
        <v>389224.91135349771</v>
      </c>
      <c r="R67" s="62">
        <f t="shared" ca="1" si="25"/>
        <v>67561.89015773659</v>
      </c>
      <c r="S67" s="69">
        <f t="shared" ca="1" si="26"/>
        <v>0.09</v>
      </c>
      <c r="T67" s="62">
        <f t="shared" ca="1" si="27"/>
        <v>568088.37886869069</v>
      </c>
      <c r="U67" s="62">
        <f t="shared" ca="1" si="9"/>
        <v>1111.1111111111111</v>
      </c>
      <c r="V67" s="62">
        <f t="shared" ca="1" si="3"/>
        <v>75288330.380980864</v>
      </c>
      <c r="W67" s="55"/>
      <c r="X67" s="62">
        <f t="shared" ca="1" si="28"/>
        <v>1025986.2914910362</v>
      </c>
      <c r="Y67" s="55"/>
      <c r="Z67" s="118" t="b">
        <v>0</v>
      </c>
      <c r="AA67" s="120" t="b">
        <f t="shared" si="10"/>
        <v>0</v>
      </c>
      <c r="AB67" s="120" t="b">
        <f t="shared" si="11"/>
        <v>1</v>
      </c>
      <c r="AC67" s="120" t="b">
        <f t="shared" ca="1" si="12"/>
        <v>0</v>
      </c>
      <c r="AD67" s="121"/>
      <c r="AE67" s="129">
        <v>46632892.573214836</v>
      </c>
      <c r="AF67" s="69">
        <f ca="1">IF(Swap_Active="No",0,OFFSET(Vectors!$D$6,Vectors!A67,MATCH(Swap_In,lstInterestRates,0)))</f>
        <v>6.9369000000000056E-2</v>
      </c>
      <c r="AG67" s="62">
        <f t="shared" ca="1" si="29"/>
        <v>269573.09374261188</v>
      </c>
      <c r="AH67" s="69">
        <f ca="1">IF(Swap_Active="No",0,OFFSET(Vectors!$D$6,Vectors!A67,MATCH(Swap_Out,lstInterestRates,0)))</f>
        <v>0.04</v>
      </c>
      <c r="AI67" s="62">
        <f t="shared" ca="1" si="30"/>
        <v>155442.97524404945</v>
      </c>
      <c r="AJ67" s="62">
        <f t="shared" ca="1" si="31"/>
        <v>114130.11849856243</v>
      </c>
      <c r="AK67" s="62">
        <f t="shared" ca="1" si="32"/>
        <v>1140116.4099895987</v>
      </c>
      <c r="AL67" s="121"/>
      <c r="AM67" s="123">
        <f t="shared" ca="1" si="13"/>
        <v>149485.8437784604</v>
      </c>
      <c r="AN67" s="124">
        <f t="shared" ca="1" si="33"/>
        <v>149485.8437784604</v>
      </c>
      <c r="AO67" s="125">
        <f t="shared" ca="1" si="34"/>
        <v>0</v>
      </c>
      <c r="AP67" s="123">
        <f t="shared" ca="1" si="35"/>
        <v>990630.56621113827</v>
      </c>
      <c r="AQ67" s="121"/>
      <c r="AR67" s="126">
        <f ca="1">IF(LiabIntType1="Fixed",LiabFxdRate1,OFFSET(Vectors!$D$6,Vectors!A67,MATCH(LiabLoanIndex1,lstInterestRates,0))+LiabMarg1)</f>
        <v>7.9369000000000051E-2</v>
      </c>
      <c r="AS67" s="122">
        <f t="shared" ca="1" si="36"/>
        <v>368896.8286033051</v>
      </c>
      <c r="AT67" s="124">
        <f t="shared" ca="1" si="37"/>
        <v>368896.8286033051</v>
      </c>
      <c r="AU67" s="123">
        <f t="shared" ca="1" si="38"/>
        <v>0</v>
      </c>
      <c r="AV67" s="123">
        <f t="shared" ca="1" si="14"/>
        <v>0</v>
      </c>
      <c r="AW67" s="123">
        <f t="shared" ca="1" si="39"/>
        <v>0</v>
      </c>
      <c r="AX67" s="124">
        <f t="shared" ca="1" si="40"/>
        <v>621733.73760783323</v>
      </c>
      <c r="AY67" s="121"/>
      <c r="AZ67" s="122">
        <f t="shared" ca="1" si="15"/>
        <v>621733.73760783323</v>
      </c>
      <c r="BA67" s="124">
        <f t="shared" ca="1" si="41"/>
        <v>621733.73760783323</v>
      </c>
      <c r="BB67" s="123">
        <f t="shared" ca="1" si="42"/>
        <v>0</v>
      </c>
      <c r="BC67" s="123">
        <f t="shared" ca="1" si="16"/>
        <v>0</v>
      </c>
      <c r="BD67" s="123">
        <f t="shared" ca="1" si="43"/>
        <v>0</v>
      </c>
      <c r="BE67" s="124">
        <f t="shared" ca="1" si="44"/>
        <v>0</v>
      </c>
      <c r="BF67" s="121"/>
      <c r="BG67" s="123">
        <f t="shared" si="17"/>
        <v>1000000</v>
      </c>
      <c r="BH67" s="123">
        <f t="shared" ca="1" si="45"/>
        <v>1000000</v>
      </c>
      <c r="BI67" s="123">
        <f t="shared" ca="1" si="46"/>
        <v>0</v>
      </c>
      <c r="BJ67" s="123">
        <f t="shared" ca="1" si="47"/>
        <v>0</v>
      </c>
      <c r="BK67" s="123">
        <f t="shared" ca="1" si="4"/>
        <v>1000000</v>
      </c>
      <c r="BL67" s="123">
        <f t="shared" ca="1" si="48"/>
        <v>0</v>
      </c>
      <c r="BM67" s="121"/>
      <c r="BN67" s="126">
        <f ca="1">IF(LiabIntType2="Fixed",LiabFxdRate2,OFFSET(Vectors!$D$6,Vectors!A67,MATCH(LiabLoanIndex2,lstInterestRates,0))+LiabMarg2)</f>
        <v>0.04</v>
      </c>
      <c r="BO67" s="122">
        <f t="shared" ca="1" si="49"/>
        <v>34119.905847872607</v>
      </c>
      <c r="BP67" s="124">
        <f t="shared" ca="1" si="50"/>
        <v>0</v>
      </c>
      <c r="BQ67" s="123">
        <f t="shared" ca="1" si="51"/>
        <v>34119.905847872607</v>
      </c>
      <c r="BR67" s="123">
        <f t="shared" ca="1" si="52"/>
        <v>0</v>
      </c>
      <c r="BS67" s="121"/>
      <c r="BT67" s="123">
        <f t="shared" ca="1" si="18"/>
        <v>47118.750621655199</v>
      </c>
      <c r="BU67" s="123">
        <f t="shared" ca="1" si="53"/>
        <v>0</v>
      </c>
      <c r="BV67" s="123">
        <f t="shared" ca="1" si="54"/>
        <v>47118.750621655199</v>
      </c>
      <c r="BW67" s="123">
        <f t="shared" ca="1" si="55"/>
        <v>0</v>
      </c>
      <c r="BX67" s="121"/>
      <c r="BY67" s="123">
        <f t="shared" si="56"/>
        <v>0</v>
      </c>
      <c r="BZ67" s="123">
        <f t="shared" ca="1" si="57"/>
        <v>0</v>
      </c>
      <c r="CA67" s="121"/>
      <c r="CB67" s="122">
        <f t="shared" ca="1" si="5"/>
        <v>55152711.489617638</v>
      </c>
      <c r="CC67" s="122">
        <f t="shared" ca="1" si="58"/>
        <v>368896.8286033051</v>
      </c>
      <c r="CD67" s="124">
        <f t="shared" ca="1" si="59"/>
        <v>621733.73760783323</v>
      </c>
      <c r="CE67" s="121"/>
      <c r="CF67" s="122">
        <f t="shared" ca="1" si="6"/>
        <v>10235971.754361782</v>
      </c>
      <c r="CG67" s="124">
        <f t="shared" ca="1" si="60"/>
        <v>0</v>
      </c>
      <c r="CH67" s="123">
        <f t="shared" ca="1" si="61"/>
        <v>0</v>
      </c>
      <c r="CI67" s="121"/>
      <c r="CJ67" s="123">
        <f t="shared" ca="1" si="62"/>
        <v>1295559.3852336481</v>
      </c>
      <c r="CK67" s="123">
        <f t="shared" ca="1" si="63"/>
        <v>1295559.3852336481</v>
      </c>
      <c r="CL67" s="123">
        <f t="shared" ca="1" si="64"/>
        <v>0</v>
      </c>
      <c r="CM67" s="121"/>
      <c r="CN67" s="62">
        <f t="shared" ca="1" si="65"/>
        <v>459564.57928901206</v>
      </c>
      <c r="CO67" s="62" t="b">
        <f t="shared" si="66"/>
        <v>1</v>
      </c>
      <c r="CP67" s="126">
        <f t="shared" ca="1" si="67"/>
        <v>1.6944444444444466E-3</v>
      </c>
      <c r="CQ67" s="120"/>
      <c r="CR67" s="120"/>
      <c r="CS67" s="120"/>
      <c r="CT67" s="120"/>
      <c r="CU67" s="120"/>
      <c r="CV67" s="120"/>
      <c r="CW67" s="120"/>
      <c r="CX67" s="120"/>
      <c r="CY67" s="120"/>
      <c r="CZ67" s="120"/>
      <c r="DA67" s="120"/>
      <c r="DB67" s="120"/>
      <c r="DC67" s="120"/>
      <c r="DD67" s="120"/>
      <c r="DE67" s="116"/>
      <c r="DF67" s="116"/>
      <c r="DG67" s="116"/>
      <c r="DH67" s="116"/>
      <c r="DI67" s="116"/>
      <c r="DJ67" s="116"/>
      <c r="DK67" s="116"/>
      <c r="DL67" s="116"/>
      <c r="DM67" s="116"/>
      <c r="DN67" s="116"/>
    </row>
    <row r="68" spans="1:118" x14ac:dyDescent="0.2">
      <c r="A68" s="27">
        <v>62</v>
      </c>
      <c r="B68" s="29">
        <f t="shared" si="0"/>
        <v>41000</v>
      </c>
      <c r="C68" s="30">
        <f t="shared" si="1"/>
        <v>8.3333333333333329E-2</v>
      </c>
      <c r="D68" s="55"/>
      <c r="E68" s="62">
        <f t="shared" ca="1" si="19"/>
        <v>95794614.665332943</v>
      </c>
      <c r="F68" s="63">
        <f ca="1">IF(AssetIntType1="Fixed",AssetFxdRate1,IF(A68=1,OFFSET(Vectors!$D$6,A68,MATCH(AssetFltIndx1,lstInterestRates,0)),IF(MOD($A68,AssetRateReset1)=0,MAX(MIN(OFFSET(Vectors!$D$6,A68,MATCH(AssetFltIndx1,lstInterestRates,0)),(F67-AssetMarg1)+AssetPdCapFl1,AssetLifeCap1-AssetMarg1),(F67-AssetMarg1)-AssetPdCapFl1,AssetLifeFloor1-AssetMarg1),F67)))+AssetMarg1</f>
        <v>0.09</v>
      </c>
      <c r="G68" s="62">
        <f t="shared" ca="1" si="7"/>
        <v>804622.61694478267</v>
      </c>
      <c r="H68" s="62">
        <f t="shared" ca="1" si="20"/>
        <v>718459.609989997</v>
      </c>
      <c r="I68" s="62">
        <f t="shared" ca="1" si="21"/>
        <v>86163.006954785669</v>
      </c>
      <c r="J68" s="62">
        <f t="shared" ca="1" si="2"/>
        <v>95708451.658378154</v>
      </c>
      <c r="K68" s="55"/>
      <c r="L68" s="62">
        <f t="shared" ca="1" si="22"/>
        <v>75288330.380980864</v>
      </c>
      <c r="M68" s="68">
        <f ca="1">IF(pdrLossTime1="",OFFSET(Vectors!$AE$6,A68+_Age1,MATCH(SDA_Loss,lstSDA,0)),OFFSET(Vectors!$X$6,A68+_Age1,MATCH(pdrLossTime1,lstDefaultCurve,0)))</f>
        <v>2.7777777777777779E-5</v>
      </c>
      <c r="N68" s="62">
        <f t="shared" ca="1" si="8"/>
        <v>2777.7777777777778</v>
      </c>
      <c r="O68" s="67">
        <f t="shared" ca="1" si="23"/>
        <v>0.95708451658378157</v>
      </c>
      <c r="P68" s="68">
        <f ca="1">OFFSET(Vectors!$L$6,A68+_Age1,MATCH(pdrPrepay1,lstPrepayCurve,0))*pdrPrepayStress1</f>
        <v>5.1430128318229462E-3</v>
      </c>
      <c r="Q68" s="62">
        <f t="shared" ca="1" si="24"/>
        <v>386860.57205053559</v>
      </c>
      <c r="R68" s="62">
        <f t="shared" ca="1" si="25"/>
        <v>67716.015302186075</v>
      </c>
      <c r="S68" s="69">
        <f t="shared" ca="1" si="26"/>
        <v>0.09</v>
      </c>
      <c r="T68" s="62">
        <f t="shared" ca="1" si="27"/>
        <v>564641.64452402317</v>
      </c>
      <c r="U68" s="62">
        <f t="shared" ca="1" si="9"/>
        <v>1111.1111111111111</v>
      </c>
      <c r="V68" s="62">
        <f t="shared" ca="1" si="3"/>
        <v>74830976.015850365</v>
      </c>
      <c r="W68" s="55"/>
      <c r="X68" s="62">
        <f t="shared" ca="1" si="28"/>
        <v>1020329.342987856</v>
      </c>
      <c r="Y68" s="55"/>
      <c r="Z68" s="118" t="b">
        <v>0</v>
      </c>
      <c r="AA68" s="120" t="b">
        <f t="shared" si="10"/>
        <v>0</v>
      </c>
      <c r="AB68" s="120" t="b">
        <f t="shared" si="11"/>
        <v>1</v>
      </c>
      <c r="AC68" s="120" t="b">
        <f t="shared" ca="1" si="12"/>
        <v>0</v>
      </c>
      <c r="AD68" s="121"/>
      <c r="AE68" s="129">
        <v>46061952.267252915</v>
      </c>
      <c r="AF68" s="69">
        <f ca="1">IF(Swap_Active="No",0,OFFSET(Vectors!$D$6,Vectors!A68,MATCH(Swap_In,lstInterestRates,0)))</f>
        <v>6.9369000000000056E-2</v>
      </c>
      <c r="AG68" s="62">
        <f t="shared" ca="1" si="29"/>
        <v>266272.6305689225</v>
      </c>
      <c r="AH68" s="69">
        <f ca="1">IF(Swap_Active="No",0,OFFSET(Vectors!$D$6,Vectors!A68,MATCH(Swap_Out,lstInterestRates,0)))</f>
        <v>0.04</v>
      </c>
      <c r="AI68" s="62">
        <f t="shared" ca="1" si="30"/>
        <v>153539.84089084304</v>
      </c>
      <c r="AJ68" s="62">
        <f t="shared" ca="1" si="31"/>
        <v>112732.78967807945</v>
      </c>
      <c r="AK68" s="62">
        <f t="shared" ca="1" si="32"/>
        <v>1133062.1326659354</v>
      </c>
      <c r="AL68" s="121"/>
      <c r="AM68" s="123">
        <f t="shared" ca="1" si="13"/>
        <v>148460.84708897545</v>
      </c>
      <c r="AN68" s="124">
        <f t="shared" ca="1" si="33"/>
        <v>148460.84708897545</v>
      </c>
      <c r="AO68" s="125">
        <f t="shared" ca="1" si="34"/>
        <v>0</v>
      </c>
      <c r="AP68" s="123">
        <f t="shared" ca="1" si="35"/>
        <v>984601.28557695996</v>
      </c>
      <c r="AQ68" s="121"/>
      <c r="AR68" s="126">
        <f ca="1">IF(LiabIntType1="Fixed",LiabFxdRate1,OFFSET(Vectors!$D$6,Vectors!A68,MATCH(LiabLoanIndex1,lstInterestRates,0))+LiabMarg1)</f>
        <v>7.9369000000000051E-2</v>
      </c>
      <c r="AS68" s="122">
        <f t="shared" ca="1" si="36"/>
        <v>364784.6298516221</v>
      </c>
      <c r="AT68" s="124">
        <f t="shared" ca="1" si="37"/>
        <v>364784.6298516221</v>
      </c>
      <c r="AU68" s="123">
        <f t="shared" ca="1" si="38"/>
        <v>0</v>
      </c>
      <c r="AV68" s="123">
        <f t="shared" ca="1" si="14"/>
        <v>0</v>
      </c>
      <c r="AW68" s="123">
        <f t="shared" ca="1" si="39"/>
        <v>0</v>
      </c>
      <c r="AX68" s="124">
        <f t="shared" ca="1" si="40"/>
        <v>619816.6557253378</v>
      </c>
      <c r="AY68" s="121"/>
      <c r="AZ68" s="122">
        <f t="shared" ca="1" si="15"/>
        <v>619816.6557253378</v>
      </c>
      <c r="BA68" s="124">
        <f t="shared" ca="1" si="41"/>
        <v>619816.6557253378</v>
      </c>
      <c r="BB68" s="123">
        <f t="shared" ca="1" si="42"/>
        <v>0</v>
      </c>
      <c r="BC68" s="123">
        <f t="shared" ca="1" si="16"/>
        <v>0</v>
      </c>
      <c r="BD68" s="123">
        <f t="shared" ca="1" si="43"/>
        <v>0</v>
      </c>
      <c r="BE68" s="124">
        <f t="shared" ca="1" si="44"/>
        <v>0</v>
      </c>
      <c r="BF68" s="121"/>
      <c r="BG68" s="123">
        <f t="shared" si="17"/>
        <v>1000000</v>
      </c>
      <c r="BH68" s="123">
        <f t="shared" ca="1" si="45"/>
        <v>1000000</v>
      </c>
      <c r="BI68" s="123">
        <f t="shared" ca="1" si="46"/>
        <v>0</v>
      </c>
      <c r="BJ68" s="123">
        <f t="shared" ca="1" si="47"/>
        <v>0</v>
      </c>
      <c r="BK68" s="123">
        <f t="shared" ca="1" si="4"/>
        <v>1000000</v>
      </c>
      <c r="BL68" s="123">
        <f t="shared" ca="1" si="48"/>
        <v>0</v>
      </c>
      <c r="BM68" s="121"/>
      <c r="BN68" s="126">
        <f ca="1">IF(LiabIntType2="Fixed",LiabFxdRate2,OFFSET(Vectors!$D$6,Vectors!A68,MATCH(LiabLoanIndex2,lstInterestRates,0))+LiabMarg2)</f>
        <v>0.04</v>
      </c>
      <c r="BO68" s="122">
        <f t="shared" ca="1" si="49"/>
        <v>34119.905847872607</v>
      </c>
      <c r="BP68" s="124">
        <f t="shared" ca="1" si="50"/>
        <v>0</v>
      </c>
      <c r="BQ68" s="123">
        <f t="shared" ca="1" si="51"/>
        <v>34119.905847872607</v>
      </c>
      <c r="BR68" s="123">
        <f t="shared" ca="1" si="52"/>
        <v>0</v>
      </c>
      <c r="BS68" s="121"/>
      <c r="BT68" s="123">
        <f t="shared" ca="1" si="18"/>
        <v>46892.139315108194</v>
      </c>
      <c r="BU68" s="123">
        <f t="shared" ca="1" si="53"/>
        <v>0</v>
      </c>
      <c r="BV68" s="123">
        <f t="shared" ca="1" si="54"/>
        <v>46892.139315108194</v>
      </c>
      <c r="BW68" s="123">
        <f t="shared" ca="1" si="55"/>
        <v>0</v>
      </c>
      <c r="BX68" s="121"/>
      <c r="BY68" s="123">
        <f t="shared" si="56"/>
        <v>0</v>
      </c>
      <c r="BZ68" s="123">
        <f t="shared" ca="1" si="57"/>
        <v>0</v>
      </c>
      <c r="CA68" s="121"/>
      <c r="CB68" s="122">
        <f t="shared" ca="1" si="5"/>
        <v>54532894.833892301</v>
      </c>
      <c r="CC68" s="122">
        <f t="shared" ca="1" si="58"/>
        <v>364784.6298516221</v>
      </c>
      <c r="CD68" s="124">
        <f t="shared" ca="1" si="59"/>
        <v>619816.6557253378</v>
      </c>
      <c r="CE68" s="121"/>
      <c r="CF68" s="122">
        <f t="shared" ca="1" si="6"/>
        <v>10235971.754361782</v>
      </c>
      <c r="CG68" s="124">
        <f t="shared" ca="1" si="60"/>
        <v>0</v>
      </c>
      <c r="CH68" s="123">
        <f t="shared" ca="1" si="61"/>
        <v>0</v>
      </c>
      <c r="CI68" s="121"/>
      <c r="CJ68" s="123">
        <f t="shared" ca="1" si="62"/>
        <v>1286601.9735567784</v>
      </c>
      <c r="CK68" s="123">
        <f t="shared" ca="1" si="63"/>
        <v>1286601.9735567784</v>
      </c>
      <c r="CL68" s="123">
        <f t="shared" ca="1" si="64"/>
        <v>0</v>
      </c>
      <c r="CM68" s="121"/>
      <c r="CN68" s="62">
        <f t="shared" ca="1" si="65"/>
        <v>457354.36513049941</v>
      </c>
      <c r="CO68" s="62" t="b">
        <f t="shared" si="66"/>
        <v>1</v>
      </c>
      <c r="CP68" s="126">
        <f t="shared" ca="1" si="67"/>
        <v>1.7222222222222244E-3</v>
      </c>
      <c r="CQ68" s="120"/>
      <c r="CR68" s="120"/>
      <c r="CS68" s="120"/>
      <c r="CT68" s="120"/>
      <c r="CU68" s="120"/>
      <c r="CV68" s="120"/>
      <c r="CW68" s="120"/>
      <c r="CX68" s="120"/>
      <c r="CY68" s="120"/>
      <c r="CZ68" s="120"/>
      <c r="DA68" s="120"/>
      <c r="DB68" s="120"/>
      <c r="DC68" s="120"/>
      <c r="DD68" s="120"/>
      <c r="DE68" s="116"/>
      <c r="DF68" s="116"/>
      <c r="DG68" s="116"/>
      <c r="DH68" s="116"/>
      <c r="DI68" s="116"/>
      <c r="DJ68" s="116"/>
      <c r="DK68" s="116"/>
      <c r="DL68" s="116"/>
      <c r="DM68" s="116"/>
      <c r="DN68" s="116"/>
    </row>
    <row r="69" spans="1:118" x14ac:dyDescent="0.2">
      <c r="A69" s="27">
        <v>63</v>
      </c>
      <c r="B69" s="29">
        <f t="shared" si="0"/>
        <v>41030</v>
      </c>
      <c r="C69" s="30">
        <f t="shared" si="1"/>
        <v>8.3333333333333329E-2</v>
      </c>
      <c r="D69" s="55"/>
      <c r="E69" s="62">
        <f t="shared" ca="1" si="19"/>
        <v>95708451.658378154</v>
      </c>
      <c r="F69" s="63">
        <f ca="1">IF(AssetIntType1="Fixed",AssetFxdRate1,IF(A69=1,OFFSET(Vectors!$D$6,A69,MATCH(AssetFltIndx1,lstInterestRates,0)),IF(MOD($A69,AssetRateReset1)=0,MAX(MIN(OFFSET(Vectors!$D$6,A69,MATCH(AssetFltIndx1,lstInterestRates,0)),(F68-AssetMarg1)+AssetPdCapFl1,AssetLifeCap1-AssetMarg1),(F68-AssetMarg1)-AssetPdCapFl1,AssetLifeFloor1-AssetMarg1),F68)))+AssetMarg1</f>
        <v>0.09</v>
      </c>
      <c r="G69" s="62">
        <f t="shared" ca="1" si="7"/>
        <v>804622.61694478267</v>
      </c>
      <c r="H69" s="62">
        <f t="shared" ca="1" si="20"/>
        <v>717813.38743783615</v>
      </c>
      <c r="I69" s="62">
        <f t="shared" ca="1" si="21"/>
        <v>86809.229506946518</v>
      </c>
      <c r="J69" s="62">
        <f t="shared" ca="1" si="2"/>
        <v>95621642.428871214</v>
      </c>
      <c r="K69" s="55"/>
      <c r="L69" s="62">
        <f t="shared" ca="1" si="22"/>
        <v>74830976.015850365</v>
      </c>
      <c r="M69" s="68">
        <f ca="1">IF(pdrLossTime1="",OFFSET(Vectors!$AE$6,A69+_Age1,MATCH(SDA_Loss,lstSDA,0)),OFFSET(Vectors!$X$6,A69+_Age1,MATCH(pdrLossTime1,lstDefaultCurve,0)))</f>
        <v>2.7777777777777779E-5</v>
      </c>
      <c r="N69" s="62">
        <f t="shared" ca="1" si="8"/>
        <v>2777.7777777777778</v>
      </c>
      <c r="O69" s="67">
        <f t="shared" ca="1" si="23"/>
        <v>0.95621642428871212</v>
      </c>
      <c r="P69" s="68">
        <f ca="1">OFFSET(Vectors!$L$6,A69+_Age1,MATCH(pdrPrepay1,lstPrepayCurve,0))*pdrPrepayStress1</f>
        <v>5.1430128318229462E-3</v>
      </c>
      <c r="Q69" s="62">
        <f t="shared" ca="1" si="24"/>
        <v>384507.59817720595</v>
      </c>
      <c r="R69" s="62">
        <f t="shared" ca="1" si="25"/>
        <v>67870.476659950757</v>
      </c>
      <c r="S69" s="69">
        <f t="shared" ca="1" si="26"/>
        <v>0.09</v>
      </c>
      <c r="T69" s="62">
        <f t="shared" ca="1" si="27"/>
        <v>561211.48678554443</v>
      </c>
      <c r="U69" s="62">
        <f t="shared" ca="1" si="9"/>
        <v>1111.1111111111111</v>
      </c>
      <c r="V69" s="62">
        <f t="shared" ca="1" si="3"/>
        <v>74375820.163235426</v>
      </c>
      <c r="W69" s="55"/>
      <c r="X69" s="62">
        <f t="shared" ca="1" si="28"/>
        <v>1014700.6727338122</v>
      </c>
      <c r="Y69" s="55"/>
      <c r="Z69" s="118" t="b">
        <v>0</v>
      </c>
      <c r="AA69" s="120" t="b">
        <f t="shared" si="10"/>
        <v>0</v>
      </c>
      <c r="AB69" s="120" t="b">
        <f t="shared" si="11"/>
        <v>1</v>
      </c>
      <c r="AC69" s="120" t="b">
        <f t="shared" ca="1" si="12"/>
        <v>0</v>
      </c>
      <c r="AD69" s="121"/>
      <c r="AE69" s="129">
        <v>45496840.653212689</v>
      </c>
      <c r="AF69" s="69">
        <f ca="1">IF(Swap_Active="No",0,OFFSET(Vectors!$D$6,Vectors!A69,MATCH(Swap_In,lstInterestRates,0)))</f>
        <v>6.9369000000000056E-2</v>
      </c>
      <c r="AG69" s="62">
        <f t="shared" ca="1" si="29"/>
        <v>263005.86160605948</v>
      </c>
      <c r="AH69" s="69">
        <f ca="1">IF(Swap_Active="No",0,OFFSET(Vectors!$D$6,Vectors!A69,MATCH(Swap_Out,lstInterestRates,0)))</f>
        <v>0.04</v>
      </c>
      <c r="AI69" s="62">
        <f t="shared" ca="1" si="30"/>
        <v>151656.13551070896</v>
      </c>
      <c r="AJ69" s="62">
        <f t="shared" ca="1" si="31"/>
        <v>111349.72609535052</v>
      </c>
      <c r="AK69" s="62">
        <f t="shared" ca="1" si="32"/>
        <v>1126050.3988291628</v>
      </c>
      <c r="AL69" s="121"/>
      <c r="AM69" s="123">
        <f t="shared" ca="1" si="13"/>
        <v>147440.33287387239</v>
      </c>
      <c r="AN69" s="124">
        <f t="shared" ca="1" si="33"/>
        <v>147440.33287387239</v>
      </c>
      <c r="AO69" s="125">
        <f t="shared" ca="1" si="34"/>
        <v>0</v>
      </c>
      <c r="AP69" s="123">
        <f t="shared" ca="1" si="35"/>
        <v>978610.06595529045</v>
      </c>
      <c r="AQ69" s="121"/>
      <c r="AR69" s="126">
        <f ca="1">IF(LiabIntType1="Fixed",LiabFxdRate1,OFFSET(Vectors!$D$6,Vectors!A69,MATCH(LiabLoanIndex1,lstInterestRates,0))+LiabMarg1)</f>
        <v>7.9369000000000051E-2</v>
      </c>
      <c r="AS69" s="122">
        <f t="shared" ca="1" si="36"/>
        <v>360685.11083926674</v>
      </c>
      <c r="AT69" s="124">
        <f t="shared" ca="1" si="37"/>
        <v>360685.11083926674</v>
      </c>
      <c r="AU69" s="123">
        <f t="shared" ca="1" si="38"/>
        <v>0</v>
      </c>
      <c r="AV69" s="123">
        <f t="shared" ca="1" si="14"/>
        <v>0</v>
      </c>
      <c r="AW69" s="123">
        <f t="shared" ca="1" si="39"/>
        <v>0</v>
      </c>
      <c r="AX69" s="124">
        <f t="shared" ca="1" si="40"/>
        <v>617924.95511602378</v>
      </c>
      <c r="AY69" s="121"/>
      <c r="AZ69" s="122">
        <f t="shared" ca="1" si="15"/>
        <v>617924.95511602378</v>
      </c>
      <c r="BA69" s="124">
        <f t="shared" ca="1" si="41"/>
        <v>617924.95511602378</v>
      </c>
      <c r="BB69" s="123">
        <f t="shared" ca="1" si="42"/>
        <v>0</v>
      </c>
      <c r="BC69" s="123">
        <f t="shared" ca="1" si="16"/>
        <v>0</v>
      </c>
      <c r="BD69" s="123">
        <f t="shared" ca="1" si="43"/>
        <v>0</v>
      </c>
      <c r="BE69" s="124">
        <f t="shared" ca="1" si="44"/>
        <v>0</v>
      </c>
      <c r="BF69" s="121"/>
      <c r="BG69" s="123">
        <f t="shared" si="17"/>
        <v>1000000</v>
      </c>
      <c r="BH69" s="123">
        <f t="shared" ca="1" si="45"/>
        <v>1000000</v>
      </c>
      <c r="BI69" s="123">
        <f t="shared" ca="1" si="46"/>
        <v>0</v>
      </c>
      <c r="BJ69" s="123">
        <f t="shared" ca="1" si="47"/>
        <v>0</v>
      </c>
      <c r="BK69" s="123">
        <f t="shared" ca="1" si="4"/>
        <v>1000000</v>
      </c>
      <c r="BL69" s="123">
        <f t="shared" ca="1" si="48"/>
        <v>0</v>
      </c>
      <c r="BM69" s="121"/>
      <c r="BN69" s="126">
        <f ca="1">IF(LiabIntType2="Fixed",LiabFxdRate2,OFFSET(Vectors!$D$6,Vectors!A69,MATCH(LiabLoanIndex2,lstInterestRates,0))+LiabMarg2)</f>
        <v>0.04</v>
      </c>
      <c r="BO69" s="122">
        <f t="shared" ca="1" si="49"/>
        <v>34119.905847872607</v>
      </c>
      <c r="BP69" s="124">
        <f t="shared" ca="1" si="50"/>
        <v>0</v>
      </c>
      <c r="BQ69" s="123">
        <f t="shared" ca="1" si="51"/>
        <v>34119.905847872607</v>
      </c>
      <c r="BR69" s="123">
        <f t="shared" ca="1" si="52"/>
        <v>0</v>
      </c>
      <c r="BS69" s="121"/>
      <c r="BT69" s="123">
        <f t="shared" ca="1" si="18"/>
        <v>46666.727767682671</v>
      </c>
      <c r="BU69" s="123">
        <f t="shared" ca="1" si="53"/>
        <v>0</v>
      </c>
      <c r="BV69" s="123">
        <f t="shared" ca="1" si="54"/>
        <v>46666.727767682671</v>
      </c>
      <c r="BW69" s="123">
        <f t="shared" ca="1" si="55"/>
        <v>0</v>
      </c>
      <c r="BX69" s="121"/>
      <c r="BY69" s="123">
        <f t="shared" si="56"/>
        <v>0</v>
      </c>
      <c r="BZ69" s="123">
        <f t="shared" ca="1" si="57"/>
        <v>0</v>
      </c>
      <c r="CA69" s="121"/>
      <c r="CB69" s="122">
        <f t="shared" ca="1" si="5"/>
        <v>53914969.878776275</v>
      </c>
      <c r="CC69" s="122">
        <f t="shared" ca="1" si="58"/>
        <v>360685.11083926674</v>
      </c>
      <c r="CD69" s="124">
        <f t="shared" ca="1" si="59"/>
        <v>617924.95511602378</v>
      </c>
      <c r="CE69" s="121"/>
      <c r="CF69" s="122">
        <f t="shared" ca="1" si="6"/>
        <v>10235971.754361782</v>
      </c>
      <c r="CG69" s="124">
        <f t="shared" ca="1" si="60"/>
        <v>0</v>
      </c>
      <c r="CH69" s="123">
        <f t="shared" ca="1" si="61"/>
        <v>0</v>
      </c>
      <c r="CI69" s="121"/>
      <c r="CJ69" s="123">
        <f t="shared" ca="1" si="62"/>
        <v>1277706.5343398717</v>
      </c>
      <c r="CK69" s="123">
        <f t="shared" ca="1" si="63"/>
        <v>1277706.534339872</v>
      </c>
      <c r="CL69" s="123">
        <f t="shared" ca="1" si="64"/>
        <v>0</v>
      </c>
      <c r="CM69" s="121"/>
      <c r="CN69" s="62">
        <f t="shared" ca="1" si="65"/>
        <v>455155.85261493444</v>
      </c>
      <c r="CO69" s="62" t="b">
        <f t="shared" si="66"/>
        <v>1</v>
      </c>
      <c r="CP69" s="126">
        <f t="shared" ca="1" si="67"/>
        <v>1.7500000000000022E-3</v>
      </c>
      <c r="CQ69" s="120"/>
      <c r="CR69" s="120"/>
      <c r="CS69" s="120"/>
      <c r="CT69" s="120"/>
      <c r="CU69" s="120"/>
      <c r="CV69" s="120"/>
      <c r="CW69" s="120"/>
      <c r="CX69" s="120"/>
      <c r="CY69" s="120"/>
      <c r="CZ69" s="120"/>
      <c r="DA69" s="120"/>
      <c r="DB69" s="120"/>
      <c r="DC69" s="120"/>
      <c r="DD69" s="120"/>
      <c r="DE69" s="116"/>
      <c r="DF69" s="116"/>
      <c r="DG69" s="116"/>
      <c r="DH69" s="116"/>
      <c r="DI69" s="116"/>
      <c r="DJ69" s="116"/>
      <c r="DK69" s="116"/>
      <c r="DL69" s="116"/>
      <c r="DM69" s="116"/>
      <c r="DN69" s="116"/>
    </row>
    <row r="70" spans="1:118" x14ac:dyDescent="0.2">
      <c r="A70" s="27">
        <v>64</v>
      </c>
      <c r="B70" s="29">
        <f t="shared" ref="B70:B133" si="68">IF(A70=0,ClosingDate,IF(A70=1,FirstPayDate,EDATE(B69,PmtFreqAdd)))</f>
        <v>41061</v>
      </c>
      <c r="C70" s="30">
        <f t="shared" ref="C70:C133" si="69">IF(A70=0,0,IF(DayCountSys="30 / 360",DAYS360(B69,B70)/360,IF(DayCountSys="Actual / 360",(B70-B69)/360,(B70-B69)/365)))</f>
        <v>8.3333333333333329E-2</v>
      </c>
      <c r="D70" s="55"/>
      <c r="E70" s="62">
        <f t="shared" ca="1" si="19"/>
        <v>95621642.428871214</v>
      </c>
      <c r="F70" s="63">
        <f ca="1">IF(AssetIntType1="Fixed",AssetFxdRate1,IF(A70=1,OFFSET(Vectors!$D$6,A70,MATCH(AssetFltIndx1,lstInterestRates,0)),IF(MOD($A70,AssetRateReset1)=0,MAX(MIN(OFFSET(Vectors!$D$6,A70,MATCH(AssetFltIndx1,lstInterestRates,0)),(F69-AssetMarg1)+AssetPdCapFl1,AssetLifeCap1-AssetMarg1),(F69-AssetMarg1)-AssetPdCapFl1,AssetLifeFloor1-AssetMarg1),F69)))+AssetMarg1</f>
        <v>0.09</v>
      </c>
      <c r="G70" s="62">
        <f t="shared" ca="1" si="7"/>
        <v>804622.61694478267</v>
      </c>
      <c r="H70" s="62">
        <f t="shared" ca="1" si="20"/>
        <v>717162.3182165341</v>
      </c>
      <c r="I70" s="62">
        <f t="shared" ca="1" si="21"/>
        <v>87460.29872824857</v>
      </c>
      <c r="J70" s="62">
        <f t="shared" ref="J70:J133" ca="1" si="70">IF(A70=0,AssetCurBal1,E70-I70)</f>
        <v>95534182.130142972</v>
      </c>
      <c r="K70" s="55"/>
      <c r="L70" s="62">
        <f t="shared" ca="1" si="22"/>
        <v>74375820.163235426</v>
      </c>
      <c r="M70" s="68">
        <f ca="1">IF(pdrLossTime1="",OFFSET(Vectors!$AE$6,A70+_Age1,MATCH(SDA_Loss,lstSDA,0)),OFFSET(Vectors!$X$6,A70+_Age1,MATCH(pdrLossTime1,lstDefaultCurve,0)))</f>
        <v>2.7777777777777779E-5</v>
      </c>
      <c r="N70" s="62">
        <f t="shared" ca="1" si="8"/>
        <v>2777.7777777777778</v>
      </c>
      <c r="O70" s="67">
        <f t="shared" ca="1" si="23"/>
        <v>0.95534182130142975</v>
      </c>
      <c r="P70" s="68">
        <f ca="1">OFFSET(Vectors!$L$6,A70+_Age1,MATCH(pdrPrepay1,lstPrepayCurve,0))*pdrPrepayStress1</f>
        <v>5.1430128318229462E-3</v>
      </c>
      <c r="Q70" s="62">
        <f t="shared" ca="1" si="24"/>
        <v>382165.92954880185</v>
      </c>
      <c r="R70" s="62">
        <f t="shared" ca="1" si="25"/>
        <v>68025.274813683762</v>
      </c>
      <c r="S70" s="69">
        <f t="shared" ca="1" si="26"/>
        <v>0.09</v>
      </c>
      <c r="T70" s="62">
        <f t="shared" ca="1" si="27"/>
        <v>557797.81789093232</v>
      </c>
      <c r="U70" s="62">
        <f t="shared" ca="1" si="9"/>
        <v>1111.1111111111111</v>
      </c>
      <c r="V70" s="62">
        <f t="shared" ref="V70:V133" ca="1" si="71">IF(A70=0,AssetCurBal1,L70-N70-Q70-R70)</f>
        <v>73922851.181095168</v>
      </c>
      <c r="W70" s="55"/>
      <c r="X70" s="62">
        <f t="shared" ca="1" si="28"/>
        <v>1009100.133364529</v>
      </c>
      <c r="Y70" s="55"/>
      <c r="Z70" s="118" t="b">
        <v>0</v>
      </c>
      <c r="AA70" s="120" t="b">
        <f t="shared" si="10"/>
        <v>0</v>
      </c>
      <c r="AB70" s="120" t="b">
        <f t="shared" si="11"/>
        <v>1</v>
      </c>
      <c r="AC70" s="120" t="b">
        <f t="shared" ca="1" si="12"/>
        <v>0</v>
      </c>
      <c r="AD70" s="121"/>
      <c r="AE70" s="129">
        <v>44937499.137006134</v>
      </c>
      <c r="AF70" s="69">
        <f ca="1">IF(Swap_Active="No",0,OFFSET(Vectors!$D$6,Vectors!A70,MATCH(Swap_In,lstInterestRates,0)))</f>
        <v>6.9369000000000056E-2</v>
      </c>
      <c r="AG70" s="62">
        <f t="shared" ca="1" si="29"/>
        <v>259772.44813624842</v>
      </c>
      <c r="AH70" s="69">
        <f ca="1">IF(Swap_Active="No",0,OFFSET(Vectors!$D$6,Vectors!A70,MATCH(Swap_Out,lstInterestRates,0)))</f>
        <v>0.04</v>
      </c>
      <c r="AI70" s="62">
        <f t="shared" ca="1" si="30"/>
        <v>149791.66379002045</v>
      </c>
      <c r="AJ70" s="62">
        <f t="shared" ca="1" si="31"/>
        <v>109980.78434622797</v>
      </c>
      <c r="AK70" s="62">
        <f t="shared" ca="1" si="32"/>
        <v>1119080.9177107569</v>
      </c>
      <c r="AL70" s="121"/>
      <c r="AM70" s="123">
        <f t="shared" ca="1" si="13"/>
        <v>146424.2710548825</v>
      </c>
      <c r="AN70" s="124">
        <f t="shared" ca="1" si="33"/>
        <v>146424.2710548825</v>
      </c>
      <c r="AO70" s="125">
        <f t="shared" ca="1" si="34"/>
        <v>0</v>
      </c>
      <c r="AP70" s="123">
        <f t="shared" ca="1" si="35"/>
        <v>972656.64665587433</v>
      </c>
      <c r="AQ70" s="121"/>
      <c r="AR70" s="126">
        <f ca="1">IF(LiabIntType1="Fixed",LiabFxdRate1,OFFSET(Vectors!$D$6,Vectors!A70,MATCH(LiabLoanIndex1,lstInterestRates,0))+LiabMarg1)</f>
        <v>7.9369000000000051E-2</v>
      </c>
      <c r="AS70" s="122">
        <f t="shared" ca="1" si="36"/>
        <v>356598.10369238304</v>
      </c>
      <c r="AT70" s="124">
        <f t="shared" ca="1" si="37"/>
        <v>356598.10369238304</v>
      </c>
      <c r="AU70" s="123">
        <f t="shared" ca="1" si="38"/>
        <v>0</v>
      </c>
      <c r="AV70" s="123">
        <f t="shared" ca="1" si="14"/>
        <v>0</v>
      </c>
      <c r="AW70" s="123">
        <f t="shared" ca="1" si="39"/>
        <v>0</v>
      </c>
      <c r="AX70" s="124">
        <f t="shared" ca="1" si="40"/>
        <v>616058.54296349129</v>
      </c>
      <c r="AY70" s="121"/>
      <c r="AZ70" s="122">
        <f t="shared" ca="1" si="15"/>
        <v>616058.54296349129</v>
      </c>
      <c r="BA70" s="124">
        <f t="shared" ca="1" si="41"/>
        <v>616058.54296349129</v>
      </c>
      <c r="BB70" s="123">
        <f t="shared" ca="1" si="42"/>
        <v>0</v>
      </c>
      <c r="BC70" s="123">
        <f t="shared" ca="1" si="16"/>
        <v>0</v>
      </c>
      <c r="BD70" s="123">
        <f t="shared" ca="1" si="43"/>
        <v>0</v>
      </c>
      <c r="BE70" s="124">
        <f t="shared" ca="1" si="44"/>
        <v>0</v>
      </c>
      <c r="BF70" s="121"/>
      <c r="BG70" s="123">
        <f t="shared" si="17"/>
        <v>1000000</v>
      </c>
      <c r="BH70" s="123">
        <f t="shared" ca="1" si="45"/>
        <v>1000000</v>
      </c>
      <c r="BI70" s="123">
        <f t="shared" ca="1" si="46"/>
        <v>0</v>
      </c>
      <c r="BJ70" s="123">
        <f t="shared" ca="1" si="47"/>
        <v>0</v>
      </c>
      <c r="BK70" s="123">
        <f t="shared" ref="BK70:BK133" ca="1" si="72">IF(A70=0,AssetCurBal1*RsrvPercent,BH70-BI70+BJ70)</f>
        <v>1000000</v>
      </c>
      <c r="BL70" s="123">
        <f t="shared" ca="1" si="48"/>
        <v>0</v>
      </c>
      <c r="BM70" s="121"/>
      <c r="BN70" s="126">
        <f ca="1">IF(LiabIntType2="Fixed",LiabFxdRate2,OFFSET(Vectors!$D$6,Vectors!A70,MATCH(LiabLoanIndex2,lstInterestRates,0))+LiabMarg2)</f>
        <v>0.04</v>
      </c>
      <c r="BO70" s="122">
        <f t="shared" ca="1" si="49"/>
        <v>34119.905847872607</v>
      </c>
      <c r="BP70" s="124">
        <f t="shared" ca="1" si="50"/>
        <v>0</v>
      </c>
      <c r="BQ70" s="123">
        <f t="shared" ca="1" si="51"/>
        <v>34119.905847872607</v>
      </c>
      <c r="BR70" s="123">
        <f t="shared" ca="1" si="52"/>
        <v>0</v>
      </c>
      <c r="BS70" s="121"/>
      <c r="BT70" s="123">
        <f t="shared" ca="1" si="18"/>
        <v>46442.50986843268</v>
      </c>
      <c r="BU70" s="123">
        <f t="shared" ca="1" si="53"/>
        <v>0</v>
      </c>
      <c r="BV70" s="123">
        <f t="shared" ca="1" si="54"/>
        <v>46442.50986843268</v>
      </c>
      <c r="BW70" s="123">
        <f t="shared" ca="1" si="55"/>
        <v>0</v>
      </c>
      <c r="BX70" s="121"/>
      <c r="BY70" s="123">
        <f t="shared" si="56"/>
        <v>0</v>
      </c>
      <c r="BZ70" s="123">
        <f t="shared" ca="1" si="57"/>
        <v>0</v>
      </c>
      <c r="CA70" s="121"/>
      <c r="CB70" s="122">
        <f t="shared" ref="CB70:CB133" ca="1" si="73">IF(A70=0,V70*LiabAdvRate1,CB69-CD70)</f>
        <v>53298911.335812785</v>
      </c>
      <c r="CC70" s="122">
        <f t="shared" ca="1" si="58"/>
        <v>356598.10369238304</v>
      </c>
      <c r="CD70" s="124">
        <f t="shared" ca="1" si="59"/>
        <v>616058.54296349129</v>
      </c>
      <c r="CE70" s="121"/>
      <c r="CF70" s="122">
        <f t="shared" ref="CF70:CF133" ca="1" si="74">IF(A70=0,V70*LiabAdvRate2,CF69-CH70)</f>
        <v>10235971.754361782</v>
      </c>
      <c r="CG70" s="124">
        <f t="shared" ca="1" si="60"/>
        <v>0</v>
      </c>
      <c r="CH70" s="123">
        <f t="shared" ca="1" si="61"/>
        <v>0</v>
      </c>
      <c r="CI70" s="121"/>
      <c r="CJ70" s="123">
        <f t="shared" ca="1" si="62"/>
        <v>1268872.5815007775</v>
      </c>
      <c r="CK70" s="123">
        <f t="shared" ca="1" si="63"/>
        <v>1268872.5815007773</v>
      </c>
      <c r="CL70" s="123">
        <f t="shared" ca="1" si="64"/>
        <v>0</v>
      </c>
      <c r="CM70" s="121"/>
      <c r="CN70" s="62">
        <f t="shared" ca="1" si="65"/>
        <v>452968.98214026337</v>
      </c>
      <c r="CO70" s="62" t="b">
        <f t="shared" si="66"/>
        <v>1</v>
      </c>
      <c r="CP70" s="126">
        <f t="shared" ca="1" si="67"/>
        <v>1.77777777777778E-3</v>
      </c>
      <c r="CQ70" s="120"/>
      <c r="CR70" s="120"/>
      <c r="CS70" s="120"/>
      <c r="CT70" s="120"/>
      <c r="CU70" s="120"/>
      <c r="CV70" s="120"/>
      <c r="CW70" s="120"/>
      <c r="CX70" s="120"/>
      <c r="CY70" s="120"/>
      <c r="CZ70" s="120"/>
      <c r="DA70" s="120"/>
      <c r="DB70" s="120"/>
      <c r="DC70" s="120"/>
      <c r="DD70" s="120"/>
      <c r="DE70" s="116"/>
      <c r="DF70" s="116"/>
      <c r="DG70" s="116"/>
      <c r="DH70" s="116"/>
      <c r="DI70" s="116"/>
      <c r="DJ70" s="116"/>
      <c r="DK70" s="116"/>
      <c r="DL70" s="116"/>
      <c r="DM70" s="116"/>
      <c r="DN70" s="116"/>
    </row>
    <row r="71" spans="1:118" x14ac:dyDescent="0.2">
      <c r="A71" s="27">
        <v>65</v>
      </c>
      <c r="B71" s="29">
        <f t="shared" si="68"/>
        <v>41091</v>
      </c>
      <c r="C71" s="30">
        <f t="shared" si="69"/>
        <v>8.3333333333333329E-2</v>
      </c>
      <c r="D71" s="55"/>
      <c r="E71" s="62">
        <f t="shared" ca="1" si="19"/>
        <v>95534182.130142972</v>
      </c>
      <c r="F71" s="63">
        <f ca="1">IF(AssetIntType1="Fixed",AssetFxdRate1,IF(A71=1,OFFSET(Vectors!$D$6,A71,MATCH(AssetFltIndx1,lstInterestRates,0)),IF(MOD($A71,AssetRateReset1)=0,MAX(MIN(OFFSET(Vectors!$D$6,A71,MATCH(AssetFltIndx1,lstInterestRates,0)),(F70-AssetMarg1)+AssetPdCapFl1,AssetLifeCap1-AssetMarg1),(F70-AssetMarg1)-AssetPdCapFl1,AssetLifeFloor1-AssetMarg1),F70)))+AssetMarg1</f>
        <v>0.09</v>
      </c>
      <c r="G71" s="62">
        <f t="shared" ref="G71:G134" ca="1" si="75">IF(J70&lt;=G70,H71+E71,-PMT(F71*C71,OrgTerm1,AssetOrgBal1))</f>
        <v>804622.61694478267</v>
      </c>
      <c r="H71" s="62">
        <f t="shared" ca="1" si="20"/>
        <v>716506.36597607227</v>
      </c>
      <c r="I71" s="62">
        <f t="shared" ca="1" si="21"/>
        <v>88116.250968710403</v>
      </c>
      <c r="J71" s="62">
        <f t="shared" ca="1" si="70"/>
        <v>95446065.879174262</v>
      </c>
      <c r="K71" s="55"/>
      <c r="L71" s="62">
        <f t="shared" ca="1" si="22"/>
        <v>73922851.181095168</v>
      </c>
      <c r="M71" s="68">
        <f ca="1">IF(pdrLossTime1="",OFFSET(Vectors!$AE$6,A71+_Age1,MATCH(SDA_Loss,lstSDA,0)),OFFSET(Vectors!$X$6,A71+_Age1,MATCH(pdrLossTime1,lstDefaultCurve,0)))</f>
        <v>2.7777777777777779E-5</v>
      </c>
      <c r="N71" s="62">
        <f t="shared" ref="N71:N134" ca="1" si="76">MIN(L71,IF(pdrLossTime1="",L71*M71,$L$7*M71))</f>
        <v>2777.7777777777778</v>
      </c>
      <c r="O71" s="67">
        <f t="shared" ca="1" si="23"/>
        <v>0.95446065879174258</v>
      </c>
      <c r="P71" s="68">
        <f ca="1">OFFSET(Vectors!$L$6,A71+_Age1,MATCH(pdrPrepay1,lstPrepayCurve,0))*pdrPrepayStress1</f>
        <v>5.1430128318229462E-3</v>
      </c>
      <c r="Q71" s="62">
        <f t="shared" ca="1" si="24"/>
        <v>379835.50628715375</v>
      </c>
      <c r="R71" s="62">
        <f t="shared" ca="1" si="25"/>
        <v>68180.410345265933</v>
      </c>
      <c r="S71" s="69">
        <f t="shared" ca="1" si="26"/>
        <v>0.09</v>
      </c>
      <c r="T71" s="62">
        <f t="shared" ca="1" si="27"/>
        <v>554400.55052488041</v>
      </c>
      <c r="U71" s="62">
        <f t="shared" ref="U71:U134" ca="1" si="77">IF(A71&lt;=pdrRecovLag1,0,OFFSET(N71,-pdrRecovLag1,0)*pdrRecovRate1)</f>
        <v>1111.1111111111111</v>
      </c>
      <c r="V71" s="62">
        <f t="shared" ca="1" si="71"/>
        <v>73472057.486684963</v>
      </c>
      <c r="W71" s="55"/>
      <c r="X71" s="62">
        <f t="shared" ca="1" si="28"/>
        <v>1003527.5782684112</v>
      </c>
      <c r="Y71" s="55"/>
      <c r="Z71" s="118" t="b">
        <v>0</v>
      </c>
      <c r="AA71" s="120" t="b">
        <f t="shared" ref="AA71:AA134" si="78">IF(GlobalTrigger="Yes",TRUE,FALSE)</f>
        <v>0</v>
      </c>
      <c r="AB71" s="120" t="b">
        <f t="shared" ref="AB71:AB134" si="79">IF(AND(A71&gt;=PostDefTriggerMo,PostDefTriggerMo&lt;&gt;0),TRUE,FALSE)</f>
        <v>1</v>
      </c>
      <c r="AC71" s="120" t="b">
        <f t="shared" ref="AC71:AC134" ca="1" si="80">IF(CP71&gt;Trigger_Def,TRUE,FALSE)</f>
        <v>0</v>
      </c>
      <c r="AD71" s="121"/>
      <c r="AE71" s="129">
        <v>44383869.711277038</v>
      </c>
      <c r="AF71" s="69">
        <f ca="1">IF(Swap_Active="No",0,OFFSET(Vectors!$D$6,Vectors!A71,MATCH(Swap_In,lstInterestRates,0)))</f>
        <v>6.9369000000000056E-2</v>
      </c>
      <c r="AG71" s="62">
        <f t="shared" ca="1" si="29"/>
        <v>256572.05483346494</v>
      </c>
      <c r="AH71" s="69">
        <f ca="1">IF(Swap_Active="No",0,OFFSET(Vectors!$D$6,Vectors!A71,MATCH(Swap_Out,lstInterestRates,0)))</f>
        <v>0.04</v>
      </c>
      <c r="AI71" s="62">
        <f t="shared" ca="1" si="30"/>
        <v>147946.23237092345</v>
      </c>
      <c r="AJ71" s="62">
        <f t="shared" ca="1" si="31"/>
        <v>108625.82246254149</v>
      </c>
      <c r="AK71" s="62">
        <f t="shared" ca="1" si="32"/>
        <v>1112153.4007309526</v>
      </c>
      <c r="AL71" s="121"/>
      <c r="AM71" s="123">
        <f t="shared" ref="AM71:AM134" ca="1" si="81">(C71*AssetFee*L71)+(C71*LiabFees1*CB70)+(C71*LiabFees2*CF70)</f>
        <v>145412.63169174726</v>
      </c>
      <c r="AN71" s="124">
        <f t="shared" ca="1" si="33"/>
        <v>145412.63169174726</v>
      </c>
      <c r="AO71" s="125">
        <f t="shared" ca="1" si="34"/>
        <v>0</v>
      </c>
      <c r="AP71" s="123">
        <f t="shared" ca="1" si="35"/>
        <v>966740.76903920539</v>
      </c>
      <c r="AQ71" s="121"/>
      <c r="AR71" s="126">
        <f ca="1">IF(LiabIntType1="Fixed",LiabFxdRate1,OFFSET(Vectors!$D$6,Vectors!A71,MATCH(LiabLoanIndex1,lstInterestRates,0))+LiabMarg1)</f>
        <v>7.9369000000000051E-2</v>
      </c>
      <c r="AS71" s="122">
        <f t="shared" ca="1" si="36"/>
        <v>352523.44115101063</v>
      </c>
      <c r="AT71" s="124">
        <f t="shared" ca="1" si="37"/>
        <v>352523.44115101063</v>
      </c>
      <c r="AU71" s="123">
        <f t="shared" ca="1" si="38"/>
        <v>0</v>
      </c>
      <c r="AV71" s="123">
        <f t="shared" ref="AV71:AV134" ca="1" si="82">IF(LiabReserveOnOff1="No",0,MIN(AU71,BH71))</f>
        <v>0</v>
      </c>
      <c r="AW71" s="123">
        <f t="shared" ca="1" si="39"/>
        <v>0</v>
      </c>
      <c r="AX71" s="124">
        <f t="shared" ca="1" si="40"/>
        <v>614217.3278881947</v>
      </c>
      <c r="AY71" s="121"/>
      <c r="AZ71" s="122">
        <f t="shared" ref="AZ71:AZ134" ca="1" si="83">IF(OR(Z71, AB71,AC71),MIN(AX71,AX71+BH71-AV71,CB70),IF(LiabPrinType1="Sequential",MIN((N71+Q71+R71),CB70),MIN((N71+Q71+R71)*LiabAdvRate1,CB70)))</f>
        <v>614217.3278881947</v>
      </c>
      <c r="BA71" s="124">
        <f t="shared" ca="1" si="41"/>
        <v>614217.3278881947</v>
      </c>
      <c r="BB71" s="123">
        <f t="shared" ca="1" si="42"/>
        <v>0</v>
      </c>
      <c r="BC71" s="123">
        <f t="shared" ref="BC71:BC134" ca="1" si="84">IF(LiabReserveOnOff1="No",0,MIN(BB71,BH71-AV71))</f>
        <v>0</v>
      </c>
      <c r="BD71" s="123">
        <f t="shared" ca="1" si="43"/>
        <v>0</v>
      </c>
      <c r="BE71" s="124">
        <f t="shared" ca="1" si="44"/>
        <v>0</v>
      </c>
      <c r="BF71" s="121"/>
      <c r="BG71" s="123">
        <f t="shared" ref="BG71:BG134" si="85">AssetCurBal1*RsrvPercent</f>
        <v>1000000</v>
      </c>
      <c r="BH71" s="123">
        <f t="shared" ca="1" si="45"/>
        <v>1000000</v>
      </c>
      <c r="BI71" s="123">
        <f t="shared" ca="1" si="46"/>
        <v>0</v>
      </c>
      <c r="BJ71" s="123">
        <f t="shared" ca="1" si="47"/>
        <v>0</v>
      </c>
      <c r="BK71" s="123">
        <f t="shared" ca="1" si="72"/>
        <v>1000000</v>
      </c>
      <c r="BL71" s="123">
        <f t="shared" ca="1" si="48"/>
        <v>0</v>
      </c>
      <c r="BM71" s="121"/>
      <c r="BN71" s="126">
        <f ca="1">IF(LiabIntType2="Fixed",LiabFxdRate2,OFFSET(Vectors!$D$6,Vectors!A71,MATCH(LiabLoanIndex2,lstInterestRates,0))+LiabMarg2)</f>
        <v>0.04</v>
      </c>
      <c r="BO71" s="122">
        <f t="shared" ca="1" si="49"/>
        <v>34119.905847872607</v>
      </c>
      <c r="BP71" s="124">
        <f t="shared" ca="1" si="50"/>
        <v>0</v>
      </c>
      <c r="BQ71" s="123">
        <f t="shared" ca="1" si="51"/>
        <v>34119.905847872607</v>
      </c>
      <c r="BR71" s="123">
        <f t="shared" ca="1" si="52"/>
        <v>0</v>
      </c>
      <c r="BS71" s="121"/>
      <c r="BT71" s="123">
        <f t="shared" ref="BT71:BT134" ca="1" si="86">IF(AND(LiabPrinType2="Sequential",CB70&gt;0),0,IF(LiabPrinType2="Sequential",MIN((N71+Q71+R71),CF70),MIN((N71+Q71+R71)*LiabAdvRate2,CF70)))</f>
        <v>46219.479537762083</v>
      </c>
      <c r="BU71" s="123">
        <f t="shared" ca="1" si="53"/>
        <v>0</v>
      </c>
      <c r="BV71" s="123">
        <f t="shared" ca="1" si="54"/>
        <v>46219.479537762083</v>
      </c>
      <c r="BW71" s="123">
        <f t="shared" ca="1" si="55"/>
        <v>0</v>
      </c>
      <c r="BX71" s="121"/>
      <c r="BY71" s="123">
        <f t="shared" si="56"/>
        <v>0</v>
      </c>
      <c r="BZ71" s="123">
        <f t="shared" ca="1" si="57"/>
        <v>0</v>
      </c>
      <c r="CA71" s="121"/>
      <c r="CB71" s="122">
        <f t="shared" ca="1" si="73"/>
        <v>52684694.007924587</v>
      </c>
      <c r="CC71" s="122">
        <f t="shared" ca="1" si="58"/>
        <v>352523.44115101063</v>
      </c>
      <c r="CD71" s="124">
        <f t="shared" ca="1" si="59"/>
        <v>614217.3278881947</v>
      </c>
      <c r="CE71" s="121"/>
      <c r="CF71" s="122">
        <f t="shared" ca="1" si="74"/>
        <v>10235971.754361782</v>
      </c>
      <c r="CG71" s="124">
        <f t="shared" ca="1" si="60"/>
        <v>0</v>
      </c>
      <c r="CH71" s="123">
        <f t="shared" ca="1" si="61"/>
        <v>0</v>
      </c>
      <c r="CI71" s="121"/>
      <c r="CJ71" s="123">
        <f t="shared" ca="1" si="62"/>
        <v>1260099.6331018761</v>
      </c>
      <c r="CK71" s="123">
        <f t="shared" ca="1" si="63"/>
        <v>1260099.6331018761</v>
      </c>
      <c r="CL71" s="123">
        <f t="shared" ca="1" si="64"/>
        <v>0</v>
      </c>
      <c r="CM71" s="121"/>
      <c r="CN71" s="62">
        <f t="shared" ca="1" si="65"/>
        <v>450793.69441019744</v>
      </c>
      <c r="CO71" s="62" t="b">
        <f t="shared" si="66"/>
        <v>1</v>
      </c>
      <c r="CP71" s="126">
        <f t="shared" ca="1" si="67"/>
        <v>1.8055555555555579E-3</v>
      </c>
      <c r="CQ71" s="120"/>
      <c r="CR71" s="120"/>
      <c r="CS71" s="120"/>
      <c r="CT71" s="120"/>
      <c r="CU71" s="120"/>
      <c r="CV71" s="120"/>
      <c r="CW71" s="120"/>
      <c r="CX71" s="120"/>
      <c r="CY71" s="120"/>
      <c r="CZ71" s="120"/>
      <c r="DA71" s="120"/>
      <c r="DB71" s="120"/>
      <c r="DC71" s="120"/>
      <c r="DD71" s="120"/>
      <c r="DE71" s="116"/>
      <c r="DF71" s="116"/>
      <c r="DG71" s="116"/>
      <c r="DH71" s="116"/>
      <c r="DI71" s="116"/>
      <c r="DJ71" s="116"/>
      <c r="DK71" s="116"/>
      <c r="DL71" s="116"/>
      <c r="DM71" s="116"/>
      <c r="DN71" s="116"/>
    </row>
    <row r="72" spans="1:118" x14ac:dyDescent="0.2">
      <c r="A72" s="27">
        <v>66</v>
      </c>
      <c r="B72" s="29">
        <f t="shared" si="68"/>
        <v>41122</v>
      </c>
      <c r="C72" s="30">
        <f t="shared" si="69"/>
        <v>8.3333333333333329E-2</v>
      </c>
      <c r="D72" s="55"/>
      <c r="E72" s="62">
        <f t="shared" ref="E72:E135" ca="1" si="87">J71</f>
        <v>95446065.879174262</v>
      </c>
      <c r="F72" s="63">
        <f ca="1">IF(AssetIntType1="Fixed",AssetFxdRate1,IF(A72=1,OFFSET(Vectors!$D$6,A72,MATCH(AssetFltIndx1,lstInterestRates,0)),IF(MOD($A72,AssetRateReset1)=0,MAX(MIN(OFFSET(Vectors!$D$6,A72,MATCH(AssetFltIndx1,lstInterestRates,0)),(F71-AssetMarg1)+AssetPdCapFl1,AssetLifeCap1-AssetMarg1),(F71-AssetMarg1)-AssetPdCapFl1,AssetLifeFloor1-AssetMarg1),F71)))+AssetMarg1</f>
        <v>0.09</v>
      </c>
      <c r="G72" s="62">
        <f t="shared" ca="1" si="75"/>
        <v>804622.61694478267</v>
      </c>
      <c r="H72" s="62">
        <f t="shared" ref="H72:H135" ca="1" si="88">F72*C72*E72</f>
        <v>715845.49409380695</v>
      </c>
      <c r="I72" s="62">
        <f t="shared" ref="I72:I135" ca="1" si="89">G72-H72</f>
        <v>88777.12285097572</v>
      </c>
      <c r="J72" s="62">
        <f t="shared" ca="1" si="70"/>
        <v>95357288.756323293</v>
      </c>
      <c r="K72" s="55"/>
      <c r="L72" s="62">
        <f t="shared" ref="L72:L135" ca="1" si="90">V71</f>
        <v>73472057.486684963</v>
      </c>
      <c r="M72" s="68">
        <f ca="1">IF(pdrLossTime1="",OFFSET(Vectors!$AE$6,A72+_Age1,MATCH(SDA_Loss,lstSDA,0)),OFFSET(Vectors!$X$6,A72+_Age1,MATCH(pdrLossTime1,lstDefaultCurve,0)))</f>
        <v>2.7777777777777779E-5</v>
      </c>
      <c r="N72" s="62">
        <f t="shared" ca="1" si="76"/>
        <v>2777.7777777777778</v>
      </c>
      <c r="O72" s="67">
        <f t="shared" ref="O72:O135" ca="1" si="91">IF(A72=0,1,J72/$J$6)</f>
        <v>0.95357288756323288</v>
      </c>
      <c r="P72" s="68">
        <f ca="1">OFFSET(Vectors!$L$6,A72+_Age1,MATCH(pdrPrepay1,lstPrepayCurve,0))*pdrPrepayStress1</f>
        <v>5.1430128318229462E-3</v>
      </c>
      <c r="Q72" s="62">
        <f t="shared" ref="Q72:Q135" ca="1" si="92">IF(L72=0,0,MAX(MIN((L72-N72),L72*O72/O71*P72),0))</f>
        <v>377516.26881905843</v>
      </c>
      <c r="R72" s="62">
        <f t="shared" ref="R72:R135" ca="1" si="93">(L72-N72)*(1-O72/O71)</f>
        <v>68335.883835659843</v>
      </c>
      <c r="S72" s="69">
        <f t="shared" ref="S72:S135" ca="1" si="94">F72</f>
        <v>0.09</v>
      </c>
      <c r="T72" s="62">
        <f t="shared" ref="T72:T135" ca="1" si="95">S72*C72*(L72-N72)</f>
        <v>551019.59781680384</v>
      </c>
      <c r="U72" s="62">
        <f t="shared" ca="1" si="77"/>
        <v>1111.1111111111111</v>
      </c>
      <c r="V72" s="62">
        <f t="shared" ca="1" si="71"/>
        <v>73023427.556252465</v>
      </c>
      <c r="W72" s="55"/>
      <c r="X72" s="62">
        <f t="shared" ref="X72:X135" ca="1" si="96">Q72+R72+T72+U72</f>
        <v>997982.86158263322</v>
      </c>
      <c r="Y72" s="55"/>
      <c r="Z72" s="118" t="b">
        <v>0</v>
      </c>
      <c r="AA72" s="120" t="b">
        <f t="shared" si="78"/>
        <v>0</v>
      </c>
      <c r="AB72" s="120" t="b">
        <f t="shared" si="79"/>
        <v>1</v>
      </c>
      <c r="AC72" s="120" t="b">
        <f t="shared" ca="1" si="80"/>
        <v>0</v>
      </c>
      <c r="AD72" s="121"/>
      <c r="AE72" s="129">
        <v>43835894.949531689</v>
      </c>
      <c r="AF72" s="69">
        <f ca="1">IF(Swap_Active="No",0,OFFSET(Vectors!$D$6,Vectors!A72,MATCH(Swap_In,lstInterestRates,0)))</f>
        <v>6.9369000000000056E-2</v>
      </c>
      <c r="AG72" s="62">
        <f t="shared" ref="AG72:AG135" ca="1" si="97">AE72*AF72*C72</f>
        <v>253404.34972950551</v>
      </c>
      <c r="AH72" s="69">
        <f ca="1">IF(Swap_Active="No",0,OFFSET(Vectors!$D$6,Vectors!A72,MATCH(Swap_Out,lstInterestRates,0)))</f>
        <v>0.04</v>
      </c>
      <c r="AI72" s="62">
        <f t="shared" ref="AI72:AI135" ca="1" si="98">AE72*AH72*C72</f>
        <v>146119.64983177229</v>
      </c>
      <c r="AJ72" s="62">
        <f t="shared" ref="AJ72:AJ135" ca="1" si="99">AG72-AI72</f>
        <v>107284.69989773323</v>
      </c>
      <c r="AK72" s="62">
        <f t="shared" ref="AK72:AK135" ca="1" si="100">X72+AJ72</f>
        <v>1105267.5614803664</v>
      </c>
      <c r="AL72" s="121"/>
      <c r="AM72" s="123">
        <f t="shared" ca="1" si="81"/>
        <v>144405.38498111017</v>
      </c>
      <c r="AN72" s="124">
        <f t="shared" ref="AN72:AN135" ca="1" si="101">MIN(X72,AM72)</f>
        <v>144405.38498111017</v>
      </c>
      <c r="AO72" s="125">
        <f t="shared" ref="AO72:AO135" ca="1" si="102">AM72-AN72</f>
        <v>0</v>
      </c>
      <c r="AP72" s="123">
        <f t="shared" ref="AP72:AP135" ca="1" si="103">AK72-AN72</f>
        <v>960862.17649925617</v>
      </c>
      <c r="AQ72" s="121"/>
      <c r="AR72" s="126">
        <f ca="1">IF(LiabIntType1="Fixed",LiabFxdRate1,OFFSET(Vectors!$D$6,Vectors!A72,MATCH(LiabLoanIndex1,lstInterestRates,0))+LiabMarg1)</f>
        <v>7.9369000000000051E-2</v>
      </c>
      <c r="AS72" s="122">
        <f t="shared" ref="AS72:AS135" ca="1" si="104">C72*AR72*CB71</f>
        <v>348460.95655958075</v>
      </c>
      <c r="AT72" s="124">
        <f t="shared" ref="AT72:AT135" ca="1" si="105">MIN(AP72,AS72)</f>
        <v>348460.95655958075</v>
      </c>
      <c r="AU72" s="123">
        <f t="shared" ref="AU72:AU135" ca="1" si="106">AS72-AT72</f>
        <v>0</v>
      </c>
      <c r="AV72" s="123">
        <f t="shared" ca="1" si="82"/>
        <v>0</v>
      </c>
      <c r="AW72" s="123">
        <f t="shared" ref="AW72:AW135" ca="1" si="107">AU72-AV72</f>
        <v>0</v>
      </c>
      <c r="AX72" s="124">
        <f t="shared" ref="AX72:AX135" ca="1" si="108">AP72-AT72</f>
        <v>612401.21993967541</v>
      </c>
      <c r="AY72" s="121"/>
      <c r="AZ72" s="122">
        <f t="shared" ca="1" si="83"/>
        <v>612401.21993967541</v>
      </c>
      <c r="BA72" s="124">
        <f t="shared" ref="BA72:BA135" ca="1" si="109">MIN(AX72,AZ72)</f>
        <v>612401.21993967541</v>
      </c>
      <c r="BB72" s="123">
        <f t="shared" ref="BB72:BB135" ca="1" si="110">AZ72-BA72</f>
        <v>0</v>
      </c>
      <c r="BC72" s="123">
        <f t="shared" ca="1" si="84"/>
        <v>0</v>
      </c>
      <c r="BD72" s="123">
        <f t="shared" ref="BD72:BD135" ca="1" si="111">BB72-BC72</f>
        <v>0</v>
      </c>
      <c r="BE72" s="124">
        <f t="shared" ref="BE72:BE135" ca="1" si="112">AX72-BA72</f>
        <v>0</v>
      </c>
      <c r="BF72" s="121"/>
      <c r="BG72" s="123">
        <f t="shared" si="85"/>
        <v>1000000</v>
      </c>
      <c r="BH72" s="123">
        <f t="shared" ref="BH72:BH135" ca="1" si="113">BK71</f>
        <v>1000000</v>
      </c>
      <c r="BI72" s="123">
        <f t="shared" ref="BI72:BI135" ca="1" si="114">AV72+BC72</f>
        <v>0</v>
      </c>
      <c r="BJ72" s="123">
        <f t="shared" ref="BJ72:BJ135" ca="1" si="115">IF(CB71&lt;1,0,MAX(MIN(BG72-BH72,BE72),0))</f>
        <v>0</v>
      </c>
      <c r="BK72" s="123">
        <f t="shared" ca="1" si="72"/>
        <v>1000000</v>
      </c>
      <c r="BL72" s="123">
        <f t="shared" ref="BL72:BL135" ca="1" si="116">BE72-BJ72</f>
        <v>0</v>
      </c>
      <c r="BM72" s="121"/>
      <c r="BN72" s="126">
        <f ca="1">IF(LiabIntType2="Fixed",LiabFxdRate2,OFFSET(Vectors!$D$6,Vectors!A72,MATCH(LiabLoanIndex2,lstInterestRates,0))+LiabMarg2)</f>
        <v>0.04</v>
      </c>
      <c r="BO72" s="122">
        <f t="shared" ref="BO72:BO135" ca="1" si="117">C72*BN72*CF71</f>
        <v>34119.905847872607</v>
      </c>
      <c r="BP72" s="124">
        <f t="shared" ref="BP72:BP135" ca="1" si="118">MIN(BL72,BO72)</f>
        <v>0</v>
      </c>
      <c r="BQ72" s="123">
        <f t="shared" ref="BQ72:BQ135" ca="1" si="119">BO72-BP72</f>
        <v>34119.905847872607</v>
      </c>
      <c r="BR72" s="123">
        <f t="shared" ref="BR72:BR135" ca="1" si="120">BL72-BP72</f>
        <v>0</v>
      </c>
      <c r="BS72" s="121"/>
      <c r="BT72" s="123">
        <f t="shared" ca="1" si="86"/>
        <v>45997.630727248521</v>
      </c>
      <c r="BU72" s="123">
        <f t="shared" ref="BU72:BU135" ca="1" si="121">MIN(BR72,BT72)</f>
        <v>0</v>
      </c>
      <c r="BV72" s="123">
        <f t="shared" ref="BV72:BV135" ca="1" si="122">BT72-BU72</f>
        <v>45997.630727248521</v>
      </c>
      <c r="BW72" s="123">
        <f t="shared" ref="BW72:BW135" ca="1" si="123">BR72-BU72</f>
        <v>0</v>
      </c>
      <c r="BX72" s="121"/>
      <c r="BY72" s="123">
        <f t="shared" ref="BY72:BY135" si="124">IF(AA72,MIN(BW72,CB71-BA72),0)</f>
        <v>0</v>
      </c>
      <c r="BZ72" s="123">
        <f t="shared" ref="BZ72:BZ135" ca="1" si="125">BW72-BY72</f>
        <v>0</v>
      </c>
      <c r="CA72" s="121"/>
      <c r="CB72" s="122">
        <f t="shared" ca="1" si="73"/>
        <v>52072292.787984908</v>
      </c>
      <c r="CC72" s="122">
        <f t="shared" ref="CC72:CC135" ca="1" si="126">AT72+AV72</f>
        <v>348460.95655958075</v>
      </c>
      <c r="CD72" s="124">
        <f t="shared" ref="CD72:CD135" ca="1" si="127">BA72+BC72+BY72</f>
        <v>612401.21993967541</v>
      </c>
      <c r="CE72" s="121"/>
      <c r="CF72" s="122">
        <f t="shared" ca="1" si="74"/>
        <v>10235971.754361782</v>
      </c>
      <c r="CG72" s="124">
        <f t="shared" ref="CG72:CG135" ca="1" si="128">BP72</f>
        <v>0</v>
      </c>
      <c r="CH72" s="123">
        <f t="shared" ref="CH72:CH135" ca="1" si="129">BU72</f>
        <v>0</v>
      </c>
      <c r="CI72" s="121"/>
      <c r="CJ72" s="123">
        <f t="shared" ref="CJ72:CJ135" ca="1" si="130">Q72+R72+T72+U72+AG72+BI72</f>
        <v>1251387.2113121387</v>
      </c>
      <c r="CK72" s="123">
        <f t="shared" ref="CK72:CK135" ca="1" si="131">AI72+AN72+AT72+AV72+BA72+BC72+BJ72+BP72+BU72+BY72+BZ72</f>
        <v>1251387.2113121385</v>
      </c>
      <c r="CL72" s="123">
        <f t="shared" ref="CL72:CL135" ca="1" si="132">CJ72-CK72</f>
        <v>0</v>
      </c>
      <c r="CM72" s="121"/>
      <c r="CN72" s="62">
        <f t="shared" ref="CN72:CN135" ca="1" si="133">N72+Q72+R72</f>
        <v>448629.93043249601</v>
      </c>
      <c r="CO72" s="62" t="b">
        <f t="shared" ref="CO72:CO135" si="134">OR(Z72:AB72)</f>
        <v>1</v>
      </c>
      <c r="CP72" s="126">
        <f t="shared" ref="CP72:CP135" ca="1" si="135">N72/$L$7+CP71</f>
        <v>1.8333333333333357E-3</v>
      </c>
      <c r="CQ72" s="120"/>
      <c r="CR72" s="120"/>
      <c r="CS72" s="120"/>
      <c r="CT72" s="120"/>
      <c r="CU72" s="120"/>
      <c r="CV72" s="120"/>
      <c r="CW72" s="120"/>
      <c r="CX72" s="120"/>
      <c r="CY72" s="120"/>
      <c r="CZ72" s="120"/>
      <c r="DA72" s="120"/>
      <c r="DB72" s="120"/>
      <c r="DC72" s="120"/>
      <c r="DD72" s="120"/>
      <c r="DE72" s="116"/>
      <c r="DF72" s="116"/>
      <c r="DG72" s="116"/>
      <c r="DH72" s="116"/>
      <c r="DI72" s="116"/>
      <c r="DJ72" s="116"/>
      <c r="DK72" s="116"/>
      <c r="DL72" s="116"/>
      <c r="DM72" s="116"/>
      <c r="DN72" s="116"/>
    </row>
    <row r="73" spans="1:118" x14ac:dyDescent="0.2">
      <c r="A73" s="27">
        <v>67</v>
      </c>
      <c r="B73" s="29">
        <f t="shared" si="68"/>
        <v>41153</v>
      </c>
      <c r="C73" s="30">
        <f t="shared" si="69"/>
        <v>8.3333333333333329E-2</v>
      </c>
      <c r="D73" s="55"/>
      <c r="E73" s="62">
        <f t="shared" ca="1" si="87"/>
        <v>95357288.756323293</v>
      </c>
      <c r="F73" s="63">
        <f ca="1">IF(AssetIntType1="Fixed",AssetFxdRate1,IF(A73=1,OFFSET(Vectors!$D$6,A73,MATCH(AssetFltIndx1,lstInterestRates,0)),IF(MOD($A73,AssetRateReset1)=0,MAX(MIN(OFFSET(Vectors!$D$6,A73,MATCH(AssetFltIndx1,lstInterestRates,0)),(F72-AssetMarg1)+AssetPdCapFl1,AssetLifeCap1-AssetMarg1),(F72-AssetMarg1)-AssetPdCapFl1,AssetLifeFloor1-AssetMarg1),F72)))+AssetMarg1</f>
        <v>0.09</v>
      </c>
      <c r="G73" s="62">
        <f t="shared" ca="1" si="75"/>
        <v>804622.61694478267</v>
      </c>
      <c r="H73" s="62">
        <f t="shared" ca="1" si="88"/>
        <v>715179.66567242472</v>
      </c>
      <c r="I73" s="62">
        <f t="shared" ca="1" si="89"/>
        <v>89442.951272357954</v>
      </c>
      <c r="J73" s="62">
        <f t="shared" ca="1" si="70"/>
        <v>95267845.805050939</v>
      </c>
      <c r="K73" s="55"/>
      <c r="L73" s="62">
        <f t="shared" ca="1" si="90"/>
        <v>73023427.556252465</v>
      </c>
      <c r="M73" s="68">
        <f ca="1">IF(pdrLossTime1="",OFFSET(Vectors!$AE$6,A73+_Age1,MATCH(SDA_Loss,lstSDA,0)),OFFSET(Vectors!$X$6,A73+_Age1,MATCH(pdrLossTime1,lstDefaultCurve,0)))</f>
        <v>2.7777777777777779E-5</v>
      </c>
      <c r="N73" s="62">
        <f t="shared" ca="1" si="76"/>
        <v>2777.7777777777778</v>
      </c>
      <c r="O73" s="67">
        <f t="shared" ca="1" si="91"/>
        <v>0.95267845805050944</v>
      </c>
      <c r="P73" s="68">
        <f ca="1">OFFSET(Vectors!$L$6,A73+_Age1,MATCH(pdrPrepay1,lstPrepayCurve,0))*pdrPrepayStress1</f>
        <v>5.1430128318229462E-3</v>
      </c>
      <c r="Q73" s="62">
        <f t="shared" ca="1" si="92"/>
        <v>375208.15787471441</v>
      </c>
      <c r="R73" s="62">
        <f t="shared" ca="1" si="93"/>
        <v>68491.695865019778</v>
      </c>
      <c r="S73" s="69">
        <f t="shared" ca="1" si="94"/>
        <v>0.09</v>
      </c>
      <c r="T73" s="62">
        <f t="shared" ca="1" si="95"/>
        <v>547654.87333856011</v>
      </c>
      <c r="U73" s="62">
        <f t="shared" ca="1" si="77"/>
        <v>1111.1111111111111</v>
      </c>
      <c r="V73" s="62">
        <f t="shared" ca="1" si="71"/>
        <v>72576949.92473495</v>
      </c>
      <c r="W73" s="55"/>
      <c r="X73" s="62">
        <f t="shared" ca="1" si="96"/>
        <v>992465.83818940539</v>
      </c>
      <c r="Y73" s="55"/>
      <c r="Z73" s="118" t="b">
        <v>0</v>
      </c>
      <c r="AA73" s="120" t="b">
        <f t="shared" si="78"/>
        <v>0</v>
      </c>
      <c r="AB73" s="120" t="b">
        <f t="shared" si="79"/>
        <v>1</v>
      </c>
      <c r="AC73" s="120" t="b">
        <f t="shared" ca="1" si="80"/>
        <v>0</v>
      </c>
      <c r="AD73" s="121"/>
      <c r="AE73" s="129">
        <v>43293518.000328206</v>
      </c>
      <c r="AF73" s="69">
        <f ca="1">IF(Swap_Active="No",0,OFFSET(Vectors!$D$6,Vectors!A73,MATCH(Swap_In,lstInterestRates,0)))</f>
        <v>6.9369000000000056E-2</v>
      </c>
      <c r="AG73" s="62">
        <f t="shared" ca="1" si="97"/>
        <v>250269.00418039749</v>
      </c>
      <c r="AH73" s="69">
        <f ca="1">IF(Swap_Active="No",0,OFFSET(Vectors!$D$6,Vectors!A73,MATCH(Swap_Out,lstInterestRates,0)))</f>
        <v>0.04</v>
      </c>
      <c r="AI73" s="62">
        <f t="shared" ca="1" si="98"/>
        <v>144311.7266677607</v>
      </c>
      <c r="AJ73" s="62">
        <f t="shared" ca="1" si="99"/>
        <v>105957.27751263679</v>
      </c>
      <c r="AK73" s="62">
        <f t="shared" ca="1" si="100"/>
        <v>1098423.1157020421</v>
      </c>
      <c r="AL73" s="121"/>
      <c r="AM73" s="123">
        <f t="shared" ca="1" si="81"/>
        <v>143402.50125541448</v>
      </c>
      <c r="AN73" s="124">
        <f t="shared" ca="1" si="101"/>
        <v>143402.50125541448</v>
      </c>
      <c r="AO73" s="125">
        <f t="shared" ca="1" si="102"/>
        <v>0</v>
      </c>
      <c r="AP73" s="123">
        <f t="shared" ca="1" si="103"/>
        <v>955020.61444662767</v>
      </c>
      <c r="AQ73" s="121"/>
      <c r="AR73" s="126">
        <f ca="1">IF(LiabIntType1="Fixed",LiabFxdRate1,OFFSET(Vectors!$D$6,Vectors!A73,MATCH(LiabLoanIndex1,lstInterestRates,0))+LiabMarg1)</f>
        <v>7.9369000000000051E-2</v>
      </c>
      <c r="AS73" s="122">
        <f t="shared" ca="1" si="104"/>
        <v>344410.48385746474</v>
      </c>
      <c r="AT73" s="124">
        <f t="shared" ca="1" si="105"/>
        <v>344410.48385746474</v>
      </c>
      <c r="AU73" s="123">
        <f t="shared" ca="1" si="106"/>
        <v>0</v>
      </c>
      <c r="AV73" s="123">
        <f t="shared" ca="1" si="82"/>
        <v>0</v>
      </c>
      <c r="AW73" s="123">
        <f t="shared" ca="1" si="107"/>
        <v>0</v>
      </c>
      <c r="AX73" s="124">
        <f t="shared" ca="1" si="108"/>
        <v>610610.13058916293</v>
      </c>
      <c r="AY73" s="121"/>
      <c r="AZ73" s="122">
        <f t="shared" ca="1" si="83"/>
        <v>610610.13058916293</v>
      </c>
      <c r="BA73" s="124">
        <f t="shared" ca="1" si="109"/>
        <v>610610.13058916293</v>
      </c>
      <c r="BB73" s="123">
        <f t="shared" ca="1" si="110"/>
        <v>0</v>
      </c>
      <c r="BC73" s="123">
        <f t="shared" ca="1" si="84"/>
        <v>0</v>
      </c>
      <c r="BD73" s="123">
        <f t="shared" ca="1" si="111"/>
        <v>0</v>
      </c>
      <c r="BE73" s="124">
        <f t="shared" ca="1" si="112"/>
        <v>0</v>
      </c>
      <c r="BF73" s="121"/>
      <c r="BG73" s="123">
        <f t="shared" si="85"/>
        <v>1000000</v>
      </c>
      <c r="BH73" s="123">
        <f t="shared" ca="1" si="113"/>
        <v>1000000</v>
      </c>
      <c r="BI73" s="123">
        <f t="shared" ca="1" si="114"/>
        <v>0</v>
      </c>
      <c r="BJ73" s="123">
        <f t="shared" ca="1" si="115"/>
        <v>0</v>
      </c>
      <c r="BK73" s="123">
        <f t="shared" ca="1" si="72"/>
        <v>1000000</v>
      </c>
      <c r="BL73" s="123">
        <f t="shared" ca="1" si="116"/>
        <v>0</v>
      </c>
      <c r="BM73" s="121"/>
      <c r="BN73" s="126">
        <f ca="1">IF(LiabIntType2="Fixed",LiabFxdRate2,OFFSET(Vectors!$D$6,Vectors!A73,MATCH(LiabLoanIndex2,lstInterestRates,0))+LiabMarg2)</f>
        <v>0.04</v>
      </c>
      <c r="BO73" s="122">
        <f t="shared" ca="1" si="117"/>
        <v>34119.905847872607</v>
      </c>
      <c r="BP73" s="124">
        <f t="shared" ca="1" si="118"/>
        <v>0</v>
      </c>
      <c r="BQ73" s="123">
        <f t="shared" ca="1" si="119"/>
        <v>34119.905847872607</v>
      </c>
      <c r="BR73" s="123">
        <f t="shared" ca="1" si="120"/>
        <v>0</v>
      </c>
      <c r="BS73" s="121"/>
      <c r="BT73" s="123">
        <f t="shared" ca="1" si="86"/>
        <v>45776.957419494276</v>
      </c>
      <c r="BU73" s="123">
        <f t="shared" ca="1" si="121"/>
        <v>0</v>
      </c>
      <c r="BV73" s="123">
        <f t="shared" ca="1" si="122"/>
        <v>45776.957419494276</v>
      </c>
      <c r="BW73" s="123">
        <f t="shared" ca="1" si="123"/>
        <v>0</v>
      </c>
      <c r="BX73" s="121"/>
      <c r="BY73" s="123">
        <f t="shared" si="124"/>
        <v>0</v>
      </c>
      <c r="BZ73" s="123">
        <f t="shared" ca="1" si="125"/>
        <v>0</v>
      </c>
      <c r="CA73" s="121"/>
      <c r="CB73" s="122">
        <f t="shared" ca="1" si="73"/>
        <v>51461682.657395743</v>
      </c>
      <c r="CC73" s="122">
        <f t="shared" ca="1" si="126"/>
        <v>344410.48385746474</v>
      </c>
      <c r="CD73" s="124">
        <f t="shared" ca="1" si="127"/>
        <v>610610.13058916293</v>
      </c>
      <c r="CE73" s="121"/>
      <c r="CF73" s="122">
        <f t="shared" ca="1" si="74"/>
        <v>10235971.754361782</v>
      </c>
      <c r="CG73" s="124">
        <f t="shared" ca="1" si="128"/>
        <v>0</v>
      </c>
      <c r="CH73" s="123">
        <f t="shared" ca="1" si="129"/>
        <v>0</v>
      </c>
      <c r="CI73" s="121"/>
      <c r="CJ73" s="123">
        <f t="shared" ca="1" si="130"/>
        <v>1242734.8423698028</v>
      </c>
      <c r="CK73" s="123">
        <f t="shared" ca="1" si="131"/>
        <v>1242734.8423698028</v>
      </c>
      <c r="CL73" s="123">
        <f t="shared" ca="1" si="132"/>
        <v>0</v>
      </c>
      <c r="CM73" s="121"/>
      <c r="CN73" s="62">
        <f t="shared" ca="1" si="133"/>
        <v>446477.63151751191</v>
      </c>
      <c r="CO73" s="62" t="b">
        <f t="shared" si="134"/>
        <v>1</v>
      </c>
      <c r="CP73" s="126">
        <f t="shared" ca="1" si="135"/>
        <v>1.8611111111111135E-3</v>
      </c>
      <c r="CQ73" s="120"/>
      <c r="CR73" s="120"/>
      <c r="CS73" s="120"/>
      <c r="CT73" s="120"/>
      <c r="CU73" s="120"/>
      <c r="CV73" s="120"/>
      <c r="CW73" s="120"/>
      <c r="CX73" s="120"/>
      <c r="CY73" s="120"/>
      <c r="CZ73" s="120"/>
      <c r="DA73" s="120"/>
      <c r="DB73" s="120"/>
      <c r="DC73" s="120"/>
      <c r="DD73" s="120"/>
      <c r="DE73" s="116"/>
      <c r="DF73" s="116"/>
      <c r="DG73" s="116"/>
      <c r="DH73" s="116"/>
      <c r="DI73" s="116"/>
      <c r="DJ73" s="116"/>
      <c r="DK73" s="116"/>
      <c r="DL73" s="116"/>
      <c r="DM73" s="116"/>
      <c r="DN73" s="116"/>
    </row>
    <row r="74" spans="1:118" x14ac:dyDescent="0.2">
      <c r="A74" s="27">
        <v>68</v>
      </c>
      <c r="B74" s="29">
        <f t="shared" si="68"/>
        <v>41183</v>
      </c>
      <c r="C74" s="30">
        <f t="shared" si="69"/>
        <v>8.3333333333333329E-2</v>
      </c>
      <c r="D74" s="55"/>
      <c r="E74" s="62">
        <f t="shared" ca="1" si="87"/>
        <v>95267845.805050939</v>
      </c>
      <c r="F74" s="63">
        <f ca="1">IF(AssetIntType1="Fixed",AssetFxdRate1,IF(A74=1,OFFSET(Vectors!$D$6,A74,MATCH(AssetFltIndx1,lstInterestRates,0)),IF(MOD($A74,AssetRateReset1)=0,MAX(MIN(OFFSET(Vectors!$D$6,A74,MATCH(AssetFltIndx1,lstInterestRates,0)),(F73-AssetMarg1)+AssetPdCapFl1,AssetLifeCap1-AssetMarg1),(F73-AssetMarg1)-AssetPdCapFl1,AssetLifeFloor1-AssetMarg1),F73)))+AssetMarg1</f>
        <v>0.09</v>
      </c>
      <c r="G74" s="62">
        <f t="shared" ca="1" si="75"/>
        <v>804622.61694478267</v>
      </c>
      <c r="H74" s="62">
        <f t="shared" ca="1" si="88"/>
        <v>714508.84353788197</v>
      </c>
      <c r="I74" s="62">
        <f t="shared" ca="1" si="89"/>
        <v>90113.773406900698</v>
      </c>
      <c r="J74" s="62">
        <f t="shared" ca="1" si="70"/>
        <v>95177732.031644031</v>
      </c>
      <c r="K74" s="55"/>
      <c r="L74" s="62">
        <f t="shared" ca="1" si="90"/>
        <v>72576949.92473495</v>
      </c>
      <c r="M74" s="68">
        <f ca="1">IF(pdrLossTime1="",OFFSET(Vectors!$AE$6,A74+_Age1,MATCH(SDA_Loss,lstSDA,0)),OFFSET(Vectors!$X$6,A74+_Age1,MATCH(pdrLossTime1,lstDefaultCurve,0)))</f>
        <v>2.7777777777777779E-5</v>
      </c>
      <c r="N74" s="62">
        <f t="shared" ca="1" si="76"/>
        <v>2777.7777777777778</v>
      </c>
      <c r="O74" s="67">
        <f t="shared" ca="1" si="91"/>
        <v>0.95177732031644036</v>
      </c>
      <c r="P74" s="68">
        <f ca="1">OFFSET(Vectors!$L$6,A74+_Age1,MATCH(pdrPrepay1,lstPrepayCurve,0))*pdrPrepayStress1</f>
        <v>5.1430128318229462E-3</v>
      </c>
      <c r="Q74" s="62">
        <f t="shared" ca="1" si="92"/>
        <v>372911.11448616651</v>
      </c>
      <c r="R74" s="62">
        <f t="shared" ca="1" si="93"/>
        <v>68647.847012596758</v>
      </c>
      <c r="S74" s="69">
        <f t="shared" ca="1" si="94"/>
        <v>0.09</v>
      </c>
      <c r="T74" s="62">
        <f t="shared" ca="1" si="95"/>
        <v>544306.29110217874</v>
      </c>
      <c r="U74" s="62">
        <f t="shared" ca="1" si="77"/>
        <v>1111.1111111111111</v>
      </c>
      <c r="V74" s="62">
        <f t="shared" ca="1" si="71"/>
        <v>72132613.185458407</v>
      </c>
      <c r="W74" s="55"/>
      <c r="X74" s="62">
        <f t="shared" ca="1" si="96"/>
        <v>986976.36371205316</v>
      </c>
      <c r="Y74" s="55"/>
      <c r="Z74" s="118" t="b">
        <v>0</v>
      </c>
      <c r="AA74" s="120" t="b">
        <f t="shared" si="78"/>
        <v>0</v>
      </c>
      <c r="AB74" s="120" t="b">
        <f t="shared" si="79"/>
        <v>1</v>
      </c>
      <c r="AC74" s="120" t="b">
        <f t="shared" ca="1" si="80"/>
        <v>0</v>
      </c>
      <c r="AD74" s="121"/>
      <c r="AE74" s="129">
        <v>42756682.581523992</v>
      </c>
      <c r="AF74" s="69">
        <f ca="1">IF(Swap_Active="No",0,OFFSET(Vectors!$D$6,Vectors!A74,MATCH(Swap_In,lstInterestRates,0)))</f>
        <v>6.9369000000000056E-2</v>
      </c>
      <c r="AG74" s="62">
        <f t="shared" ca="1" si="97"/>
        <v>247165.69283314503</v>
      </c>
      <c r="AH74" s="69">
        <f ca="1">IF(Swap_Active="No",0,OFFSET(Vectors!$D$6,Vectors!A74,MATCH(Swap_Out,lstInterestRates,0)))</f>
        <v>0.04</v>
      </c>
      <c r="AI74" s="62">
        <f t="shared" ca="1" si="98"/>
        <v>142522.27527174662</v>
      </c>
      <c r="AJ74" s="62">
        <f t="shared" ca="1" si="99"/>
        <v>104643.41756139841</v>
      </c>
      <c r="AK74" s="62">
        <f t="shared" ca="1" si="100"/>
        <v>1091619.7812734516</v>
      </c>
      <c r="AL74" s="121"/>
      <c r="AM74" s="123">
        <f t="shared" ca="1" si="81"/>
        <v>142403.95098180647</v>
      </c>
      <c r="AN74" s="124">
        <f t="shared" ca="1" si="101"/>
        <v>142403.95098180647</v>
      </c>
      <c r="AO74" s="125">
        <f t="shared" ca="1" si="102"/>
        <v>0</v>
      </c>
      <c r="AP74" s="123">
        <f t="shared" ca="1" si="103"/>
        <v>949215.83029164514</v>
      </c>
      <c r="AQ74" s="121"/>
      <c r="AR74" s="126">
        <f ca="1">IF(LiabIntType1="Fixed",LiabFxdRate1,OFFSET(Vectors!$D$6,Vectors!A74,MATCH(LiabLoanIndex1,lstInterestRates,0))+LiabMarg1)</f>
        <v>7.9369000000000051E-2</v>
      </c>
      <c r="AS74" s="122">
        <f t="shared" ca="1" si="104"/>
        <v>340371.85756957042</v>
      </c>
      <c r="AT74" s="124">
        <f t="shared" ca="1" si="105"/>
        <v>340371.85756957042</v>
      </c>
      <c r="AU74" s="123">
        <f t="shared" ca="1" si="106"/>
        <v>0</v>
      </c>
      <c r="AV74" s="123">
        <f t="shared" ca="1" si="82"/>
        <v>0</v>
      </c>
      <c r="AW74" s="123">
        <f t="shared" ca="1" si="107"/>
        <v>0</v>
      </c>
      <c r="AX74" s="124">
        <f t="shared" ca="1" si="108"/>
        <v>608843.97272207472</v>
      </c>
      <c r="AY74" s="121"/>
      <c r="AZ74" s="122">
        <f t="shared" ca="1" si="83"/>
        <v>608843.97272207472</v>
      </c>
      <c r="BA74" s="124">
        <f t="shared" ca="1" si="109"/>
        <v>608843.97272207472</v>
      </c>
      <c r="BB74" s="123">
        <f t="shared" ca="1" si="110"/>
        <v>0</v>
      </c>
      <c r="BC74" s="123">
        <f t="shared" ca="1" si="84"/>
        <v>0</v>
      </c>
      <c r="BD74" s="123">
        <f t="shared" ca="1" si="111"/>
        <v>0</v>
      </c>
      <c r="BE74" s="124">
        <f t="shared" ca="1" si="112"/>
        <v>0</v>
      </c>
      <c r="BF74" s="121"/>
      <c r="BG74" s="123">
        <f t="shared" si="85"/>
        <v>1000000</v>
      </c>
      <c r="BH74" s="123">
        <f t="shared" ca="1" si="113"/>
        <v>1000000</v>
      </c>
      <c r="BI74" s="123">
        <f t="shared" ca="1" si="114"/>
        <v>0</v>
      </c>
      <c r="BJ74" s="123">
        <f t="shared" ca="1" si="115"/>
        <v>0</v>
      </c>
      <c r="BK74" s="123">
        <f t="shared" ca="1" si="72"/>
        <v>1000000</v>
      </c>
      <c r="BL74" s="123">
        <f t="shared" ca="1" si="116"/>
        <v>0</v>
      </c>
      <c r="BM74" s="121"/>
      <c r="BN74" s="126">
        <f ca="1">IF(LiabIntType2="Fixed",LiabFxdRate2,OFFSET(Vectors!$D$6,Vectors!A74,MATCH(LiabLoanIndex2,lstInterestRates,0))+LiabMarg2)</f>
        <v>0.04</v>
      </c>
      <c r="BO74" s="122">
        <f t="shared" ca="1" si="117"/>
        <v>34119.905847872607</v>
      </c>
      <c r="BP74" s="124">
        <f t="shared" ca="1" si="118"/>
        <v>0</v>
      </c>
      <c r="BQ74" s="123">
        <f t="shared" ca="1" si="119"/>
        <v>34119.905847872607</v>
      </c>
      <c r="BR74" s="123">
        <f t="shared" ca="1" si="120"/>
        <v>0</v>
      </c>
      <c r="BS74" s="121"/>
      <c r="BT74" s="123">
        <f t="shared" ca="1" si="86"/>
        <v>45557.45362795706</v>
      </c>
      <c r="BU74" s="123">
        <f t="shared" ca="1" si="121"/>
        <v>0</v>
      </c>
      <c r="BV74" s="123">
        <f t="shared" ca="1" si="122"/>
        <v>45557.45362795706</v>
      </c>
      <c r="BW74" s="123">
        <f t="shared" ca="1" si="123"/>
        <v>0</v>
      </c>
      <c r="BX74" s="121"/>
      <c r="BY74" s="123">
        <f t="shared" si="124"/>
        <v>0</v>
      </c>
      <c r="BZ74" s="123">
        <f t="shared" ca="1" si="125"/>
        <v>0</v>
      </c>
      <c r="CA74" s="121"/>
      <c r="CB74" s="122">
        <f t="shared" ca="1" si="73"/>
        <v>50852838.684673667</v>
      </c>
      <c r="CC74" s="122">
        <f t="shared" ca="1" si="126"/>
        <v>340371.85756957042</v>
      </c>
      <c r="CD74" s="124">
        <f t="shared" ca="1" si="127"/>
        <v>608843.97272207472</v>
      </c>
      <c r="CE74" s="121"/>
      <c r="CF74" s="122">
        <f t="shared" ca="1" si="74"/>
        <v>10235971.754361782</v>
      </c>
      <c r="CG74" s="124">
        <f t="shared" ca="1" si="128"/>
        <v>0</v>
      </c>
      <c r="CH74" s="123">
        <f t="shared" ca="1" si="129"/>
        <v>0</v>
      </c>
      <c r="CI74" s="121"/>
      <c r="CJ74" s="123">
        <f t="shared" ca="1" si="130"/>
        <v>1234142.0565451982</v>
      </c>
      <c r="CK74" s="123">
        <f t="shared" ca="1" si="131"/>
        <v>1234142.0565451982</v>
      </c>
      <c r="CL74" s="123">
        <f t="shared" ca="1" si="132"/>
        <v>0</v>
      </c>
      <c r="CM74" s="121"/>
      <c r="CN74" s="62">
        <f t="shared" ca="1" si="133"/>
        <v>444336.73927654105</v>
      </c>
      <c r="CO74" s="62" t="b">
        <f t="shared" si="134"/>
        <v>1</v>
      </c>
      <c r="CP74" s="126">
        <f t="shared" ca="1" si="135"/>
        <v>1.8888888888888913E-3</v>
      </c>
      <c r="CQ74" s="120"/>
      <c r="CR74" s="120"/>
      <c r="CS74" s="120"/>
      <c r="CT74" s="120"/>
      <c r="CU74" s="120"/>
      <c r="CV74" s="120"/>
      <c r="CW74" s="120"/>
      <c r="CX74" s="120"/>
      <c r="CY74" s="120"/>
      <c r="CZ74" s="120"/>
      <c r="DA74" s="120"/>
      <c r="DB74" s="120"/>
      <c r="DC74" s="120"/>
      <c r="DD74" s="120"/>
      <c r="DE74" s="116"/>
      <c r="DF74" s="116"/>
      <c r="DG74" s="116"/>
      <c r="DH74" s="116"/>
      <c r="DI74" s="116"/>
      <c r="DJ74" s="116"/>
      <c r="DK74" s="116"/>
      <c r="DL74" s="116"/>
      <c r="DM74" s="116"/>
      <c r="DN74" s="116"/>
    </row>
    <row r="75" spans="1:118" x14ac:dyDescent="0.2">
      <c r="A75" s="27">
        <v>69</v>
      </c>
      <c r="B75" s="29">
        <f t="shared" si="68"/>
        <v>41214</v>
      </c>
      <c r="C75" s="30">
        <f t="shared" si="69"/>
        <v>8.3333333333333329E-2</v>
      </c>
      <c r="D75" s="55"/>
      <c r="E75" s="62">
        <f t="shared" ca="1" si="87"/>
        <v>95177732.031644031</v>
      </c>
      <c r="F75" s="63">
        <f ca="1">IF(AssetIntType1="Fixed",AssetFxdRate1,IF(A75=1,OFFSET(Vectors!$D$6,A75,MATCH(AssetFltIndx1,lstInterestRates,0)),IF(MOD($A75,AssetRateReset1)=0,MAX(MIN(OFFSET(Vectors!$D$6,A75,MATCH(AssetFltIndx1,lstInterestRates,0)),(F74-AssetMarg1)+AssetPdCapFl1,AssetLifeCap1-AssetMarg1),(F74-AssetMarg1)-AssetPdCapFl1,AssetLifeFloor1-AssetMarg1),F74)))+AssetMarg1</f>
        <v>0.09</v>
      </c>
      <c r="G75" s="62">
        <f t="shared" ca="1" si="75"/>
        <v>804622.61694478267</v>
      </c>
      <c r="H75" s="62">
        <f t="shared" ca="1" si="88"/>
        <v>713832.9902373302</v>
      </c>
      <c r="I75" s="62">
        <f t="shared" ca="1" si="89"/>
        <v>90789.626707452466</v>
      </c>
      <c r="J75" s="62">
        <f t="shared" ca="1" si="70"/>
        <v>95086942.404936582</v>
      </c>
      <c r="K75" s="55"/>
      <c r="L75" s="62">
        <f t="shared" ca="1" si="90"/>
        <v>72132613.185458407</v>
      </c>
      <c r="M75" s="68">
        <f ca="1">IF(pdrLossTime1="",OFFSET(Vectors!$AE$6,A75+_Age1,MATCH(SDA_Loss,lstSDA,0)),OFFSET(Vectors!$X$6,A75+_Age1,MATCH(pdrLossTime1,lstDefaultCurve,0)))</f>
        <v>2.7777777777777779E-5</v>
      </c>
      <c r="N75" s="62">
        <f t="shared" ca="1" si="76"/>
        <v>2777.7777777777778</v>
      </c>
      <c r="O75" s="67">
        <f t="shared" ca="1" si="91"/>
        <v>0.95086942404936581</v>
      </c>
      <c r="P75" s="68">
        <f ca="1">OFFSET(Vectors!$L$6,A75+_Age1,MATCH(pdrPrepay1,lstPrepayCurve,0))*pdrPrepayStress1</f>
        <v>5.1430128318229462E-3</v>
      </c>
      <c r="Q75" s="62">
        <f t="shared" ca="1" si="92"/>
        <v>370625.07998575835</v>
      </c>
      <c r="R75" s="62">
        <f t="shared" ca="1" si="93"/>
        <v>68804.337856633676</v>
      </c>
      <c r="S75" s="69">
        <f t="shared" ca="1" si="94"/>
        <v>0.09</v>
      </c>
      <c r="T75" s="62">
        <f t="shared" ca="1" si="95"/>
        <v>540973.76555760473</v>
      </c>
      <c r="U75" s="62">
        <f t="shared" ca="1" si="77"/>
        <v>1111.1111111111111</v>
      </c>
      <c r="V75" s="62">
        <f t="shared" ca="1" si="71"/>
        <v>71690405.989838243</v>
      </c>
      <c r="W75" s="55"/>
      <c r="X75" s="62">
        <f t="shared" ca="1" si="96"/>
        <v>981514.29451110784</v>
      </c>
      <c r="Y75" s="55"/>
      <c r="Z75" s="118" t="b">
        <v>0</v>
      </c>
      <c r="AA75" s="120" t="b">
        <f t="shared" si="78"/>
        <v>0</v>
      </c>
      <c r="AB75" s="120" t="b">
        <f t="shared" si="79"/>
        <v>1</v>
      </c>
      <c r="AC75" s="120" t="b">
        <f t="shared" ca="1" si="80"/>
        <v>0</v>
      </c>
      <c r="AD75" s="121"/>
      <c r="AE75" s="129">
        <v>42225332.97458072</v>
      </c>
      <c r="AF75" s="69">
        <f ca="1">IF(Swap_Active="No",0,OFFSET(Vectors!$D$6,Vectors!A75,MATCH(Swap_In,lstInterestRates,0)))</f>
        <v>6.9369000000000056E-2</v>
      </c>
      <c r="AG75" s="62">
        <f t="shared" ca="1" si="97"/>
        <v>244094.09359280768</v>
      </c>
      <c r="AH75" s="69">
        <f ca="1">IF(Swap_Active="No",0,OFFSET(Vectors!$D$6,Vectors!A75,MATCH(Swap_Out,lstInterestRates,0)))</f>
        <v>0.04</v>
      </c>
      <c r="AI75" s="62">
        <f t="shared" ca="1" si="98"/>
        <v>140751.10991526907</v>
      </c>
      <c r="AJ75" s="62">
        <f t="shared" ca="1" si="99"/>
        <v>103342.98367753861</v>
      </c>
      <c r="AK75" s="62">
        <f t="shared" ca="1" si="100"/>
        <v>1084857.2781886465</v>
      </c>
      <c r="AL75" s="121"/>
      <c r="AM75" s="123">
        <f t="shared" ca="1" si="81"/>
        <v>141409.7047610447</v>
      </c>
      <c r="AN75" s="124">
        <f t="shared" ca="1" si="101"/>
        <v>141409.7047610447</v>
      </c>
      <c r="AO75" s="125">
        <f t="shared" ca="1" si="102"/>
        <v>0</v>
      </c>
      <c r="AP75" s="123">
        <f t="shared" ca="1" si="103"/>
        <v>943447.57342760183</v>
      </c>
      <c r="AQ75" s="121"/>
      <c r="AR75" s="126">
        <f ca="1">IF(LiabIntType1="Fixed",LiabFxdRate1,OFFSET(Vectors!$D$6,Vectors!A75,MATCH(LiabLoanIndex1,lstInterestRates,0))+LiabMarg1)</f>
        <v>7.9369000000000051E-2</v>
      </c>
      <c r="AS75" s="122">
        <f t="shared" ca="1" si="104"/>
        <v>336344.91279698891</v>
      </c>
      <c r="AT75" s="124">
        <f t="shared" ca="1" si="105"/>
        <v>336344.91279698891</v>
      </c>
      <c r="AU75" s="123">
        <f t="shared" ca="1" si="106"/>
        <v>0</v>
      </c>
      <c r="AV75" s="123">
        <f t="shared" ca="1" si="82"/>
        <v>0</v>
      </c>
      <c r="AW75" s="123">
        <f t="shared" ca="1" si="107"/>
        <v>0</v>
      </c>
      <c r="AX75" s="124">
        <f t="shared" ca="1" si="108"/>
        <v>607102.66063061287</v>
      </c>
      <c r="AY75" s="121"/>
      <c r="AZ75" s="122">
        <f t="shared" ca="1" si="83"/>
        <v>607102.66063061287</v>
      </c>
      <c r="BA75" s="124">
        <f t="shared" ca="1" si="109"/>
        <v>607102.66063061287</v>
      </c>
      <c r="BB75" s="123">
        <f t="shared" ca="1" si="110"/>
        <v>0</v>
      </c>
      <c r="BC75" s="123">
        <f t="shared" ca="1" si="84"/>
        <v>0</v>
      </c>
      <c r="BD75" s="123">
        <f t="shared" ca="1" si="111"/>
        <v>0</v>
      </c>
      <c r="BE75" s="124">
        <f t="shared" ca="1" si="112"/>
        <v>0</v>
      </c>
      <c r="BF75" s="121"/>
      <c r="BG75" s="123">
        <f t="shared" si="85"/>
        <v>1000000</v>
      </c>
      <c r="BH75" s="123">
        <f t="shared" ca="1" si="113"/>
        <v>1000000</v>
      </c>
      <c r="BI75" s="123">
        <f t="shared" ca="1" si="114"/>
        <v>0</v>
      </c>
      <c r="BJ75" s="123">
        <f t="shared" ca="1" si="115"/>
        <v>0</v>
      </c>
      <c r="BK75" s="123">
        <f t="shared" ca="1" si="72"/>
        <v>1000000</v>
      </c>
      <c r="BL75" s="123">
        <f t="shared" ca="1" si="116"/>
        <v>0</v>
      </c>
      <c r="BM75" s="121"/>
      <c r="BN75" s="126">
        <f ca="1">IF(LiabIntType2="Fixed",LiabFxdRate2,OFFSET(Vectors!$D$6,Vectors!A75,MATCH(LiabLoanIndex2,lstInterestRates,0))+LiabMarg2)</f>
        <v>0.04</v>
      </c>
      <c r="BO75" s="122">
        <f t="shared" ca="1" si="117"/>
        <v>34119.905847872607</v>
      </c>
      <c r="BP75" s="124">
        <f t="shared" ca="1" si="118"/>
        <v>0</v>
      </c>
      <c r="BQ75" s="123">
        <f t="shared" ca="1" si="119"/>
        <v>34119.905847872607</v>
      </c>
      <c r="BR75" s="123">
        <f t="shared" ca="1" si="120"/>
        <v>0</v>
      </c>
      <c r="BS75" s="121"/>
      <c r="BT75" s="123">
        <f t="shared" ca="1" si="86"/>
        <v>45339.113396780573</v>
      </c>
      <c r="BU75" s="123">
        <f t="shared" ca="1" si="121"/>
        <v>0</v>
      </c>
      <c r="BV75" s="123">
        <f t="shared" ca="1" si="122"/>
        <v>45339.113396780573</v>
      </c>
      <c r="BW75" s="123">
        <f t="shared" ca="1" si="123"/>
        <v>0</v>
      </c>
      <c r="BX75" s="121"/>
      <c r="BY75" s="123">
        <f t="shared" si="124"/>
        <v>0</v>
      </c>
      <c r="BZ75" s="123">
        <f t="shared" ca="1" si="125"/>
        <v>0</v>
      </c>
      <c r="CA75" s="121"/>
      <c r="CB75" s="122">
        <f t="shared" ca="1" si="73"/>
        <v>50245736.024043053</v>
      </c>
      <c r="CC75" s="122">
        <f t="shared" ca="1" si="126"/>
        <v>336344.91279698891</v>
      </c>
      <c r="CD75" s="124">
        <f t="shared" ca="1" si="127"/>
        <v>607102.66063061287</v>
      </c>
      <c r="CE75" s="121"/>
      <c r="CF75" s="122">
        <f t="shared" ca="1" si="74"/>
        <v>10235971.754361782</v>
      </c>
      <c r="CG75" s="124">
        <f t="shared" ca="1" si="128"/>
        <v>0</v>
      </c>
      <c r="CH75" s="123">
        <f t="shared" ca="1" si="129"/>
        <v>0</v>
      </c>
      <c r="CI75" s="121"/>
      <c r="CJ75" s="123">
        <f t="shared" ca="1" si="130"/>
        <v>1225608.3881039156</v>
      </c>
      <c r="CK75" s="123">
        <f t="shared" ca="1" si="131"/>
        <v>1225608.3881039156</v>
      </c>
      <c r="CL75" s="123">
        <f t="shared" ca="1" si="132"/>
        <v>0</v>
      </c>
      <c r="CM75" s="121"/>
      <c r="CN75" s="62">
        <f t="shared" ca="1" si="133"/>
        <v>442207.19562016975</v>
      </c>
      <c r="CO75" s="62" t="b">
        <f t="shared" si="134"/>
        <v>1</v>
      </c>
      <c r="CP75" s="126">
        <f t="shared" ca="1" si="135"/>
        <v>1.9166666666666692E-3</v>
      </c>
      <c r="CQ75" s="120"/>
      <c r="CR75" s="120"/>
      <c r="CS75" s="120"/>
      <c r="CT75" s="120"/>
      <c r="CU75" s="120"/>
      <c r="CV75" s="120"/>
      <c r="CW75" s="120"/>
      <c r="CX75" s="120"/>
      <c r="CY75" s="120"/>
      <c r="CZ75" s="120"/>
      <c r="DA75" s="120"/>
      <c r="DB75" s="120"/>
      <c r="DC75" s="120"/>
      <c r="DD75" s="120"/>
      <c r="DE75" s="116"/>
      <c r="DF75" s="116"/>
      <c r="DG75" s="116"/>
      <c r="DH75" s="116"/>
      <c r="DI75" s="116"/>
      <c r="DJ75" s="116"/>
      <c r="DK75" s="116"/>
      <c r="DL75" s="116"/>
      <c r="DM75" s="116"/>
      <c r="DN75" s="116"/>
    </row>
    <row r="76" spans="1:118" x14ac:dyDescent="0.2">
      <c r="A76" s="27">
        <v>70</v>
      </c>
      <c r="B76" s="29">
        <f t="shared" si="68"/>
        <v>41244</v>
      </c>
      <c r="C76" s="30">
        <f t="shared" si="69"/>
        <v>8.3333333333333329E-2</v>
      </c>
      <c r="D76" s="55"/>
      <c r="E76" s="62">
        <f t="shared" ca="1" si="87"/>
        <v>95086942.404936582</v>
      </c>
      <c r="F76" s="63">
        <f ca="1">IF(AssetIntType1="Fixed",AssetFxdRate1,IF(A76=1,OFFSET(Vectors!$D$6,A76,MATCH(AssetFltIndx1,lstInterestRates,0)),IF(MOD($A76,AssetRateReset1)=0,MAX(MIN(OFFSET(Vectors!$D$6,A76,MATCH(AssetFltIndx1,lstInterestRates,0)),(F75-AssetMarg1)+AssetPdCapFl1,AssetLifeCap1-AssetMarg1),(F75-AssetMarg1)-AssetPdCapFl1,AssetLifeFloor1-AssetMarg1),F75)))+AssetMarg1</f>
        <v>0.09</v>
      </c>
      <c r="G76" s="62">
        <f t="shared" ca="1" si="75"/>
        <v>804622.61694478267</v>
      </c>
      <c r="H76" s="62">
        <f t="shared" ca="1" si="88"/>
        <v>713152.06803702435</v>
      </c>
      <c r="I76" s="62">
        <f t="shared" ca="1" si="89"/>
        <v>91470.548907758319</v>
      </c>
      <c r="J76" s="62">
        <f t="shared" ca="1" si="70"/>
        <v>94995471.856028825</v>
      </c>
      <c r="K76" s="55"/>
      <c r="L76" s="62">
        <f t="shared" ca="1" si="90"/>
        <v>71690405.989838243</v>
      </c>
      <c r="M76" s="68">
        <f ca="1">IF(pdrLossTime1="",OFFSET(Vectors!$AE$6,A76+_Age1,MATCH(SDA_Loss,lstSDA,0)),OFFSET(Vectors!$X$6,A76+_Age1,MATCH(pdrLossTime1,lstDefaultCurve,0)))</f>
        <v>2.7777777777777779E-5</v>
      </c>
      <c r="N76" s="62">
        <f t="shared" ca="1" si="76"/>
        <v>2777.7777777777778</v>
      </c>
      <c r="O76" s="67">
        <f t="shared" ca="1" si="91"/>
        <v>0.94995471856028824</v>
      </c>
      <c r="P76" s="68">
        <f ca="1">OFFSET(Vectors!$L$6,A76+_Age1,MATCH(pdrPrepay1,lstPrepayCurve,0))*pdrPrepayStress1</f>
        <v>5.1430128318229462E-3</v>
      </c>
      <c r="Q76" s="62">
        <f t="shared" ca="1" si="92"/>
        <v>368349.99600459251</v>
      </c>
      <c r="R76" s="62">
        <f t="shared" ca="1" si="93"/>
        <v>68961.168974467349</v>
      </c>
      <c r="S76" s="69">
        <f t="shared" ca="1" si="94"/>
        <v>0.09</v>
      </c>
      <c r="T76" s="62">
        <f t="shared" ca="1" si="95"/>
        <v>537657.21159045352</v>
      </c>
      <c r="U76" s="62">
        <f t="shared" ca="1" si="77"/>
        <v>1111.1111111111111</v>
      </c>
      <c r="V76" s="62">
        <f t="shared" ca="1" si="71"/>
        <v>71250317.047081396</v>
      </c>
      <c r="W76" s="55"/>
      <c r="X76" s="62">
        <f t="shared" ca="1" si="96"/>
        <v>976079.48768062447</v>
      </c>
      <c r="Y76" s="55"/>
      <c r="Z76" s="118" t="b">
        <v>0</v>
      </c>
      <c r="AA76" s="120" t="b">
        <f t="shared" si="78"/>
        <v>0</v>
      </c>
      <c r="AB76" s="120" t="b">
        <f t="shared" si="79"/>
        <v>1</v>
      </c>
      <c r="AC76" s="120" t="b">
        <f t="shared" ca="1" si="80"/>
        <v>0</v>
      </c>
      <c r="AD76" s="121"/>
      <c r="AE76" s="129">
        <v>41699414.01892627</v>
      </c>
      <c r="AF76" s="69">
        <f ca="1">IF(Swap_Active="No",0,OFFSET(Vectors!$D$6,Vectors!A76,MATCH(Swap_In,lstInterestRates,0)))</f>
        <v>6.9369000000000056E-2</v>
      </c>
      <c r="AG76" s="62">
        <f t="shared" ca="1" si="97"/>
        <v>241053.88758990823</v>
      </c>
      <c r="AH76" s="69">
        <f ca="1">IF(Swap_Active="No",0,OFFSET(Vectors!$D$6,Vectors!A76,MATCH(Swap_Out,lstInterestRates,0)))</f>
        <v>0.04</v>
      </c>
      <c r="AI76" s="62">
        <f t="shared" ca="1" si="98"/>
        <v>138998.04672975422</v>
      </c>
      <c r="AJ76" s="62">
        <f t="shared" ca="1" si="99"/>
        <v>102055.84086015401</v>
      </c>
      <c r="AK76" s="62">
        <f t="shared" ca="1" si="100"/>
        <v>1078135.3285407785</v>
      </c>
      <c r="AL76" s="121"/>
      <c r="AM76" s="123">
        <f t="shared" ca="1" si="81"/>
        <v>140419.73332641501</v>
      </c>
      <c r="AN76" s="124">
        <f t="shared" ca="1" si="101"/>
        <v>140419.73332641501</v>
      </c>
      <c r="AO76" s="125">
        <f t="shared" ca="1" si="102"/>
        <v>0</v>
      </c>
      <c r="AP76" s="123">
        <f t="shared" ca="1" si="103"/>
        <v>937715.59521436342</v>
      </c>
      <c r="AQ76" s="121"/>
      <c r="AR76" s="126">
        <f ca="1">IF(LiabIntType1="Fixed",LiabFxdRate1,OFFSET(Vectors!$D$6,Vectors!A76,MATCH(LiabLoanIndex1,lstInterestRates,0))+LiabMarg1)</f>
        <v>7.9369000000000051E-2</v>
      </c>
      <c r="AS76" s="122">
        <f t="shared" ca="1" si="104"/>
        <v>332329.48520768963</v>
      </c>
      <c r="AT76" s="124">
        <f t="shared" ca="1" si="105"/>
        <v>332329.48520768963</v>
      </c>
      <c r="AU76" s="123">
        <f t="shared" ca="1" si="106"/>
        <v>0</v>
      </c>
      <c r="AV76" s="123">
        <f t="shared" ca="1" si="82"/>
        <v>0</v>
      </c>
      <c r="AW76" s="123">
        <f t="shared" ca="1" si="107"/>
        <v>0</v>
      </c>
      <c r="AX76" s="124">
        <f t="shared" ca="1" si="108"/>
        <v>605386.11000667373</v>
      </c>
      <c r="AY76" s="121"/>
      <c r="AZ76" s="122">
        <f t="shared" ca="1" si="83"/>
        <v>605386.11000667373</v>
      </c>
      <c r="BA76" s="124">
        <f t="shared" ca="1" si="109"/>
        <v>605386.11000667373</v>
      </c>
      <c r="BB76" s="123">
        <f t="shared" ca="1" si="110"/>
        <v>0</v>
      </c>
      <c r="BC76" s="123">
        <f t="shared" ca="1" si="84"/>
        <v>0</v>
      </c>
      <c r="BD76" s="123">
        <f t="shared" ca="1" si="111"/>
        <v>0</v>
      </c>
      <c r="BE76" s="124">
        <f t="shared" ca="1" si="112"/>
        <v>0</v>
      </c>
      <c r="BF76" s="121"/>
      <c r="BG76" s="123">
        <f t="shared" si="85"/>
        <v>1000000</v>
      </c>
      <c r="BH76" s="123">
        <f t="shared" ca="1" si="113"/>
        <v>1000000</v>
      </c>
      <c r="BI76" s="123">
        <f t="shared" ca="1" si="114"/>
        <v>0</v>
      </c>
      <c r="BJ76" s="123">
        <f t="shared" ca="1" si="115"/>
        <v>0</v>
      </c>
      <c r="BK76" s="123">
        <f t="shared" ca="1" si="72"/>
        <v>1000000</v>
      </c>
      <c r="BL76" s="123">
        <f t="shared" ca="1" si="116"/>
        <v>0</v>
      </c>
      <c r="BM76" s="121"/>
      <c r="BN76" s="126">
        <f ca="1">IF(LiabIntType2="Fixed",LiabFxdRate2,OFFSET(Vectors!$D$6,Vectors!A76,MATCH(LiabLoanIndex2,lstInterestRates,0))+LiabMarg2)</f>
        <v>0.04</v>
      </c>
      <c r="BO76" s="122">
        <f t="shared" ca="1" si="117"/>
        <v>34119.905847872607</v>
      </c>
      <c r="BP76" s="124">
        <f t="shared" ca="1" si="118"/>
        <v>0</v>
      </c>
      <c r="BQ76" s="123">
        <f t="shared" ca="1" si="119"/>
        <v>34119.905847872607</v>
      </c>
      <c r="BR76" s="123">
        <f t="shared" ca="1" si="120"/>
        <v>0</v>
      </c>
      <c r="BS76" s="121"/>
      <c r="BT76" s="123">
        <f t="shared" ca="1" si="86"/>
        <v>45121.930800647147</v>
      </c>
      <c r="BU76" s="123">
        <f t="shared" ca="1" si="121"/>
        <v>0</v>
      </c>
      <c r="BV76" s="123">
        <f t="shared" ca="1" si="122"/>
        <v>45121.930800647147</v>
      </c>
      <c r="BW76" s="123">
        <f t="shared" ca="1" si="123"/>
        <v>0</v>
      </c>
      <c r="BX76" s="121"/>
      <c r="BY76" s="123">
        <f t="shared" si="124"/>
        <v>0</v>
      </c>
      <c r="BZ76" s="123">
        <f t="shared" ca="1" si="125"/>
        <v>0</v>
      </c>
      <c r="CA76" s="121"/>
      <c r="CB76" s="122">
        <f t="shared" ca="1" si="73"/>
        <v>49640349.914036378</v>
      </c>
      <c r="CC76" s="122">
        <f t="shared" ca="1" si="126"/>
        <v>332329.48520768963</v>
      </c>
      <c r="CD76" s="124">
        <f t="shared" ca="1" si="127"/>
        <v>605386.11000667373</v>
      </c>
      <c r="CE76" s="121"/>
      <c r="CF76" s="122">
        <f t="shared" ca="1" si="74"/>
        <v>10235971.754361782</v>
      </c>
      <c r="CG76" s="124">
        <f t="shared" ca="1" si="128"/>
        <v>0</v>
      </c>
      <c r="CH76" s="123">
        <f t="shared" ca="1" si="129"/>
        <v>0</v>
      </c>
      <c r="CI76" s="121"/>
      <c r="CJ76" s="123">
        <f t="shared" ca="1" si="130"/>
        <v>1217133.3752705327</v>
      </c>
      <c r="CK76" s="123">
        <f t="shared" ca="1" si="131"/>
        <v>1217133.3752705327</v>
      </c>
      <c r="CL76" s="123">
        <f t="shared" ca="1" si="132"/>
        <v>0</v>
      </c>
      <c r="CM76" s="121"/>
      <c r="CN76" s="62">
        <f t="shared" ca="1" si="133"/>
        <v>440088.94275683758</v>
      </c>
      <c r="CO76" s="62" t="b">
        <f t="shared" si="134"/>
        <v>1</v>
      </c>
      <c r="CP76" s="126">
        <f t="shared" ca="1" si="135"/>
        <v>1.944444444444447E-3</v>
      </c>
      <c r="CQ76" s="120"/>
      <c r="CR76" s="120"/>
      <c r="CS76" s="120"/>
      <c r="CT76" s="120"/>
      <c r="CU76" s="120"/>
      <c r="CV76" s="120"/>
      <c r="CW76" s="120"/>
      <c r="CX76" s="120"/>
      <c r="CY76" s="120"/>
      <c r="CZ76" s="120"/>
      <c r="DA76" s="120"/>
      <c r="DB76" s="120"/>
      <c r="DC76" s="120"/>
      <c r="DD76" s="120"/>
      <c r="DE76" s="116"/>
      <c r="DF76" s="116"/>
      <c r="DG76" s="116"/>
      <c r="DH76" s="116"/>
      <c r="DI76" s="116"/>
      <c r="DJ76" s="116"/>
      <c r="DK76" s="116"/>
      <c r="DL76" s="116"/>
      <c r="DM76" s="116"/>
      <c r="DN76" s="116"/>
    </row>
    <row r="77" spans="1:118" x14ac:dyDescent="0.2">
      <c r="A77" s="27">
        <v>71</v>
      </c>
      <c r="B77" s="29">
        <f t="shared" si="68"/>
        <v>41275</v>
      </c>
      <c r="C77" s="30">
        <f t="shared" si="69"/>
        <v>8.3333333333333329E-2</v>
      </c>
      <c r="D77" s="55"/>
      <c r="E77" s="62">
        <f t="shared" ca="1" si="87"/>
        <v>94995471.856028825</v>
      </c>
      <c r="F77" s="63">
        <f ca="1">IF(AssetIntType1="Fixed",AssetFxdRate1,IF(A77=1,OFFSET(Vectors!$D$6,A77,MATCH(AssetFltIndx1,lstInterestRates,0)),IF(MOD($A77,AssetRateReset1)=0,MAX(MIN(OFFSET(Vectors!$D$6,A77,MATCH(AssetFltIndx1,lstInterestRates,0)),(F76-AssetMarg1)+AssetPdCapFl1,AssetLifeCap1-AssetMarg1),(F76-AssetMarg1)-AssetPdCapFl1,AssetLifeFloor1-AssetMarg1),F76)))+AssetMarg1</f>
        <v>0.09</v>
      </c>
      <c r="G77" s="62">
        <f t="shared" ca="1" si="75"/>
        <v>804622.61694478267</v>
      </c>
      <c r="H77" s="62">
        <f t="shared" ca="1" si="88"/>
        <v>712466.03892021615</v>
      </c>
      <c r="I77" s="62">
        <f t="shared" ca="1" si="89"/>
        <v>92156.578024566523</v>
      </c>
      <c r="J77" s="62">
        <f t="shared" ca="1" si="70"/>
        <v>94903315.278004259</v>
      </c>
      <c r="K77" s="55"/>
      <c r="L77" s="62">
        <f t="shared" ca="1" si="90"/>
        <v>71250317.047081396</v>
      </c>
      <c r="M77" s="68">
        <f ca="1">IF(pdrLossTime1="",OFFSET(Vectors!$AE$6,A77+_Age1,MATCH(SDA_Loss,lstSDA,0)),OFFSET(Vectors!$X$6,A77+_Age1,MATCH(pdrLossTime1,lstDefaultCurve,0)))</f>
        <v>2.7777777777777779E-5</v>
      </c>
      <c r="N77" s="62">
        <f t="shared" ca="1" si="76"/>
        <v>2777.7777777777778</v>
      </c>
      <c r="O77" s="67">
        <f t="shared" ca="1" si="91"/>
        <v>0.94903315278004263</v>
      </c>
      <c r="P77" s="68">
        <f ca="1">OFFSET(Vectors!$L$6,A77+_Age1,MATCH(pdrPrepay1,lstPrepayCurve,0))*pdrPrepayStress1</f>
        <v>5.1430128318229462E-3</v>
      </c>
      <c r="Q77" s="62">
        <f t="shared" ca="1" si="92"/>
        <v>366085.80447099957</v>
      </c>
      <c r="R77" s="62">
        <f t="shared" ca="1" si="93"/>
        <v>69118.340942402458</v>
      </c>
      <c r="S77" s="69">
        <f t="shared" ca="1" si="94"/>
        <v>0.09</v>
      </c>
      <c r="T77" s="62">
        <f t="shared" ca="1" si="95"/>
        <v>534356.54451977718</v>
      </c>
      <c r="U77" s="62">
        <f t="shared" ca="1" si="77"/>
        <v>1111.1111111111111</v>
      </c>
      <c r="V77" s="62">
        <f t="shared" ca="1" si="71"/>
        <v>70812335.123890221</v>
      </c>
      <c r="W77" s="55"/>
      <c r="X77" s="62">
        <f t="shared" ca="1" si="96"/>
        <v>970671.8010442903</v>
      </c>
      <c r="Y77" s="55"/>
      <c r="Z77" s="118" t="b">
        <v>0</v>
      </c>
      <c r="AA77" s="120" t="b">
        <f t="shared" si="78"/>
        <v>0</v>
      </c>
      <c r="AB77" s="120" t="b">
        <f t="shared" si="79"/>
        <v>1</v>
      </c>
      <c r="AC77" s="120" t="b">
        <f t="shared" ca="1" si="80"/>
        <v>0</v>
      </c>
      <c r="AD77" s="121"/>
      <c r="AE77" s="129">
        <v>41178871.106373064</v>
      </c>
      <c r="AF77" s="69">
        <f ca="1">IF(Swap_Active="No",0,OFFSET(Vectors!$D$6,Vectors!A77,MATCH(Swap_In,lstInterestRates,0)))</f>
        <v>6.9369000000000056E-2</v>
      </c>
      <c r="AG77" s="62">
        <f t="shared" ca="1" si="97"/>
        <v>238044.75914816628</v>
      </c>
      <c r="AH77" s="69">
        <f ca="1">IF(Swap_Active="No",0,OFFSET(Vectors!$D$6,Vectors!A77,MATCH(Swap_Out,lstInterestRates,0)))</f>
        <v>0.04</v>
      </c>
      <c r="AI77" s="62">
        <f t="shared" ca="1" si="98"/>
        <v>137262.90368791021</v>
      </c>
      <c r="AJ77" s="62">
        <f t="shared" ca="1" si="99"/>
        <v>100781.85546025608</v>
      </c>
      <c r="AK77" s="62">
        <f t="shared" ca="1" si="100"/>
        <v>1071453.6565045463</v>
      </c>
      <c r="AL77" s="121"/>
      <c r="AM77" s="123">
        <f t="shared" ca="1" si="81"/>
        <v>139434.0075426508</v>
      </c>
      <c r="AN77" s="124">
        <f t="shared" ca="1" si="101"/>
        <v>139434.0075426508</v>
      </c>
      <c r="AO77" s="125">
        <f t="shared" ca="1" si="102"/>
        <v>0</v>
      </c>
      <c r="AP77" s="123">
        <f t="shared" ca="1" si="103"/>
        <v>932019.64896189549</v>
      </c>
      <c r="AQ77" s="121"/>
      <c r="AR77" s="126">
        <f ca="1">IF(LiabIntType1="Fixed",LiabFxdRate1,OFFSET(Vectors!$D$6,Vectors!A77,MATCH(LiabLoanIndex1,lstInterestRates,0))+LiabMarg1)</f>
        <v>7.9369000000000051E-2</v>
      </c>
      <c r="AS77" s="122">
        <f t="shared" ca="1" si="104"/>
        <v>328325.41102726298</v>
      </c>
      <c r="AT77" s="124">
        <f t="shared" ca="1" si="105"/>
        <v>328325.41102726298</v>
      </c>
      <c r="AU77" s="123">
        <f t="shared" ca="1" si="106"/>
        <v>0</v>
      </c>
      <c r="AV77" s="123">
        <f t="shared" ca="1" si="82"/>
        <v>0</v>
      </c>
      <c r="AW77" s="123">
        <f t="shared" ca="1" si="107"/>
        <v>0</v>
      </c>
      <c r="AX77" s="124">
        <f t="shared" ca="1" si="108"/>
        <v>603694.23793463246</v>
      </c>
      <c r="AY77" s="121"/>
      <c r="AZ77" s="122">
        <f t="shared" ca="1" si="83"/>
        <v>603694.23793463246</v>
      </c>
      <c r="BA77" s="124">
        <f t="shared" ca="1" si="109"/>
        <v>603694.23793463246</v>
      </c>
      <c r="BB77" s="123">
        <f t="shared" ca="1" si="110"/>
        <v>0</v>
      </c>
      <c r="BC77" s="123">
        <f t="shared" ca="1" si="84"/>
        <v>0</v>
      </c>
      <c r="BD77" s="123">
        <f t="shared" ca="1" si="111"/>
        <v>0</v>
      </c>
      <c r="BE77" s="124">
        <f t="shared" ca="1" si="112"/>
        <v>0</v>
      </c>
      <c r="BF77" s="121"/>
      <c r="BG77" s="123">
        <f t="shared" si="85"/>
        <v>1000000</v>
      </c>
      <c r="BH77" s="123">
        <f t="shared" ca="1" si="113"/>
        <v>1000000</v>
      </c>
      <c r="BI77" s="123">
        <f t="shared" ca="1" si="114"/>
        <v>0</v>
      </c>
      <c r="BJ77" s="123">
        <f t="shared" ca="1" si="115"/>
        <v>0</v>
      </c>
      <c r="BK77" s="123">
        <f t="shared" ca="1" si="72"/>
        <v>1000000</v>
      </c>
      <c r="BL77" s="123">
        <f t="shared" ca="1" si="116"/>
        <v>0</v>
      </c>
      <c r="BM77" s="121"/>
      <c r="BN77" s="126">
        <f ca="1">IF(LiabIntType2="Fixed",LiabFxdRate2,OFFSET(Vectors!$D$6,Vectors!A77,MATCH(LiabLoanIndex2,lstInterestRates,0))+LiabMarg2)</f>
        <v>0.04</v>
      </c>
      <c r="BO77" s="122">
        <f t="shared" ca="1" si="117"/>
        <v>34119.905847872607</v>
      </c>
      <c r="BP77" s="124">
        <f t="shared" ca="1" si="118"/>
        <v>0</v>
      </c>
      <c r="BQ77" s="123">
        <f t="shared" ca="1" si="119"/>
        <v>34119.905847872607</v>
      </c>
      <c r="BR77" s="123">
        <f t="shared" ca="1" si="120"/>
        <v>0</v>
      </c>
      <c r="BS77" s="121"/>
      <c r="BT77" s="123">
        <f t="shared" ca="1" si="86"/>
        <v>44905.899944607772</v>
      </c>
      <c r="BU77" s="123">
        <f t="shared" ca="1" si="121"/>
        <v>0</v>
      </c>
      <c r="BV77" s="123">
        <f t="shared" ca="1" si="122"/>
        <v>44905.899944607772</v>
      </c>
      <c r="BW77" s="123">
        <f t="shared" ca="1" si="123"/>
        <v>0</v>
      </c>
      <c r="BX77" s="121"/>
      <c r="BY77" s="123">
        <f t="shared" si="124"/>
        <v>0</v>
      </c>
      <c r="BZ77" s="123">
        <f t="shared" ca="1" si="125"/>
        <v>0</v>
      </c>
      <c r="CA77" s="121"/>
      <c r="CB77" s="122">
        <f t="shared" ca="1" si="73"/>
        <v>49036655.676101744</v>
      </c>
      <c r="CC77" s="122">
        <f t="shared" ca="1" si="126"/>
        <v>328325.41102726298</v>
      </c>
      <c r="CD77" s="124">
        <f t="shared" ca="1" si="127"/>
        <v>603694.23793463246</v>
      </c>
      <c r="CE77" s="121"/>
      <c r="CF77" s="122">
        <f t="shared" ca="1" si="74"/>
        <v>10235971.754361782</v>
      </c>
      <c r="CG77" s="124">
        <f t="shared" ca="1" si="128"/>
        <v>0</v>
      </c>
      <c r="CH77" s="123">
        <f t="shared" ca="1" si="129"/>
        <v>0</v>
      </c>
      <c r="CI77" s="121"/>
      <c r="CJ77" s="123">
        <f t="shared" ca="1" si="130"/>
        <v>1208716.5601924565</v>
      </c>
      <c r="CK77" s="123">
        <f t="shared" ca="1" si="131"/>
        <v>1208716.5601924565</v>
      </c>
      <c r="CL77" s="123">
        <f t="shared" ca="1" si="132"/>
        <v>0</v>
      </c>
      <c r="CM77" s="121"/>
      <c r="CN77" s="62">
        <f t="shared" ca="1" si="133"/>
        <v>437981.92319117975</v>
      </c>
      <c r="CO77" s="62" t="b">
        <f t="shared" si="134"/>
        <v>1</v>
      </c>
      <c r="CP77" s="126">
        <f t="shared" ca="1" si="135"/>
        <v>1.9722222222222246E-3</v>
      </c>
      <c r="CQ77" s="120"/>
      <c r="CR77" s="120"/>
      <c r="CS77" s="120"/>
      <c r="CT77" s="120"/>
      <c r="CU77" s="120"/>
      <c r="CV77" s="120"/>
      <c r="CW77" s="120"/>
      <c r="CX77" s="120"/>
      <c r="CY77" s="120"/>
      <c r="CZ77" s="120"/>
      <c r="DA77" s="120"/>
      <c r="DB77" s="120"/>
      <c r="DC77" s="120"/>
      <c r="DD77" s="120"/>
      <c r="DE77" s="116"/>
      <c r="DF77" s="116"/>
      <c r="DG77" s="116"/>
      <c r="DH77" s="116"/>
      <c r="DI77" s="116"/>
      <c r="DJ77" s="116"/>
      <c r="DK77" s="116"/>
      <c r="DL77" s="116"/>
      <c r="DM77" s="116"/>
      <c r="DN77" s="116"/>
    </row>
    <row r="78" spans="1:118" x14ac:dyDescent="0.2">
      <c r="A78" s="27">
        <v>72</v>
      </c>
      <c r="B78" s="29">
        <f t="shared" si="68"/>
        <v>41306</v>
      </c>
      <c r="C78" s="30">
        <f t="shared" si="69"/>
        <v>8.3333333333333329E-2</v>
      </c>
      <c r="D78" s="55"/>
      <c r="E78" s="62">
        <f t="shared" ca="1" si="87"/>
        <v>94903315.278004259</v>
      </c>
      <c r="F78" s="63">
        <f ca="1">IF(AssetIntType1="Fixed",AssetFxdRate1,IF(A78=1,OFFSET(Vectors!$D$6,A78,MATCH(AssetFltIndx1,lstInterestRates,0)),IF(MOD($A78,AssetRateReset1)=0,MAX(MIN(OFFSET(Vectors!$D$6,A78,MATCH(AssetFltIndx1,lstInterestRates,0)),(F77-AssetMarg1)+AssetPdCapFl1,AssetLifeCap1-AssetMarg1),(F77-AssetMarg1)-AssetPdCapFl1,AssetLifeFloor1-AssetMarg1),F77)))+AssetMarg1</f>
        <v>0.09</v>
      </c>
      <c r="G78" s="62">
        <f t="shared" ca="1" si="75"/>
        <v>804622.61694478267</v>
      </c>
      <c r="H78" s="62">
        <f t="shared" ca="1" si="88"/>
        <v>711774.86458503187</v>
      </c>
      <c r="I78" s="62">
        <f t="shared" ca="1" si="89"/>
        <v>92847.752359750797</v>
      </c>
      <c r="J78" s="62">
        <f t="shared" ca="1" si="70"/>
        <v>94810467.525644511</v>
      </c>
      <c r="K78" s="55"/>
      <c r="L78" s="62">
        <f t="shared" ca="1" si="90"/>
        <v>70812335.123890221</v>
      </c>
      <c r="M78" s="68">
        <f ca="1">IF(pdrLossTime1="",OFFSET(Vectors!$AE$6,A78+_Age1,MATCH(SDA_Loss,lstSDA,0)),OFFSET(Vectors!$X$6,A78+_Age1,MATCH(pdrLossTime1,lstDefaultCurve,0)))</f>
        <v>2.7777777777777779E-5</v>
      </c>
      <c r="N78" s="62">
        <f t="shared" ca="1" si="76"/>
        <v>2777.7777777777778</v>
      </c>
      <c r="O78" s="67">
        <f t="shared" ca="1" si="91"/>
        <v>0.94810467525644515</v>
      </c>
      <c r="P78" s="68">
        <f ca="1">OFFSET(Vectors!$L$6,A78+_Age1,MATCH(pdrPrepay1,lstPrepayCurve,0))*pdrPrepayStress1</f>
        <v>5.1430128318229462E-3</v>
      </c>
      <c r="Q78" s="62">
        <f t="shared" ca="1" si="92"/>
        <v>363832.44760901475</v>
      </c>
      <c r="R78" s="62">
        <f t="shared" ca="1" si="93"/>
        <v>69275.854335714685</v>
      </c>
      <c r="S78" s="69">
        <f t="shared" ca="1" si="94"/>
        <v>0.09</v>
      </c>
      <c r="T78" s="62">
        <f t="shared" ca="1" si="95"/>
        <v>531071.68009584327</v>
      </c>
      <c r="U78" s="62">
        <f t="shared" ca="1" si="77"/>
        <v>1111.1111111111111</v>
      </c>
      <c r="V78" s="62">
        <f t="shared" ca="1" si="71"/>
        <v>70376449.044167727</v>
      </c>
      <c r="W78" s="55"/>
      <c r="X78" s="62">
        <f t="shared" ca="1" si="96"/>
        <v>965291.0931516838</v>
      </c>
      <c r="Y78" s="55"/>
      <c r="Z78" s="118" t="b">
        <v>0</v>
      </c>
      <c r="AA78" s="120" t="b">
        <f t="shared" si="78"/>
        <v>0</v>
      </c>
      <c r="AB78" s="120" t="b">
        <f t="shared" si="79"/>
        <v>1</v>
      </c>
      <c r="AC78" s="120" t="b">
        <f t="shared" ca="1" si="80"/>
        <v>0</v>
      </c>
      <c r="AD78" s="121"/>
      <c r="AE78" s="129">
        <v>40663650.175592206</v>
      </c>
      <c r="AF78" s="69">
        <f ca="1">IF(Swap_Active="No",0,OFFSET(Vectors!$D$6,Vectors!A78,MATCH(Swap_In,lstInterestRates,0)))</f>
        <v>6.9369000000000056E-2</v>
      </c>
      <c r="AG78" s="62">
        <f t="shared" ca="1" si="97"/>
        <v>235066.39575255482</v>
      </c>
      <c r="AH78" s="69">
        <f ca="1">IF(Swap_Active="No",0,OFFSET(Vectors!$D$6,Vectors!A78,MATCH(Swap_Out,lstInterestRates,0)))</f>
        <v>0.04</v>
      </c>
      <c r="AI78" s="62">
        <f t="shared" ca="1" si="98"/>
        <v>135545.50058530737</v>
      </c>
      <c r="AJ78" s="62">
        <f t="shared" ca="1" si="99"/>
        <v>99520.89516724745</v>
      </c>
      <c r="AK78" s="62">
        <f t="shared" ca="1" si="100"/>
        <v>1064811.9883189313</v>
      </c>
      <c r="AL78" s="121"/>
      <c r="AM78" s="123">
        <f t="shared" ca="1" si="81"/>
        <v>138452.49840485942</v>
      </c>
      <c r="AN78" s="124">
        <f t="shared" ca="1" si="101"/>
        <v>138452.49840485942</v>
      </c>
      <c r="AO78" s="125">
        <f t="shared" ca="1" si="102"/>
        <v>0</v>
      </c>
      <c r="AP78" s="123">
        <f t="shared" ca="1" si="103"/>
        <v>926359.48991407186</v>
      </c>
      <c r="AQ78" s="121"/>
      <c r="AR78" s="126">
        <f ca="1">IF(LiabIntType1="Fixed",LiabFxdRate1,OFFSET(Vectors!$D$6,Vectors!A78,MATCH(LiabLoanIndex1,lstInterestRates,0))+LiabMarg1)</f>
        <v>7.9369000000000051E-2</v>
      </c>
      <c r="AS78" s="122">
        <f t="shared" ca="1" si="104"/>
        <v>324332.52702971012</v>
      </c>
      <c r="AT78" s="124">
        <f t="shared" ca="1" si="105"/>
        <v>324332.52702971012</v>
      </c>
      <c r="AU78" s="123">
        <f t="shared" ca="1" si="106"/>
        <v>0</v>
      </c>
      <c r="AV78" s="123">
        <f t="shared" ca="1" si="82"/>
        <v>0</v>
      </c>
      <c r="AW78" s="123">
        <f t="shared" ca="1" si="107"/>
        <v>0</v>
      </c>
      <c r="AX78" s="124">
        <f t="shared" ca="1" si="108"/>
        <v>602026.96288436174</v>
      </c>
      <c r="AY78" s="121"/>
      <c r="AZ78" s="122">
        <f t="shared" ca="1" si="83"/>
        <v>602026.96288436174</v>
      </c>
      <c r="BA78" s="124">
        <f t="shared" ca="1" si="109"/>
        <v>602026.96288436174</v>
      </c>
      <c r="BB78" s="123">
        <f t="shared" ca="1" si="110"/>
        <v>0</v>
      </c>
      <c r="BC78" s="123">
        <f t="shared" ca="1" si="84"/>
        <v>0</v>
      </c>
      <c r="BD78" s="123">
        <f t="shared" ca="1" si="111"/>
        <v>0</v>
      </c>
      <c r="BE78" s="124">
        <f t="shared" ca="1" si="112"/>
        <v>0</v>
      </c>
      <c r="BF78" s="121"/>
      <c r="BG78" s="123">
        <f t="shared" si="85"/>
        <v>1000000</v>
      </c>
      <c r="BH78" s="123">
        <f t="shared" ca="1" si="113"/>
        <v>1000000</v>
      </c>
      <c r="BI78" s="123">
        <f t="shared" ca="1" si="114"/>
        <v>0</v>
      </c>
      <c r="BJ78" s="123">
        <f t="shared" ca="1" si="115"/>
        <v>0</v>
      </c>
      <c r="BK78" s="123">
        <f t="shared" ca="1" si="72"/>
        <v>1000000</v>
      </c>
      <c r="BL78" s="123">
        <f t="shared" ca="1" si="116"/>
        <v>0</v>
      </c>
      <c r="BM78" s="121"/>
      <c r="BN78" s="126">
        <f ca="1">IF(LiabIntType2="Fixed",LiabFxdRate2,OFFSET(Vectors!$D$6,Vectors!A78,MATCH(LiabLoanIndex2,lstInterestRates,0))+LiabMarg2)</f>
        <v>0.04</v>
      </c>
      <c r="BO78" s="122">
        <f t="shared" ca="1" si="117"/>
        <v>34119.905847872607</v>
      </c>
      <c r="BP78" s="124">
        <f t="shared" ca="1" si="118"/>
        <v>0</v>
      </c>
      <c r="BQ78" s="123">
        <f t="shared" ca="1" si="119"/>
        <v>34119.905847872607</v>
      </c>
      <c r="BR78" s="123">
        <f t="shared" ca="1" si="120"/>
        <v>0</v>
      </c>
      <c r="BS78" s="121"/>
      <c r="BT78" s="123">
        <f t="shared" ca="1" si="86"/>
        <v>44691.014963926296</v>
      </c>
      <c r="BU78" s="123">
        <f t="shared" ca="1" si="121"/>
        <v>0</v>
      </c>
      <c r="BV78" s="123">
        <f t="shared" ca="1" si="122"/>
        <v>44691.014963926296</v>
      </c>
      <c r="BW78" s="123">
        <f t="shared" ca="1" si="123"/>
        <v>0</v>
      </c>
      <c r="BX78" s="121"/>
      <c r="BY78" s="123">
        <f t="shared" si="124"/>
        <v>0</v>
      </c>
      <c r="BZ78" s="123">
        <f t="shared" ca="1" si="125"/>
        <v>0</v>
      </c>
      <c r="CA78" s="121"/>
      <c r="CB78" s="122">
        <f t="shared" ca="1" si="73"/>
        <v>48434628.713217385</v>
      </c>
      <c r="CC78" s="122">
        <f t="shared" ca="1" si="126"/>
        <v>324332.52702971012</v>
      </c>
      <c r="CD78" s="124">
        <f t="shared" ca="1" si="127"/>
        <v>602026.96288436174</v>
      </c>
      <c r="CE78" s="121"/>
      <c r="CF78" s="122">
        <f t="shared" ca="1" si="74"/>
        <v>10235971.754361782</v>
      </c>
      <c r="CG78" s="124">
        <f t="shared" ca="1" si="128"/>
        <v>0</v>
      </c>
      <c r="CH78" s="123">
        <f t="shared" ca="1" si="129"/>
        <v>0</v>
      </c>
      <c r="CI78" s="121"/>
      <c r="CJ78" s="123">
        <f t="shared" ca="1" si="130"/>
        <v>1200357.4889042387</v>
      </c>
      <c r="CK78" s="123">
        <f t="shared" ca="1" si="131"/>
        <v>1200357.4889042387</v>
      </c>
      <c r="CL78" s="123">
        <f t="shared" ca="1" si="132"/>
        <v>0</v>
      </c>
      <c r="CM78" s="121"/>
      <c r="CN78" s="62">
        <f t="shared" ca="1" si="133"/>
        <v>435886.07972250716</v>
      </c>
      <c r="CO78" s="62" t="b">
        <f t="shared" si="134"/>
        <v>1</v>
      </c>
      <c r="CP78" s="126">
        <f t="shared" ca="1" si="135"/>
        <v>2.0000000000000022E-3</v>
      </c>
      <c r="CQ78" s="120"/>
      <c r="CR78" s="120"/>
      <c r="CS78" s="120"/>
      <c r="CT78" s="120"/>
      <c r="CU78" s="120"/>
      <c r="CV78" s="120"/>
      <c r="CW78" s="120"/>
      <c r="CX78" s="120"/>
      <c r="CY78" s="120"/>
      <c r="CZ78" s="120"/>
      <c r="DA78" s="120"/>
      <c r="DB78" s="120"/>
      <c r="DC78" s="120"/>
      <c r="DD78" s="120"/>
      <c r="DE78" s="116"/>
      <c r="DF78" s="116"/>
      <c r="DG78" s="116"/>
      <c r="DH78" s="116"/>
      <c r="DI78" s="116"/>
      <c r="DJ78" s="116"/>
      <c r="DK78" s="116"/>
      <c r="DL78" s="116"/>
      <c r="DM78" s="116"/>
      <c r="DN78" s="116"/>
    </row>
    <row r="79" spans="1:118" x14ac:dyDescent="0.2">
      <c r="A79" s="27">
        <v>73</v>
      </c>
      <c r="B79" s="29">
        <f t="shared" si="68"/>
        <v>41334</v>
      </c>
      <c r="C79" s="30">
        <f t="shared" si="69"/>
        <v>8.3333333333333329E-2</v>
      </c>
      <c r="D79" s="55"/>
      <c r="E79" s="62">
        <f t="shared" ca="1" si="87"/>
        <v>94810467.525644511</v>
      </c>
      <c r="F79" s="63">
        <f ca="1">IF(AssetIntType1="Fixed",AssetFxdRate1,IF(A79=1,OFFSET(Vectors!$D$6,A79,MATCH(AssetFltIndx1,lstInterestRates,0)),IF(MOD($A79,AssetRateReset1)=0,MAX(MIN(OFFSET(Vectors!$D$6,A79,MATCH(AssetFltIndx1,lstInterestRates,0)),(F78-AssetMarg1)+AssetPdCapFl1,AssetLifeCap1-AssetMarg1),(F78-AssetMarg1)-AssetPdCapFl1,AssetLifeFloor1-AssetMarg1),F78)))+AssetMarg1</f>
        <v>0.09</v>
      </c>
      <c r="G79" s="62">
        <f t="shared" ca="1" si="75"/>
        <v>804622.61694478267</v>
      </c>
      <c r="H79" s="62">
        <f t="shared" ca="1" si="88"/>
        <v>711078.5064423338</v>
      </c>
      <c r="I79" s="62">
        <f t="shared" ca="1" si="89"/>
        <v>93544.110502448864</v>
      </c>
      <c r="J79" s="62">
        <f t="shared" ca="1" si="70"/>
        <v>94716923.415142059</v>
      </c>
      <c r="K79" s="55"/>
      <c r="L79" s="62">
        <f t="shared" ca="1" si="90"/>
        <v>70376449.044167727</v>
      </c>
      <c r="M79" s="68">
        <f ca="1">IF(pdrLossTime1="",OFFSET(Vectors!$AE$6,A79+_Age1,MATCH(SDA_Loss,lstSDA,0)),OFFSET(Vectors!$X$6,A79+_Age1,MATCH(pdrLossTime1,lstDefaultCurve,0)))</f>
        <v>2.7777777777777779E-5</v>
      </c>
      <c r="N79" s="62">
        <f t="shared" ca="1" si="76"/>
        <v>2777.7777777777778</v>
      </c>
      <c r="O79" s="67">
        <f t="shared" ca="1" si="91"/>
        <v>0.94716923415142062</v>
      </c>
      <c r="P79" s="68">
        <f ca="1">OFFSET(Vectors!$L$6,A79+_Age1,MATCH(pdrPrepay1,lstPrepayCurve,0))*pdrPrepayStress1</f>
        <v>5.1430128318229462E-3</v>
      </c>
      <c r="Q79" s="62">
        <f t="shared" ca="1" si="92"/>
        <v>361589.86793686246</v>
      </c>
      <c r="R79" s="62">
        <f t="shared" ca="1" si="93"/>
        <v>69433.709728582719</v>
      </c>
      <c r="S79" s="69">
        <f t="shared" ca="1" si="94"/>
        <v>0.09</v>
      </c>
      <c r="T79" s="62">
        <f t="shared" ca="1" si="95"/>
        <v>527802.53449792461</v>
      </c>
      <c r="U79" s="62">
        <f t="shared" ca="1" si="77"/>
        <v>1111.1111111111111</v>
      </c>
      <c r="V79" s="62">
        <f t="shared" ca="1" si="71"/>
        <v>69942647.688724503</v>
      </c>
      <c r="W79" s="55"/>
      <c r="X79" s="62">
        <f t="shared" ca="1" si="96"/>
        <v>959937.2232744809</v>
      </c>
      <c r="Y79" s="55"/>
      <c r="Z79" s="118" t="b">
        <v>0</v>
      </c>
      <c r="AA79" s="120" t="b">
        <f t="shared" si="78"/>
        <v>0</v>
      </c>
      <c r="AB79" s="120" t="b">
        <f t="shared" si="79"/>
        <v>1</v>
      </c>
      <c r="AC79" s="120" t="b">
        <f t="shared" ca="1" si="80"/>
        <v>0</v>
      </c>
      <c r="AD79" s="121"/>
      <c r="AE79" s="129">
        <v>40153697.706642918</v>
      </c>
      <c r="AF79" s="69">
        <f ca="1">IF(Swap_Active="No",0,OFFSET(Vectors!$D$6,Vectors!A79,MATCH(Swap_In,lstInterestRates,0)))</f>
        <v>6.9369000000000056E-2</v>
      </c>
      <c r="AG79" s="62">
        <f t="shared" ca="1" si="97"/>
        <v>232118.48801767622</v>
      </c>
      <c r="AH79" s="69">
        <f ca="1">IF(Swap_Active="No",0,OFFSET(Vectors!$D$6,Vectors!A79,MATCH(Swap_Out,lstInterestRates,0)))</f>
        <v>0.04</v>
      </c>
      <c r="AI79" s="62">
        <f t="shared" ca="1" si="98"/>
        <v>133845.65902214305</v>
      </c>
      <c r="AJ79" s="62">
        <f t="shared" ca="1" si="99"/>
        <v>98272.828995533171</v>
      </c>
      <c r="AK79" s="62">
        <f t="shared" ca="1" si="100"/>
        <v>1058210.0522700141</v>
      </c>
      <c r="AL79" s="121"/>
      <c r="AM79" s="123">
        <f t="shared" ca="1" si="81"/>
        <v>137475.17703745345</v>
      </c>
      <c r="AN79" s="124">
        <f t="shared" ca="1" si="101"/>
        <v>137475.17703745345</v>
      </c>
      <c r="AO79" s="125">
        <f t="shared" ca="1" si="102"/>
        <v>0</v>
      </c>
      <c r="AP79" s="123">
        <f t="shared" ca="1" si="103"/>
        <v>920734.87523256056</v>
      </c>
      <c r="AQ79" s="121"/>
      <c r="AR79" s="126">
        <f ca="1">IF(LiabIntType1="Fixed",LiabFxdRate1,OFFSET(Vectors!$D$6,Vectors!A79,MATCH(LiabLoanIndex1,lstInterestRates,0))+LiabMarg1)</f>
        <v>7.9369000000000051E-2</v>
      </c>
      <c r="AS79" s="122">
        <f t="shared" ca="1" si="104"/>
        <v>320350.67052827938</v>
      </c>
      <c r="AT79" s="124">
        <f t="shared" ca="1" si="105"/>
        <v>320350.67052827938</v>
      </c>
      <c r="AU79" s="123">
        <f t="shared" ca="1" si="106"/>
        <v>0</v>
      </c>
      <c r="AV79" s="123">
        <f t="shared" ca="1" si="82"/>
        <v>0</v>
      </c>
      <c r="AW79" s="123">
        <f t="shared" ca="1" si="107"/>
        <v>0</v>
      </c>
      <c r="AX79" s="124">
        <f t="shared" ca="1" si="108"/>
        <v>600384.20470428118</v>
      </c>
      <c r="AY79" s="121"/>
      <c r="AZ79" s="122">
        <f t="shared" ca="1" si="83"/>
        <v>600384.20470428118</v>
      </c>
      <c r="BA79" s="124">
        <f t="shared" ca="1" si="109"/>
        <v>600384.20470428118</v>
      </c>
      <c r="BB79" s="123">
        <f t="shared" ca="1" si="110"/>
        <v>0</v>
      </c>
      <c r="BC79" s="123">
        <f t="shared" ca="1" si="84"/>
        <v>0</v>
      </c>
      <c r="BD79" s="123">
        <f t="shared" ca="1" si="111"/>
        <v>0</v>
      </c>
      <c r="BE79" s="124">
        <f t="shared" ca="1" si="112"/>
        <v>0</v>
      </c>
      <c r="BF79" s="121"/>
      <c r="BG79" s="123">
        <f t="shared" si="85"/>
        <v>1000000</v>
      </c>
      <c r="BH79" s="123">
        <f t="shared" ca="1" si="113"/>
        <v>1000000</v>
      </c>
      <c r="BI79" s="123">
        <f t="shared" ca="1" si="114"/>
        <v>0</v>
      </c>
      <c r="BJ79" s="123">
        <f t="shared" ca="1" si="115"/>
        <v>0</v>
      </c>
      <c r="BK79" s="123">
        <f t="shared" ca="1" si="72"/>
        <v>1000000</v>
      </c>
      <c r="BL79" s="123">
        <f t="shared" ca="1" si="116"/>
        <v>0</v>
      </c>
      <c r="BM79" s="121"/>
      <c r="BN79" s="126">
        <f ca="1">IF(LiabIntType2="Fixed",LiabFxdRate2,OFFSET(Vectors!$D$6,Vectors!A79,MATCH(LiabLoanIndex2,lstInterestRates,0))+LiabMarg2)</f>
        <v>0.04</v>
      </c>
      <c r="BO79" s="122">
        <f t="shared" ca="1" si="117"/>
        <v>34119.905847872607</v>
      </c>
      <c r="BP79" s="124">
        <f t="shared" ca="1" si="118"/>
        <v>0</v>
      </c>
      <c r="BQ79" s="123">
        <f t="shared" ca="1" si="119"/>
        <v>34119.905847872607</v>
      </c>
      <c r="BR79" s="123">
        <f t="shared" ca="1" si="120"/>
        <v>0</v>
      </c>
      <c r="BS79" s="121"/>
      <c r="BT79" s="123">
        <f t="shared" ca="1" si="86"/>
        <v>44477.270023917052</v>
      </c>
      <c r="BU79" s="123">
        <f t="shared" ca="1" si="121"/>
        <v>0</v>
      </c>
      <c r="BV79" s="123">
        <f t="shared" ca="1" si="122"/>
        <v>44477.270023917052</v>
      </c>
      <c r="BW79" s="123">
        <f t="shared" ca="1" si="123"/>
        <v>0</v>
      </c>
      <c r="BX79" s="121"/>
      <c r="BY79" s="123">
        <f t="shared" si="124"/>
        <v>0</v>
      </c>
      <c r="BZ79" s="123">
        <f t="shared" ca="1" si="125"/>
        <v>0</v>
      </c>
      <c r="CA79" s="121"/>
      <c r="CB79" s="122">
        <f t="shared" ca="1" si="73"/>
        <v>47834244.5085131</v>
      </c>
      <c r="CC79" s="122">
        <f t="shared" ca="1" si="126"/>
        <v>320350.67052827938</v>
      </c>
      <c r="CD79" s="124">
        <f t="shared" ca="1" si="127"/>
        <v>600384.20470428118</v>
      </c>
      <c r="CE79" s="121"/>
      <c r="CF79" s="122">
        <f t="shared" ca="1" si="74"/>
        <v>10235971.754361782</v>
      </c>
      <c r="CG79" s="124">
        <f t="shared" ca="1" si="128"/>
        <v>0</v>
      </c>
      <c r="CH79" s="123">
        <f t="shared" ca="1" si="129"/>
        <v>0</v>
      </c>
      <c r="CI79" s="121"/>
      <c r="CJ79" s="123">
        <f t="shared" ca="1" si="130"/>
        <v>1192055.7112921572</v>
      </c>
      <c r="CK79" s="123">
        <f t="shared" ca="1" si="131"/>
        <v>1192055.7112921569</v>
      </c>
      <c r="CL79" s="123">
        <f t="shared" ca="1" si="132"/>
        <v>0</v>
      </c>
      <c r="CM79" s="121"/>
      <c r="CN79" s="62">
        <f t="shared" ca="1" si="133"/>
        <v>433801.35544322291</v>
      </c>
      <c r="CO79" s="62" t="b">
        <f t="shared" si="134"/>
        <v>1</v>
      </c>
      <c r="CP79" s="126">
        <f t="shared" ca="1" si="135"/>
        <v>2.0277777777777798E-3</v>
      </c>
      <c r="CQ79" s="120"/>
      <c r="CR79" s="120"/>
      <c r="CS79" s="120"/>
      <c r="CT79" s="120"/>
      <c r="CU79" s="120"/>
      <c r="CV79" s="120"/>
      <c r="CW79" s="120"/>
      <c r="CX79" s="120"/>
      <c r="CY79" s="120"/>
      <c r="CZ79" s="120"/>
      <c r="DA79" s="120"/>
      <c r="DB79" s="120"/>
      <c r="DC79" s="120"/>
      <c r="DD79" s="120"/>
      <c r="DE79" s="116"/>
      <c r="DF79" s="116"/>
      <c r="DG79" s="116"/>
      <c r="DH79" s="116"/>
      <c r="DI79" s="116"/>
      <c r="DJ79" s="116"/>
      <c r="DK79" s="116"/>
      <c r="DL79" s="116"/>
      <c r="DM79" s="116"/>
      <c r="DN79" s="116"/>
    </row>
    <row r="80" spans="1:118" x14ac:dyDescent="0.2">
      <c r="A80" s="27">
        <v>74</v>
      </c>
      <c r="B80" s="29">
        <f t="shared" si="68"/>
        <v>41365</v>
      </c>
      <c r="C80" s="30">
        <f t="shared" si="69"/>
        <v>8.3333333333333329E-2</v>
      </c>
      <c r="D80" s="55"/>
      <c r="E80" s="62">
        <f t="shared" ca="1" si="87"/>
        <v>94716923.415142059</v>
      </c>
      <c r="F80" s="63">
        <f ca="1">IF(AssetIntType1="Fixed",AssetFxdRate1,IF(A80=1,OFFSET(Vectors!$D$6,A80,MATCH(AssetFltIndx1,lstInterestRates,0)),IF(MOD($A80,AssetRateReset1)=0,MAX(MIN(OFFSET(Vectors!$D$6,A80,MATCH(AssetFltIndx1,lstInterestRates,0)),(F79-AssetMarg1)+AssetPdCapFl1,AssetLifeCap1-AssetMarg1),(F79-AssetMarg1)-AssetPdCapFl1,AssetLifeFloor1-AssetMarg1),F79)))+AssetMarg1</f>
        <v>0.09</v>
      </c>
      <c r="G80" s="62">
        <f t="shared" ca="1" si="75"/>
        <v>804622.61694478267</v>
      </c>
      <c r="H80" s="62">
        <f t="shared" ca="1" si="88"/>
        <v>710376.92561356537</v>
      </c>
      <c r="I80" s="62">
        <f t="shared" ca="1" si="89"/>
        <v>94245.691331217298</v>
      </c>
      <c r="J80" s="62">
        <f t="shared" ca="1" si="70"/>
        <v>94622677.723810837</v>
      </c>
      <c r="K80" s="55"/>
      <c r="L80" s="62">
        <f t="shared" ca="1" si="90"/>
        <v>69942647.688724503</v>
      </c>
      <c r="M80" s="68">
        <f ca="1">IF(pdrLossTime1="",OFFSET(Vectors!$AE$6,A80+_Age1,MATCH(SDA_Loss,lstSDA,0)),OFFSET(Vectors!$X$6,A80+_Age1,MATCH(pdrLossTime1,lstDefaultCurve,0)))</f>
        <v>2.7777777777777779E-5</v>
      </c>
      <c r="N80" s="62">
        <f t="shared" ca="1" si="76"/>
        <v>2777.7777777777778</v>
      </c>
      <c r="O80" s="67">
        <f t="shared" ca="1" si="91"/>
        <v>0.94622677723810833</v>
      </c>
      <c r="P80" s="68">
        <f ca="1">OFFSET(Vectors!$L$6,A80+_Age1,MATCH(pdrPrepay1,lstPrepayCurve,0))*pdrPrepayStress1</f>
        <v>5.1430128318229462E-3</v>
      </c>
      <c r="Q80" s="62">
        <f t="shared" ca="1" si="92"/>
        <v>359358.00826544914</v>
      </c>
      <c r="R80" s="62">
        <f t="shared" ca="1" si="93"/>
        <v>69591.907694077367</v>
      </c>
      <c r="S80" s="69">
        <f t="shared" ca="1" si="94"/>
        <v>0.09</v>
      </c>
      <c r="T80" s="62">
        <f t="shared" ca="1" si="95"/>
        <v>524549.02433210041</v>
      </c>
      <c r="U80" s="62">
        <f t="shared" ca="1" si="77"/>
        <v>1111.1111111111111</v>
      </c>
      <c r="V80" s="62">
        <f t="shared" ca="1" si="71"/>
        <v>69510919.994987205</v>
      </c>
      <c r="W80" s="55"/>
      <c r="X80" s="62">
        <f t="shared" ca="1" si="96"/>
        <v>954610.05140273797</v>
      </c>
      <c r="Y80" s="55"/>
      <c r="Z80" s="118" t="b">
        <v>0</v>
      </c>
      <c r="AA80" s="120" t="b">
        <f t="shared" si="78"/>
        <v>0</v>
      </c>
      <c r="AB80" s="120" t="b">
        <f t="shared" si="79"/>
        <v>1</v>
      </c>
      <c r="AC80" s="120" t="b">
        <f t="shared" ca="1" si="80"/>
        <v>0</v>
      </c>
      <c r="AD80" s="121"/>
      <c r="AE80" s="129">
        <v>39648960.715556629</v>
      </c>
      <c r="AF80" s="69">
        <f ca="1">IF(Swap_Active="No",0,OFFSET(Vectors!$D$6,Vectors!A80,MATCH(Swap_In,lstInterestRates,0)))</f>
        <v>6.9369000000000056E-2</v>
      </c>
      <c r="AG80" s="62">
        <f t="shared" ca="1" si="97"/>
        <v>229200.72965645418</v>
      </c>
      <c r="AH80" s="69">
        <f ca="1">IF(Swap_Active="No",0,OFFSET(Vectors!$D$6,Vectors!A80,MATCH(Swap_Out,lstInterestRates,0)))</f>
        <v>0.04</v>
      </c>
      <c r="AI80" s="62">
        <f t="shared" ca="1" si="98"/>
        <v>132163.20238518875</v>
      </c>
      <c r="AJ80" s="62">
        <f t="shared" ca="1" si="99"/>
        <v>97037.527271265426</v>
      </c>
      <c r="AK80" s="62">
        <f t="shared" ca="1" si="100"/>
        <v>1051647.5786740035</v>
      </c>
      <c r="AL80" s="121"/>
      <c r="AM80" s="123">
        <f t="shared" ca="1" si="81"/>
        <v>136502.01469308796</v>
      </c>
      <c r="AN80" s="124">
        <f t="shared" ca="1" si="101"/>
        <v>136502.01469308796</v>
      </c>
      <c r="AO80" s="125">
        <f t="shared" ca="1" si="102"/>
        <v>0</v>
      </c>
      <c r="AP80" s="123">
        <f t="shared" ca="1" si="103"/>
        <v>915145.56398091558</v>
      </c>
      <c r="AQ80" s="121"/>
      <c r="AR80" s="126">
        <f ca="1">IF(LiabIntType1="Fixed",LiabFxdRate1,OFFSET(Vectors!$D$6,Vectors!A80,MATCH(LiabLoanIndex1,lstInterestRates,0))+LiabMarg1)</f>
        <v>7.9369000000000051E-2</v>
      </c>
      <c r="AS80" s="122">
        <f t="shared" ca="1" si="104"/>
        <v>316379.67936634819</v>
      </c>
      <c r="AT80" s="124">
        <f t="shared" ca="1" si="105"/>
        <v>316379.67936634819</v>
      </c>
      <c r="AU80" s="123">
        <f t="shared" ca="1" si="106"/>
        <v>0</v>
      </c>
      <c r="AV80" s="123">
        <f t="shared" ca="1" si="82"/>
        <v>0</v>
      </c>
      <c r="AW80" s="123">
        <f t="shared" ca="1" si="107"/>
        <v>0</v>
      </c>
      <c r="AX80" s="124">
        <f t="shared" ca="1" si="108"/>
        <v>598765.88461456739</v>
      </c>
      <c r="AY80" s="121"/>
      <c r="AZ80" s="122">
        <f t="shared" ca="1" si="83"/>
        <v>598765.88461456739</v>
      </c>
      <c r="BA80" s="124">
        <f t="shared" ca="1" si="109"/>
        <v>598765.88461456739</v>
      </c>
      <c r="BB80" s="123">
        <f t="shared" ca="1" si="110"/>
        <v>0</v>
      </c>
      <c r="BC80" s="123">
        <f t="shared" ca="1" si="84"/>
        <v>0</v>
      </c>
      <c r="BD80" s="123">
        <f t="shared" ca="1" si="111"/>
        <v>0</v>
      </c>
      <c r="BE80" s="124">
        <f t="shared" ca="1" si="112"/>
        <v>0</v>
      </c>
      <c r="BF80" s="121"/>
      <c r="BG80" s="123">
        <f t="shared" si="85"/>
        <v>1000000</v>
      </c>
      <c r="BH80" s="123">
        <f t="shared" ca="1" si="113"/>
        <v>1000000</v>
      </c>
      <c r="BI80" s="123">
        <f t="shared" ca="1" si="114"/>
        <v>0</v>
      </c>
      <c r="BJ80" s="123">
        <f t="shared" ca="1" si="115"/>
        <v>0</v>
      </c>
      <c r="BK80" s="123">
        <f t="shared" ca="1" si="72"/>
        <v>1000000</v>
      </c>
      <c r="BL80" s="123">
        <f t="shared" ca="1" si="116"/>
        <v>0</v>
      </c>
      <c r="BM80" s="121"/>
      <c r="BN80" s="126">
        <f ca="1">IF(LiabIntType2="Fixed",LiabFxdRate2,OFFSET(Vectors!$D$6,Vectors!A80,MATCH(LiabLoanIndex2,lstInterestRates,0))+LiabMarg2)</f>
        <v>0.04</v>
      </c>
      <c r="BO80" s="122">
        <f t="shared" ca="1" si="117"/>
        <v>34119.905847872607</v>
      </c>
      <c r="BP80" s="124">
        <f t="shared" ca="1" si="118"/>
        <v>0</v>
      </c>
      <c r="BQ80" s="123">
        <f t="shared" ca="1" si="119"/>
        <v>34119.905847872607</v>
      </c>
      <c r="BR80" s="123">
        <f t="shared" ca="1" si="120"/>
        <v>0</v>
      </c>
      <c r="BS80" s="121"/>
      <c r="BT80" s="123">
        <f t="shared" ca="1" si="86"/>
        <v>44264.6593197892</v>
      </c>
      <c r="BU80" s="123">
        <f t="shared" ca="1" si="121"/>
        <v>0</v>
      </c>
      <c r="BV80" s="123">
        <f t="shared" ca="1" si="122"/>
        <v>44264.6593197892</v>
      </c>
      <c r="BW80" s="123">
        <f t="shared" ca="1" si="123"/>
        <v>0</v>
      </c>
      <c r="BX80" s="121"/>
      <c r="BY80" s="123">
        <f t="shared" si="124"/>
        <v>0</v>
      </c>
      <c r="BZ80" s="123">
        <f t="shared" ca="1" si="125"/>
        <v>0</v>
      </c>
      <c r="CA80" s="121"/>
      <c r="CB80" s="122">
        <f t="shared" ca="1" si="73"/>
        <v>47235478.623898536</v>
      </c>
      <c r="CC80" s="122">
        <f t="shared" ca="1" si="126"/>
        <v>316379.67936634819</v>
      </c>
      <c r="CD80" s="124">
        <f t="shared" ca="1" si="127"/>
        <v>598765.88461456739</v>
      </c>
      <c r="CE80" s="121"/>
      <c r="CF80" s="122">
        <f t="shared" ca="1" si="74"/>
        <v>10235971.754361782</v>
      </c>
      <c r="CG80" s="124">
        <f t="shared" ca="1" si="128"/>
        <v>0</v>
      </c>
      <c r="CH80" s="123">
        <f t="shared" ca="1" si="129"/>
        <v>0</v>
      </c>
      <c r="CI80" s="121"/>
      <c r="CJ80" s="123">
        <f t="shared" ca="1" si="130"/>
        <v>1183810.781059192</v>
      </c>
      <c r="CK80" s="123">
        <f t="shared" ca="1" si="131"/>
        <v>1183810.7810591923</v>
      </c>
      <c r="CL80" s="123">
        <f t="shared" ca="1" si="132"/>
        <v>0</v>
      </c>
      <c r="CM80" s="121"/>
      <c r="CN80" s="62">
        <f t="shared" ca="1" si="133"/>
        <v>431727.69373730425</v>
      </c>
      <c r="CO80" s="62" t="b">
        <f t="shared" si="134"/>
        <v>1</v>
      </c>
      <c r="CP80" s="126">
        <f t="shared" ca="1" si="135"/>
        <v>2.0555555555555574E-3</v>
      </c>
      <c r="CQ80" s="120"/>
      <c r="CR80" s="120"/>
      <c r="CS80" s="120"/>
      <c r="CT80" s="120"/>
      <c r="CU80" s="120"/>
      <c r="CV80" s="120"/>
      <c r="CW80" s="120"/>
      <c r="CX80" s="120"/>
      <c r="CY80" s="120"/>
      <c r="CZ80" s="120"/>
      <c r="DA80" s="120"/>
      <c r="DB80" s="120"/>
      <c r="DC80" s="120"/>
      <c r="DD80" s="120"/>
      <c r="DE80" s="116"/>
      <c r="DF80" s="116"/>
      <c r="DG80" s="116"/>
      <c r="DH80" s="116"/>
      <c r="DI80" s="116"/>
      <c r="DJ80" s="116"/>
      <c r="DK80" s="116"/>
      <c r="DL80" s="116"/>
      <c r="DM80" s="116"/>
      <c r="DN80" s="116"/>
    </row>
    <row r="81" spans="1:118" x14ac:dyDescent="0.2">
      <c r="A81" s="27">
        <v>75</v>
      </c>
      <c r="B81" s="29">
        <f t="shared" si="68"/>
        <v>41395</v>
      </c>
      <c r="C81" s="30">
        <f t="shared" si="69"/>
        <v>8.3333333333333329E-2</v>
      </c>
      <c r="D81" s="55"/>
      <c r="E81" s="62">
        <f t="shared" ca="1" si="87"/>
        <v>94622677.723810837</v>
      </c>
      <c r="F81" s="63">
        <f ca="1">IF(AssetIntType1="Fixed",AssetFxdRate1,IF(A81=1,OFFSET(Vectors!$D$6,A81,MATCH(AssetFltIndx1,lstInterestRates,0)),IF(MOD($A81,AssetRateReset1)=0,MAX(MIN(OFFSET(Vectors!$D$6,A81,MATCH(AssetFltIndx1,lstInterestRates,0)),(F80-AssetMarg1)+AssetPdCapFl1,AssetLifeCap1-AssetMarg1),(F80-AssetMarg1)-AssetPdCapFl1,AssetLifeFloor1-AssetMarg1),F80)))+AssetMarg1</f>
        <v>0.09</v>
      </c>
      <c r="G81" s="62">
        <f t="shared" ca="1" si="75"/>
        <v>804622.61694478267</v>
      </c>
      <c r="H81" s="62">
        <f t="shared" ca="1" si="88"/>
        <v>709670.08292858128</v>
      </c>
      <c r="I81" s="62">
        <f t="shared" ca="1" si="89"/>
        <v>94952.534016201389</v>
      </c>
      <c r="J81" s="62">
        <f t="shared" ca="1" si="70"/>
        <v>94527725.18979463</v>
      </c>
      <c r="K81" s="55"/>
      <c r="L81" s="62">
        <f t="shared" ca="1" si="90"/>
        <v>69510919.994987205</v>
      </c>
      <c r="M81" s="68">
        <f ca="1">IF(pdrLossTime1="",OFFSET(Vectors!$AE$6,A81+_Age1,MATCH(SDA_Loss,lstSDA,0)),OFFSET(Vectors!$X$6,A81+_Age1,MATCH(pdrLossTime1,lstDefaultCurve,0)))</f>
        <v>2.7777777777777779E-5</v>
      </c>
      <c r="N81" s="62">
        <f t="shared" ca="1" si="76"/>
        <v>2777.7777777777778</v>
      </c>
      <c r="O81" s="67">
        <f t="shared" ca="1" si="91"/>
        <v>0.94527725189794631</v>
      </c>
      <c r="P81" s="68">
        <f ca="1">OFFSET(Vectors!$L$6,A81+_Age1,MATCH(pdrPrepay1,lstPrepayCurve,0))*pdrPrepayStress1</f>
        <v>5.1430128318229462E-3</v>
      </c>
      <c r="Q81" s="62">
        <f t="shared" ca="1" si="92"/>
        <v>357136.81169686391</v>
      </c>
      <c r="R81" s="62">
        <f t="shared" ca="1" si="93"/>
        <v>69750.44880411333</v>
      </c>
      <c r="S81" s="69">
        <f t="shared" ca="1" si="94"/>
        <v>0.09</v>
      </c>
      <c r="T81" s="62">
        <f t="shared" ca="1" si="95"/>
        <v>521311.06662907067</v>
      </c>
      <c r="U81" s="62">
        <f t="shared" ca="1" si="77"/>
        <v>1111.1111111111111</v>
      </c>
      <c r="V81" s="62">
        <f t="shared" ca="1" si="71"/>
        <v>69081254.956708461</v>
      </c>
      <c r="W81" s="55"/>
      <c r="X81" s="62">
        <f t="shared" ca="1" si="96"/>
        <v>949309.43824115896</v>
      </c>
      <c r="Y81" s="55"/>
      <c r="Z81" s="118" t="b">
        <v>0</v>
      </c>
      <c r="AA81" s="120" t="b">
        <f t="shared" si="78"/>
        <v>0</v>
      </c>
      <c r="AB81" s="120" t="b">
        <f t="shared" si="79"/>
        <v>1</v>
      </c>
      <c r="AC81" s="120" t="b">
        <f t="shared" ca="1" si="80"/>
        <v>0</v>
      </c>
      <c r="AD81" s="121"/>
      <c r="AE81" s="129">
        <v>39149386.748975292</v>
      </c>
      <c r="AF81" s="69">
        <f ca="1">IF(Swap_Active="No",0,OFFSET(Vectors!$D$6,Vectors!A81,MATCH(Swap_In,lstInterestRates,0)))</f>
        <v>6.9369000000000056E-2</v>
      </c>
      <c r="AG81" s="62">
        <f t="shared" ca="1" si="97"/>
        <v>226312.81744913908</v>
      </c>
      <c r="AH81" s="69">
        <f ca="1">IF(Swap_Active="No",0,OFFSET(Vectors!$D$6,Vectors!A81,MATCH(Swap_Out,lstInterestRates,0)))</f>
        <v>0.04</v>
      </c>
      <c r="AI81" s="62">
        <f t="shared" ca="1" si="98"/>
        <v>130497.95582991764</v>
      </c>
      <c r="AJ81" s="62">
        <f t="shared" ca="1" si="99"/>
        <v>95814.861619221439</v>
      </c>
      <c r="AK81" s="62">
        <f t="shared" ca="1" si="100"/>
        <v>1045124.2998603804</v>
      </c>
      <c r="AL81" s="121"/>
      <c r="AM81" s="123">
        <f t="shared" ca="1" si="81"/>
        <v>135532.98275160306</v>
      </c>
      <c r="AN81" s="124">
        <f t="shared" ca="1" si="101"/>
        <v>135532.98275160306</v>
      </c>
      <c r="AO81" s="125">
        <f t="shared" ca="1" si="102"/>
        <v>0</v>
      </c>
      <c r="AP81" s="123">
        <f t="shared" ca="1" si="103"/>
        <v>909591.31710877735</v>
      </c>
      <c r="AQ81" s="121"/>
      <c r="AR81" s="126">
        <f ca="1">IF(LiabIntType1="Fixed",LiabFxdRate1,OFFSET(Vectors!$D$6,Vectors!A81,MATCH(LiabLoanIndex1,lstInterestRates,0))+LiabMarg1)</f>
        <v>7.9369000000000051E-2</v>
      </c>
      <c r="AS81" s="122">
        <f t="shared" ca="1" si="104"/>
        <v>312419.3919083504</v>
      </c>
      <c r="AT81" s="124">
        <f t="shared" ca="1" si="105"/>
        <v>312419.3919083504</v>
      </c>
      <c r="AU81" s="123">
        <f t="shared" ca="1" si="106"/>
        <v>0</v>
      </c>
      <c r="AV81" s="123">
        <f t="shared" ca="1" si="82"/>
        <v>0</v>
      </c>
      <c r="AW81" s="123">
        <f t="shared" ca="1" si="107"/>
        <v>0</v>
      </c>
      <c r="AX81" s="124">
        <f t="shared" ca="1" si="108"/>
        <v>597171.92520042695</v>
      </c>
      <c r="AY81" s="121"/>
      <c r="AZ81" s="122">
        <f t="shared" ca="1" si="83"/>
        <v>597171.92520042695</v>
      </c>
      <c r="BA81" s="124">
        <f t="shared" ca="1" si="109"/>
        <v>597171.92520042695</v>
      </c>
      <c r="BB81" s="123">
        <f t="shared" ca="1" si="110"/>
        <v>0</v>
      </c>
      <c r="BC81" s="123">
        <f t="shared" ca="1" si="84"/>
        <v>0</v>
      </c>
      <c r="BD81" s="123">
        <f t="shared" ca="1" si="111"/>
        <v>0</v>
      </c>
      <c r="BE81" s="124">
        <f t="shared" ca="1" si="112"/>
        <v>0</v>
      </c>
      <c r="BF81" s="121"/>
      <c r="BG81" s="123">
        <f t="shared" si="85"/>
        <v>1000000</v>
      </c>
      <c r="BH81" s="123">
        <f t="shared" ca="1" si="113"/>
        <v>1000000</v>
      </c>
      <c r="BI81" s="123">
        <f t="shared" ca="1" si="114"/>
        <v>0</v>
      </c>
      <c r="BJ81" s="123">
        <f t="shared" ca="1" si="115"/>
        <v>0</v>
      </c>
      <c r="BK81" s="123">
        <f t="shared" ca="1" si="72"/>
        <v>1000000</v>
      </c>
      <c r="BL81" s="123">
        <f t="shared" ca="1" si="116"/>
        <v>0</v>
      </c>
      <c r="BM81" s="121"/>
      <c r="BN81" s="126">
        <f ca="1">IF(LiabIntType2="Fixed",LiabFxdRate2,OFFSET(Vectors!$D$6,Vectors!A81,MATCH(LiabLoanIndex2,lstInterestRates,0))+LiabMarg2)</f>
        <v>0.04</v>
      </c>
      <c r="BO81" s="122">
        <f t="shared" ca="1" si="117"/>
        <v>34119.905847872607</v>
      </c>
      <c r="BP81" s="124">
        <f t="shared" ca="1" si="118"/>
        <v>0</v>
      </c>
      <c r="BQ81" s="123">
        <f t="shared" ca="1" si="119"/>
        <v>34119.905847872607</v>
      </c>
      <c r="BR81" s="123">
        <f t="shared" ca="1" si="120"/>
        <v>0</v>
      </c>
      <c r="BS81" s="121"/>
      <c r="BT81" s="123">
        <f t="shared" ca="1" si="86"/>
        <v>44053.177076488071</v>
      </c>
      <c r="BU81" s="123">
        <f t="shared" ca="1" si="121"/>
        <v>0</v>
      </c>
      <c r="BV81" s="123">
        <f t="shared" ca="1" si="122"/>
        <v>44053.177076488071</v>
      </c>
      <c r="BW81" s="123">
        <f t="shared" ca="1" si="123"/>
        <v>0</v>
      </c>
      <c r="BX81" s="121"/>
      <c r="BY81" s="123">
        <f t="shared" si="124"/>
        <v>0</v>
      </c>
      <c r="BZ81" s="123">
        <f t="shared" ca="1" si="125"/>
        <v>0</v>
      </c>
      <c r="CA81" s="121"/>
      <c r="CB81" s="122">
        <f t="shared" ca="1" si="73"/>
        <v>46638306.698698111</v>
      </c>
      <c r="CC81" s="122">
        <f t="shared" ca="1" si="126"/>
        <v>312419.3919083504</v>
      </c>
      <c r="CD81" s="124">
        <f t="shared" ca="1" si="127"/>
        <v>597171.92520042695</v>
      </c>
      <c r="CE81" s="121"/>
      <c r="CF81" s="122">
        <f t="shared" ca="1" si="74"/>
        <v>10235971.754361782</v>
      </c>
      <c r="CG81" s="124">
        <f t="shared" ca="1" si="128"/>
        <v>0</v>
      </c>
      <c r="CH81" s="123">
        <f t="shared" ca="1" si="129"/>
        <v>0</v>
      </c>
      <c r="CI81" s="121"/>
      <c r="CJ81" s="123">
        <f t="shared" ca="1" si="130"/>
        <v>1175622.255690298</v>
      </c>
      <c r="CK81" s="123">
        <f t="shared" ca="1" si="131"/>
        <v>1175622.255690298</v>
      </c>
      <c r="CL81" s="123">
        <f t="shared" ca="1" si="132"/>
        <v>0</v>
      </c>
      <c r="CM81" s="121"/>
      <c r="CN81" s="62">
        <f t="shared" ca="1" si="133"/>
        <v>429665.03827875498</v>
      </c>
      <c r="CO81" s="62" t="b">
        <f t="shared" si="134"/>
        <v>1</v>
      </c>
      <c r="CP81" s="126">
        <f t="shared" ca="1" si="135"/>
        <v>2.083333333333335E-3</v>
      </c>
      <c r="CQ81" s="120"/>
      <c r="CR81" s="120"/>
      <c r="CS81" s="120"/>
      <c r="CT81" s="120"/>
      <c r="CU81" s="120"/>
      <c r="CV81" s="120"/>
      <c r="CW81" s="120"/>
      <c r="CX81" s="120"/>
      <c r="CY81" s="120"/>
      <c r="CZ81" s="120"/>
      <c r="DA81" s="120"/>
      <c r="DB81" s="120"/>
      <c r="DC81" s="120"/>
      <c r="DD81" s="120"/>
      <c r="DE81" s="116"/>
      <c r="DF81" s="116"/>
      <c r="DG81" s="116"/>
      <c r="DH81" s="116"/>
      <c r="DI81" s="116"/>
      <c r="DJ81" s="116"/>
      <c r="DK81" s="116"/>
      <c r="DL81" s="116"/>
      <c r="DM81" s="116"/>
      <c r="DN81" s="116"/>
    </row>
    <row r="82" spans="1:118" x14ac:dyDescent="0.2">
      <c r="A82" s="27">
        <v>76</v>
      </c>
      <c r="B82" s="29">
        <f t="shared" si="68"/>
        <v>41426</v>
      </c>
      <c r="C82" s="30">
        <f t="shared" si="69"/>
        <v>8.3333333333333329E-2</v>
      </c>
      <c r="D82" s="55"/>
      <c r="E82" s="62">
        <f t="shared" ca="1" si="87"/>
        <v>94527725.18979463</v>
      </c>
      <c r="F82" s="63">
        <f ca="1">IF(AssetIntType1="Fixed",AssetFxdRate1,IF(A82=1,OFFSET(Vectors!$D$6,A82,MATCH(AssetFltIndx1,lstInterestRates,0)),IF(MOD($A82,AssetRateReset1)=0,MAX(MIN(OFFSET(Vectors!$D$6,A82,MATCH(AssetFltIndx1,lstInterestRates,0)),(F81-AssetMarg1)+AssetPdCapFl1,AssetLifeCap1-AssetMarg1),(F81-AssetMarg1)-AssetPdCapFl1,AssetLifeFloor1-AssetMarg1),F81)))+AssetMarg1</f>
        <v>0.09</v>
      </c>
      <c r="G82" s="62">
        <f t="shared" ca="1" si="75"/>
        <v>804622.61694478267</v>
      </c>
      <c r="H82" s="62">
        <f t="shared" ca="1" si="88"/>
        <v>708957.93892345973</v>
      </c>
      <c r="I82" s="62">
        <f t="shared" ca="1" si="89"/>
        <v>95664.678021322936</v>
      </c>
      <c r="J82" s="62">
        <f t="shared" ca="1" si="70"/>
        <v>94432060.511773303</v>
      </c>
      <c r="K82" s="55"/>
      <c r="L82" s="62">
        <f t="shared" ca="1" si="90"/>
        <v>69081254.956708461</v>
      </c>
      <c r="M82" s="68">
        <f ca="1">IF(pdrLossTime1="",OFFSET(Vectors!$AE$6,A82+_Age1,MATCH(SDA_Loss,lstSDA,0)),OFFSET(Vectors!$X$6,A82+_Age1,MATCH(pdrLossTime1,lstDefaultCurve,0)))</f>
        <v>2.7777777777777779E-5</v>
      </c>
      <c r="N82" s="62">
        <f t="shared" ca="1" si="76"/>
        <v>2777.7777777777778</v>
      </c>
      <c r="O82" s="67">
        <f t="shared" ca="1" si="91"/>
        <v>0.94432060511773308</v>
      </c>
      <c r="P82" s="68">
        <f ca="1">OFFSET(Vectors!$L$6,A82+_Age1,MATCH(pdrPrepay1,lstPrepayCurve,0))*pdrPrepayStress1</f>
        <v>5.1430128318229462E-3</v>
      </c>
      <c r="Q82" s="62">
        <f t="shared" ca="1" si="92"/>
        <v>354926.22162288724</v>
      </c>
      <c r="R82" s="62">
        <f t="shared" ca="1" si="93"/>
        <v>69909.33362944203</v>
      </c>
      <c r="S82" s="69">
        <f t="shared" ca="1" si="94"/>
        <v>0.09</v>
      </c>
      <c r="T82" s="62">
        <f t="shared" ca="1" si="95"/>
        <v>518088.57884198014</v>
      </c>
      <c r="U82" s="62">
        <f t="shared" ca="1" si="77"/>
        <v>1111.1111111111111</v>
      </c>
      <c r="V82" s="62">
        <f t="shared" ca="1" si="71"/>
        <v>68653641.623678356</v>
      </c>
      <c r="W82" s="55"/>
      <c r="X82" s="62">
        <f t="shared" ca="1" si="96"/>
        <v>944035.24520542054</v>
      </c>
      <c r="Y82" s="55"/>
      <c r="Z82" s="118" t="b">
        <v>0</v>
      </c>
      <c r="AA82" s="120" t="b">
        <f t="shared" si="78"/>
        <v>0</v>
      </c>
      <c r="AB82" s="120" t="b">
        <f t="shared" si="79"/>
        <v>1</v>
      </c>
      <c r="AC82" s="120" t="b">
        <f t="shared" ca="1" si="80"/>
        <v>0</v>
      </c>
      <c r="AD82" s="121"/>
      <c r="AE82" s="129">
        <v>38654923.878843278</v>
      </c>
      <c r="AF82" s="69">
        <f ca="1">IF(Swap_Active="No",0,OFFSET(Vectors!$D$6,Vectors!A82,MATCH(Swap_In,lstInterestRates,0)))</f>
        <v>6.9369000000000056E-2</v>
      </c>
      <c r="AG82" s="62">
        <f t="shared" ca="1" si="97"/>
        <v>223454.45121262345</v>
      </c>
      <c r="AH82" s="69">
        <f ca="1">IF(Swap_Active="No",0,OFFSET(Vectors!$D$6,Vectors!A82,MATCH(Swap_Out,lstInterestRates,0)))</f>
        <v>0.04</v>
      </c>
      <c r="AI82" s="62">
        <f t="shared" ca="1" si="98"/>
        <v>128849.74626281092</v>
      </c>
      <c r="AJ82" s="62">
        <f t="shared" ca="1" si="99"/>
        <v>94604.704949812527</v>
      </c>
      <c r="AK82" s="62">
        <f t="shared" ca="1" si="100"/>
        <v>1038639.950155233</v>
      </c>
      <c r="AL82" s="121"/>
      <c r="AM82" s="123">
        <f t="shared" ca="1" si="81"/>
        <v>134568.05271897165</v>
      </c>
      <c r="AN82" s="124">
        <f t="shared" ca="1" si="101"/>
        <v>134568.05271897165</v>
      </c>
      <c r="AO82" s="125">
        <f t="shared" ca="1" si="102"/>
        <v>0</v>
      </c>
      <c r="AP82" s="123">
        <f t="shared" ca="1" si="103"/>
        <v>904071.89743626141</v>
      </c>
      <c r="AQ82" s="121"/>
      <c r="AR82" s="126">
        <f ca="1">IF(LiabIntType1="Fixed",LiabFxdRate1,OFFSET(Vectors!$D$6,Vectors!A82,MATCH(LiabLoanIndex1,lstInterestRates,0))+LiabMarg1)</f>
        <v>7.9369000000000051E-2</v>
      </c>
      <c r="AS82" s="122">
        <f t="shared" ca="1" si="104"/>
        <v>308469.64703074773</v>
      </c>
      <c r="AT82" s="124">
        <f t="shared" ca="1" si="105"/>
        <v>308469.64703074773</v>
      </c>
      <c r="AU82" s="123">
        <f t="shared" ca="1" si="106"/>
        <v>0</v>
      </c>
      <c r="AV82" s="123">
        <f t="shared" ca="1" si="82"/>
        <v>0</v>
      </c>
      <c r="AW82" s="123">
        <f t="shared" ca="1" si="107"/>
        <v>0</v>
      </c>
      <c r="AX82" s="124">
        <f t="shared" ca="1" si="108"/>
        <v>595602.25040551368</v>
      </c>
      <c r="AY82" s="121"/>
      <c r="AZ82" s="122">
        <f t="shared" ca="1" si="83"/>
        <v>595602.25040551368</v>
      </c>
      <c r="BA82" s="124">
        <f t="shared" ca="1" si="109"/>
        <v>595602.25040551368</v>
      </c>
      <c r="BB82" s="123">
        <f t="shared" ca="1" si="110"/>
        <v>0</v>
      </c>
      <c r="BC82" s="123">
        <f t="shared" ca="1" si="84"/>
        <v>0</v>
      </c>
      <c r="BD82" s="123">
        <f t="shared" ca="1" si="111"/>
        <v>0</v>
      </c>
      <c r="BE82" s="124">
        <f t="shared" ca="1" si="112"/>
        <v>0</v>
      </c>
      <c r="BF82" s="121"/>
      <c r="BG82" s="123">
        <f t="shared" si="85"/>
        <v>1000000</v>
      </c>
      <c r="BH82" s="123">
        <f t="shared" ca="1" si="113"/>
        <v>1000000</v>
      </c>
      <c r="BI82" s="123">
        <f t="shared" ca="1" si="114"/>
        <v>0</v>
      </c>
      <c r="BJ82" s="123">
        <f t="shared" ca="1" si="115"/>
        <v>0</v>
      </c>
      <c r="BK82" s="123">
        <f t="shared" ca="1" si="72"/>
        <v>1000000</v>
      </c>
      <c r="BL82" s="123">
        <f t="shared" ca="1" si="116"/>
        <v>0</v>
      </c>
      <c r="BM82" s="121"/>
      <c r="BN82" s="126">
        <f ca="1">IF(LiabIntType2="Fixed",LiabFxdRate2,OFFSET(Vectors!$D$6,Vectors!A82,MATCH(LiabLoanIndex2,lstInterestRates,0))+LiabMarg2)</f>
        <v>0.04</v>
      </c>
      <c r="BO82" s="122">
        <f t="shared" ca="1" si="117"/>
        <v>34119.905847872607</v>
      </c>
      <c r="BP82" s="124">
        <f t="shared" ca="1" si="118"/>
        <v>0</v>
      </c>
      <c r="BQ82" s="123">
        <f t="shared" ca="1" si="119"/>
        <v>34119.905847872607</v>
      </c>
      <c r="BR82" s="123">
        <f t="shared" ca="1" si="120"/>
        <v>0</v>
      </c>
      <c r="BS82" s="121"/>
      <c r="BT82" s="123">
        <f t="shared" ca="1" si="86"/>
        <v>43842.817548541541</v>
      </c>
      <c r="BU82" s="123">
        <f t="shared" ca="1" si="121"/>
        <v>0</v>
      </c>
      <c r="BV82" s="123">
        <f t="shared" ca="1" si="122"/>
        <v>43842.817548541541</v>
      </c>
      <c r="BW82" s="123">
        <f t="shared" ca="1" si="123"/>
        <v>0</v>
      </c>
      <c r="BX82" s="121"/>
      <c r="BY82" s="123">
        <f t="shared" si="124"/>
        <v>0</v>
      </c>
      <c r="BZ82" s="123">
        <f t="shared" ca="1" si="125"/>
        <v>0</v>
      </c>
      <c r="CA82" s="121"/>
      <c r="CB82" s="122">
        <f t="shared" ca="1" si="73"/>
        <v>46042704.448292598</v>
      </c>
      <c r="CC82" s="122">
        <f t="shared" ca="1" si="126"/>
        <v>308469.64703074773</v>
      </c>
      <c r="CD82" s="124">
        <f t="shared" ca="1" si="127"/>
        <v>595602.25040551368</v>
      </c>
      <c r="CE82" s="121"/>
      <c r="CF82" s="122">
        <f t="shared" ca="1" si="74"/>
        <v>10235971.754361782</v>
      </c>
      <c r="CG82" s="124">
        <f t="shared" ca="1" si="128"/>
        <v>0</v>
      </c>
      <c r="CH82" s="123">
        <f t="shared" ca="1" si="129"/>
        <v>0</v>
      </c>
      <c r="CI82" s="121"/>
      <c r="CJ82" s="123">
        <f t="shared" ca="1" si="130"/>
        <v>1167489.6964180439</v>
      </c>
      <c r="CK82" s="123">
        <f t="shared" ca="1" si="131"/>
        <v>1167489.6964180439</v>
      </c>
      <c r="CL82" s="123">
        <f t="shared" ca="1" si="132"/>
        <v>0</v>
      </c>
      <c r="CM82" s="121"/>
      <c r="CN82" s="62">
        <f t="shared" ca="1" si="133"/>
        <v>427613.33303010702</v>
      </c>
      <c r="CO82" s="62" t="b">
        <f t="shared" si="134"/>
        <v>1</v>
      </c>
      <c r="CP82" s="126">
        <f t="shared" ca="1" si="135"/>
        <v>2.1111111111111126E-3</v>
      </c>
      <c r="CQ82" s="120"/>
      <c r="CR82" s="120"/>
      <c r="CS82" s="120"/>
      <c r="CT82" s="120"/>
      <c r="CU82" s="120"/>
      <c r="CV82" s="120"/>
      <c r="CW82" s="120"/>
      <c r="CX82" s="120"/>
      <c r="CY82" s="120"/>
      <c r="CZ82" s="120"/>
      <c r="DA82" s="120"/>
      <c r="DB82" s="120"/>
      <c r="DC82" s="120"/>
      <c r="DD82" s="120"/>
      <c r="DE82" s="116"/>
      <c r="DF82" s="116"/>
      <c r="DG82" s="116"/>
      <c r="DH82" s="116"/>
      <c r="DI82" s="116"/>
      <c r="DJ82" s="116"/>
      <c r="DK82" s="116"/>
      <c r="DL82" s="116"/>
      <c r="DM82" s="116"/>
      <c r="DN82" s="116"/>
    </row>
    <row r="83" spans="1:118" x14ac:dyDescent="0.2">
      <c r="A83" s="27">
        <v>77</v>
      </c>
      <c r="B83" s="29">
        <f t="shared" si="68"/>
        <v>41456</v>
      </c>
      <c r="C83" s="30">
        <f t="shared" si="69"/>
        <v>8.3333333333333329E-2</v>
      </c>
      <c r="D83" s="55"/>
      <c r="E83" s="62">
        <f t="shared" ca="1" si="87"/>
        <v>94432060.511773303</v>
      </c>
      <c r="F83" s="63">
        <f ca="1">IF(AssetIntType1="Fixed",AssetFxdRate1,IF(A83=1,OFFSET(Vectors!$D$6,A83,MATCH(AssetFltIndx1,lstInterestRates,0)),IF(MOD($A83,AssetRateReset1)=0,MAX(MIN(OFFSET(Vectors!$D$6,A83,MATCH(AssetFltIndx1,lstInterestRates,0)),(F82-AssetMarg1)+AssetPdCapFl1,AssetLifeCap1-AssetMarg1),(F82-AssetMarg1)-AssetPdCapFl1,AssetLifeFloor1-AssetMarg1),F82)))+AssetMarg1</f>
        <v>0.09</v>
      </c>
      <c r="G83" s="62">
        <f t="shared" ca="1" si="75"/>
        <v>804622.61694478267</v>
      </c>
      <c r="H83" s="62">
        <f t="shared" ca="1" si="88"/>
        <v>708240.45383829973</v>
      </c>
      <c r="I83" s="62">
        <f t="shared" ca="1" si="89"/>
        <v>96382.163106482942</v>
      </c>
      <c r="J83" s="62">
        <f t="shared" ca="1" si="70"/>
        <v>94335678.348666817</v>
      </c>
      <c r="K83" s="55"/>
      <c r="L83" s="62">
        <f t="shared" ca="1" si="90"/>
        <v>68653641.623678356</v>
      </c>
      <c r="M83" s="68">
        <f ca="1">IF(pdrLossTime1="",OFFSET(Vectors!$AE$6,A83+_Age1,MATCH(SDA_Loss,lstSDA,0)),OFFSET(Vectors!$X$6,A83+_Age1,MATCH(pdrLossTime1,lstDefaultCurve,0)))</f>
        <v>2.7777777777777779E-5</v>
      </c>
      <c r="N83" s="62">
        <f t="shared" ca="1" si="76"/>
        <v>2777.7777777777778</v>
      </c>
      <c r="O83" s="67">
        <f t="shared" ca="1" si="91"/>
        <v>0.94335678348666818</v>
      </c>
      <c r="P83" s="68">
        <f ca="1">OFFSET(Vectors!$L$6,A83+_Age1,MATCH(pdrPrepay1,lstPrepayCurve,0))*pdrPrepayStress1</f>
        <v>5.1430128318229462E-3</v>
      </c>
      <c r="Q83" s="62">
        <f t="shared" ca="1" si="92"/>
        <v>352726.18172350677</v>
      </c>
      <c r="R83" s="62">
        <f t="shared" ca="1" si="93"/>
        <v>70068.562739577348</v>
      </c>
      <c r="S83" s="69">
        <f t="shared" ca="1" si="94"/>
        <v>0.09</v>
      </c>
      <c r="T83" s="62">
        <f t="shared" ca="1" si="95"/>
        <v>514881.47884425434</v>
      </c>
      <c r="U83" s="62">
        <f t="shared" ca="1" si="77"/>
        <v>1111.1111111111111</v>
      </c>
      <c r="V83" s="62">
        <f t="shared" ca="1" si="71"/>
        <v>68228069.101437494</v>
      </c>
      <c r="W83" s="55"/>
      <c r="X83" s="62">
        <f t="shared" ca="1" si="96"/>
        <v>938787.33441844967</v>
      </c>
      <c r="Y83" s="55"/>
      <c r="Z83" s="118" t="b">
        <v>0</v>
      </c>
      <c r="AA83" s="120" t="b">
        <f t="shared" si="78"/>
        <v>0</v>
      </c>
      <c r="AB83" s="120" t="b">
        <f t="shared" si="79"/>
        <v>1</v>
      </c>
      <c r="AC83" s="120" t="b">
        <f t="shared" ca="1" si="80"/>
        <v>0</v>
      </c>
      <c r="AD83" s="121"/>
      <c r="AE83" s="129">
        <v>38165520.697152369</v>
      </c>
      <c r="AF83" s="69">
        <f ca="1">IF(Swap_Active="No",0,OFFSET(Vectors!$D$6,Vectors!A83,MATCH(Swap_In,lstInterestRates,0)))</f>
        <v>6.9369000000000056E-2</v>
      </c>
      <c r="AG83" s="62">
        <f t="shared" ca="1" si="97"/>
        <v>220625.33377006373</v>
      </c>
      <c r="AH83" s="69">
        <f ca="1">IF(Swap_Active="No",0,OFFSET(Vectors!$D$6,Vectors!A83,MATCH(Swap_Out,lstInterestRates,0)))</f>
        <v>0.04</v>
      </c>
      <c r="AI83" s="62">
        <f t="shared" ca="1" si="98"/>
        <v>127218.40232384123</v>
      </c>
      <c r="AJ83" s="62">
        <f t="shared" ca="1" si="99"/>
        <v>93406.931446222501</v>
      </c>
      <c r="AK83" s="62">
        <f t="shared" ca="1" si="100"/>
        <v>1032194.2658646721</v>
      </c>
      <c r="AL83" s="121"/>
      <c r="AM83" s="123">
        <f t="shared" ca="1" si="81"/>
        <v>133607.1962262525</v>
      </c>
      <c r="AN83" s="124">
        <f t="shared" ca="1" si="101"/>
        <v>133607.1962262525</v>
      </c>
      <c r="AO83" s="125">
        <f t="shared" ca="1" si="102"/>
        <v>0</v>
      </c>
      <c r="AP83" s="123">
        <f t="shared" ca="1" si="103"/>
        <v>898587.06963841966</v>
      </c>
      <c r="AQ83" s="121"/>
      <c r="AR83" s="126">
        <f ca="1">IF(LiabIntType1="Fixed",LiabFxdRate1,OFFSET(Vectors!$D$6,Vectors!A83,MATCH(LiabLoanIndex1,lstInterestRates,0))+LiabMarg1)</f>
        <v>7.9369000000000051E-2</v>
      </c>
      <c r="AS83" s="122">
        <f t="shared" ca="1" si="104"/>
        <v>304530.28411304479</v>
      </c>
      <c r="AT83" s="124">
        <f t="shared" ca="1" si="105"/>
        <v>304530.28411304479</v>
      </c>
      <c r="AU83" s="123">
        <f t="shared" ca="1" si="106"/>
        <v>0</v>
      </c>
      <c r="AV83" s="123">
        <f t="shared" ca="1" si="82"/>
        <v>0</v>
      </c>
      <c r="AW83" s="123">
        <f t="shared" ca="1" si="107"/>
        <v>0</v>
      </c>
      <c r="AX83" s="124">
        <f t="shared" ca="1" si="108"/>
        <v>594056.78552537481</v>
      </c>
      <c r="AY83" s="121"/>
      <c r="AZ83" s="122">
        <f t="shared" ca="1" si="83"/>
        <v>594056.78552537481</v>
      </c>
      <c r="BA83" s="124">
        <f t="shared" ca="1" si="109"/>
        <v>594056.78552537481</v>
      </c>
      <c r="BB83" s="123">
        <f t="shared" ca="1" si="110"/>
        <v>0</v>
      </c>
      <c r="BC83" s="123">
        <f t="shared" ca="1" si="84"/>
        <v>0</v>
      </c>
      <c r="BD83" s="123">
        <f t="shared" ca="1" si="111"/>
        <v>0</v>
      </c>
      <c r="BE83" s="124">
        <f t="shared" ca="1" si="112"/>
        <v>0</v>
      </c>
      <c r="BF83" s="121"/>
      <c r="BG83" s="123">
        <f t="shared" si="85"/>
        <v>1000000</v>
      </c>
      <c r="BH83" s="123">
        <f t="shared" ca="1" si="113"/>
        <v>1000000</v>
      </c>
      <c r="BI83" s="123">
        <f t="shared" ca="1" si="114"/>
        <v>0</v>
      </c>
      <c r="BJ83" s="123">
        <f t="shared" ca="1" si="115"/>
        <v>0</v>
      </c>
      <c r="BK83" s="123">
        <f t="shared" ca="1" si="72"/>
        <v>1000000</v>
      </c>
      <c r="BL83" s="123">
        <f t="shared" ca="1" si="116"/>
        <v>0</v>
      </c>
      <c r="BM83" s="121"/>
      <c r="BN83" s="126">
        <f ca="1">IF(LiabIntType2="Fixed",LiabFxdRate2,OFFSET(Vectors!$D$6,Vectors!A83,MATCH(LiabLoanIndex2,lstInterestRates,0))+LiabMarg2)</f>
        <v>0.04</v>
      </c>
      <c r="BO83" s="122">
        <f t="shared" ca="1" si="117"/>
        <v>34119.905847872607</v>
      </c>
      <c r="BP83" s="124">
        <f t="shared" ca="1" si="118"/>
        <v>0</v>
      </c>
      <c r="BQ83" s="123">
        <f t="shared" ca="1" si="119"/>
        <v>34119.905847872607</v>
      </c>
      <c r="BR83" s="123">
        <f t="shared" ca="1" si="120"/>
        <v>0</v>
      </c>
      <c r="BS83" s="121"/>
      <c r="BT83" s="123">
        <f t="shared" ca="1" si="86"/>
        <v>43633.5750199002</v>
      </c>
      <c r="BU83" s="123">
        <f t="shared" ca="1" si="121"/>
        <v>0</v>
      </c>
      <c r="BV83" s="123">
        <f t="shared" ca="1" si="122"/>
        <v>43633.5750199002</v>
      </c>
      <c r="BW83" s="123">
        <f t="shared" ca="1" si="123"/>
        <v>0</v>
      </c>
      <c r="BX83" s="121"/>
      <c r="BY83" s="123">
        <f t="shared" si="124"/>
        <v>0</v>
      </c>
      <c r="BZ83" s="123">
        <f t="shared" ca="1" si="125"/>
        <v>0</v>
      </c>
      <c r="CA83" s="121"/>
      <c r="CB83" s="122">
        <f t="shared" ca="1" si="73"/>
        <v>45448647.662767224</v>
      </c>
      <c r="CC83" s="122">
        <f t="shared" ca="1" si="126"/>
        <v>304530.28411304479</v>
      </c>
      <c r="CD83" s="124">
        <f t="shared" ca="1" si="127"/>
        <v>594056.78552537481</v>
      </c>
      <c r="CE83" s="121"/>
      <c r="CF83" s="122">
        <f t="shared" ca="1" si="74"/>
        <v>10235971.754361782</v>
      </c>
      <c r="CG83" s="124">
        <f t="shared" ca="1" si="128"/>
        <v>0</v>
      </c>
      <c r="CH83" s="123">
        <f t="shared" ca="1" si="129"/>
        <v>0</v>
      </c>
      <c r="CI83" s="121"/>
      <c r="CJ83" s="123">
        <f t="shared" ca="1" si="130"/>
        <v>1159412.6681885135</v>
      </c>
      <c r="CK83" s="123">
        <f t="shared" ca="1" si="131"/>
        <v>1159412.6681885133</v>
      </c>
      <c r="CL83" s="123">
        <f t="shared" ca="1" si="132"/>
        <v>0</v>
      </c>
      <c r="CM83" s="121"/>
      <c r="CN83" s="62">
        <f t="shared" ca="1" si="133"/>
        <v>425572.5222408619</v>
      </c>
      <c r="CO83" s="62" t="b">
        <f t="shared" si="134"/>
        <v>1</v>
      </c>
      <c r="CP83" s="126">
        <f t="shared" ca="1" si="135"/>
        <v>2.1388888888888903E-3</v>
      </c>
      <c r="CQ83" s="120"/>
      <c r="CR83" s="120"/>
      <c r="CS83" s="120"/>
      <c r="CT83" s="120"/>
      <c r="CU83" s="120"/>
      <c r="CV83" s="120"/>
      <c r="CW83" s="120"/>
      <c r="CX83" s="120"/>
      <c r="CY83" s="120"/>
      <c r="CZ83" s="120"/>
      <c r="DA83" s="120"/>
      <c r="DB83" s="120"/>
      <c r="DC83" s="120"/>
      <c r="DD83" s="120"/>
      <c r="DE83" s="116"/>
      <c r="DF83" s="116"/>
      <c r="DG83" s="116"/>
      <c r="DH83" s="116"/>
      <c r="DI83" s="116"/>
      <c r="DJ83" s="116"/>
      <c r="DK83" s="116"/>
      <c r="DL83" s="116"/>
      <c r="DM83" s="116"/>
      <c r="DN83" s="116"/>
    </row>
    <row r="84" spans="1:118" x14ac:dyDescent="0.2">
      <c r="A84" s="27">
        <v>78</v>
      </c>
      <c r="B84" s="29">
        <f t="shared" si="68"/>
        <v>41487</v>
      </c>
      <c r="C84" s="30">
        <f t="shared" si="69"/>
        <v>8.3333333333333329E-2</v>
      </c>
      <c r="D84" s="55"/>
      <c r="E84" s="62">
        <f t="shared" ca="1" si="87"/>
        <v>94335678.348666817</v>
      </c>
      <c r="F84" s="63">
        <f ca="1">IF(AssetIntType1="Fixed",AssetFxdRate1,IF(A84=1,OFFSET(Vectors!$D$6,A84,MATCH(AssetFltIndx1,lstInterestRates,0)),IF(MOD($A84,AssetRateReset1)=0,MAX(MIN(OFFSET(Vectors!$D$6,A84,MATCH(AssetFltIndx1,lstInterestRates,0)),(F83-AssetMarg1)+AssetPdCapFl1,AssetLifeCap1-AssetMarg1),(F83-AssetMarg1)-AssetPdCapFl1,AssetLifeFloor1-AssetMarg1),F83)))+AssetMarg1</f>
        <v>0.09</v>
      </c>
      <c r="G84" s="62">
        <f t="shared" ca="1" si="75"/>
        <v>804622.61694478267</v>
      </c>
      <c r="H84" s="62">
        <f t="shared" ca="1" si="88"/>
        <v>707517.58761500113</v>
      </c>
      <c r="I84" s="62">
        <f t="shared" ca="1" si="89"/>
        <v>97105.029329781537</v>
      </c>
      <c r="J84" s="62">
        <f t="shared" ca="1" si="70"/>
        <v>94238573.31933704</v>
      </c>
      <c r="K84" s="55"/>
      <c r="L84" s="62">
        <f t="shared" ca="1" si="90"/>
        <v>68228069.101437494</v>
      </c>
      <c r="M84" s="68">
        <f ca="1">IF(pdrLossTime1="",OFFSET(Vectors!$AE$6,A84+_Age1,MATCH(SDA_Loss,lstSDA,0)),OFFSET(Vectors!$X$6,A84+_Age1,MATCH(pdrLossTime1,lstDefaultCurve,0)))</f>
        <v>2.7777777777777779E-5</v>
      </c>
      <c r="N84" s="62">
        <f t="shared" ca="1" si="76"/>
        <v>2777.7777777777778</v>
      </c>
      <c r="O84" s="67">
        <f t="shared" ca="1" si="91"/>
        <v>0.94238573319337038</v>
      </c>
      <c r="P84" s="68">
        <f ca="1">OFFSET(Vectors!$L$6,A84+_Age1,MATCH(pdrPrepay1,lstPrepayCurve,0))*pdrPrepayStress1</f>
        <v>5.1430128318229462E-3</v>
      </c>
      <c r="Q84" s="62">
        <f t="shared" ca="1" si="92"/>
        <v>350536.63596544263</v>
      </c>
      <c r="R84" s="62">
        <f t="shared" ca="1" si="93"/>
        <v>70228.136702748001</v>
      </c>
      <c r="S84" s="69">
        <f t="shared" ca="1" si="94"/>
        <v>0.09</v>
      </c>
      <c r="T84" s="62">
        <f t="shared" ca="1" si="95"/>
        <v>511689.68492744787</v>
      </c>
      <c r="U84" s="62">
        <f t="shared" ca="1" si="77"/>
        <v>1111.1111111111111</v>
      </c>
      <c r="V84" s="62">
        <f t="shared" ca="1" si="71"/>
        <v>67804526.550991535</v>
      </c>
      <c r="W84" s="55"/>
      <c r="X84" s="62">
        <f t="shared" ca="1" si="96"/>
        <v>933565.56870674959</v>
      </c>
      <c r="Y84" s="55"/>
      <c r="Z84" s="118" t="b">
        <v>0</v>
      </c>
      <c r="AA84" s="120" t="b">
        <f t="shared" si="78"/>
        <v>0</v>
      </c>
      <c r="AB84" s="120" t="b">
        <f t="shared" si="79"/>
        <v>1</v>
      </c>
      <c r="AC84" s="120" t="b">
        <f t="shared" ca="1" si="80"/>
        <v>0</v>
      </c>
      <c r="AD84" s="121"/>
      <c r="AE84" s="129">
        <v>37681126.310739323</v>
      </c>
      <c r="AF84" s="69">
        <f ca="1">IF(Swap_Active="No",0,OFFSET(Vectors!$D$6,Vectors!A84,MATCH(Swap_In,lstInterestRates,0)))</f>
        <v>6.9369000000000056E-2</v>
      </c>
      <c r="AG84" s="62">
        <f t="shared" ca="1" si="97"/>
        <v>217825.1709208065</v>
      </c>
      <c r="AH84" s="69">
        <f ca="1">IF(Swap_Active="No",0,OFFSET(Vectors!$D$6,Vectors!A84,MATCH(Swap_Out,lstInterestRates,0)))</f>
        <v>0.04</v>
      </c>
      <c r="AI84" s="62">
        <f t="shared" ca="1" si="98"/>
        <v>125603.75436913107</v>
      </c>
      <c r="AJ84" s="62">
        <f t="shared" ca="1" si="99"/>
        <v>92221.416551675429</v>
      </c>
      <c r="AK84" s="62">
        <f t="shared" ca="1" si="100"/>
        <v>1025786.985258425</v>
      </c>
      <c r="AL84" s="121"/>
      <c r="AM84" s="123">
        <f t="shared" ca="1" si="81"/>
        <v>132650.38502854883</v>
      </c>
      <c r="AN84" s="124">
        <f t="shared" ca="1" si="101"/>
        <v>132650.38502854883</v>
      </c>
      <c r="AO84" s="125">
        <f t="shared" ca="1" si="102"/>
        <v>0</v>
      </c>
      <c r="AP84" s="123">
        <f t="shared" ca="1" si="103"/>
        <v>893136.60022987612</v>
      </c>
      <c r="AQ84" s="121"/>
      <c r="AR84" s="126">
        <f ca="1">IF(LiabIntType1="Fixed",LiabFxdRate1,OFFSET(Vectors!$D$6,Vectors!A84,MATCH(LiabLoanIndex1,lstInterestRates,0))+LiabMarg1)</f>
        <v>7.9369000000000051E-2</v>
      </c>
      <c r="AS84" s="122">
        <f t="shared" ca="1" si="104"/>
        <v>300601.14302884782</v>
      </c>
      <c r="AT84" s="124">
        <f t="shared" ca="1" si="105"/>
        <v>300601.14302884782</v>
      </c>
      <c r="AU84" s="123">
        <f t="shared" ca="1" si="106"/>
        <v>0</v>
      </c>
      <c r="AV84" s="123">
        <f t="shared" ca="1" si="82"/>
        <v>0</v>
      </c>
      <c r="AW84" s="123">
        <f t="shared" ca="1" si="107"/>
        <v>0</v>
      </c>
      <c r="AX84" s="124">
        <f t="shared" ca="1" si="108"/>
        <v>592535.45720102824</v>
      </c>
      <c r="AY84" s="121"/>
      <c r="AZ84" s="122">
        <f t="shared" ca="1" si="83"/>
        <v>592535.45720102824</v>
      </c>
      <c r="BA84" s="124">
        <f t="shared" ca="1" si="109"/>
        <v>592535.45720102824</v>
      </c>
      <c r="BB84" s="123">
        <f t="shared" ca="1" si="110"/>
        <v>0</v>
      </c>
      <c r="BC84" s="123">
        <f t="shared" ca="1" si="84"/>
        <v>0</v>
      </c>
      <c r="BD84" s="123">
        <f t="shared" ca="1" si="111"/>
        <v>0</v>
      </c>
      <c r="BE84" s="124">
        <f t="shared" ca="1" si="112"/>
        <v>0</v>
      </c>
      <c r="BF84" s="121"/>
      <c r="BG84" s="123">
        <f t="shared" si="85"/>
        <v>1000000</v>
      </c>
      <c r="BH84" s="123">
        <f t="shared" ca="1" si="113"/>
        <v>1000000</v>
      </c>
      <c r="BI84" s="123">
        <f t="shared" ca="1" si="114"/>
        <v>0</v>
      </c>
      <c r="BJ84" s="123">
        <f t="shared" ca="1" si="115"/>
        <v>0</v>
      </c>
      <c r="BK84" s="123">
        <f t="shared" ca="1" si="72"/>
        <v>1000000</v>
      </c>
      <c r="BL84" s="123">
        <f t="shared" ca="1" si="116"/>
        <v>0</v>
      </c>
      <c r="BM84" s="121"/>
      <c r="BN84" s="126">
        <f ca="1">IF(LiabIntType2="Fixed",LiabFxdRate2,OFFSET(Vectors!$D$6,Vectors!A84,MATCH(LiabLoanIndex2,lstInterestRates,0))+LiabMarg2)</f>
        <v>0.04</v>
      </c>
      <c r="BO84" s="122">
        <f t="shared" ca="1" si="117"/>
        <v>34119.905847872607</v>
      </c>
      <c r="BP84" s="124">
        <f t="shared" ca="1" si="118"/>
        <v>0</v>
      </c>
      <c r="BQ84" s="123">
        <f t="shared" ca="1" si="119"/>
        <v>34119.905847872607</v>
      </c>
      <c r="BR84" s="123">
        <f t="shared" ca="1" si="120"/>
        <v>0</v>
      </c>
      <c r="BS84" s="121"/>
      <c r="BT84" s="123">
        <f t="shared" ca="1" si="86"/>
        <v>43425.443803781331</v>
      </c>
      <c r="BU84" s="123">
        <f t="shared" ca="1" si="121"/>
        <v>0</v>
      </c>
      <c r="BV84" s="123">
        <f t="shared" ca="1" si="122"/>
        <v>43425.443803781331</v>
      </c>
      <c r="BW84" s="123">
        <f t="shared" ca="1" si="123"/>
        <v>0</v>
      </c>
      <c r="BX84" s="121"/>
      <c r="BY84" s="123">
        <f t="shared" si="124"/>
        <v>0</v>
      </c>
      <c r="BZ84" s="123">
        <f t="shared" ca="1" si="125"/>
        <v>0</v>
      </c>
      <c r="CA84" s="121"/>
      <c r="CB84" s="122">
        <f t="shared" ca="1" si="73"/>
        <v>44856112.205566198</v>
      </c>
      <c r="CC84" s="122">
        <f t="shared" ca="1" si="126"/>
        <v>300601.14302884782</v>
      </c>
      <c r="CD84" s="124">
        <f t="shared" ca="1" si="127"/>
        <v>592535.45720102824</v>
      </c>
      <c r="CE84" s="121"/>
      <c r="CF84" s="122">
        <f t="shared" ca="1" si="74"/>
        <v>10235971.754361782</v>
      </c>
      <c r="CG84" s="124">
        <f t="shared" ca="1" si="128"/>
        <v>0</v>
      </c>
      <c r="CH84" s="123">
        <f t="shared" ca="1" si="129"/>
        <v>0</v>
      </c>
      <c r="CI84" s="121"/>
      <c r="CJ84" s="123">
        <f t="shared" ca="1" si="130"/>
        <v>1151390.7396275562</v>
      </c>
      <c r="CK84" s="123">
        <f t="shared" ca="1" si="131"/>
        <v>1151390.7396275559</v>
      </c>
      <c r="CL84" s="123">
        <f t="shared" ca="1" si="132"/>
        <v>0</v>
      </c>
      <c r="CM84" s="121"/>
      <c r="CN84" s="62">
        <f t="shared" ca="1" si="133"/>
        <v>423542.5504459684</v>
      </c>
      <c r="CO84" s="62" t="b">
        <f t="shared" si="134"/>
        <v>1</v>
      </c>
      <c r="CP84" s="126">
        <f t="shared" ca="1" si="135"/>
        <v>2.1666666666666679E-3</v>
      </c>
      <c r="CQ84" s="120"/>
      <c r="CR84" s="120"/>
      <c r="CS84" s="120"/>
      <c r="CT84" s="120"/>
      <c r="CU84" s="120"/>
      <c r="CV84" s="120"/>
      <c r="CW84" s="120"/>
      <c r="CX84" s="120"/>
      <c r="CY84" s="120"/>
      <c r="CZ84" s="120"/>
      <c r="DA84" s="120"/>
      <c r="DB84" s="120"/>
      <c r="DC84" s="120"/>
      <c r="DD84" s="120"/>
      <c r="DE84" s="116"/>
      <c r="DF84" s="116"/>
      <c r="DG84" s="116"/>
      <c r="DH84" s="116"/>
      <c r="DI84" s="116"/>
      <c r="DJ84" s="116"/>
      <c r="DK84" s="116"/>
      <c r="DL84" s="116"/>
      <c r="DM84" s="116"/>
      <c r="DN84" s="116"/>
    </row>
    <row r="85" spans="1:118" x14ac:dyDescent="0.2">
      <c r="A85" s="27">
        <v>79</v>
      </c>
      <c r="B85" s="29">
        <f t="shared" si="68"/>
        <v>41518</v>
      </c>
      <c r="C85" s="30">
        <f t="shared" si="69"/>
        <v>8.3333333333333329E-2</v>
      </c>
      <c r="D85" s="55"/>
      <c r="E85" s="62">
        <f t="shared" ca="1" si="87"/>
        <v>94238573.31933704</v>
      </c>
      <c r="F85" s="63">
        <f ca="1">IF(AssetIntType1="Fixed",AssetFxdRate1,IF(A85=1,OFFSET(Vectors!$D$6,A85,MATCH(AssetFltIndx1,lstInterestRates,0)),IF(MOD($A85,AssetRateReset1)=0,MAX(MIN(OFFSET(Vectors!$D$6,A85,MATCH(AssetFltIndx1,lstInterestRates,0)),(F84-AssetMarg1)+AssetPdCapFl1,AssetLifeCap1-AssetMarg1),(F84-AssetMarg1)-AssetPdCapFl1,AssetLifeFloor1-AssetMarg1),F84)))+AssetMarg1</f>
        <v>0.09</v>
      </c>
      <c r="G85" s="62">
        <f t="shared" ca="1" si="75"/>
        <v>804622.61694478267</v>
      </c>
      <c r="H85" s="62">
        <f t="shared" ca="1" si="88"/>
        <v>706789.29989502777</v>
      </c>
      <c r="I85" s="62">
        <f t="shared" ca="1" si="89"/>
        <v>97833.3170497549</v>
      </c>
      <c r="J85" s="62">
        <f t="shared" ca="1" si="70"/>
        <v>94140740.002287284</v>
      </c>
      <c r="K85" s="55"/>
      <c r="L85" s="62">
        <f t="shared" ca="1" si="90"/>
        <v>67804526.550991535</v>
      </c>
      <c r="M85" s="68">
        <f ca="1">IF(pdrLossTime1="",OFFSET(Vectors!$AE$6,A85+_Age1,MATCH(SDA_Loss,lstSDA,0)),OFFSET(Vectors!$X$6,A85+_Age1,MATCH(pdrLossTime1,lstDefaultCurve,0)))</f>
        <v>2.7777777777777779E-5</v>
      </c>
      <c r="N85" s="62">
        <f t="shared" ca="1" si="76"/>
        <v>2777.7777777777778</v>
      </c>
      <c r="O85" s="67">
        <f t="shared" ca="1" si="91"/>
        <v>0.94140740002287282</v>
      </c>
      <c r="P85" s="68">
        <f ca="1">OFFSET(Vectors!$L$6,A85+_Age1,MATCH(pdrPrepay1,lstPrepayCurve,0))*pdrPrepayStress1</f>
        <v>5.1430128318229462E-3</v>
      </c>
      <c r="Q85" s="62">
        <f t="shared" ca="1" si="92"/>
        <v>348357.52860067831</v>
      </c>
      <c r="R85" s="62">
        <f t="shared" ca="1" si="93"/>
        <v>70388.0560859127</v>
      </c>
      <c r="S85" s="69">
        <f t="shared" ca="1" si="94"/>
        <v>0.09</v>
      </c>
      <c r="T85" s="62">
        <f t="shared" ca="1" si="95"/>
        <v>508513.11579910317</v>
      </c>
      <c r="U85" s="62">
        <f t="shared" ca="1" si="77"/>
        <v>1111.1111111111111</v>
      </c>
      <c r="V85" s="62">
        <f t="shared" ca="1" si="71"/>
        <v>67383003.188527167</v>
      </c>
      <c r="W85" s="55"/>
      <c r="X85" s="62">
        <f t="shared" ca="1" si="96"/>
        <v>928369.81159680535</v>
      </c>
      <c r="Y85" s="55"/>
      <c r="Z85" s="118" t="b">
        <v>0</v>
      </c>
      <c r="AA85" s="120" t="b">
        <f t="shared" si="78"/>
        <v>0</v>
      </c>
      <c r="AB85" s="120" t="b">
        <f t="shared" si="79"/>
        <v>1</v>
      </c>
      <c r="AC85" s="120" t="b">
        <f t="shared" ca="1" si="80"/>
        <v>0</v>
      </c>
      <c r="AD85" s="121"/>
      <c r="AE85" s="129">
        <v>37201690.336135462</v>
      </c>
      <c r="AF85" s="69">
        <f ca="1">IF(Swap_Active="No",0,OFFSET(Vectors!$D$6,Vectors!A85,MATCH(Swap_In,lstInterestRates,0)))</f>
        <v>6.9369000000000056E-2</v>
      </c>
      <c r="AG85" s="62">
        <f t="shared" ca="1" si="97"/>
        <v>215053.67141061524</v>
      </c>
      <c r="AH85" s="69">
        <f ca="1">IF(Swap_Active="No",0,OFFSET(Vectors!$D$6,Vectors!A85,MATCH(Swap_Out,lstInterestRates,0)))</f>
        <v>0.04</v>
      </c>
      <c r="AI85" s="62">
        <f t="shared" ca="1" si="98"/>
        <v>124005.63445378486</v>
      </c>
      <c r="AJ85" s="62">
        <f t="shared" ca="1" si="99"/>
        <v>91048.036956830372</v>
      </c>
      <c r="AK85" s="62">
        <f t="shared" ca="1" si="100"/>
        <v>1019417.8485536358</v>
      </c>
      <c r="AL85" s="121"/>
      <c r="AM85" s="123">
        <f t="shared" ca="1" si="81"/>
        <v>131697.59100397181</v>
      </c>
      <c r="AN85" s="124">
        <f t="shared" ca="1" si="101"/>
        <v>131697.59100397181</v>
      </c>
      <c r="AO85" s="125">
        <f t="shared" ca="1" si="102"/>
        <v>0</v>
      </c>
      <c r="AP85" s="123">
        <f t="shared" ca="1" si="103"/>
        <v>887720.25754966401</v>
      </c>
      <c r="AQ85" s="121"/>
      <c r="AR85" s="126">
        <f ca="1">IF(LiabIntType1="Fixed",LiabFxdRate1,OFFSET(Vectors!$D$6,Vectors!A85,MATCH(LiabLoanIndex1,lstInterestRates,0))+LiabMarg1)</f>
        <v>7.9369000000000051E-2</v>
      </c>
      <c r="AS85" s="122">
        <f t="shared" ca="1" si="104"/>
        <v>296682.06413696549</v>
      </c>
      <c r="AT85" s="124">
        <f t="shared" ca="1" si="105"/>
        <v>296682.06413696549</v>
      </c>
      <c r="AU85" s="123">
        <f t="shared" ca="1" si="106"/>
        <v>0</v>
      </c>
      <c r="AV85" s="123">
        <f t="shared" ca="1" si="82"/>
        <v>0</v>
      </c>
      <c r="AW85" s="123">
        <f t="shared" ca="1" si="107"/>
        <v>0</v>
      </c>
      <c r="AX85" s="124">
        <f t="shared" ca="1" si="108"/>
        <v>591038.19341269857</v>
      </c>
      <c r="AY85" s="121"/>
      <c r="AZ85" s="122">
        <f t="shared" ca="1" si="83"/>
        <v>591038.19341269857</v>
      </c>
      <c r="BA85" s="124">
        <f t="shared" ca="1" si="109"/>
        <v>591038.19341269857</v>
      </c>
      <c r="BB85" s="123">
        <f t="shared" ca="1" si="110"/>
        <v>0</v>
      </c>
      <c r="BC85" s="123">
        <f t="shared" ca="1" si="84"/>
        <v>0</v>
      </c>
      <c r="BD85" s="123">
        <f t="shared" ca="1" si="111"/>
        <v>0</v>
      </c>
      <c r="BE85" s="124">
        <f t="shared" ca="1" si="112"/>
        <v>0</v>
      </c>
      <c r="BF85" s="121"/>
      <c r="BG85" s="123">
        <f t="shared" si="85"/>
        <v>1000000</v>
      </c>
      <c r="BH85" s="123">
        <f t="shared" ca="1" si="113"/>
        <v>1000000</v>
      </c>
      <c r="BI85" s="123">
        <f t="shared" ca="1" si="114"/>
        <v>0</v>
      </c>
      <c r="BJ85" s="123">
        <f t="shared" ca="1" si="115"/>
        <v>0</v>
      </c>
      <c r="BK85" s="123">
        <f t="shared" ca="1" si="72"/>
        <v>1000000</v>
      </c>
      <c r="BL85" s="123">
        <f t="shared" ca="1" si="116"/>
        <v>0</v>
      </c>
      <c r="BM85" s="121"/>
      <c r="BN85" s="126">
        <f ca="1">IF(LiabIntType2="Fixed",LiabFxdRate2,OFFSET(Vectors!$D$6,Vectors!A85,MATCH(LiabLoanIndex2,lstInterestRates,0))+LiabMarg2)</f>
        <v>0.04</v>
      </c>
      <c r="BO85" s="122">
        <f t="shared" ca="1" si="117"/>
        <v>34119.905847872607</v>
      </c>
      <c r="BP85" s="124">
        <f t="shared" ca="1" si="118"/>
        <v>0</v>
      </c>
      <c r="BQ85" s="123">
        <f t="shared" ca="1" si="119"/>
        <v>34119.905847872607</v>
      </c>
      <c r="BR85" s="123">
        <f t="shared" ca="1" si="120"/>
        <v>0</v>
      </c>
      <c r="BS85" s="121"/>
      <c r="BT85" s="123">
        <f t="shared" ca="1" si="86"/>
        <v>43218.418242519772</v>
      </c>
      <c r="BU85" s="123">
        <f t="shared" ca="1" si="121"/>
        <v>0</v>
      </c>
      <c r="BV85" s="123">
        <f t="shared" ca="1" si="122"/>
        <v>43218.418242519772</v>
      </c>
      <c r="BW85" s="123">
        <f t="shared" ca="1" si="123"/>
        <v>0</v>
      </c>
      <c r="BX85" s="121"/>
      <c r="BY85" s="123">
        <f t="shared" si="124"/>
        <v>0</v>
      </c>
      <c r="BZ85" s="123">
        <f t="shared" ca="1" si="125"/>
        <v>0</v>
      </c>
      <c r="CA85" s="121"/>
      <c r="CB85" s="122">
        <f t="shared" ca="1" si="73"/>
        <v>44265074.012153499</v>
      </c>
      <c r="CC85" s="122">
        <f t="shared" ca="1" si="126"/>
        <v>296682.06413696549</v>
      </c>
      <c r="CD85" s="124">
        <f t="shared" ca="1" si="127"/>
        <v>591038.19341269857</v>
      </c>
      <c r="CE85" s="121"/>
      <c r="CF85" s="122">
        <f t="shared" ca="1" si="74"/>
        <v>10235971.754361782</v>
      </c>
      <c r="CG85" s="124">
        <f t="shared" ca="1" si="128"/>
        <v>0</v>
      </c>
      <c r="CH85" s="123">
        <f t="shared" ca="1" si="129"/>
        <v>0</v>
      </c>
      <c r="CI85" s="121"/>
      <c r="CJ85" s="123">
        <f t="shared" ca="1" si="130"/>
        <v>1143423.4830074206</v>
      </c>
      <c r="CK85" s="123">
        <f t="shared" ca="1" si="131"/>
        <v>1143423.4830074208</v>
      </c>
      <c r="CL85" s="123">
        <f t="shared" ca="1" si="132"/>
        <v>0</v>
      </c>
      <c r="CM85" s="121"/>
      <c r="CN85" s="62">
        <f t="shared" ca="1" si="133"/>
        <v>421523.36246436875</v>
      </c>
      <c r="CO85" s="62" t="b">
        <f t="shared" si="134"/>
        <v>1</v>
      </c>
      <c r="CP85" s="126">
        <f t="shared" ca="1" si="135"/>
        <v>2.1944444444444455E-3</v>
      </c>
      <c r="CQ85" s="120"/>
      <c r="CR85" s="120"/>
      <c r="CS85" s="120"/>
      <c r="CT85" s="120"/>
      <c r="CU85" s="120"/>
      <c r="CV85" s="120"/>
      <c r="CW85" s="120"/>
      <c r="CX85" s="120"/>
      <c r="CY85" s="120"/>
      <c r="CZ85" s="120"/>
      <c r="DA85" s="120"/>
      <c r="DB85" s="120"/>
      <c r="DC85" s="120"/>
      <c r="DD85" s="120"/>
      <c r="DE85" s="116"/>
      <c r="DF85" s="116"/>
      <c r="DG85" s="116"/>
      <c r="DH85" s="116"/>
      <c r="DI85" s="116"/>
      <c r="DJ85" s="116"/>
      <c r="DK85" s="116"/>
      <c r="DL85" s="116"/>
      <c r="DM85" s="116"/>
      <c r="DN85" s="116"/>
    </row>
    <row r="86" spans="1:118" x14ac:dyDescent="0.2">
      <c r="A86" s="27">
        <v>80</v>
      </c>
      <c r="B86" s="29">
        <f t="shared" si="68"/>
        <v>41548</v>
      </c>
      <c r="C86" s="30">
        <f t="shared" si="69"/>
        <v>8.3333333333333329E-2</v>
      </c>
      <c r="D86" s="55"/>
      <c r="E86" s="62">
        <f t="shared" ca="1" si="87"/>
        <v>94140740.002287284</v>
      </c>
      <c r="F86" s="63">
        <f ca="1">IF(AssetIntType1="Fixed",AssetFxdRate1,IF(A86=1,OFFSET(Vectors!$D$6,A86,MATCH(AssetFltIndx1,lstInterestRates,0)),IF(MOD($A86,AssetRateReset1)=0,MAX(MIN(OFFSET(Vectors!$D$6,A86,MATCH(AssetFltIndx1,lstInterestRates,0)),(F85-AssetMarg1)+AssetPdCapFl1,AssetLifeCap1-AssetMarg1),(F85-AssetMarg1)-AssetPdCapFl1,AssetLifeFloor1-AssetMarg1),F85)))+AssetMarg1</f>
        <v>0.09</v>
      </c>
      <c r="G86" s="62">
        <f t="shared" ca="1" si="75"/>
        <v>804622.61694478267</v>
      </c>
      <c r="H86" s="62">
        <f t="shared" ca="1" si="88"/>
        <v>706055.55001715454</v>
      </c>
      <c r="I86" s="62">
        <f t="shared" ca="1" si="89"/>
        <v>98567.066927628126</v>
      </c>
      <c r="J86" s="62">
        <f t="shared" ca="1" si="70"/>
        <v>94042172.935359657</v>
      </c>
      <c r="K86" s="55"/>
      <c r="L86" s="62">
        <f t="shared" ca="1" si="90"/>
        <v>67383003.188527167</v>
      </c>
      <c r="M86" s="68">
        <f ca="1">IF(pdrLossTime1="",OFFSET(Vectors!$AE$6,A86+_Age1,MATCH(SDA_Loss,lstSDA,0)),OFFSET(Vectors!$X$6,A86+_Age1,MATCH(pdrLossTime1,lstDefaultCurve,0)))</f>
        <v>2.7777777777777779E-5</v>
      </c>
      <c r="N86" s="62">
        <f t="shared" ca="1" si="76"/>
        <v>2777.7777777777778</v>
      </c>
      <c r="O86" s="67">
        <f t="shared" ca="1" si="91"/>
        <v>0.94042172935359658</v>
      </c>
      <c r="P86" s="68">
        <f ca="1">OFFSET(Vectors!$L$6,A86+_Age1,MATCH(pdrPrepay1,lstPrepayCurve,0))*pdrPrepayStress1</f>
        <v>5.1430128318229462E-3</v>
      </c>
      <c r="Q86" s="62">
        <f t="shared" ca="1" si="92"/>
        <v>346188.80416500149</v>
      </c>
      <c r="R86" s="62">
        <f t="shared" ca="1" si="93"/>
        <v>70548.321454647667</v>
      </c>
      <c r="S86" s="69">
        <f t="shared" ca="1" si="94"/>
        <v>0.09</v>
      </c>
      <c r="T86" s="62">
        <f t="shared" ca="1" si="95"/>
        <v>505351.69058062043</v>
      </c>
      <c r="U86" s="62">
        <f t="shared" ca="1" si="77"/>
        <v>1111.1111111111111</v>
      </c>
      <c r="V86" s="62">
        <f t="shared" ca="1" si="71"/>
        <v>66963488.285129748</v>
      </c>
      <c r="W86" s="55"/>
      <c r="X86" s="62">
        <f t="shared" ca="1" si="96"/>
        <v>923199.92731138074</v>
      </c>
      <c r="Y86" s="55"/>
      <c r="Z86" s="118" t="b">
        <v>0</v>
      </c>
      <c r="AA86" s="120" t="b">
        <f t="shared" si="78"/>
        <v>0</v>
      </c>
      <c r="AB86" s="120" t="b">
        <f t="shared" si="79"/>
        <v>1</v>
      </c>
      <c r="AC86" s="120" t="b">
        <f t="shared" ca="1" si="80"/>
        <v>0</v>
      </c>
      <c r="AD86" s="121"/>
      <c r="AE86" s="129">
        <v>36727162.894467719</v>
      </c>
      <c r="AF86" s="69">
        <f ca="1">IF(Swap_Active="No",0,OFFSET(Vectors!$D$6,Vectors!A86,MATCH(Swap_In,lstInterestRates,0)))</f>
        <v>6.9369000000000056E-2</v>
      </c>
      <c r="AG86" s="62">
        <f t="shared" ca="1" si="97"/>
        <v>212310.54690219442</v>
      </c>
      <c r="AH86" s="69">
        <f ca="1">IF(Swap_Active="No",0,OFFSET(Vectors!$D$6,Vectors!A86,MATCH(Swap_Out,lstInterestRates,0)))</f>
        <v>0.04</v>
      </c>
      <c r="AI86" s="62">
        <f t="shared" ca="1" si="98"/>
        <v>122423.87631489239</v>
      </c>
      <c r="AJ86" s="62">
        <f t="shared" ca="1" si="99"/>
        <v>89886.670587302026</v>
      </c>
      <c r="AK86" s="62">
        <f t="shared" ca="1" si="100"/>
        <v>1013086.5978986828</v>
      </c>
      <c r="AL86" s="121"/>
      <c r="AM86" s="123">
        <f t="shared" ca="1" si="81"/>
        <v>130748.78615260923</v>
      </c>
      <c r="AN86" s="124">
        <f t="shared" ca="1" si="101"/>
        <v>130748.78615260923</v>
      </c>
      <c r="AO86" s="125">
        <f t="shared" ca="1" si="102"/>
        <v>0</v>
      </c>
      <c r="AP86" s="123">
        <f t="shared" ca="1" si="103"/>
        <v>882337.81174607354</v>
      </c>
      <c r="AQ86" s="121"/>
      <c r="AR86" s="126">
        <f ca="1">IF(LiabIntType1="Fixed",LiabFxdRate1,OFFSET(Vectors!$D$6,Vectors!A86,MATCH(LiabLoanIndex1,lstInterestRates,0))+LiabMarg1)</f>
        <v>7.9369000000000051E-2</v>
      </c>
      <c r="AS86" s="122">
        <f t="shared" ca="1" si="104"/>
        <v>292772.88827255112</v>
      </c>
      <c r="AT86" s="124">
        <f t="shared" ca="1" si="105"/>
        <v>292772.88827255112</v>
      </c>
      <c r="AU86" s="123">
        <f t="shared" ca="1" si="106"/>
        <v>0</v>
      </c>
      <c r="AV86" s="123">
        <f t="shared" ca="1" si="82"/>
        <v>0</v>
      </c>
      <c r="AW86" s="123">
        <f t="shared" ca="1" si="107"/>
        <v>0</v>
      </c>
      <c r="AX86" s="124">
        <f t="shared" ca="1" si="108"/>
        <v>589564.92347352242</v>
      </c>
      <c r="AY86" s="121"/>
      <c r="AZ86" s="122">
        <f t="shared" ca="1" si="83"/>
        <v>589564.92347352242</v>
      </c>
      <c r="BA86" s="124">
        <f t="shared" ca="1" si="109"/>
        <v>589564.92347352242</v>
      </c>
      <c r="BB86" s="123">
        <f t="shared" ca="1" si="110"/>
        <v>0</v>
      </c>
      <c r="BC86" s="123">
        <f t="shared" ca="1" si="84"/>
        <v>0</v>
      </c>
      <c r="BD86" s="123">
        <f t="shared" ca="1" si="111"/>
        <v>0</v>
      </c>
      <c r="BE86" s="124">
        <f t="shared" ca="1" si="112"/>
        <v>0</v>
      </c>
      <c r="BF86" s="121"/>
      <c r="BG86" s="123">
        <f t="shared" si="85"/>
        <v>1000000</v>
      </c>
      <c r="BH86" s="123">
        <f t="shared" ca="1" si="113"/>
        <v>1000000</v>
      </c>
      <c r="BI86" s="123">
        <f t="shared" ca="1" si="114"/>
        <v>0</v>
      </c>
      <c r="BJ86" s="123">
        <f t="shared" ca="1" si="115"/>
        <v>0</v>
      </c>
      <c r="BK86" s="123">
        <f t="shared" ca="1" si="72"/>
        <v>1000000</v>
      </c>
      <c r="BL86" s="123">
        <f t="shared" ca="1" si="116"/>
        <v>0</v>
      </c>
      <c r="BM86" s="121"/>
      <c r="BN86" s="126">
        <f ca="1">IF(LiabIntType2="Fixed",LiabFxdRate2,OFFSET(Vectors!$D$6,Vectors!A86,MATCH(LiabLoanIndex2,lstInterestRates,0))+LiabMarg2)</f>
        <v>0.04</v>
      </c>
      <c r="BO86" s="122">
        <f t="shared" ca="1" si="117"/>
        <v>34119.905847872607</v>
      </c>
      <c r="BP86" s="124">
        <f t="shared" ca="1" si="118"/>
        <v>0</v>
      </c>
      <c r="BQ86" s="123">
        <f t="shared" ca="1" si="119"/>
        <v>34119.905847872607</v>
      </c>
      <c r="BR86" s="123">
        <f t="shared" ca="1" si="120"/>
        <v>0</v>
      </c>
      <c r="BS86" s="121"/>
      <c r="BT86" s="123">
        <f t="shared" ca="1" si="86"/>
        <v>43012.492707406855</v>
      </c>
      <c r="BU86" s="123">
        <f t="shared" ca="1" si="121"/>
        <v>0</v>
      </c>
      <c r="BV86" s="123">
        <f t="shared" ca="1" si="122"/>
        <v>43012.492707406855</v>
      </c>
      <c r="BW86" s="123">
        <f t="shared" ca="1" si="123"/>
        <v>0</v>
      </c>
      <c r="BX86" s="121"/>
      <c r="BY86" s="123">
        <f t="shared" si="124"/>
        <v>0</v>
      </c>
      <c r="BZ86" s="123">
        <f t="shared" ca="1" si="125"/>
        <v>0</v>
      </c>
      <c r="CA86" s="121"/>
      <c r="CB86" s="122">
        <f t="shared" ca="1" si="73"/>
        <v>43675509.088679977</v>
      </c>
      <c r="CC86" s="122">
        <f t="shared" ca="1" si="126"/>
        <v>292772.88827255112</v>
      </c>
      <c r="CD86" s="124">
        <f t="shared" ca="1" si="127"/>
        <v>589564.92347352242</v>
      </c>
      <c r="CE86" s="121"/>
      <c r="CF86" s="122">
        <f t="shared" ca="1" si="74"/>
        <v>10235971.754361782</v>
      </c>
      <c r="CG86" s="124">
        <f t="shared" ca="1" si="128"/>
        <v>0</v>
      </c>
      <c r="CH86" s="123">
        <f t="shared" ca="1" si="129"/>
        <v>0</v>
      </c>
      <c r="CI86" s="121"/>
      <c r="CJ86" s="123">
        <f t="shared" ca="1" si="130"/>
        <v>1135510.4742135752</v>
      </c>
      <c r="CK86" s="123">
        <f t="shared" ca="1" si="131"/>
        <v>1135510.474213575</v>
      </c>
      <c r="CL86" s="123">
        <f t="shared" ca="1" si="132"/>
        <v>0</v>
      </c>
      <c r="CM86" s="121"/>
      <c r="CN86" s="62">
        <f t="shared" ca="1" si="133"/>
        <v>419514.90339742694</v>
      </c>
      <c r="CO86" s="62" t="b">
        <f t="shared" si="134"/>
        <v>1</v>
      </c>
      <c r="CP86" s="126">
        <f t="shared" ca="1" si="135"/>
        <v>2.2222222222222231E-3</v>
      </c>
      <c r="CQ86" s="120"/>
      <c r="CR86" s="120"/>
      <c r="CS86" s="120"/>
      <c r="CT86" s="120"/>
      <c r="CU86" s="120"/>
      <c r="CV86" s="120"/>
      <c r="CW86" s="120"/>
      <c r="CX86" s="120"/>
      <c r="CY86" s="120"/>
      <c r="CZ86" s="120"/>
      <c r="DA86" s="120"/>
      <c r="DB86" s="120"/>
      <c r="DC86" s="120"/>
      <c r="DD86" s="120"/>
      <c r="DE86" s="116"/>
      <c r="DF86" s="116"/>
      <c r="DG86" s="116"/>
      <c r="DH86" s="116"/>
      <c r="DI86" s="116"/>
      <c r="DJ86" s="116"/>
      <c r="DK86" s="116"/>
      <c r="DL86" s="116"/>
      <c r="DM86" s="116"/>
      <c r="DN86" s="116"/>
    </row>
    <row r="87" spans="1:118" x14ac:dyDescent="0.2">
      <c r="A87" s="27">
        <v>81</v>
      </c>
      <c r="B87" s="29">
        <f t="shared" si="68"/>
        <v>41579</v>
      </c>
      <c r="C87" s="30">
        <f t="shared" si="69"/>
        <v>8.3333333333333329E-2</v>
      </c>
      <c r="D87" s="55"/>
      <c r="E87" s="62">
        <f t="shared" ca="1" si="87"/>
        <v>94042172.935359657</v>
      </c>
      <c r="F87" s="63">
        <f ca="1">IF(AssetIntType1="Fixed",AssetFxdRate1,IF(A87=1,OFFSET(Vectors!$D$6,A87,MATCH(AssetFltIndx1,lstInterestRates,0)),IF(MOD($A87,AssetRateReset1)=0,MAX(MIN(OFFSET(Vectors!$D$6,A87,MATCH(AssetFltIndx1,lstInterestRates,0)),(F86-AssetMarg1)+AssetPdCapFl1,AssetLifeCap1-AssetMarg1),(F86-AssetMarg1)-AssetPdCapFl1,AssetLifeFloor1-AssetMarg1),F86)))+AssetMarg1</f>
        <v>0.09</v>
      </c>
      <c r="G87" s="62">
        <f t="shared" ca="1" si="75"/>
        <v>804622.61694478267</v>
      </c>
      <c r="H87" s="62">
        <f t="shared" ca="1" si="88"/>
        <v>705316.29701519734</v>
      </c>
      <c r="I87" s="62">
        <f t="shared" ca="1" si="89"/>
        <v>99306.319929585326</v>
      </c>
      <c r="J87" s="62">
        <f t="shared" ca="1" si="70"/>
        <v>93942866.615430072</v>
      </c>
      <c r="K87" s="55"/>
      <c r="L87" s="62">
        <f t="shared" ca="1" si="90"/>
        <v>66963488.285129748</v>
      </c>
      <c r="M87" s="68">
        <f ca="1">IF(pdrLossTime1="",OFFSET(Vectors!$AE$6,A87+_Age1,MATCH(SDA_Loss,lstSDA,0)),OFFSET(Vectors!$X$6,A87+_Age1,MATCH(pdrLossTime1,lstDefaultCurve,0)))</f>
        <v>2.7777777777777779E-5</v>
      </c>
      <c r="N87" s="62">
        <f t="shared" ca="1" si="76"/>
        <v>2777.7777777777778</v>
      </c>
      <c r="O87" s="67">
        <f t="shared" ca="1" si="91"/>
        <v>0.93942866615430076</v>
      </c>
      <c r="P87" s="68">
        <f ca="1">OFFSET(Vectors!$L$6,A87+_Age1,MATCH(pdrPrepay1,lstPrepayCurve,0))*pdrPrepayStress1</f>
        <v>5.1430128318229462E-3</v>
      </c>
      <c r="Q87" s="62">
        <f t="shared" ca="1" si="92"/>
        <v>344030.40747655055</v>
      </c>
      <c r="R87" s="62">
        <f t="shared" ca="1" si="93"/>
        <v>70708.933373179418</v>
      </c>
      <c r="S87" s="69">
        <f t="shared" ca="1" si="94"/>
        <v>0.09</v>
      </c>
      <c r="T87" s="62">
        <f t="shared" ca="1" si="95"/>
        <v>502205.32880513975</v>
      </c>
      <c r="U87" s="62">
        <f t="shared" ca="1" si="77"/>
        <v>1111.1111111111111</v>
      </c>
      <c r="V87" s="62">
        <f t="shared" ca="1" si="71"/>
        <v>66545971.166502237</v>
      </c>
      <c r="W87" s="55"/>
      <c r="X87" s="62">
        <f t="shared" ca="1" si="96"/>
        <v>918055.78076598083</v>
      </c>
      <c r="Y87" s="55"/>
      <c r="Z87" s="118" t="b">
        <v>0</v>
      </c>
      <c r="AA87" s="120" t="b">
        <f t="shared" si="78"/>
        <v>0</v>
      </c>
      <c r="AB87" s="120" t="b">
        <f t="shared" si="79"/>
        <v>1</v>
      </c>
      <c r="AC87" s="120" t="b">
        <f t="shared" ca="1" si="80"/>
        <v>0</v>
      </c>
      <c r="AD87" s="121"/>
      <c r="AE87" s="129">
        <v>36257494.606410779</v>
      </c>
      <c r="AF87" s="69">
        <f ca="1">IF(Swap_Active="No",0,OFFSET(Vectors!$D$6,Vectors!A87,MATCH(Swap_In,lstInterestRates,0)))</f>
        <v>6.9369000000000056E-2</v>
      </c>
      <c r="AG87" s="62">
        <f t="shared" ca="1" si="97"/>
        <v>209595.51194600927</v>
      </c>
      <c r="AH87" s="69">
        <f ca="1">IF(Swap_Active="No",0,OFFSET(Vectors!$D$6,Vectors!A87,MATCH(Swap_Out,lstInterestRates,0)))</f>
        <v>0.04</v>
      </c>
      <c r="AI87" s="62">
        <f t="shared" ca="1" si="98"/>
        <v>120858.3153547026</v>
      </c>
      <c r="AJ87" s="62">
        <f t="shared" ca="1" si="99"/>
        <v>88737.196591306667</v>
      </c>
      <c r="AK87" s="62">
        <f t="shared" ca="1" si="100"/>
        <v>1006792.9773572875</v>
      </c>
      <c r="AL87" s="121"/>
      <c r="AM87" s="123">
        <f t="shared" ca="1" si="81"/>
        <v>129803.94259549957</v>
      </c>
      <c r="AN87" s="124">
        <f t="shared" ca="1" si="101"/>
        <v>129803.94259549957</v>
      </c>
      <c r="AO87" s="125">
        <f t="shared" ca="1" si="102"/>
        <v>0</v>
      </c>
      <c r="AP87" s="123">
        <f t="shared" ca="1" si="103"/>
        <v>876989.03476178797</v>
      </c>
      <c r="AQ87" s="121"/>
      <c r="AR87" s="126">
        <f ca="1">IF(LiabIntType1="Fixed",LiabFxdRate1,OFFSET(Vectors!$D$6,Vectors!A87,MATCH(LiabLoanIndex1,lstInterestRates,0))+LiabMarg1)</f>
        <v>7.9369000000000051E-2</v>
      </c>
      <c r="AS87" s="122">
        <f t="shared" ca="1" si="104"/>
        <v>288873.45673828694</v>
      </c>
      <c r="AT87" s="124">
        <f t="shared" ca="1" si="105"/>
        <v>288873.45673828694</v>
      </c>
      <c r="AU87" s="123">
        <f t="shared" ca="1" si="106"/>
        <v>0</v>
      </c>
      <c r="AV87" s="123">
        <f t="shared" ca="1" si="82"/>
        <v>0</v>
      </c>
      <c r="AW87" s="123">
        <f t="shared" ca="1" si="107"/>
        <v>0</v>
      </c>
      <c r="AX87" s="124">
        <f t="shared" ca="1" si="108"/>
        <v>588115.57802350097</v>
      </c>
      <c r="AY87" s="121"/>
      <c r="AZ87" s="122">
        <f t="shared" ca="1" si="83"/>
        <v>588115.57802350097</v>
      </c>
      <c r="BA87" s="124">
        <f t="shared" ca="1" si="109"/>
        <v>588115.57802350097</v>
      </c>
      <c r="BB87" s="123">
        <f t="shared" ca="1" si="110"/>
        <v>0</v>
      </c>
      <c r="BC87" s="123">
        <f t="shared" ca="1" si="84"/>
        <v>0</v>
      </c>
      <c r="BD87" s="123">
        <f t="shared" ca="1" si="111"/>
        <v>0</v>
      </c>
      <c r="BE87" s="124">
        <f t="shared" ca="1" si="112"/>
        <v>0</v>
      </c>
      <c r="BF87" s="121"/>
      <c r="BG87" s="123">
        <f t="shared" si="85"/>
        <v>1000000</v>
      </c>
      <c r="BH87" s="123">
        <f t="shared" ca="1" si="113"/>
        <v>1000000</v>
      </c>
      <c r="BI87" s="123">
        <f t="shared" ca="1" si="114"/>
        <v>0</v>
      </c>
      <c r="BJ87" s="123">
        <f t="shared" ca="1" si="115"/>
        <v>0</v>
      </c>
      <c r="BK87" s="123">
        <f t="shared" ca="1" si="72"/>
        <v>1000000</v>
      </c>
      <c r="BL87" s="123">
        <f t="shared" ca="1" si="116"/>
        <v>0</v>
      </c>
      <c r="BM87" s="121"/>
      <c r="BN87" s="126">
        <f ca="1">IF(LiabIntType2="Fixed",LiabFxdRate2,OFFSET(Vectors!$D$6,Vectors!A87,MATCH(LiabLoanIndex2,lstInterestRates,0))+LiabMarg2)</f>
        <v>0.04</v>
      </c>
      <c r="BO87" s="122">
        <f t="shared" ca="1" si="117"/>
        <v>34119.905847872607</v>
      </c>
      <c r="BP87" s="124">
        <f t="shared" ca="1" si="118"/>
        <v>0</v>
      </c>
      <c r="BQ87" s="123">
        <f t="shared" ca="1" si="119"/>
        <v>34119.905847872607</v>
      </c>
      <c r="BR87" s="123">
        <f t="shared" ca="1" si="120"/>
        <v>0</v>
      </c>
      <c r="BS87" s="121"/>
      <c r="BT87" s="123">
        <f t="shared" ca="1" si="86"/>
        <v>42807.661598544641</v>
      </c>
      <c r="BU87" s="123">
        <f t="shared" ca="1" si="121"/>
        <v>0</v>
      </c>
      <c r="BV87" s="123">
        <f t="shared" ca="1" si="122"/>
        <v>42807.661598544641</v>
      </c>
      <c r="BW87" s="123">
        <f t="shared" ca="1" si="123"/>
        <v>0</v>
      </c>
      <c r="BX87" s="121"/>
      <c r="BY87" s="123">
        <f t="shared" si="124"/>
        <v>0</v>
      </c>
      <c r="BZ87" s="123">
        <f t="shared" ca="1" si="125"/>
        <v>0</v>
      </c>
      <c r="CA87" s="121"/>
      <c r="CB87" s="122">
        <f t="shared" ca="1" si="73"/>
        <v>43087393.510656476</v>
      </c>
      <c r="CC87" s="122">
        <f t="shared" ca="1" si="126"/>
        <v>288873.45673828694</v>
      </c>
      <c r="CD87" s="124">
        <f t="shared" ca="1" si="127"/>
        <v>588115.57802350097</v>
      </c>
      <c r="CE87" s="121"/>
      <c r="CF87" s="122">
        <f t="shared" ca="1" si="74"/>
        <v>10235971.754361782</v>
      </c>
      <c r="CG87" s="124">
        <f t="shared" ca="1" si="128"/>
        <v>0</v>
      </c>
      <c r="CH87" s="123">
        <f t="shared" ca="1" si="129"/>
        <v>0</v>
      </c>
      <c r="CI87" s="121"/>
      <c r="CJ87" s="123">
        <f t="shared" ca="1" si="130"/>
        <v>1127651.2927119902</v>
      </c>
      <c r="CK87" s="123">
        <f t="shared" ca="1" si="131"/>
        <v>1127651.29271199</v>
      </c>
      <c r="CL87" s="123">
        <f t="shared" ca="1" si="132"/>
        <v>0</v>
      </c>
      <c r="CM87" s="121"/>
      <c r="CN87" s="62">
        <f t="shared" ca="1" si="133"/>
        <v>417517.11862750771</v>
      </c>
      <c r="CO87" s="62" t="b">
        <f t="shared" si="134"/>
        <v>1</v>
      </c>
      <c r="CP87" s="126">
        <f t="shared" ca="1" si="135"/>
        <v>2.2500000000000007E-3</v>
      </c>
      <c r="CQ87" s="120"/>
      <c r="CR87" s="120"/>
      <c r="CS87" s="120"/>
      <c r="CT87" s="120"/>
      <c r="CU87" s="120"/>
      <c r="CV87" s="120"/>
      <c r="CW87" s="120"/>
      <c r="CX87" s="120"/>
      <c r="CY87" s="120"/>
      <c r="CZ87" s="120"/>
      <c r="DA87" s="120"/>
      <c r="DB87" s="120"/>
      <c r="DC87" s="120"/>
      <c r="DD87" s="120"/>
      <c r="DE87" s="116"/>
      <c r="DF87" s="116"/>
      <c r="DG87" s="116"/>
      <c r="DH87" s="116"/>
      <c r="DI87" s="116"/>
      <c r="DJ87" s="116"/>
      <c r="DK87" s="116"/>
      <c r="DL87" s="116"/>
      <c r="DM87" s="116"/>
      <c r="DN87" s="116"/>
    </row>
    <row r="88" spans="1:118" x14ac:dyDescent="0.2">
      <c r="A88" s="27">
        <v>82</v>
      </c>
      <c r="B88" s="29">
        <f t="shared" si="68"/>
        <v>41609</v>
      </c>
      <c r="C88" s="30">
        <f t="shared" si="69"/>
        <v>8.3333333333333329E-2</v>
      </c>
      <c r="D88" s="55"/>
      <c r="E88" s="62">
        <f t="shared" ca="1" si="87"/>
        <v>93942866.615430072</v>
      </c>
      <c r="F88" s="63">
        <f ca="1">IF(AssetIntType1="Fixed",AssetFxdRate1,IF(A88=1,OFFSET(Vectors!$D$6,A88,MATCH(AssetFltIndx1,lstInterestRates,0)),IF(MOD($A88,AssetRateReset1)=0,MAX(MIN(OFFSET(Vectors!$D$6,A88,MATCH(AssetFltIndx1,lstInterestRates,0)),(F87-AssetMarg1)+AssetPdCapFl1,AssetLifeCap1-AssetMarg1),(F87-AssetMarg1)-AssetPdCapFl1,AssetLifeFloor1-AssetMarg1),F87)))+AssetMarg1</f>
        <v>0.09</v>
      </c>
      <c r="G88" s="62">
        <f t="shared" ca="1" si="75"/>
        <v>804622.61694478267</v>
      </c>
      <c r="H88" s="62">
        <f t="shared" ca="1" si="88"/>
        <v>704571.49961572548</v>
      </c>
      <c r="I88" s="62">
        <f t="shared" ca="1" si="89"/>
        <v>100051.11732905719</v>
      </c>
      <c r="J88" s="62">
        <f t="shared" ca="1" si="70"/>
        <v>93842815.498101011</v>
      </c>
      <c r="K88" s="55"/>
      <c r="L88" s="62">
        <f t="shared" ca="1" si="90"/>
        <v>66545971.166502237</v>
      </c>
      <c r="M88" s="68">
        <f ca="1">IF(pdrLossTime1="",OFFSET(Vectors!$AE$6,A88+_Age1,MATCH(SDA_Loss,lstSDA,0)),OFFSET(Vectors!$X$6,A88+_Age1,MATCH(pdrLossTime1,lstDefaultCurve,0)))</f>
        <v>2.7777777777777779E-5</v>
      </c>
      <c r="N88" s="62">
        <f t="shared" ca="1" si="76"/>
        <v>2777.7777777777778</v>
      </c>
      <c r="O88" s="67">
        <f t="shared" ca="1" si="91"/>
        <v>0.93842815498101007</v>
      </c>
      <c r="P88" s="68">
        <f ca="1">OFFSET(Vectors!$L$6,A88+_Age1,MATCH(pdrPrepay1,lstPrepayCurve,0))*pdrPrepayStress1</f>
        <v>5.1430128318229462E-3</v>
      </c>
      <c r="Q88" s="62">
        <f t="shared" ca="1" si="92"/>
        <v>341882.28363437054</v>
      </c>
      <c r="R88" s="62">
        <f t="shared" ca="1" si="93"/>
        <v>70869.892404288999</v>
      </c>
      <c r="S88" s="69">
        <f t="shared" ca="1" si="94"/>
        <v>0.09</v>
      </c>
      <c r="T88" s="62">
        <f t="shared" ca="1" si="95"/>
        <v>499073.95041543344</v>
      </c>
      <c r="U88" s="62">
        <f t="shared" ca="1" si="77"/>
        <v>1111.1111111111111</v>
      </c>
      <c r="V88" s="62">
        <f t="shared" ca="1" si="71"/>
        <v>66130441.212685801</v>
      </c>
      <c r="W88" s="55"/>
      <c r="X88" s="62">
        <f t="shared" ca="1" si="96"/>
        <v>912937.23756520415</v>
      </c>
      <c r="Y88" s="55"/>
      <c r="Z88" s="118" t="b">
        <v>0</v>
      </c>
      <c r="AA88" s="120" t="b">
        <f t="shared" si="78"/>
        <v>0</v>
      </c>
      <c r="AB88" s="120" t="b">
        <f t="shared" si="79"/>
        <v>1</v>
      </c>
      <c r="AC88" s="120" t="b">
        <f t="shared" ca="1" si="80"/>
        <v>0</v>
      </c>
      <c r="AD88" s="121"/>
      <c r="AE88" s="129">
        <v>35792636.587189607</v>
      </c>
      <c r="AF88" s="69">
        <f ca="1">IF(Swap_Active="No",0,OFFSET(Vectors!$D$6,Vectors!A88,MATCH(Swap_In,lstInterestRates,0)))</f>
        <v>6.9369000000000056E-2</v>
      </c>
      <c r="AG88" s="62">
        <f t="shared" ca="1" si="97"/>
        <v>206908.28395139647</v>
      </c>
      <c r="AH88" s="69">
        <f ca="1">IF(Swap_Active="No",0,OFFSET(Vectors!$D$6,Vectors!A88,MATCH(Swap_Out,lstInterestRates,0)))</f>
        <v>0.04</v>
      </c>
      <c r="AI88" s="62">
        <f t="shared" ca="1" si="98"/>
        <v>119308.78862396536</v>
      </c>
      <c r="AJ88" s="62">
        <f t="shared" ca="1" si="99"/>
        <v>87599.495327431112</v>
      </c>
      <c r="AK88" s="62">
        <f t="shared" ca="1" si="100"/>
        <v>1000536.7328926353</v>
      </c>
      <c r="AL88" s="121"/>
      <c r="AM88" s="123">
        <f t="shared" ca="1" si="81"/>
        <v>128863.03257361059</v>
      </c>
      <c r="AN88" s="124">
        <f t="shared" ca="1" si="101"/>
        <v>128863.03257361059</v>
      </c>
      <c r="AO88" s="125">
        <f t="shared" ca="1" si="102"/>
        <v>0</v>
      </c>
      <c r="AP88" s="123">
        <f t="shared" ca="1" si="103"/>
        <v>871673.70031902473</v>
      </c>
      <c r="AQ88" s="121"/>
      <c r="AR88" s="126">
        <f ca="1">IF(LiabIntType1="Fixed",LiabFxdRate1,OFFSET(Vectors!$D$6,Vectors!A88,MATCH(LiabLoanIndex1,lstInterestRates,0))+LiabMarg1)</f>
        <v>7.9369000000000051E-2</v>
      </c>
      <c r="AS88" s="122">
        <f t="shared" ca="1" si="104"/>
        <v>284983.61129560799</v>
      </c>
      <c r="AT88" s="124">
        <f t="shared" ca="1" si="105"/>
        <v>284983.61129560799</v>
      </c>
      <c r="AU88" s="123">
        <f t="shared" ca="1" si="106"/>
        <v>0</v>
      </c>
      <c r="AV88" s="123">
        <f t="shared" ca="1" si="82"/>
        <v>0</v>
      </c>
      <c r="AW88" s="123">
        <f t="shared" ca="1" si="107"/>
        <v>0</v>
      </c>
      <c r="AX88" s="124">
        <f t="shared" ca="1" si="108"/>
        <v>586690.08902341675</v>
      </c>
      <c r="AY88" s="121"/>
      <c r="AZ88" s="122">
        <f t="shared" ca="1" si="83"/>
        <v>586690.08902341675</v>
      </c>
      <c r="BA88" s="124">
        <f t="shared" ca="1" si="109"/>
        <v>586690.08902341675</v>
      </c>
      <c r="BB88" s="123">
        <f t="shared" ca="1" si="110"/>
        <v>0</v>
      </c>
      <c r="BC88" s="123">
        <f t="shared" ca="1" si="84"/>
        <v>0</v>
      </c>
      <c r="BD88" s="123">
        <f t="shared" ca="1" si="111"/>
        <v>0</v>
      </c>
      <c r="BE88" s="124">
        <f t="shared" ca="1" si="112"/>
        <v>0</v>
      </c>
      <c r="BF88" s="121"/>
      <c r="BG88" s="123">
        <f t="shared" si="85"/>
        <v>1000000</v>
      </c>
      <c r="BH88" s="123">
        <f t="shared" ca="1" si="113"/>
        <v>1000000</v>
      </c>
      <c r="BI88" s="123">
        <f t="shared" ca="1" si="114"/>
        <v>0</v>
      </c>
      <c r="BJ88" s="123">
        <f t="shared" ca="1" si="115"/>
        <v>0</v>
      </c>
      <c r="BK88" s="123">
        <f t="shared" ca="1" si="72"/>
        <v>1000000</v>
      </c>
      <c r="BL88" s="123">
        <f t="shared" ca="1" si="116"/>
        <v>0</v>
      </c>
      <c r="BM88" s="121"/>
      <c r="BN88" s="126">
        <f ca="1">IF(LiabIntType2="Fixed",LiabFxdRate2,OFFSET(Vectors!$D$6,Vectors!A88,MATCH(LiabLoanIndex2,lstInterestRates,0))+LiabMarg2)</f>
        <v>0.04</v>
      </c>
      <c r="BO88" s="122">
        <f t="shared" ca="1" si="117"/>
        <v>34119.905847872607</v>
      </c>
      <c r="BP88" s="124">
        <f t="shared" ca="1" si="118"/>
        <v>0</v>
      </c>
      <c r="BQ88" s="123">
        <f t="shared" ca="1" si="119"/>
        <v>34119.905847872607</v>
      </c>
      <c r="BR88" s="123">
        <f t="shared" ca="1" si="120"/>
        <v>0</v>
      </c>
      <c r="BS88" s="121"/>
      <c r="BT88" s="123">
        <f t="shared" ca="1" si="86"/>
        <v>42603.919344688147</v>
      </c>
      <c r="BU88" s="123">
        <f t="shared" ca="1" si="121"/>
        <v>0</v>
      </c>
      <c r="BV88" s="123">
        <f t="shared" ca="1" si="122"/>
        <v>42603.919344688147</v>
      </c>
      <c r="BW88" s="123">
        <f t="shared" ca="1" si="123"/>
        <v>0</v>
      </c>
      <c r="BX88" s="121"/>
      <c r="BY88" s="123">
        <f t="shared" si="124"/>
        <v>0</v>
      </c>
      <c r="BZ88" s="123">
        <f t="shared" ca="1" si="125"/>
        <v>0</v>
      </c>
      <c r="CA88" s="121"/>
      <c r="CB88" s="122">
        <f t="shared" ca="1" si="73"/>
        <v>42500703.421633057</v>
      </c>
      <c r="CC88" s="122">
        <f t="shared" ca="1" si="126"/>
        <v>284983.61129560799</v>
      </c>
      <c r="CD88" s="124">
        <f t="shared" ca="1" si="127"/>
        <v>586690.08902341675</v>
      </c>
      <c r="CE88" s="121"/>
      <c r="CF88" s="122">
        <f t="shared" ca="1" si="74"/>
        <v>10235971.754361782</v>
      </c>
      <c r="CG88" s="124">
        <f t="shared" ca="1" si="128"/>
        <v>0</v>
      </c>
      <c r="CH88" s="123">
        <f t="shared" ca="1" si="129"/>
        <v>0</v>
      </c>
      <c r="CI88" s="121"/>
      <c r="CJ88" s="123">
        <f t="shared" ca="1" si="130"/>
        <v>1119845.5215166006</v>
      </c>
      <c r="CK88" s="123">
        <f t="shared" ca="1" si="131"/>
        <v>1119845.5215166006</v>
      </c>
      <c r="CL88" s="123">
        <f t="shared" ca="1" si="132"/>
        <v>0</v>
      </c>
      <c r="CM88" s="121"/>
      <c r="CN88" s="62">
        <f t="shared" ca="1" si="133"/>
        <v>415529.95381643728</v>
      </c>
      <c r="CO88" s="62" t="b">
        <f t="shared" si="134"/>
        <v>1</v>
      </c>
      <c r="CP88" s="126">
        <f t="shared" ca="1" si="135"/>
        <v>2.2777777777777783E-3</v>
      </c>
      <c r="CQ88" s="120"/>
      <c r="CR88" s="120"/>
      <c r="CS88" s="120"/>
      <c r="CT88" s="120"/>
      <c r="CU88" s="120"/>
      <c r="CV88" s="120"/>
      <c r="CW88" s="120"/>
      <c r="CX88" s="120"/>
      <c r="CY88" s="120"/>
      <c r="CZ88" s="120"/>
      <c r="DA88" s="120"/>
      <c r="DB88" s="120"/>
      <c r="DC88" s="120"/>
      <c r="DD88" s="120"/>
      <c r="DE88" s="116"/>
      <c r="DF88" s="116"/>
      <c r="DG88" s="116"/>
      <c r="DH88" s="116"/>
      <c r="DI88" s="116"/>
      <c r="DJ88" s="116"/>
      <c r="DK88" s="116"/>
      <c r="DL88" s="116"/>
      <c r="DM88" s="116"/>
      <c r="DN88" s="116"/>
    </row>
    <row r="89" spans="1:118" x14ac:dyDescent="0.2">
      <c r="A89" s="27">
        <v>83</v>
      </c>
      <c r="B89" s="29">
        <f t="shared" si="68"/>
        <v>41640</v>
      </c>
      <c r="C89" s="30">
        <f t="shared" si="69"/>
        <v>8.3333333333333329E-2</v>
      </c>
      <c r="D89" s="55"/>
      <c r="E89" s="62">
        <f t="shared" ca="1" si="87"/>
        <v>93842815.498101011</v>
      </c>
      <c r="F89" s="63">
        <f ca="1">IF(AssetIntType1="Fixed",AssetFxdRate1,IF(A89=1,OFFSET(Vectors!$D$6,A89,MATCH(AssetFltIndx1,lstInterestRates,0)),IF(MOD($A89,AssetRateReset1)=0,MAX(MIN(OFFSET(Vectors!$D$6,A89,MATCH(AssetFltIndx1,lstInterestRates,0)),(F88-AssetMarg1)+AssetPdCapFl1,AssetLifeCap1-AssetMarg1),(F88-AssetMarg1)-AssetPdCapFl1,AssetLifeFloor1-AssetMarg1),F88)))+AssetMarg1</f>
        <v>0.09</v>
      </c>
      <c r="G89" s="62">
        <f t="shared" ca="1" si="75"/>
        <v>804622.61694478267</v>
      </c>
      <c r="H89" s="62">
        <f t="shared" ca="1" si="88"/>
        <v>703821.1162357576</v>
      </c>
      <c r="I89" s="62">
        <f t="shared" ca="1" si="89"/>
        <v>100801.50070902507</v>
      </c>
      <c r="J89" s="62">
        <f t="shared" ca="1" si="70"/>
        <v>93742013.997391984</v>
      </c>
      <c r="K89" s="55"/>
      <c r="L89" s="62">
        <f t="shared" ca="1" si="90"/>
        <v>66130441.212685801</v>
      </c>
      <c r="M89" s="68">
        <f ca="1">IF(pdrLossTime1="",OFFSET(Vectors!$AE$6,A89+_Age1,MATCH(SDA_Loss,lstSDA,0)),OFFSET(Vectors!$X$6,A89+_Age1,MATCH(pdrLossTime1,lstDefaultCurve,0)))</f>
        <v>2.7777777777777779E-5</v>
      </c>
      <c r="N89" s="62">
        <f t="shared" ca="1" si="76"/>
        <v>2777.7777777777778</v>
      </c>
      <c r="O89" s="67">
        <f t="shared" ca="1" si="91"/>
        <v>0.93742013997391982</v>
      </c>
      <c r="P89" s="68">
        <f ca="1">OFFSET(Vectors!$L$6,A89+_Age1,MATCH(pdrPrepay1,lstPrepayCurve,0))*pdrPrepayStress1</f>
        <v>5.1430128318229462E-3</v>
      </c>
      <c r="Q89" s="62">
        <f t="shared" ca="1" si="92"/>
        <v>339744.37801697617</v>
      </c>
      <c r="R89" s="62">
        <f t="shared" ca="1" si="93"/>
        <v>71031.199109268768</v>
      </c>
      <c r="S89" s="69">
        <f t="shared" ca="1" si="94"/>
        <v>0.09</v>
      </c>
      <c r="T89" s="62">
        <f t="shared" ca="1" si="95"/>
        <v>495957.47576181014</v>
      </c>
      <c r="U89" s="62">
        <f t="shared" ca="1" si="77"/>
        <v>1111.1111111111111</v>
      </c>
      <c r="V89" s="62">
        <f t="shared" ca="1" si="71"/>
        <v>65716887.857781775</v>
      </c>
      <c r="W89" s="55"/>
      <c r="X89" s="62">
        <f t="shared" ca="1" si="96"/>
        <v>907844.16399916622</v>
      </c>
      <c r="Y89" s="55"/>
      <c r="Z89" s="118" t="b">
        <v>0</v>
      </c>
      <c r="AA89" s="120" t="b">
        <f t="shared" si="78"/>
        <v>0</v>
      </c>
      <c r="AB89" s="120" t="b">
        <f t="shared" si="79"/>
        <v>1</v>
      </c>
      <c r="AC89" s="120" t="b">
        <f t="shared" ca="1" si="80"/>
        <v>0</v>
      </c>
      <c r="AD89" s="121"/>
      <c r="AE89" s="129">
        <v>35332540.441632017</v>
      </c>
      <c r="AF89" s="69">
        <f ca="1">IF(Swap_Active="No",0,OFFSET(Vectors!$D$6,Vectors!A89,MATCH(Swap_In,lstInterestRates,0)))</f>
        <v>6.9369000000000056E-2</v>
      </c>
      <c r="AG89" s="62">
        <f t="shared" ca="1" si="97"/>
        <v>204248.58315796443</v>
      </c>
      <c r="AH89" s="69">
        <f ca="1">IF(Swap_Active="No",0,OFFSET(Vectors!$D$6,Vectors!A89,MATCH(Swap_Out,lstInterestRates,0)))</f>
        <v>0.04</v>
      </c>
      <c r="AI89" s="62">
        <f t="shared" ca="1" si="98"/>
        <v>117775.13480544006</v>
      </c>
      <c r="AJ89" s="62">
        <f t="shared" ca="1" si="99"/>
        <v>86473.44835252437</v>
      </c>
      <c r="AK89" s="62">
        <f t="shared" ca="1" si="100"/>
        <v>994317.61235169065</v>
      </c>
      <c r="AL89" s="121"/>
      <c r="AM89" s="123">
        <f t="shared" ca="1" si="81"/>
        <v>127926.02844682343</v>
      </c>
      <c r="AN89" s="124">
        <f t="shared" ca="1" si="101"/>
        <v>127926.02844682343</v>
      </c>
      <c r="AO89" s="125">
        <f t="shared" ca="1" si="102"/>
        <v>0</v>
      </c>
      <c r="AP89" s="123">
        <f t="shared" ca="1" si="103"/>
        <v>866391.58390486718</v>
      </c>
      <c r="AQ89" s="121"/>
      <c r="AR89" s="126">
        <f ca="1">IF(LiabIntType1="Fixed",LiabFxdRate1,OFFSET(Vectors!$D$6,Vectors!A89,MATCH(LiabLoanIndex1,lstInterestRates,0))+LiabMarg1)</f>
        <v>7.9369000000000051E-2</v>
      </c>
      <c r="AS89" s="122">
        <f t="shared" ca="1" si="104"/>
        <v>281103.19415596634</v>
      </c>
      <c r="AT89" s="124">
        <f t="shared" ca="1" si="105"/>
        <v>281103.19415596634</v>
      </c>
      <c r="AU89" s="123">
        <f t="shared" ca="1" si="106"/>
        <v>0</v>
      </c>
      <c r="AV89" s="123">
        <f t="shared" ca="1" si="82"/>
        <v>0</v>
      </c>
      <c r="AW89" s="123">
        <f t="shared" ca="1" si="107"/>
        <v>0</v>
      </c>
      <c r="AX89" s="124">
        <f t="shared" ca="1" si="108"/>
        <v>585288.3897489009</v>
      </c>
      <c r="AY89" s="121"/>
      <c r="AZ89" s="122">
        <f t="shared" ca="1" si="83"/>
        <v>585288.3897489009</v>
      </c>
      <c r="BA89" s="124">
        <f t="shared" ca="1" si="109"/>
        <v>585288.3897489009</v>
      </c>
      <c r="BB89" s="123">
        <f t="shared" ca="1" si="110"/>
        <v>0</v>
      </c>
      <c r="BC89" s="123">
        <f t="shared" ca="1" si="84"/>
        <v>0</v>
      </c>
      <c r="BD89" s="123">
        <f t="shared" ca="1" si="111"/>
        <v>0</v>
      </c>
      <c r="BE89" s="124">
        <f t="shared" ca="1" si="112"/>
        <v>0</v>
      </c>
      <c r="BF89" s="121"/>
      <c r="BG89" s="123">
        <f t="shared" si="85"/>
        <v>1000000</v>
      </c>
      <c r="BH89" s="123">
        <f t="shared" ca="1" si="113"/>
        <v>1000000</v>
      </c>
      <c r="BI89" s="123">
        <f t="shared" ca="1" si="114"/>
        <v>0</v>
      </c>
      <c r="BJ89" s="123">
        <f t="shared" ca="1" si="115"/>
        <v>0</v>
      </c>
      <c r="BK89" s="123">
        <f t="shared" ca="1" si="72"/>
        <v>1000000</v>
      </c>
      <c r="BL89" s="123">
        <f t="shared" ca="1" si="116"/>
        <v>0</v>
      </c>
      <c r="BM89" s="121"/>
      <c r="BN89" s="126">
        <f ca="1">IF(LiabIntType2="Fixed",LiabFxdRate2,OFFSET(Vectors!$D$6,Vectors!A89,MATCH(LiabLoanIndex2,lstInterestRates,0))+LiabMarg2)</f>
        <v>0.04</v>
      </c>
      <c r="BO89" s="122">
        <f t="shared" ca="1" si="117"/>
        <v>34119.905847872607</v>
      </c>
      <c r="BP89" s="124">
        <f t="shared" ca="1" si="118"/>
        <v>0</v>
      </c>
      <c r="BQ89" s="123">
        <f t="shared" ca="1" si="119"/>
        <v>34119.905847872607</v>
      </c>
      <c r="BR89" s="123">
        <f t="shared" ca="1" si="120"/>
        <v>0</v>
      </c>
      <c r="BS89" s="121"/>
      <c r="BT89" s="123">
        <f t="shared" ca="1" si="86"/>
        <v>42401.260403093504</v>
      </c>
      <c r="BU89" s="123">
        <f t="shared" ca="1" si="121"/>
        <v>0</v>
      </c>
      <c r="BV89" s="123">
        <f t="shared" ca="1" si="122"/>
        <v>42401.260403093504</v>
      </c>
      <c r="BW89" s="123">
        <f t="shared" ca="1" si="123"/>
        <v>0</v>
      </c>
      <c r="BX89" s="121"/>
      <c r="BY89" s="123">
        <f t="shared" si="124"/>
        <v>0</v>
      </c>
      <c r="BZ89" s="123">
        <f t="shared" ca="1" si="125"/>
        <v>0</v>
      </c>
      <c r="CA89" s="121"/>
      <c r="CB89" s="122">
        <f t="shared" ca="1" si="73"/>
        <v>41915415.031884156</v>
      </c>
      <c r="CC89" s="122">
        <f t="shared" ca="1" si="126"/>
        <v>281103.19415596634</v>
      </c>
      <c r="CD89" s="124">
        <f t="shared" ca="1" si="127"/>
        <v>585288.3897489009</v>
      </c>
      <c r="CE89" s="121"/>
      <c r="CF89" s="122">
        <f t="shared" ca="1" si="74"/>
        <v>10235971.754361782</v>
      </c>
      <c r="CG89" s="124">
        <f t="shared" ca="1" si="128"/>
        <v>0</v>
      </c>
      <c r="CH89" s="123">
        <f t="shared" ca="1" si="129"/>
        <v>0</v>
      </c>
      <c r="CI89" s="121"/>
      <c r="CJ89" s="123">
        <f t="shared" ca="1" si="130"/>
        <v>1112092.7471571306</v>
      </c>
      <c r="CK89" s="123">
        <f t="shared" ca="1" si="131"/>
        <v>1112092.7471571309</v>
      </c>
      <c r="CL89" s="123">
        <f t="shared" ca="1" si="132"/>
        <v>0</v>
      </c>
      <c r="CM89" s="121"/>
      <c r="CN89" s="62">
        <f t="shared" ca="1" si="133"/>
        <v>413553.35490402271</v>
      </c>
      <c r="CO89" s="62" t="b">
        <f t="shared" si="134"/>
        <v>1</v>
      </c>
      <c r="CP89" s="126">
        <f t="shared" ca="1" si="135"/>
        <v>2.3055555555555559E-3</v>
      </c>
      <c r="CQ89" s="120"/>
      <c r="CR89" s="120"/>
      <c r="CS89" s="120"/>
      <c r="CT89" s="120"/>
      <c r="CU89" s="120"/>
      <c r="CV89" s="120"/>
      <c r="CW89" s="120"/>
      <c r="CX89" s="120"/>
      <c r="CY89" s="120"/>
      <c r="CZ89" s="120"/>
      <c r="DA89" s="120"/>
      <c r="DB89" s="120"/>
      <c r="DC89" s="120"/>
      <c r="DD89" s="120"/>
      <c r="DE89" s="116"/>
      <c r="DF89" s="116"/>
      <c r="DG89" s="116"/>
      <c r="DH89" s="116"/>
      <c r="DI89" s="116"/>
      <c r="DJ89" s="116"/>
      <c r="DK89" s="116"/>
      <c r="DL89" s="116"/>
      <c r="DM89" s="116"/>
      <c r="DN89" s="116"/>
    </row>
    <row r="90" spans="1:118" x14ac:dyDescent="0.2">
      <c r="A90" s="27">
        <v>84</v>
      </c>
      <c r="B90" s="29">
        <f t="shared" si="68"/>
        <v>41671</v>
      </c>
      <c r="C90" s="30">
        <f t="shared" si="69"/>
        <v>8.3333333333333329E-2</v>
      </c>
      <c r="D90" s="55"/>
      <c r="E90" s="62">
        <f t="shared" ca="1" si="87"/>
        <v>93742013.997391984</v>
      </c>
      <c r="F90" s="63">
        <f ca="1">IF(AssetIntType1="Fixed",AssetFxdRate1,IF(A90=1,OFFSET(Vectors!$D$6,A90,MATCH(AssetFltIndx1,lstInterestRates,0)),IF(MOD($A90,AssetRateReset1)=0,MAX(MIN(OFFSET(Vectors!$D$6,A90,MATCH(AssetFltIndx1,lstInterestRates,0)),(F89-AssetMarg1)+AssetPdCapFl1,AssetLifeCap1-AssetMarg1),(F89-AssetMarg1)-AssetPdCapFl1,AssetLifeFloor1-AssetMarg1),F89)))+AssetMarg1</f>
        <v>0.09</v>
      </c>
      <c r="G90" s="62">
        <f t="shared" ca="1" si="75"/>
        <v>804622.61694478267</v>
      </c>
      <c r="H90" s="62">
        <f t="shared" ca="1" si="88"/>
        <v>703065.10498043988</v>
      </c>
      <c r="I90" s="62">
        <f t="shared" ca="1" si="89"/>
        <v>101557.51196434279</v>
      </c>
      <c r="J90" s="62">
        <f t="shared" ca="1" si="70"/>
        <v>93640456.485427648</v>
      </c>
      <c r="K90" s="55"/>
      <c r="L90" s="62">
        <f t="shared" ca="1" si="90"/>
        <v>65716887.857781775</v>
      </c>
      <c r="M90" s="68">
        <f ca="1">IF(pdrLossTime1="",OFFSET(Vectors!$AE$6,A90+_Age1,MATCH(SDA_Loss,lstSDA,0)),OFFSET(Vectors!$X$6,A90+_Age1,MATCH(pdrLossTime1,lstDefaultCurve,0)))</f>
        <v>2.7777777777777779E-5</v>
      </c>
      <c r="N90" s="62">
        <f t="shared" ca="1" si="76"/>
        <v>2777.7777777777778</v>
      </c>
      <c r="O90" s="67">
        <f t="shared" ca="1" si="91"/>
        <v>0.93640456485427648</v>
      </c>
      <c r="P90" s="68">
        <f ca="1">OFFSET(Vectors!$L$6,A90+_Age1,MATCH(pdrPrepay1,lstPrepayCurve,0))*pdrPrepayStress1</f>
        <v>5.1430128318229462E-3</v>
      </c>
      <c r="Q90" s="62">
        <f t="shared" ca="1" si="92"/>
        <v>337616.63628092135</v>
      </c>
      <c r="R90" s="62">
        <f t="shared" ca="1" si="93"/>
        <v>71192.854047934932</v>
      </c>
      <c r="S90" s="69">
        <f t="shared" ca="1" si="94"/>
        <v>0.09</v>
      </c>
      <c r="T90" s="62">
        <f t="shared" ca="1" si="95"/>
        <v>492855.82560002996</v>
      </c>
      <c r="U90" s="62">
        <f t="shared" ca="1" si="77"/>
        <v>1111.1111111111111</v>
      </c>
      <c r="V90" s="62">
        <f t="shared" ca="1" si="71"/>
        <v>65305300.589675143</v>
      </c>
      <c r="W90" s="55"/>
      <c r="X90" s="62">
        <f t="shared" ca="1" si="96"/>
        <v>902776.4270399973</v>
      </c>
      <c r="Y90" s="55"/>
      <c r="Z90" s="118" t="b">
        <v>0</v>
      </c>
      <c r="AA90" s="120" t="b">
        <f t="shared" si="78"/>
        <v>0</v>
      </c>
      <c r="AB90" s="120" t="b">
        <f t="shared" si="79"/>
        <v>1</v>
      </c>
      <c r="AC90" s="120" t="b">
        <f t="shared" ca="1" si="80"/>
        <v>0</v>
      </c>
      <c r="AD90" s="121"/>
      <c r="AE90" s="129">
        <v>34877158.259270675</v>
      </c>
      <c r="AF90" s="69">
        <f ca="1">IF(Swap_Active="No",0,OFFSET(Vectors!$D$6,Vectors!A90,MATCH(Swap_In,lstInterestRates,0)))</f>
        <v>6.9369000000000056E-2</v>
      </c>
      <c r="AG90" s="62">
        <f t="shared" ca="1" si="97"/>
        <v>201616.13260727911</v>
      </c>
      <c r="AH90" s="69">
        <f ca="1">IF(Swap_Active="No",0,OFFSET(Vectors!$D$6,Vectors!A90,MATCH(Swap_Out,lstInterestRates,0)))</f>
        <v>0.04</v>
      </c>
      <c r="AI90" s="62">
        <f t="shared" ca="1" si="98"/>
        <v>116257.19419756893</v>
      </c>
      <c r="AJ90" s="62">
        <f t="shared" ca="1" si="99"/>
        <v>85358.938409710187</v>
      </c>
      <c r="AK90" s="62">
        <f t="shared" ca="1" si="100"/>
        <v>988135.36544970749</v>
      </c>
      <c r="AL90" s="121"/>
      <c r="AM90" s="123">
        <f t="shared" ca="1" si="81"/>
        <v>126992.90269292134</v>
      </c>
      <c r="AN90" s="124">
        <f t="shared" ca="1" si="101"/>
        <v>126992.90269292134</v>
      </c>
      <c r="AO90" s="125">
        <f t="shared" ca="1" si="102"/>
        <v>0</v>
      </c>
      <c r="AP90" s="123">
        <f t="shared" ca="1" si="103"/>
        <v>861142.46275678615</v>
      </c>
      <c r="AQ90" s="121"/>
      <c r="AR90" s="126">
        <f ca="1">IF(LiabIntType1="Fixed",LiabFxdRate1,OFFSET(Vectors!$D$6,Vectors!A90,MATCH(LiabLoanIndex1,lstInterestRates,0))+LiabMarg1)</f>
        <v>7.9369000000000051E-2</v>
      </c>
      <c r="AS90" s="122">
        <f t="shared" ca="1" si="104"/>
        <v>277232.04797213461</v>
      </c>
      <c r="AT90" s="124">
        <f t="shared" ca="1" si="105"/>
        <v>277232.04797213461</v>
      </c>
      <c r="AU90" s="123">
        <f t="shared" ca="1" si="106"/>
        <v>0</v>
      </c>
      <c r="AV90" s="123">
        <f t="shared" ca="1" si="82"/>
        <v>0</v>
      </c>
      <c r="AW90" s="123">
        <f t="shared" ca="1" si="107"/>
        <v>0</v>
      </c>
      <c r="AX90" s="124">
        <f t="shared" ca="1" si="108"/>
        <v>583910.41478465148</v>
      </c>
      <c r="AY90" s="121"/>
      <c r="AZ90" s="122">
        <f t="shared" ca="1" si="83"/>
        <v>583910.41478465148</v>
      </c>
      <c r="BA90" s="124">
        <f t="shared" ca="1" si="109"/>
        <v>583910.41478465148</v>
      </c>
      <c r="BB90" s="123">
        <f t="shared" ca="1" si="110"/>
        <v>0</v>
      </c>
      <c r="BC90" s="123">
        <f t="shared" ca="1" si="84"/>
        <v>0</v>
      </c>
      <c r="BD90" s="123">
        <f t="shared" ca="1" si="111"/>
        <v>0</v>
      </c>
      <c r="BE90" s="124">
        <f t="shared" ca="1" si="112"/>
        <v>0</v>
      </c>
      <c r="BF90" s="121"/>
      <c r="BG90" s="123">
        <f t="shared" si="85"/>
        <v>1000000</v>
      </c>
      <c r="BH90" s="123">
        <f t="shared" ca="1" si="113"/>
        <v>1000000</v>
      </c>
      <c r="BI90" s="123">
        <f t="shared" ca="1" si="114"/>
        <v>0</v>
      </c>
      <c r="BJ90" s="123">
        <f t="shared" ca="1" si="115"/>
        <v>0</v>
      </c>
      <c r="BK90" s="123">
        <f t="shared" ca="1" si="72"/>
        <v>1000000</v>
      </c>
      <c r="BL90" s="123">
        <f t="shared" ca="1" si="116"/>
        <v>0</v>
      </c>
      <c r="BM90" s="121"/>
      <c r="BN90" s="126">
        <f ca="1">IF(LiabIntType2="Fixed",LiabFxdRate2,OFFSET(Vectors!$D$6,Vectors!A90,MATCH(LiabLoanIndex2,lstInterestRates,0))+LiabMarg2)</f>
        <v>0.04</v>
      </c>
      <c r="BO90" s="122">
        <f t="shared" ca="1" si="117"/>
        <v>34119.905847872607</v>
      </c>
      <c r="BP90" s="124">
        <f t="shared" ca="1" si="118"/>
        <v>0</v>
      </c>
      <c r="BQ90" s="123">
        <f t="shared" ca="1" si="119"/>
        <v>34119.905847872607</v>
      </c>
      <c r="BR90" s="123">
        <f t="shared" ca="1" si="120"/>
        <v>0</v>
      </c>
      <c r="BS90" s="121"/>
      <c r="BT90" s="123">
        <f t="shared" ca="1" si="86"/>
        <v>42199.67925937262</v>
      </c>
      <c r="BU90" s="123">
        <f t="shared" ca="1" si="121"/>
        <v>0</v>
      </c>
      <c r="BV90" s="123">
        <f t="shared" ca="1" si="122"/>
        <v>42199.67925937262</v>
      </c>
      <c r="BW90" s="123">
        <f t="shared" ca="1" si="123"/>
        <v>0</v>
      </c>
      <c r="BX90" s="121"/>
      <c r="BY90" s="123">
        <f t="shared" si="124"/>
        <v>0</v>
      </c>
      <c r="BZ90" s="123">
        <f t="shared" ca="1" si="125"/>
        <v>0</v>
      </c>
      <c r="CA90" s="121"/>
      <c r="CB90" s="122">
        <f t="shared" ca="1" si="73"/>
        <v>41331504.617099501</v>
      </c>
      <c r="CC90" s="122">
        <f t="shared" ca="1" si="126"/>
        <v>277232.04797213461</v>
      </c>
      <c r="CD90" s="124">
        <f t="shared" ca="1" si="127"/>
        <v>583910.41478465148</v>
      </c>
      <c r="CE90" s="121"/>
      <c r="CF90" s="122">
        <f t="shared" ca="1" si="74"/>
        <v>10235971.754361782</v>
      </c>
      <c r="CG90" s="124">
        <f t="shared" ca="1" si="128"/>
        <v>0</v>
      </c>
      <c r="CH90" s="123">
        <f t="shared" ca="1" si="129"/>
        <v>0</v>
      </c>
      <c r="CI90" s="121"/>
      <c r="CJ90" s="123">
        <f t="shared" ca="1" si="130"/>
        <v>1104392.5596472765</v>
      </c>
      <c r="CK90" s="123">
        <f t="shared" ca="1" si="131"/>
        <v>1104392.5596472763</v>
      </c>
      <c r="CL90" s="123">
        <f t="shared" ca="1" si="132"/>
        <v>0</v>
      </c>
      <c r="CM90" s="121"/>
      <c r="CN90" s="62">
        <f t="shared" ca="1" si="133"/>
        <v>411587.26810663403</v>
      </c>
      <c r="CO90" s="62" t="b">
        <f t="shared" si="134"/>
        <v>1</v>
      </c>
      <c r="CP90" s="126">
        <f t="shared" ca="1" si="135"/>
        <v>2.3333333333333335E-3</v>
      </c>
      <c r="CQ90" s="120"/>
      <c r="CR90" s="120"/>
      <c r="CS90" s="120"/>
      <c r="CT90" s="120"/>
      <c r="CU90" s="120"/>
      <c r="CV90" s="120"/>
      <c r="CW90" s="120"/>
      <c r="CX90" s="120"/>
      <c r="CY90" s="120"/>
      <c r="CZ90" s="120"/>
      <c r="DA90" s="120"/>
      <c r="DB90" s="120"/>
      <c r="DC90" s="120"/>
      <c r="DD90" s="120"/>
      <c r="DE90" s="116"/>
      <c r="DF90" s="116"/>
      <c r="DG90" s="116"/>
      <c r="DH90" s="116"/>
      <c r="DI90" s="116"/>
      <c r="DJ90" s="116"/>
      <c r="DK90" s="116"/>
      <c r="DL90" s="116"/>
      <c r="DM90" s="116"/>
      <c r="DN90" s="116"/>
    </row>
    <row r="91" spans="1:118" x14ac:dyDescent="0.2">
      <c r="A91" s="27">
        <v>85</v>
      </c>
      <c r="B91" s="29">
        <f t="shared" si="68"/>
        <v>41699</v>
      </c>
      <c r="C91" s="30">
        <f t="shared" si="69"/>
        <v>8.3333333333333329E-2</v>
      </c>
      <c r="D91" s="55"/>
      <c r="E91" s="62">
        <f t="shared" ca="1" si="87"/>
        <v>93640456.485427648</v>
      </c>
      <c r="F91" s="63">
        <f ca="1">IF(AssetIntType1="Fixed",AssetFxdRate1,IF(A91=1,OFFSET(Vectors!$D$6,A91,MATCH(AssetFltIndx1,lstInterestRates,0)),IF(MOD($A91,AssetRateReset1)=0,MAX(MIN(OFFSET(Vectors!$D$6,A91,MATCH(AssetFltIndx1,lstInterestRates,0)),(F90-AssetMarg1)+AssetPdCapFl1,AssetLifeCap1-AssetMarg1),(F90-AssetMarg1)-AssetPdCapFl1,AssetLifeFloor1-AssetMarg1),F90)))+AssetMarg1</f>
        <v>0.09</v>
      </c>
      <c r="G91" s="62">
        <f t="shared" ca="1" si="75"/>
        <v>804622.61694478267</v>
      </c>
      <c r="H91" s="62">
        <f t="shared" ca="1" si="88"/>
        <v>702303.42364070727</v>
      </c>
      <c r="I91" s="62">
        <f t="shared" ca="1" si="89"/>
        <v>102319.19330407539</v>
      </c>
      <c r="J91" s="62">
        <f t="shared" ca="1" si="70"/>
        <v>93538137.292123571</v>
      </c>
      <c r="K91" s="55"/>
      <c r="L91" s="62">
        <f t="shared" ca="1" si="90"/>
        <v>65305300.589675143</v>
      </c>
      <c r="M91" s="68">
        <f ca="1">IF(pdrLossTime1="",OFFSET(Vectors!$AE$6,A91+_Age1,MATCH(SDA_Loss,lstSDA,0)),OFFSET(Vectors!$X$6,A91+_Age1,MATCH(pdrLossTime1,lstDefaultCurve,0)))</f>
        <v>2.7777777777777779E-5</v>
      </c>
      <c r="N91" s="62">
        <f t="shared" ca="1" si="76"/>
        <v>2777.7777777777778</v>
      </c>
      <c r="O91" s="67">
        <f t="shared" ca="1" si="91"/>
        <v>0.93538137292123569</v>
      </c>
      <c r="P91" s="68">
        <f ca="1">OFFSET(Vectors!$L$6,A91+_Age1,MATCH(pdrPrepay1,lstPrepayCurve,0))*pdrPrepayStress1</f>
        <v>5.1430128318229462E-3</v>
      </c>
      <c r="Q91" s="62">
        <f t="shared" ca="1" si="92"/>
        <v>335499.0043593779</v>
      </c>
      <c r="R91" s="62">
        <f t="shared" ca="1" si="93"/>
        <v>71354.857778532503</v>
      </c>
      <c r="S91" s="69">
        <f t="shared" ca="1" si="94"/>
        <v>0.09</v>
      </c>
      <c r="T91" s="62">
        <f t="shared" ca="1" si="95"/>
        <v>489768.92108923022</v>
      </c>
      <c r="U91" s="62">
        <f t="shared" ca="1" si="77"/>
        <v>1111.1111111111111</v>
      </c>
      <c r="V91" s="62">
        <f t="shared" ca="1" si="71"/>
        <v>64895668.949759454</v>
      </c>
      <c r="W91" s="55"/>
      <c r="X91" s="62">
        <f t="shared" ca="1" si="96"/>
        <v>897733.89433825167</v>
      </c>
      <c r="Y91" s="55"/>
      <c r="Z91" s="118" t="b">
        <v>0</v>
      </c>
      <c r="AA91" s="120" t="b">
        <f t="shared" si="78"/>
        <v>0</v>
      </c>
      <c r="AB91" s="120" t="b">
        <f t="shared" si="79"/>
        <v>1</v>
      </c>
      <c r="AC91" s="120" t="b">
        <f t="shared" ca="1" si="80"/>
        <v>0</v>
      </c>
      <c r="AD91" s="121"/>
      <c r="AE91" s="129">
        <v>34426442.609494135</v>
      </c>
      <c r="AF91" s="69">
        <f ca="1">IF(Swap_Active="No",0,OFFSET(Vectors!$D$6,Vectors!A91,MATCH(Swap_In,lstInterestRates,0)))</f>
        <v>6.9369000000000056E-2</v>
      </c>
      <c r="AG91" s="62">
        <f t="shared" ca="1" si="97"/>
        <v>199010.65811483335</v>
      </c>
      <c r="AH91" s="69">
        <f ca="1">IF(Swap_Active="No",0,OFFSET(Vectors!$D$6,Vectors!A91,MATCH(Swap_Out,lstInterestRates,0)))</f>
        <v>0.04</v>
      </c>
      <c r="AI91" s="62">
        <f t="shared" ca="1" si="98"/>
        <v>114754.80869831378</v>
      </c>
      <c r="AJ91" s="62">
        <f t="shared" ca="1" si="99"/>
        <v>84255.849416519573</v>
      </c>
      <c r="AK91" s="62">
        <f t="shared" ca="1" si="100"/>
        <v>981989.74375477131</v>
      </c>
      <c r="AL91" s="121"/>
      <c r="AM91" s="123">
        <f t="shared" ca="1" si="81"/>
        <v>126063.62790658337</v>
      </c>
      <c r="AN91" s="124">
        <f t="shared" ca="1" si="101"/>
        <v>126063.62790658337</v>
      </c>
      <c r="AO91" s="125">
        <f t="shared" ca="1" si="102"/>
        <v>0</v>
      </c>
      <c r="AP91" s="123">
        <f t="shared" ca="1" si="103"/>
        <v>855926.11584818794</v>
      </c>
      <c r="AQ91" s="121"/>
      <c r="AR91" s="126">
        <f ca="1">IF(LiabIntType1="Fixed",LiabFxdRate1,OFFSET(Vectors!$D$6,Vectors!A91,MATCH(LiabLoanIndex1,lstInterestRates,0))+LiabMarg1)</f>
        <v>7.9369000000000051E-2</v>
      </c>
      <c r="AS91" s="122">
        <f t="shared" ca="1" si="104"/>
        <v>273370.01582954772</v>
      </c>
      <c r="AT91" s="124">
        <f t="shared" ca="1" si="105"/>
        <v>273370.01582954772</v>
      </c>
      <c r="AU91" s="123">
        <f t="shared" ca="1" si="106"/>
        <v>0</v>
      </c>
      <c r="AV91" s="123">
        <f t="shared" ca="1" si="82"/>
        <v>0</v>
      </c>
      <c r="AW91" s="123">
        <f t="shared" ca="1" si="107"/>
        <v>0</v>
      </c>
      <c r="AX91" s="124">
        <f t="shared" ca="1" si="108"/>
        <v>582556.10001864028</v>
      </c>
      <c r="AY91" s="121"/>
      <c r="AZ91" s="122">
        <f t="shared" ca="1" si="83"/>
        <v>582556.10001864028</v>
      </c>
      <c r="BA91" s="124">
        <f t="shared" ca="1" si="109"/>
        <v>582556.10001864028</v>
      </c>
      <c r="BB91" s="123">
        <f t="shared" ca="1" si="110"/>
        <v>0</v>
      </c>
      <c r="BC91" s="123">
        <f t="shared" ca="1" si="84"/>
        <v>0</v>
      </c>
      <c r="BD91" s="123">
        <f t="shared" ca="1" si="111"/>
        <v>0</v>
      </c>
      <c r="BE91" s="124">
        <f t="shared" ca="1" si="112"/>
        <v>0</v>
      </c>
      <c r="BF91" s="121"/>
      <c r="BG91" s="123">
        <f t="shared" si="85"/>
        <v>1000000</v>
      </c>
      <c r="BH91" s="123">
        <f t="shared" ca="1" si="113"/>
        <v>1000000</v>
      </c>
      <c r="BI91" s="123">
        <f t="shared" ca="1" si="114"/>
        <v>0</v>
      </c>
      <c r="BJ91" s="123">
        <f t="shared" ca="1" si="115"/>
        <v>0</v>
      </c>
      <c r="BK91" s="123">
        <f t="shared" ca="1" si="72"/>
        <v>1000000</v>
      </c>
      <c r="BL91" s="123">
        <f t="shared" ca="1" si="116"/>
        <v>0</v>
      </c>
      <c r="BM91" s="121"/>
      <c r="BN91" s="126">
        <f ca="1">IF(LiabIntType2="Fixed",LiabFxdRate2,OFFSET(Vectors!$D$6,Vectors!A91,MATCH(LiabLoanIndex2,lstInterestRates,0))+LiabMarg2)</f>
        <v>0.04</v>
      </c>
      <c r="BO91" s="122">
        <f t="shared" ca="1" si="117"/>
        <v>34119.905847872607</v>
      </c>
      <c r="BP91" s="124">
        <f t="shared" ca="1" si="118"/>
        <v>0</v>
      </c>
      <c r="BQ91" s="123">
        <f t="shared" ca="1" si="119"/>
        <v>34119.905847872607</v>
      </c>
      <c r="BR91" s="123">
        <f t="shared" ca="1" si="120"/>
        <v>0</v>
      </c>
      <c r="BS91" s="121"/>
      <c r="BT91" s="123">
        <f t="shared" ca="1" si="86"/>
        <v>41999.170427337704</v>
      </c>
      <c r="BU91" s="123">
        <f t="shared" ca="1" si="121"/>
        <v>0</v>
      </c>
      <c r="BV91" s="123">
        <f t="shared" ca="1" si="122"/>
        <v>41999.170427337704</v>
      </c>
      <c r="BW91" s="123">
        <f t="shared" ca="1" si="123"/>
        <v>0</v>
      </c>
      <c r="BX91" s="121"/>
      <c r="BY91" s="123">
        <f t="shared" si="124"/>
        <v>0</v>
      </c>
      <c r="BZ91" s="123">
        <f t="shared" ca="1" si="125"/>
        <v>0</v>
      </c>
      <c r="CA91" s="121"/>
      <c r="CB91" s="122">
        <f t="shared" ca="1" si="73"/>
        <v>40748948.517080858</v>
      </c>
      <c r="CC91" s="122">
        <f t="shared" ca="1" si="126"/>
        <v>273370.01582954772</v>
      </c>
      <c r="CD91" s="124">
        <f t="shared" ca="1" si="127"/>
        <v>582556.10001864028</v>
      </c>
      <c r="CE91" s="121"/>
      <c r="CF91" s="122">
        <f t="shared" ca="1" si="74"/>
        <v>10235971.754361782</v>
      </c>
      <c r="CG91" s="124">
        <f t="shared" ca="1" si="128"/>
        <v>0</v>
      </c>
      <c r="CH91" s="123">
        <f t="shared" ca="1" si="129"/>
        <v>0</v>
      </c>
      <c r="CI91" s="121"/>
      <c r="CJ91" s="123">
        <f t="shared" ca="1" si="130"/>
        <v>1096744.5524530851</v>
      </c>
      <c r="CK91" s="123">
        <f t="shared" ca="1" si="131"/>
        <v>1096744.5524530851</v>
      </c>
      <c r="CL91" s="123">
        <f t="shared" ca="1" si="132"/>
        <v>0</v>
      </c>
      <c r="CM91" s="121"/>
      <c r="CN91" s="62">
        <f t="shared" ca="1" si="133"/>
        <v>409631.63991568814</v>
      </c>
      <c r="CO91" s="62" t="b">
        <f t="shared" si="134"/>
        <v>1</v>
      </c>
      <c r="CP91" s="126">
        <f t="shared" ca="1" si="135"/>
        <v>2.3611111111111111E-3</v>
      </c>
      <c r="CQ91" s="120"/>
      <c r="CR91" s="120"/>
      <c r="CS91" s="120"/>
      <c r="CT91" s="120"/>
      <c r="CU91" s="120"/>
      <c r="CV91" s="120"/>
      <c r="CW91" s="120"/>
      <c r="CX91" s="120"/>
      <c r="CY91" s="120"/>
      <c r="CZ91" s="120"/>
      <c r="DA91" s="120"/>
      <c r="DB91" s="120"/>
      <c r="DC91" s="120"/>
      <c r="DD91" s="120"/>
      <c r="DE91" s="116"/>
      <c r="DF91" s="116"/>
      <c r="DG91" s="116"/>
      <c r="DH91" s="116"/>
      <c r="DI91" s="116"/>
      <c r="DJ91" s="116"/>
      <c r="DK91" s="116"/>
      <c r="DL91" s="116"/>
      <c r="DM91" s="116"/>
      <c r="DN91" s="116"/>
    </row>
    <row r="92" spans="1:118" x14ac:dyDescent="0.2">
      <c r="A92" s="27">
        <v>86</v>
      </c>
      <c r="B92" s="29">
        <f t="shared" si="68"/>
        <v>41730</v>
      </c>
      <c r="C92" s="30">
        <f t="shared" si="69"/>
        <v>8.3333333333333329E-2</v>
      </c>
      <c r="D92" s="55"/>
      <c r="E92" s="62">
        <f t="shared" ca="1" si="87"/>
        <v>93538137.292123571</v>
      </c>
      <c r="F92" s="63">
        <f ca="1">IF(AssetIntType1="Fixed",AssetFxdRate1,IF(A92=1,OFFSET(Vectors!$D$6,A92,MATCH(AssetFltIndx1,lstInterestRates,0)),IF(MOD($A92,AssetRateReset1)=0,MAX(MIN(OFFSET(Vectors!$D$6,A92,MATCH(AssetFltIndx1,lstInterestRates,0)),(F91-AssetMarg1)+AssetPdCapFl1,AssetLifeCap1-AssetMarg1),(F91-AssetMarg1)-AssetPdCapFl1,AssetLifeFloor1-AssetMarg1),F91)))+AssetMarg1</f>
        <v>0.09</v>
      </c>
      <c r="G92" s="62">
        <f t="shared" ca="1" si="75"/>
        <v>804622.61694478267</v>
      </c>
      <c r="H92" s="62">
        <f t="shared" ca="1" si="88"/>
        <v>701536.02969092678</v>
      </c>
      <c r="I92" s="62">
        <f t="shared" ca="1" si="89"/>
        <v>103086.58725385589</v>
      </c>
      <c r="J92" s="62">
        <f t="shared" ca="1" si="70"/>
        <v>93435050.704869717</v>
      </c>
      <c r="K92" s="55"/>
      <c r="L92" s="62">
        <f t="shared" ca="1" si="90"/>
        <v>64895668.949759454</v>
      </c>
      <c r="M92" s="68">
        <f ca="1">IF(pdrLossTime1="",OFFSET(Vectors!$AE$6,A92+_Age1,MATCH(SDA_Loss,lstSDA,0)),OFFSET(Vectors!$X$6,A92+_Age1,MATCH(pdrLossTime1,lstDefaultCurve,0)))</f>
        <v>2.7777777777777779E-5</v>
      </c>
      <c r="N92" s="62">
        <f t="shared" ca="1" si="76"/>
        <v>2777.7777777777778</v>
      </c>
      <c r="O92" s="67">
        <f t="shared" ca="1" si="91"/>
        <v>0.93435050704869715</v>
      </c>
      <c r="P92" s="68">
        <f ca="1">OFFSET(Vectors!$L$6,A92+_Age1,MATCH(pdrPrepay1,lstPrepayCurve,0))*pdrPrepayStress1</f>
        <v>5.1430128318229462E-3</v>
      </c>
      <c r="Q92" s="62">
        <f t="shared" ca="1" si="92"/>
        <v>333391.42846072122</v>
      </c>
      <c r="R92" s="62">
        <f t="shared" ca="1" si="93"/>
        <v>71517.210857679354</v>
      </c>
      <c r="S92" s="69">
        <f t="shared" ca="1" si="94"/>
        <v>0.09</v>
      </c>
      <c r="T92" s="62">
        <f t="shared" ca="1" si="95"/>
        <v>486696.68378986255</v>
      </c>
      <c r="U92" s="62">
        <f t="shared" ca="1" si="77"/>
        <v>1111.1111111111111</v>
      </c>
      <c r="V92" s="62">
        <f t="shared" ca="1" si="71"/>
        <v>64487982.532663271</v>
      </c>
      <c r="W92" s="55"/>
      <c r="X92" s="62">
        <f t="shared" ca="1" si="96"/>
        <v>892716.4342193742</v>
      </c>
      <c r="Y92" s="55"/>
      <c r="Z92" s="118" t="b">
        <v>0</v>
      </c>
      <c r="AA92" s="120" t="b">
        <f t="shared" si="78"/>
        <v>0</v>
      </c>
      <c r="AB92" s="120" t="b">
        <f t="shared" si="79"/>
        <v>1</v>
      </c>
      <c r="AC92" s="120" t="b">
        <f t="shared" ca="1" si="80"/>
        <v>0</v>
      </c>
      <c r="AD92" s="121"/>
      <c r="AE92" s="129">
        <v>33980346.536746353</v>
      </c>
      <c r="AF92" s="69">
        <f ca="1">IF(Swap_Active="No",0,OFFSET(Vectors!$D$6,Vectors!A92,MATCH(Swap_In,lstInterestRates,0)))</f>
        <v>6.9369000000000056E-2</v>
      </c>
      <c r="AG92" s="62">
        <f t="shared" ca="1" si="97"/>
        <v>196431.88824229664</v>
      </c>
      <c r="AH92" s="69">
        <f ca="1">IF(Swap_Active="No",0,OFFSET(Vectors!$D$6,Vectors!A92,MATCH(Swap_Out,lstInterestRates,0)))</f>
        <v>0.04</v>
      </c>
      <c r="AI92" s="62">
        <f t="shared" ca="1" si="98"/>
        <v>113267.82178915451</v>
      </c>
      <c r="AJ92" s="62">
        <f t="shared" ca="1" si="99"/>
        <v>83164.066453142135</v>
      </c>
      <c r="AK92" s="62">
        <f t="shared" ca="1" si="100"/>
        <v>975880.5006725163</v>
      </c>
      <c r="AL92" s="121"/>
      <c r="AM92" s="123">
        <f t="shared" ca="1" si="81"/>
        <v>125138.17679838277</v>
      </c>
      <c r="AN92" s="124">
        <f t="shared" ca="1" si="101"/>
        <v>125138.17679838277</v>
      </c>
      <c r="AO92" s="125">
        <f t="shared" ca="1" si="102"/>
        <v>0</v>
      </c>
      <c r="AP92" s="123">
        <f t="shared" ca="1" si="103"/>
        <v>850742.32387413352</v>
      </c>
      <c r="AQ92" s="121"/>
      <c r="AR92" s="126">
        <f ca="1">IF(LiabIntType1="Fixed",LiabFxdRate1,OFFSET(Vectors!$D$6,Vectors!A92,MATCH(LiabLoanIndex1,lstInterestRates,0))+LiabMarg1)</f>
        <v>7.9369000000000051E-2</v>
      </c>
      <c r="AS92" s="122">
        <f t="shared" ca="1" si="104"/>
        <v>269516.94123768271</v>
      </c>
      <c r="AT92" s="124">
        <f t="shared" ca="1" si="105"/>
        <v>269516.94123768271</v>
      </c>
      <c r="AU92" s="123">
        <f t="shared" ca="1" si="106"/>
        <v>0</v>
      </c>
      <c r="AV92" s="123">
        <f t="shared" ca="1" si="82"/>
        <v>0</v>
      </c>
      <c r="AW92" s="123">
        <f t="shared" ca="1" si="107"/>
        <v>0</v>
      </c>
      <c r="AX92" s="124">
        <f t="shared" ca="1" si="108"/>
        <v>581225.38263645081</v>
      </c>
      <c r="AY92" s="121"/>
      <c r="AZ92" s="122">
        <f t="shared" ca="1" si="83"/>
        <v>581225.38263645081</v>
      </c>
      <c r="BA92" s="124">
        <f t="shared" ca="1" si="109"/>
        <v>581225.38263645081</v>
      </c>
      <c r="BB92" s="123">
        <f t="shared" ca="1" si="110"/>
        <v>0</v>
      </c>
      <c r="BC92" s="123">
        <f t="shared" ca="1" si="84"/>
        <v>0</v>
      </c>
      <c r="BD92" s="123">
        <f t="shared" ca="1" si="111"/>
        <v>0</v>
      </c>
      <c r="BE92" s="124">
        <f t="shared" ca="1" si="112"/>
        <v>0</v>
      </c>
      <c r="BF92" s="121"/>
      <c r="BG92" s="123">
        <f t="shared" si="85"/>
        <v>1000000</v>
      </c>
      <c r="BH92" s="123">
        <f t="shared" ca="1" si="113"/>
        <v>1000000</v>
      </c>
      <c r="BI92" s="123">
        <f t="shared" ca="1" si="114"/>
        <v>0</v>
      </c>
      <c r="BJ92" s="123">
        <f t="shared" ca="1" si="115"/>
        <v>0</v>
      </c>
      <c r="BK92" s="123">
        <f t="shared" ca="1" si="72"/>
        <v>1000000</v>
      </c>
      <c r="BL92" s="123">
        <f t="shared" ca="1" si="116"/>
        <v>0</v>
      </c>
      <c r="BM92" s="121"/>
      <c r="BN92" s="126">
        <f ca="1">IF(LiabIntType2="Fixed",LiabFxdRate2,OFFSET(Vectors!$D$6,Vectors!A92,MATCH(LiabLoanIndex2,lstInterestRates,0))+LiabMarg2)</f>
        <v>0.04</v>
      </c>
      <c r="BO92" s="122">
        <f t="shared" ca="1" si="117"/>
        <v>34119.905847872607</v>
      </c>
      <c r="BP92" s="124">
        <f t="shared" ca="1" si="118"/>
        <v>0</v>
      </c>
      <c r="BQ92" s="123">
        <f t="shared" ca="1" si="119"/>
        <v>34119.905847872607</v>
      </c>
      <c r="BR92" s="123">
        <f t="shared" ca="1" si="120"/>
        <v>0</v>
      </c>
      <c r="BS92" s="121"/>
      <c r="BT92" s="123">
        <f t="shared" ca="1" si="86"/>
        <v>41799.72844885051</v>
      </c>
      <c r="BU92" s="123">
        <f t="shared" ca="1" si="121"/>
        <v>0</v>
      </c>
      <c r="BV92" s="123">
        <f t="shared" ca="1" si="122"/>
        <v>41799.72844885051</v>
      </c>
      <c r="BW92" s="123">
        <f t="shared" ca="1" si="123"/>
        <v>0</v>
      </c>
      <c r="BX92" s="121"/>
      <c r="BY92" s="123">
        <f t="shared" si="124"/>
        <v>0</v>
      </c>
      <c r="BZ92" s="123">
        <f t="shared" ca="1" si="125"/>
        <v>0</v>
      </c>
      <c r="CA92" s="121"/>
      <c r="CB92" s="122">
        <f t="shared" ca="1" si="73"/>
        <v>40167723.134444408</v>
      </c>
      <c r="CC92" s="122">
        <f t="shared" ca="1" si="126"/>
        <v>269516.94123768271</v>
      </c>
      <c r="CD92" s="124">
        <f t="shared" ca="1" si="127"/>
        <v>581225.38263645081</v>
      </c>
      <c r="CE92" s="121"/>
      <c r="CF92" s="122">
        <f t="shared" ca="1" si="74"/>
        <v>10235971.754361782</v>
      </c>
      <c r="CG92" s="124">
        <f t="shared" ca="1" si="128"/>
        <v>0</v>
      </c>
      <c r="CH92" s="123">
        <f t="shared" ca="1" si="129"/>
        <v>0</v>
      </c>
      <c r="CI92" s="121"/>
      <c r="CJ92" s="123">
        <f t="shared" ca="1" si="130"/>
        <v>1089148.3224616707</v>
      </c>
      <c r="CK92" s="123">
        <f t="shared" ca="1" si="131"/>
        <v>1089148.3224616707</v>
      </c>
      <c r="CL92" s="123">
        <f t="shared" ca="1" si="132"/>
        <v>0</v>
      </c>
      <c r="CM92" s="121"/>
      <c r="CN92" s="62">
        <f t="shared" ca="1" si="133"/>
        <v>407686.41709617834</v>
      </c>
      <c r="CO92" s="62" t="b">
        <f t="shared" si="134"/>
        <v>1</v>
      </c>
      <c r="CP92" s="126">
        <f t="shared" ca="1" si="135"/>
        <v>2.3888888888888887E-3</v>
      </c>
      <c r="CQ92" s="120"/>
      <c r="CR92" s="120"/>
      <c r="CS92" s="120"/>
      <c r="CT92" s="120"/>
      <c r="CU92" s="120"/>
      <c r="CV92" s="120"/>
      <c r="CW92" s="120"/>
      <c r="CX92" s="120"/>
      <c r="CY92" s="120"/>
      <c r="CZ92" s="120"/>
      <c r="DA92" s="120"/>
      <c r="DB92" s="120"/>
      <c r="DC92" s="120"/>
      <c r="DD92" s="120"/>
      <c r="DE92" s="116"/>
      <c r="DF92" s="116"/>
      <c r="DG92" s="116"/>
      <c r="DH92" s="116"/>
      <c r="DI92" s="116"/>
      <c r="DJ92" s="116"/>
      <c r="DK92" s="116"/>
      <c r="DL92" s="116"/>
      <c r="DM92" s="116"/>
      <c r="DN92" s="116"/>
    </row>
    <row r="93" spans="1:118" x14ac:dyDescent="0.2">
      <c r="A93" s="27">
        <v>87</v>
      </c>
      <c r="B93" s="29">
        <f t="shared" si="68"/>
        <v>41760</v>
      </c>
      <c r="C93" s="30">
        <f t="shared" si="69"/>
        <v>8.3333333333333329E-2</v>
      </c>
      <c r="D93" s="55"/>
      <c r="E93" s="62">
        <f t="shared" ca="1" si="87"/>
        <v>93435050.704869717</v>
      </c>
      <c r="F93" s="63">
        <f ca="1">IF(AssetIntType1="Fixed",AssetFxdRate1,IF(A93=1,OFFSET(Vectors!$D$6,A93,MATCH(AssetFltIndx1,lstInterestRates,0)),IF(MOD($A93,AssetRateReset1)=0,MAX(MIN(OFFSET(Vectors!$D$6,A93,MATCH(AssetFltIndx1,lstInterestRates,0)),(F92-AssetMarg1)+AssetPdCapFl1,AssetLifeCap1-AssetMarg1),(F92-AssetMarg1)-AssetPdCapFl1,AssetLifeFloor1-AssetMarg1),F92)))+AssetMarg1</f>
        <v>0.09</v>
      </c>
      <c r="G93" s="62">
        <f t="shared" ca="1" si="75"/>
        <v>804622.61694478267</v>
      </c>
      <c r="H93" s="62">
        <f t="shared" ca="1" si="88"/>
        <v>700762.88028652291</v>
      </c>
      <c r="I93" s="62">
        <f t="shared" ca="1" si="89"/>
        <v>103859.73665825976</v>
      </c>
      <c r="J93" s="62">
        <f t="shared" ca="1" si="70"/>
        <v>93331190.968211457</v>
      </c>
      <c r="K93" s="55"/>
      <c r="L93" s="62">
        <f t="shared" ca="1" si="90"/>
        <v>64487982.532663271</v>
      </c>
      <c r="M93" s="68">
        <f ca="1">IF(pdrLossTime1="",OFFSET(Vectors!$AE$6,A93+_Age1,MATCH(SDA_Loss,lstSDA,0)),OFFSET(Vectors!$X$6,A93+_Age1,MATCH(pdrLossTime1,lstDefaultCurve,0)))</f>
        <v>2.7777777777777779E-5</v>
      </c>
      <c r="N93" s="62">
        <f t="shared" ca="1" si="76"/>
        <v>2777.7777777777778</v>
      </c>
      <c r="O93" s="67">
        <f t="shared" ca="1" si="91"/>
        <v>0.93331190968211453</v>
      </c>
      <c r="P93" s="68">
        <f ca="1">OFFSET(Vectors!$L$6,A93+_Age1,MATCH(pdrPrepay1,lstPrepayCurve,0))*pdrPrepayStress1</f>
        <v>5.1430128318229462E-3</v>
      </c>
      <c r="Q93" s="62">
        <f t="shared" ca="1" si="92"/>
        <v>331293.85506712308</v>
      </c>
      <c r="R93" s="62">
        <f t="shared" ca="1" si="93"/>
        <v>71679.913840381385</v>
      </c>
      <c r="S93" s="69">
        <f t="shared" ca="1" si="94"/>
        <v>0.09</v>
      </c>
      <c r="T93" s="62">
        <f t="shared" ca="1" si="95"/>
        <v>483639.03566164122</v>
      </c>
      <c r="U93" s="62">
        <f t="shared" ca="1" si="77"/>
        <v>1111.1111111111111</v>
      </c>
      <c r="V93" s="62">
        <f t="shared" ca="1" si="71"/>
        <v>64082230.985977985</v>
      </c>
      <c r="W93" s="55"/>
      <c r="X93" s="62">
        <f t="shared" ca="1" si="96"/>
        <v>887723.91568025679</v>
      </c>
      <c r="Y93" s="55"/>
      <c r="Z93" s="118" t="b">
        <v>0</v>
      </c>
      <c r="AA93" s="120" t="b">
        <f t="shared" si="78"/>
        <v>0</v>
      </c>
      <c r="AB93" s="120" t="b">
        <f t="shared" si="79"/>
        <v>1</v>
      </c>
      <c r="AC93" s="120" t="b">
        <f t="shared" ca="1" si="80"/>
        <v>0</v>
      </c>
      <c r="AD93" s="121"/>
      <c r="AE93" s="129">
        <v>33538823.55577416</v>
      </c>
      <c r="AF93" s="69">
        <f ca="1">IF(Swap_Active="No",0,OFFSET(Vectors!$D$6,Vectors!A93,MATCH(Swap_In,lstInterestRates,0)))</f>
        <v>6.9369000000000056E-2</v>
      </c>
      <c r="AG93" s="62">
        <f t="shared" ca="1" si="97"/>
        <v>193879.55427004164</v>
      </c>
      <c r="AH93" s="69">
        <f ca="1">IF(Swap_Active="No",0,OFFSET(Vectors!$D$6,Vectors!A93,MATCH(Swap_Out,lstInterestRates,0)))</f>
        <v>0.04</v>
      </c>
      <c r="AI93" s="62">
        <f t="shared" ca="1" si="98"/>
        <v>111796.0785192472</v>
      </c>
      <c r="AJ93" s="62">
        <f t="shared" ca="1" si="99"/>
        <v>82083.475750794445</v>
      </c>
      <c r="AK93" s="62">
        <f t="shared" ca="1" si="100"/>
        <v>969807.39143105119</v>
      </c>
      <c r="AL93" s="121"/>
      <c r="AM93" s="123">
        <f t="shared" ca="1" si="81"/>
        <v>124216.52219379062</v>
      </c>
      <c r="AN93" s="124">
        <f t="shared" ca="1" si="101"/>
        <v>124216.52219379062</v>
      </c>
      <c r="AO93" s="125">
        <f t="shared" ca="1" si="102"/>
        <v>0</v>
      </c>
      <c r="AP93" s="123">
        <f t="shared" ca="1" si="103"/>
        <v>845590.86923726054</v>
      </c>
      <c r="AQ93" s="121"/>
      <c r="AR93" s="126">
        <f ca="1">IF(LiabIntType1="Fixed",LiabFxdRate1,OFFSET(Vectors!$D$6,Vectors!A93,MATCH(LiabLoanIndex1,lstInterestRates,0))+LiabMarg1)</f>
        <v>7.9369000000000051E-2</v>
      </c>
      <c r="AS93" s="122">
        <f t="shared" ca="1" si="104"/>
        <v>265672.66812147666</v>
      </c>
      <c r="AT93" s="124">
        <f t="shared" ca="1" si="105"/>
        <v>265672.66812147666</v>
      </c>
      <c r="AU93" s="123">
        <f t="shared" ca="1" si="106"/>
        <v>0</v>
      </c>
      <c r="AV93" s="123">
        <f t="shared" ca="1" si="82"/>
        <v>0</v>
      </c>
      <c r="AW93" s="123">
        <f t="shared" ca="1" si="107"/>
        <v>0</v>
      </c>
      <c r="AX93" s="124">
        <f t="shared" ca="1" si="108"/>
        <v>579918.20111578389</v>
      </c>
      <c r="AY93" s="121"/>
      <c r="AZ93" s="122">
        <f t="shared" ca="1" si="83"/>
        <v>579918.20111578389</v>
      </c>
      <c r="BA93" s="124">
        <f t="shared" ca="1" si="109"/>
        <v>579918.20111578389</v>
      </c>
      <c r="BB93" s="123">
        <f t="shared" ca="1" si="110"/>
        <v>0</v>
      </c>
      <c r="BC93" s="123">
        <f t="shared" ca="1" si="84"/>
        <v>0</v>
      </c>
      <c r="BD93" s="123">
        <f t="shared" ca="1" si="111"/>
        <v>0</v>
      </c>
      <c r="BE93" s="124">
        <f t="shared" ca="1" si="112"/>
        <v>0</v>
      </c>
      <c r="BF93" s="121"/>
      <c r="BG93" s="123">
        <f t="shared" si="85"/>
        <v>1000000</v>
      </c>
      <c r="BH93" s="123">
        <f t="shared" ca="1" si="113"/>
        <v>1000000</v>
      </c>
      <c r="BI93" s="123">
        <f t="shared" ca="1" si="114"/>
        <v>0</v>
      </c>
      <c r="BJ93" s="123">
        <f t="shared" ca="1" si="115"/>
        <v>0</v>
      </c>
      <c r="BK93" s="123">
        <f t="shared" ca="1" si="72"/>
        <v>1000000</v>
      </c>
      <c r="BL93" s="123">
        <f t="shared" ca="1" si="116"/>
        <v>0</v>
      </c>
      <c r="BM93" s="121"/>
      <c r="BN93" s="126">
        <f ca="1">IF(LiabIntType2="Fixed",LiabFxdRate2,OFFSET(Vectors!$D$6,Vectors!A93,MATCH(LiabLoanIndex2,lstInterestRates,0))+LiabMarg2)</f>
        <v>0.04</v>
      </c>
      <c r="BO93" s="122">
        <f t="shared" ca="1" si="117"/>
        <v>34119.905847872607</v>
      </c>
      <c r="BP93" s="124">
        <f t="shared" ca="1" si="118"/>
        <v>0</v>
      </c>
      <c r="BQ93" s="123">
        <f t="shared" ca="1" si="119"/>
        <v>34119.905847872607</v>
      </c>
      <c r="BR93" s="123">
        <f t="shared" ca="1" si="120"/>
        <v>0</v>
      </c>
      <c r="BS93" s="121"/>
      <c r="BT93" s="123">
        <f t="shared" ca="1" si="86"/>
        <v>41601.347893679609</v>
      </c>
      <c r="BU93" s="123">
        <f t="shared" ca="1" si="121"/>
        <v>0</v>
      </c>
      <c r="BV93" s="123">
        <f t="shared" ca="1" si="122"/>
        <v>41601.347893679609</v>
      </c>
      <c r="BW93" s="123">
        <f t="shared" ca="1" si="123"/>
        <v>0</v>
      </c>
      <c r="BX93" s="121"/>
      <c r="BY93" s="123">
        <f t="shared" si="124"/>
        <v>0</v>
      </c>
      <c r="BZ93" s="123">
        <f t="shared" ca="1" si="125"/>
        <v>0</v>
      </c>
      <c r="CA93" s="121"/>
      <c r="CB93" s="122">
        <f t="shared" ca="1" si="73"/>
        <v>39587804.933328621</v>
      </c>
      <c r="CC93" s="122">
        <f t="shared" ca="1" si="126"/>
        <v>265672.66812147666</v>
      </c>
      <c r="CD93" s="124">
        <f t="shared" ca="1" si="127"/>
        <v>579918.20111578389</v>
      </c>
      <c r="CE93" s="121"/>
      <c r="CF93" s="122">
        <f t="shared" ca="1" si="74"/>
        <v>10235971.754361782</v>
      </c>
      <c r="CG93" s="124">
        <f t="shared" ca="1" si="128"/>
        <v>0</v>
      </c>
      <c r="CH93" s="123">
        <f t="shared" ca="1" si="129"/>
        <v>0</v>
      </c>
      <c r="CI93" s="121"/>
      <c r="CJ93" s="123">
        <f t="shared" ca="1" si="130"/>
        <v>1081603.4699502983</v>
      </c>
      <c r="CK93" s="123">
        <f t="shared" ca="1" si="131"/>
        <v>1081603.4699502983</v>
      </c>
      <c r="CL93" s="123">
        <f t="shared" ca="1" si="132"/>
        <v>0</v>
      </c>
      <c r="CM93" s="121"/>
      <c r="CN93" s="62">
        <f t="shared" ca="1" si="133"/>
        <v>405751.5466852822</v>
      </c>
      <c r="CO93" s="62" t="b">
        <f t="shared" si="134"/>
        <v>1</v>
      </c>
      <c r="CP93" s="126">
        <f t="shared" ca="1" si="135"/>
        <v>2.4166666666666664E-3</v>
      </c>
      <c r="CQ93" s="120"/>
      <c r="CR93" s="120"/>
      <c r="CS93" s="120"/>
      <c r="CT93" s="120"/>
      <c r="CU93" s="120"/>
      <c r="CV93" s="120"/>
      <c r="CW93" s="120"/>
      <c r="CX93" s="120"/>
      <c r="CY93" s="120"/>
      <c r="CZ93" s="120"/>
      <c r="DA93" s="120"/>
      <c r="DB93" s="120"/>
      <c r="DC93" s="120"/>
      <c r="DD93" s="120"/>
      <c r="DE93" s="116"/>
      <c r="DF93" s="116"/>
      <c r="DG93" s="116"/>
      <c r="DH93" s="116"/>
      <c r="DI93" s="116"/>
      <c r="DJ93" s="116"/>
      <c r="DK93" s="116"/>
      <c r="DL93" s="116"/>
      <c r="DM93" s="116"/>
      <c r="DN93" s="116"/>
    </row>
    <row r="94" spans="1:118" x14ac:dyDescent="0.2">
      <c r="A94" s="27">
        <v>88</v>
      </c>
      <c r="B94" s="29">
        <f t="shared" si="68"/>
        <v>41791</v>
      </c>
      <c r="C94" s="30">
        <f t="shared" si="69"/>
        <v>8.3333333333333329E-2</v>
      </c>
      <c r="D94" s="55"/>
      <c r="E94" s="62">
        <f t="shared" ca="1" si="87"/>
        <v>93331190.968211457</v>
      </c>
      <c r="F94" s="63">
        <f ca="1">IF(AssetIntType1="Fixed",AssetFxdRate1,IF(A94=1,OFFSET(Vectors!$D$6,A94,MATCH(AssetFltIndx1,lstInterestRates,0)),IF(MOD($A94,AssetRateReset1)=0,MAX(MIN(OFFSET(Vectors!$D$6,A94,MATCH(AssetFltIndx1,lstInterestRates,0)),(F93-AssetMarg1)+AssetPdCapFl1,AssetLifeCap1-AssetMarg1),(F93-AssetMarg1)-AssetPdCapFl1,AssetLifeFloor1-AssetMarg1),F93)))+AssetMarg1</f>
        <v>0.09</v>
      </c>
      <c r="G94" s="62">
        <f t="shared" ca="1" si="75"/>
        <v>804622.61694478267</v>
      </c>
      <c r="H94" s="62">
        <f t="shared" ca="1" si="88"/>
        <v>699983.93226158596</v>
      </c>
      <c r="I94" s="62">
        <f t="shared" ca="1" si="89"/>
        <v>104638.68468319671</v>
      </c>
      <c r="J94" s="62">
        <f t="shared" ca="1" si="70"/>
        <v>93226552.283528253</v>
      </c>
      <c r="K94" s="55"/>
      <c r="L94" s="62">
        <f t="shared" ca="1" si="90"/>
        <v>64082230.985977985</v>
      </c>
      <c r="M94" s="68">
        <f ca="1">IF(pdrLossTime1="",OFFSET(Vectors!$AE$6,A94+_Age1,MATCH(SDA_Loss,lstSDA,0)),OFFSET(Vectors!$X$6,A94+_Age1,MATCH(pdrLossTime1,lstDefaultCurve,0)))</f>
        <v>2.7777777777777779E-5</v>
      </c>
      <c r="N94" s="62">
        <f t="shared" ca="1" si="76"/>
        <v>2777.7777777777778</v>
      </c>
      <c r="O94" s="67">
        <f t="shared" ca="1" si="91"/>
        <v>0.93226552283528252</v>
      </c>
      <c r="P94" s="68">
        <f ca="1">OFFSET(Vectors!$L$6,A94+_Age1,MATCH(pdrPrepay1,lstPrepayCurve,0))*pdrPrepayStress1</f>
        <v>5.1430128318229462E-3</v>
      </c>
      <c r="Q94" s="62">
        <f t="shared" ca="1" si="92"/>
        <v>329206.23093315226</v>
      </c>
      <c r="R94" s="62">
        <f t="shared" ca="1" si="93"/>
        <v>71842.967279914068</v>
      </c>
      <c r="S94" s="69">
        <f t="shared" ca="1" si="94"/>
        <v>0.09</v>
      </c>
      <c r="T94" s="62">
        <f t="shared" ca="1" si="95"/>
        <v>480595.89906150155</v>
      </c>
      <c r="U94" s="62">
        <f t="shared" ca="1" si="77"/>
        <v>1111.1111111111111</v>
      </c>
      <c r="V94" s="62">
        <f t="shared" ca="1" si="71"/>
        <v>63678404.009987146</v>
      </c>
      <c r="W94" s="55"/>
      <c r="X94" s="62">
        <f t="shared" ca="1" si="96"/>
        <v>882756.20838567906</v>
      </c>
      <c r="Y94" s="55"/>
      <c r="Z94" s="118" t="b">
        <v>0</v>
      </c>
      <c r="AA94" s="120" t="b">
        <f t="shared" si="78"/>
        <v>0</v>
      </c>
      <c r="AB94" s="120" t="b">
        <f t="shared" si="79"/>
        <v>1</v>
      </c>
      <c r="AC94" s="120" t="b">
        <f t="shared" ca="1" si="80"/>
        <v>0</v>
      </c>
      <c r="AD94" s="121"/>
      <c r="AE94" s="129">
        <v>33101827.646922354</v>
      </c>
      <c r="AF94" s="69">
        <f ca="1">IF(Swap_Active="No",0,OFFSET(Vectors!$D$6,Vectors!A94,MATCH(Swap_In,lstInterestRates,0)))</f>
        <v>6.9369000000000056E-2</v>
      </c>
      <c r="AG94" s="62">
        <f t="shared" ca="1" si="97"/>
        <v>191353.39016994654</v>
      </c>
      <c r="AH94" s="69">
        <f ca="1">IF(Swap_Active="No",0,OFFSET(Vectors!$D$6,Vectors!A94,MATCH(Swap_Out,lstInterestRates,0)))</f>
        <v>0.04</v>
      </c>
      <c r="AI94" s="62">
        <f t="shared" ca="1" si="98"/>
        <v>110339.42548974117</v>
      </c>
      <c r="AJ94" s="62">
        <f t="shared" ca="1" si="99"/>
        <v>81013.964680205361</v>
      </c>
      <c r="AK94" s="62">
        <f t="shared" ca="1" si="100"/>
        <v>963770.17306588439</v>
      </c>
      <c r="AL94" s="121"/>
      <c r="AM94" s="123">
        <f t="shared" ca="1" si="81"/>
        <v>123298.63703218356</v>
      </c>
      <c r="AN94" s="124">
        <f t="shared" ca="1" si="101"/>
        <v>123298.63703218356</v>
      </c>
      <c r="AO94" s="125">
        <f t="shared" ca="1" si="102"/>
        <v>0</v>
      </c>
      <c r="AP94" s="123">
        <f t="shared" ca="1" si="103"/>
        <v>840471.5360337008</v>
      </c>
      <c r="AQ94" s="121"/>
      <c r="AR94" s="126">
        <f ca="1">IF(LiabIntType1="Fixed",LiabFxdRate1,OFFSET(Vectors!$D$6,Vectors!A94,MATCH(LiabLoanIndex1,lstInterestRates,0))+LiabMarg1)</f>
        <v>7.9369000000000051E-2</v>
      </c>
      <c r="AS94" s="122">
        <f t="shared" ca="1" si="104"/>
        <v>261837.04081278009</v>
      </c>
      <c r="AT94" s="124">
        <f t="shared" ca="1" si="105"/>
        <v>261837.04081278009</v>
      </c>
      <c r="AU94" s="123">
        <f t="shared" ca="1" si="106"/>
        <v>0</v>
      </c>
      <c r="AV94" s="123">
        <f t="shared" ca="1" si="82"/>
        <v>0</v>
      </c>
      <c r="AW94" s="123">
        <f t="shared" ca="1" si="107"/>
        <v>0</v>
      </c>
      <c r="AX94" s="124">
        <f t="shared" ca="1" si="108"/>
        <v>578634.49522092077</v>
      </c>
      <c r="AY94" s="121"/>
      <c r="AZ94" s="122">
        <f t="shared" ca="1" si="83"/>
        <v>578634.49522092077</v>
      </c>
      <c r="BA94" s="124">
        <f t="shared" ca="1" si="109"/>
        <v>578634.49522092077</v>
      </c>
      <c r="BB94" s="123">
        <f t="shared" ca="1" si="110"/>
        <v>0</v>
      </c>
      <c r="BC94" s="123">
        <f t="shared" ca="1" si="84"/>
        <v>0</v>
      </c>
      <c r="BD94" s="123">
        <f t="shared" ca="1" si="111"/>
        <v>0</v>
      </c>
      <c r="BE94" s="124">
        <f t="shared" ca="1" si="112"/>
        <v>0</v>
      </c>
      <c r="BF94" s="121"/>
      <c r="BG94" s="123">
        <f t="shared" si="85"/>
        <v>1000000</v>
      </c>
      <c r="BH94" s="123">
        <f t="shared" ca="1" si="113"/>
        <v>1000000</v>
      </c>
      <c r="BI94" s="123">
        <f t="shared" ca="1" si="114"/>
        <v>0</v>
      </c>
      <c r="BJ94" s="123">
        <f t="shared" ca="1" si="115"/>
        <v>0</v>
      </c>
      <c r="BK94" s="123">
        <f t="shared" ca="1" si="72"/>
        <v>1000000</v>
      </c>
      <c r="BL94" s="123">
        <f t="shared" ca="1" si="116"/>
        <v>0</v>
      </c>
      <c r="BM94" s="121"/>
      <c r="BN94" s="126">
        <f ca="1">IF(LiabIntType2="Fixed",LiabFxdRate2,OFFSET(Vectors!$D$6,Vectors!A94,MATCH(LiabLoanIndex2,lstInterestRates,0))+LiabMarg2)</f>
        <v>0.04</v>
      </c>
      <c r="BO94" s="122">
        <f t="shared" ca="1" si="117"/>
        <v>34119.905847872607</v>
      </c>
      <c r="BP94" s="124">
        <f t="shared" ca="1" si="118"/>
        <v>0</v>
      </c>
      <c r="BQ94" s="123">
        <f t="shared" ca="1" si="119"/>
        <v>34119.905847872607</v>
      </c>
      <c r="BR94" s="123">
        <f t="shared" ca="1" si="120"/>
        <v>0</v>
      </c>
      <c r="BS94" s="121"/>
      <c r="BT94" s="123">
        <f t="shared" ca="1" si="86"/>
        <v>41404.023359344807</v>
      </c>
      <c r="BU94" s="123">
        <f t="shared" ca="1" si="121"/>
        <v>0</v>
      </c>
      <c r="BV94" s="123">
        <f t="shared" ca="1" si="122"/>
        <v>41404.023359344807</v>
      </c>
      <c r="BW94" s="123">
        <f t="shared" ca="1" si="123"/>
        <v>0</v>
      </c>
      <c r="BX94" s="121"/>
      <c r="BY94" s="123">
        <f t="shared" si="124"/>
        <v>0</v>
      </c>
      <c r="BZ94" s="123">
        <f t="shared" ca="1" si="125"/>
        <v>0</v>
      </c>
      <c r="CA94" s="121"/>
      <c r="CB94" s="122">
        <f t="shared" ca="1" si="73"/>
        <v>39009170.438107699</v>
      </c>
      <c r="CC94" s="122">
        <f t="shared" ca="1" si="126"/>
        <v>261837.04081278009</v>
      </c>
      <c r="CD94" s="124">
        <f t="shared" ca="1" si="127"/>
        <v>578634.49522092077</v>
      </c>
      <c r="CE94" s="121"/>
      <c r="CF94" s="122">
        <f t="shared" ca="1" si="74"/>
        <v>10235971.754361782</v>
      </c>
      <c r="CG94" s="124">
        <f t="shared" ca="1" si="128"/>
        <v>0</v>
      </c>
      <c r="CH94" s="123">
        <f t="shared" ca="1" si="129"/>
        <v>0</v>
      </c>
      <c r="CI94" s="121"/>
      <c r="CJ94" s="123">
        <f t="shared" ca="1" si="130"/>
        <v>1074109.5985556256</v>
      </c>
      <c r="CK94" s="123">
        <f t="shared" ca="1" si="131"/>
        <v>1074109.5985556256</v>
      </c>
      <c r="CL94" s="123">
        <f t="shared" ca="1" si="132"/>
        <v>0</v>
      </c>
      <c r="CM94" s="121"/>
      <c r="CN94" s="62">
        <f t="shared" ca="1" si="133"/>
        <v>403826.97599084408</v>
      </c>
      <c r="CO94" s="62" t="b">
        <f t="shared" si="134"/>
        <v>1</v>
      </c>
      <c r="CP94" s="126">
        <f t="shared" ca="1" si="135"/>
        <v>2.444444444444444E-3</v>
      </c>
      <c r="CQ94" s="120"/>
      <c r="CR94" s="120"/>
      <c r="CS94" s="120"/>
      <c r="CT94" s="120"/>
      <c r="CU94" s="120"/>
      <c r="CV94" s="120"/>
      <c r="CW94" s="120"/>
      <c r="CX94" s="120"/>
      <c r="CY94" s="120"/>
      <c r="CZ94" s="120"/>
      <c r="DA94" s="120"/>
      <c r="DB94" s="120"/>
      <c r="DC94" s="120"/>
      <c r="DD94" s="120"/>
      <c r="DE94" s="116"/>
      <c r="DF94" s="116"/>
      <c r="DG94" s="116"/>
      <c r="DH94" s="116"/>
      <c r="DI94" s="116"/>
      <c r="DJ94" s="116"/>
      <c r="DK94" s="116"/>
      <c r="DL94" s="116"/>
      <c r="DM94" s="116"/>
      <c r="DN94" s="116"/>
    </row>
    <row r="95" spans="1:118" x14ac:dyDescent="0.2">
      <c r="A95" s="27">
        <v>89</v>
      </c>
      <c r="B95" s="29">
        <f t="shared" si="68"/>
        <v>41821</v>
      </c>
      <c r="C95" s="30">
        <f t="shared" si="69"/>
        <v>8.3333333333333329E-2</v>
      </c>
      <c r="D95" s="55"/>
      <c r="E95" s="62">
        <f t="shared" ca="1" si="87"/>
        <v>93226552.283528253</v>
      </c>
      <c r="F95" s="63">
        <f ca="1">IF(AssetIntType1="Fixed",AssetFxdRate1,IF(A95=1,OFFSET(Vectors!$D$6,A95,MATCH(AssetFltIndx1,lstInterestRates,0)),IF(MOD($A95,AssetRateReset1)=0,MAX(MIN(OFFSET(Vectors!$D$6,A95,MATCH(AssetFltIndx1,lstInterestRates,0)),(F94-AssetMarg1)+AssetPdCapFl1,AssetLifeCap1-AssetMarg1),(F94-AssetMarg1)-AssetPdCapFl1,AssetLifeFloor1-AssetMarg1),F94)))+AssetMarg1</f>
        <v>0.09</v>
      </c>
      <c r="G95" s="62">
        <f t="shared" ca="1" si="75"/>
        <v>804622.61694478267</v>
      </c>
      <c r="H95" s="62">
        <f t="shared" ca="1" si="88"/>
        <v>699199.14212646184</v>
      </c>
      <c r="I95" s="62">
        <f t="shared" ca="1" si="89"/>
        <v>105423.47481832083</v>
      </c>
      <c r="J95" s="62">
        <f t="shared" ca="1" si="70"/>
        <v>93121128.808709934</v>
      </c>
      <c r="K95" s="55"/>
      <c r="L95" s="62">
        <f t="shared" ca="1" si="90"/>
        <v>63678404.009987146</v>
      </c>
      <c r="M95" s="68">
        <f ca="1">IF(pdrLossTime1="",OFFSET(Vectors!$AE$6,A95+_Age1,MATCH(SDA_Loss,lstSDA,0)),OFFSET(Vectors!$X$6,A95+_Age1,MATCH(pdrLossTime1,lstDefaultCurve,0)))</f>
        <v>2.7777777777777779E-5</v>
      </c>
      <c r="N95" s="62">
        <f t="shared" ca="1" si="76"/>
        <v>2777.7777777777778</v>
      </c>
      <c r="O95" s="67">
        <f t="shared" ca="1" si="91"/>
        <v>0.9312112880870993</v>
      </c>
      <c r="P95" s="68">
        <f ca="1">OFFSET(Vectors!$L$6,A95+_Age1,MATCH(pdrPrepay1,lstPrepayCurve,0))*pdrPrepayStress1</f>
        <v>5.1430128318229462E-3</v>
      </c>
      <c r="Q95" s="62">
        <f t="shared" ca="1" si="92"/>
        <v>327128.5030843828</v>
      </c>
      <c r="R95" s="62">
        <f t="shared" ca="1" si="93"/>
        <v>72006.371727835023</v>
      </c>
      <c r="S95" s="69">
        <f t="shared" ca="1" si="94"/>
        <v>0.09</v>
      </c>
      <c r="T95" s="62">
        <f t="shared" ca="1" si="95"/>
        <v>477567.19674157025</v>
      </c>
      <c r="U95" s="62">
        <f t="shared" ca="1" si="77"/>
        <v>1111.1111111111111</v>
      </c>
      <c r="V95" s="62">
        <f t="shared" ca="1" si="71"/>
        <v>63276491.357397154</v>
      </c>
      <c r="W95" s="55"/>
      <c r="X95" s="62">
        <f t="shared" ca="1" si="96"/>
        <v>877813.18266489927</v>
      </c>
      <c r="Y95" s="55"/>
      <c r="Z95" s="118" t="b">
        <v>0</v>
      </c>
      <c r="AA95" s="120" t="b">
        <f t="shared" si="78"/>
        <v>0</v>
      </c>
      <c r="AB95" s="120" t="b">
        <f t="shared" si="79"/>
        <v>1</v>
      </c>
      <c r="AC95" s="120" t="b">
        <f t="shared" ca="1" si="80"/>
        <v>0</v>
      </c>
      <c r="AD95" s="121"/>
      <c r="AE95" s="129">
        <v>32669313.251475789</v>
      </c>
      <c r="AF95" s="69">
        <f ca="1">IF(Swap_Active="No",0,OFFSET(Vectors!$D$6,Vectors!A95,MATCH(Swap_In,lstInterestRates,0)))</f>
        <v>6.9369000000000056E-2</v>
      </c>
      <c r="AG95" s="62">
        <f t="shared" ca="1" si="97"/>
        <v>188853.13257846879</v>
      </c>
      <c r="AH95" s="69">
        <f ca="1">IF(Swap_Active="No",0,OFFSET(Vectors!$D$6,Vectors!A95,MATCH(Swap_Out,lstInterestRates,0)))</f>
        <v>0.04</v>
      </c>
      <c r="AI95" s="62">
        <f t="shared" ca="1" si="98"/>
        <v>108897.71083825263</v>
      </c>
      <c r="AJ95" s="62">
        <f t="shared" ca="1" si="99"/>
        <v>79955.421740216159</v>
      </c>
      <c r="AK95" s="62">
        <f t="shared" ca="1" si="100"/>
        <v>957768.60440511547</v>
      </c>
      <c r="AL95" s="121"/>
      <c r="AM95" s="123">
        <f t="shared" ca="1" si="81"/>
        <v>122384.49436585676</v>
      </c>
      <c r="AN95" s="124">
        <f t="shared" ca="1" si="101"/>
        <v>122384.49436585676</v>
      </c>
      <c r="AO95" s="125">
        <f t="shared" ca="1" si="102"/>
        <v>0</v>
      </c>
      <c r="AP95" s="123">
        <f t="shared" ca="1" si="103"/>
        <v>835384.11003925873</v>
      </c>
      <c r="AQ95" s="121"/>
      <c r="AR95" s="126">
        <f ca="1">IF(LiabIntType1="Fixed",LiabFxdRate1,OFFSET(Vectors!$D$6,Vectors!A95,MATCH(LiabLoanIndex1,lstInterestRates,0))+LiabMarg1)</f>
        <v>7.9369000000000051E-2</v>
      </c>
      <c r="AS95" s="122">
        <f t="shared" ca="1" si="104"/>
        <v>258009.90404184765</v>
      </c>
      <c r="AT95" s="124">
        <f t="shared" ca="1" si="105"/>
        <v>258009.90404184765</v>
      </c>
      <c r="AU95" s="123">
        <f t="shared" ca="1" si="106"/>
        <v>0</v>
      </c>
      <c r="AV95" s="123">
        <f t="shared" ca="1" si="82"/>
        <v>0</v>
      </c>
      <c r="AW95" s="123">
        <f t="shared" ca="1" si="107"/>
        <v>0</v>
      </c>
      <c r="AX95" s="124">
        <f t="shared" ca="1" si="108"/>
        <v>577374.20599741105</v>
      </c>
      <c r="AY95" s="121"/>
      <c r="AZ95" s="122">
        <f t="shared" ca="1" si="83"/>
        <v>577374.20599741105</v>
      </c>
      <c r="BA95" s="124">
        <f t="shared" ca="1" si="109"/>
        <v>577374.20599741105</v>
      </c>
      <c r="BB95" s="123">
        <f t="shared" ca="1" si="110"/>
        <v>0</v>
      </c>
      <c r="BC95" s="123">
        <f t="shared" ca="1" si="84"/>
        <v>0</v>
      </c>
      <c r="BD95" s="123">
        <f t="shared" ca="1" si="111"/>
        <v>0</v>
      </c>
      <c r="BE95" s="124">
        <f t="shared" ca="1" si="112"/>
        <v>0</v>
      </c>
      <c r="BF95" s="121"/>
      <c r="BG95" s="123">
        <f t="shared" si="85"/>
        <v>1000000</v>
      </c>
      <c r="BH95" s="123">
        <f t="shared" ca="1" si="113"/>
        <v>1000000</v>
      </c>
      <c r="BI95" s="123">
        <f t="shared" ca="1" si="114"/>
        <v>0</v>
      </c>
      <c r="BJ95" s="123">
        <f t="shared" ca="1" si="115"/>
        <v>0</v>
      </c>
      <c r="BK95" s="123">
        <f t="shared" ca="1" si="72"/>
        <v>1000000</v>
      </c>
      <c r="BL95" s="123">
        <f t="shared" ca="1" si="116"/>
        <v>0</v>
      </c>
      <c r="BM95" s="121"/>
      <c r="BN95" s="126">
        <f ca="1">IF(LiabIntType2="Fixed",LiabFxdRate2,OFFSET(Vectors!$D$6,Vectors!A95,MATCH(LiabLoanIndex2,lstInterestRates,0))+LiabMarg2)</f>
        <v>0.04</v>
      </c>
      <c r="BO95" s="122">
        <f t="shared" ca="1" si="117"/>
        <v>34119.905847872607</v>
      </c>
      <c r="BP95" s="124">
        <f t="shared" ca="1" si="118"/>
        <v>0</v>
      </c>
      <c r="BQ95" s="123">
        <f t="shared" ca="1" si="119"/>
        <v>34119.905847872607</v>
      </c>
      <c r="BR95" s="123">
        <f t="shared" ca="1" si="120"/>
        <v>0</v>
      </c>
      <c r="BS95" s="121"/>
      <c r="BT95" s="123">
        <f t="shared" ca="1" si="86"/>
        <v>41207.749470975672</v>
      </c>
      <c r="BU95" s="123">
        <f t="shared" ca="1" si="121"/>
        <v>0</v>
      </c>
      <c r="BV95" s="123">
        <f t="shared" ca="1" si="122"/>
        <v>41207.749470975672</v>
      </c>
      <c r="BW95" s="123">
        <f t="shared" ca="1" si="123"/>
        <v>0</v>
      </c>
      <c r="BX95" s="121"/>
      <c r="BY95" s="123">
        <f t="shared" si="124"/>
        <v>0</v>
      </c>
      <c r="BZ95" s="123">
        <f t="shared" ca="1" si="125"/>
        <v>0</v>
      </c>
      <c r="CA95" s="121"/>
      <c r="CB95" s="122">
        <f t="shared" ca="1" si="73"/>
        <v>38431796.232110292</v>
      </c>
      <c r="CC95" s="122">
        <f t="shared" ca="1" si="126"/>
        <v>258009.90404184765</v>
      </c>
      <c r="CD95" s="124">
        <f t="shared" ca="1" si="127"/>
        <v>577374.20599741105</v>
      </c>
      <c r="CE95" s="121"/>
      <c r="CF95" s="122">
        <f t="shared" ca="1" si="74"/>
        <v>10235971.754361782</v>
      </c>
      <c r="CG95" s="124">
        <f t="shared" ca="1" si="128"/>
        <v>0</v>
      </c>
      <c r="CH95" s="123">
        <f t="shared" ca="1" si="129"/>
        <v>0</v>
      </c>
      <c r="CI95" s="121"/>
      <c r="CJ95" s="123">
        <f t="shared" ca="1" si="130"/>
        <v>1066666.315243368</v>
      </c>
      <c r="CK95" s="123">
        <f t="shared" ca="1" si="131"/>
        <v>1066666.315243368</v>
      </c>
      <c r="CL95" s="123">
        <f t="shared" ca="1" si="132"/>
        <v>0</v>
      </c>
      <c r="CM95" s="121"/>
      <c r="CN95" s="62">
        <f t="shared" ca="1" si="133"/>
        <v>401912.65258999559</v>
      </c>
      <c r="CO95" s="62" t="b">
        <f t="shared" si="134"/>
        <v>1</v>
      </c>
      <c r="CP95" s="126">
        <f t="shared" ca="1" si="135"/>
        <v>2.4722222222222216E-3</v>
      </c>
      <c r="CQ95" s="120"/>
      <c r="CR95" s="120"/>
      <c r="CS95" s="120"/>
      <c r="CT95" s="120"/>
      <c r="CU95" s="120"/>
      <c r="CV95" s="120"/>
      <c r="CW95" s="120"/>
      <c r="CX95" s="120"/>
      <c r="CY95" s="120"/>
      <c r="CZ95" s="120"/>
      <c r="DA95" s="120"/>
      <c r="DB95" s="120"/>
      <c r="DC95" s="120"/>
      <c r="DD95" s="120"/>
      <c r="DE95" s="116"/>
      <c r="DF95" s="116"/>
      <c r="DG95" s="116"/>
      <c r="DH95" s="116"/>
      <c r="DI95" s="116"/>
      <c r="DJ95" s="116"/>
      <c r="DK95" s="116"/>
      <c r="DL95" s="116"/>
      <c r="DM95" s="116"/>
      <c r="DN95" s="116"/>
    </row>
    <row r="96" spans="1:118" x14ac:dyDescent="0.2">
      <c r="A96" s="27">
        <v>90</v>
      </c>
      <c r="B96" s="29">
        <f t="shared" si="68"/>
        <v>41852</v>
      </c>
      <c r="C96" s="30">
        <f t="shared" si="69"/>
        <v>8.3333333333333329E-2</v>
      </c>
      <c r="D96" s="55"/>
      <c r="E96" s="62">
        <f t="shared" ca="1" si="87"/>
        <v>93121128.808709934</v>
      </c>
      <c r="F96" s="63">
        <f ca="1">IF(AssetIntType1="Fixed",AssetFxdRate1,IF(A96=1,OFFSET(Vectors!$D$6,A96,MATCH(AssetFltIndx1,lstInterestRates,0)),IF(MOD($A96,AssetRateReset1)=0,MAX(MIN(OFFSET(Vectors!$D$6,A96,MATCH(AssetFltIndx1,lstInterestRates,0)),(F95-AssetMarg1)+AssetPdCapFl1,AssetLifeCap1-AssetMarg1),(F95-AssetMarg1)-AssetPdCapFl1,AssetLifeFloor1-AssetMarg1),F95)))+AssetMarg1</f>
        <v>0.09</v>
      </c>
      <c r="G96" s="62">
        <f t="shared" ca="1" si="75"/>
        <v>804622.61694478267</v>
      </c>
      <c r="H96" s="62">
        <f t="shared" ca="1" si="88"/>
        <v>698408.46606532449</v>
      </c>
      <c r="I96" s="62">
        <f t="shared" ca="1" si="89"/>
        <v>106214.15087945818</v>
      </c>
      <c r="J96" s="62">
        <f t="shared" ca="1" si="70"/>
        <v>93014914.657830477</v>
      </c>
      <c r="K96" s="55"/>
      <c r="L96" s="62">
        <f t="shared" ca="1" si="90"/>
        <v>63276491.357397154</v>
      </c>
      <c r="M96" s="68">
        <f ca="1">IF(pdrLossTime1="",OFFSET(Vectors!$AE$6,A96+_Age1,MATCH(SDA_Loss,lstSDA,0)),OFFSET(Vectors!$X$6,A96+_Age1,MATCH(pdrLossTime1,lstDefaultCurve,0)))</f>
        <v>2.7777777777777779E-5</v>
      </c>
      <c r="N96" s="62">
        <f t="shared" ca="1" si="76"/>
        <v>2777.7777777777778</v>
      </c>
      <c r="O96" s="67">
        <f t="shared" ca="1" si="91"/>
        <v>0.93014914657830472</v>
      </c>
      <c r="P96" s="68">
        <f ca="1">OFFSET(Vectors!$L$6,A96+_Age1,MATCH(pdrPrepay1,lstPrepayCurve,0))*pdrPrepayStress1</f>
        <v>5.1430128318229462E-3</v>
      </c>
      <c r="Q96" s="62">
        <f t="shared" ca="1" si="92"/>
        <v>325060.61881600926</v>
      </c>
      <c r="R96" s="62">
        <f t="shared" ca="1" si="93"/>
        <v>72170.127733894129</v>
      </c>
      <c r="S96" s="69">
        <f t="shared" ca="1" si="94"/>
        <v>0.09</v>
      </c>
      <c r="T96" s="62">
        <f t="shared" ca="1" si="95"/>
        <v>474552.8518471453</v>
      </c>
      <c r="U96" s="62">
        <f t="shared" ca="1" si="77"/>
        <v>1111.1111111111111</v>
      </c>
      <c r="V96" s="62">
        <f t="shared" ca="1" si="71"/>
        <v>62876482.833069474</v>
      </c>
      <c r="W96" s="55"/>
      <c r="X96" s="62">
        <f t="shared" ca="1" si="96"/>
        <v>872894.70950815978</v>
      </c>
      <c r="Y96" s="55"/>
      <c r="Z96" s="118" t="b">
        <v>0</v>
      </c>
      <c r="AA96" s="120" t="b">
        <f t="shared" si="78"/>
        <v>0</v>
      </c>
      <c r="AB96" s="120" t="b">
        <f t="shared" si="79"/>
        <v>1</v>
      </c>
      <c r="AC96" s="120" t="b">
        <f t="shared" ca="1" si="80"/>
        <v>0</v>
      </c>
      <c r="AD96" s="121"/>
      <c r="AE96" s="129">
        <v>32241235.267048039</v>
      </c>
      <c r="AF96" s="69">
        <f ca="1">IF(Swap_Active="No",0,OFFSET(Vectors!$D$6,Vectors!A96,MATCH(Swap_In,lstInterestRates,0)))</f>
        <v>6.9369000000000056E-2</v>
      </c>
      <c r="AG96" s="62">
        <f t="shared" ca="1" si="97"/>
        <v>186378.5207699881</v>
      </c>
      <c r="AH96" s="69">
        <f ca="1">IF(Swap_Active="No",0,OFFSET(Vectors!$D$6,Vectors!A96,MATCH(Swap_Out,lstInterestRates,0)))</f>
        <v>0.04</v>
      </c>
      <c r="AI96" s="62">
        <f t="shared" ca="1" si="98"/>
        <v>107470.78422349345</v>
      </c>
      <c r="AJ96" s="62">
        <f t="shared" ca="1" si="99"/>
        <v>78907.736546494649</v>
      </c>
      <c r="AK96" s="62">
        <f t="shared" ca="1" si="100"/>
        <v>951802.44605465443</v>
      </c>
      <c r="AL96" s="121"/>
      <c r="AM96" s="123">
        <f t="shared" ca="1" si="81"/>
        <v>121474.06735904119</v>
      </c>
      <c r="AN96" s="124">
        <f t="shared" ca="1" si="101"/>
        <v>121474.06735904119</v>
      </c>
      <c r="AO96" s="125">
        <f t="shared" ca="1" si="102"/>
        <v>0</v>
      </c>
      <c r="AP96" s="123">
        <f t="shared" ca="1" si="103"/>
        <v>830328.37869561324</v>
      </c>
      <c r="AQ96" s="121"/>
      <c r="AR96" s="126">
        <f ca="1">IF(LiabIntType1="Fixed",LiabFxdRate1,OFFSET(Vectors!$D$6,Vectors!A96,MATCH(LiabLoanIndex1,lstInterestRates,0))+LiabMarg1)</f>
        <v>7.9369000000000051E-2</v>
      </c>
      <c r="AS96" s="122">
        <f t="shared" ca="1" si="104"/>
        <v>254191.10292886363</v>
      </c>
      <c r="AT96" s="124">
        <f t="shared" ca="1" si="105"/>
        <v>254191.10292886363</v>
      </c>
      <c r="AU96" s="123">
        <f t="shared" ca="1" si="106"/>
        <v>0</v>
      </c>
      <c r="AV96" s="123">
        <f t="shared" ca="1" si="82"/>
        <v>0</v>
      </c>
      <c r="AW96" s="123">
        <f t="shared" ca="1" si="107"/>
        <v>0</v>
      </c>
      <c r="AX96" s="124">
        <f t="shared" ca="1" si="108"/>
        <v>576137.27576674963</v>
      </c>
      <c r="AY96" s="121"/>
      <c r="AZ96" s="122">
        <f t="shared" ca="1" si="83"/>
        <v>576137.27576674963</v>
      </c>
      <c r="BA96" s="124">
        <f t="shared" ca="1" si="109"/>
        <v>576137.27576674963</v>
      </c>
      <c r="BB96" s="123">
        <f t="shared" ca="1" si="110"/>
        <v>0</v>
      </c>
      <c r="BC96" s="123">
        <f t="shared" ca="1" si="84"/>
        <v>0</v>
      </c>
      <c r="BD96" s="123">
        <f t="shared" ca="1" si="111"/>
        <v>0</v>
      </c>
      <c r="BE96" s="124">
        <f t="shared" ca="1" si="112"/>
        <v>0</v>
      </c>
      <c r="BF96" s="121"/>
      <c r="BG96" s="123">
        <f t="shared" si="85"/>
        <v>1000000</v>
      </c>
      <c r="BH96" s="123">
        <f t="shared" ca="1" si="113"/>
        <v>1000000</v>
      </c>
      <c r="BI96" s="123">
        <f t="shared" ca="1" si="114"/>
        <v>0</v>
      </c>
      <c r="BJ96" s="123">
        <f t="shared" ca="1" si="115"/>
        <v>0</v>
      </c>
      <c r="BK96" s="123">
        <f t="shared" ca="1" si="72"/>
        <v>1000000</v>
      </c>
      <c r="BL96" s="123">
        <f t="shared" ca="1" si="116"/>
        <v>0</v>
      </c>
      <c r="BM96" s="121"/>
      <c r="BN96" s="126">
        <f ca="1">IF(LiabIntType2="Fixed",LiabFxdRate2,OFFSET(Vectors!$D$6,Vectors!A96,MATCH(LiabLoanIndex2,lstInterestRates,0))+LiabMarg2)</f>
        <v>0.04</v>
      </c>
      <c r="BO96" s="122">
        <f t="shared" ca="1" si="117"/>
        <v>34119.905847872607</v>
      </c>
      <c r="BP96" s="124">
        <f t="shared" ca="1" si="118"/>
        <v>0</v>
      </c>
      <c r="BQ96" s="123">
        <f t="shared" ca="1" si="119"/>
        <v>34119.905847872607</v>
      </c>
      <c r="BR96" s="123">
        <f t="shared" ca="1" si="120"/>
        <v>0</v>
      </c>
      <c r="BS96" s="121"/>
      <c r="BT96" s="123">
        <f t="shared" ca="1" si="86"/>
        <v>41012.52088116041</v>
      </c>
      <c r="BU96" s="123">
        <f t="shared" ca="1" si="121"/>
        <v>0</v>
      </c>
      <c r="BV96" s="123">
        <f t="shared" ca="1" si="122"/>
        <v>41012.52088116041</v>
      </c>
      <c r="BW96" s="123">
        <f t="shared" ca="1" si="123"/>
        <v>0</v>
      </c>
      <c r="BX96" s="121"/>
      <c r="BY96" s="123">
        <f t="shared" si="124"/>
        <v>0</v>
      </c>
      <c r="BZ96" s="123">
        <f t="shared" ca="1" si="125"/>
        <v>0</v>
      </c>
      <c r="CA96" s="121"/>
      <c r="CB96" s="122">
        <f t="shared" ca="1" si="73"/>
        <v>37855658.956343539</v>
      </c>
      <c r="CC96" s="122">
        <f t="shared" ca="1" si="126"/>
        <v>254191.10292886363</v>
      </c>
      <c r="CD96" s="124">
        <f t="shared" ca="1" si="127"/>
        <v>576137.27576674963</v>
      </c>
      <c r="CE96" s="121"/>
      <c r="CF96" s="122">
        <f t="shared" ca="1" si="74"/>
        <v>10235971.754361782</v>
      </c>
      <c r="CG96" s="124">
        <f t="shared" ca="1" si="128"/>
        <v>0</v>
      </c>
      <c r="CH96" s="123">
        <f t="shared" ca="1" si="129"/>
        <v>0</v>
      </c>
      <c r="CI96" s="121"/>
      <c r="CJ96" s="123">
        <f t="shared" ca="1" si="130"/>
        <v>1059273.2302781479</v>
      </c>
      <c r="CK96" s="123">
        <f t="shared" ca="1" si="131"/>
        <v>1059273.2302781479</v>
      </c>
      <c r="CL96" s="123">
        <f t="shared" ca="1" si="132"/>
        <v>0</v>
      </c>
      <c r="CM96" s="121"/>
      <c r="CN96" s="62">
        <f t="shared" ca="1" si="133"/>
        <v>400008.52432768117</v>
      </c>
      <c r="CO96" s="62" t="b">
        <f t="shared" si="134"/>
        <v>1</v>
      </c>
      <c r="CP96" s="126">
        <f t="shared" ca="1" si="135"/>
        <v>2.4999999999999992E-3</v>
      </c>
      <c r="CQ96" s="120"/>
      <c r="CR96" s="120"/>
      <c r="CS96" s="120"/>
      <c r="CT96" s="120"/>
      <c r="CU96" s="120"/>
      <c r="CV96" s="120"/>
      <c r="CW96" s="120"/>
      <c r="CX96" s="120"/>
      <c r="CY96" s="120"/>
      <c r="CZ96" s="120"/>
      <c r="DA96" s="120"/>
      <c r="DB96" s="120"/>
      <c r="DC96" s="120"/>
      <c r="DD96" s="120"/>
      <c r="DE96" s="116"/>
      <c r="DF96" s="116"/>
      <c r="DG96" s="116"/>
      <c r="DH96" s="116"/>
      <c r="DI96" s="116"/>
      <c r="DJ96" s="116"/>
      <c r="DK96" s="116"/>
      <c r="DL96" s="116"/>
      <c r="DM96" s="116"/>
      <c r="DN96" s="116"/>
    </row>
    <row r="97" spans="1:118" x14ac:dyDescent="0.2">
      <c r="A97" s="27">
        <v>91</v>
      </c>
      <c r="B97" s="29">
        <f t="shared" si="68"/>
        <v>41883</v>
      </c>
      <c r="C97" s="30">
        <f t="shared" si="69"/>
        <v>8.3333333333333329E-2</v>
      </c>
      <c r="D97" s="55"/>
      <c r="E97" s="62">
        <f t="shared" ca="1" si="87"/>
        <v>93014914.657830477</v>
      </c>
      <c r="F97" s="63">
        <f ca="1">IF(AssetIntType1="Fixed",AssetFxdRate1,IF(A97=1,OFFSET(Vectors!$D$6,A97,MATCH(AssetFltIndx1,lstInterestRates,0)),IF(MOD($A97,AssetRateReset1)=0,MAX(MIN(OFFSET(Vectors!$D$6,A97,MATCH(AssetFltIndx1,lstInterestRates,0)),(F96-AssetMarg1)+AssetPdCapFl1,AssetLifeCap1-AssetMarg1),(F96-AssetMarg1)-AssetPdCapFl1,AssetLifeFloor1-AssetMarg1),F96)))+AssetMarg1</f>
        <v>0.09</v>
      </c>
      <c r="G97" s="62">
        <f t="shared" ca="1" si="75"/>
        <v>804622.61694478267</v>
      </c>
      <c r="H97" s="62">
        <f t="shared" ca="1" si="88"/>
        <v>697611.85993372859</v>
      </c>
      <c r="I97" s="62">
        <f t="shared" ca="1" si="89"/>
        <v>107010.75701105408</v>
      </c>
      <c r="J97" s="62">
        <f t="shared" ca="1" si="70"/>
        <v>92907903.900819421</v>
      </c>
      <c r="K97" s="55"/>
      <c r="L97" s="62">
        <f t="shared" ca="1" si="90"/>
        <v>62876482.833069474</v>
      </c>
      <c r="M97" s="68">
        <f ca="1">IF(pdrLossTime1="",OFFSET(Vectors!$AE$6,A97+_Age1,MATCH(SDA_Loss,lstSDA,0)),OFFSET(Vectors!$X$6,A97+_Age1,MATCH(pdrLossTime1,lstDefaultCurve,0)))</f>
        <v>2.7777777777777779E-5</v>
      </c>
      <c r="N97" s="62">
        <f t="shared" ca="1" si="76"/>
        <v>2777.7777777777778</v>
      </c>
      <c r="O97" s="67">
        <f t="shared" ca="1" si="91"/>
        <v>0.92907903900819422</v>
      </c>
      <c r="P97" s="68">
        <f ca="1">OFFSET(Vectors!$L$6,A97+_Age1,MATCH(pdrPrepay1,lstPrepayCurve,0))*pdrPrepayStress1</f>
        <v>5.1430128318229462E-3</v>
      </c>
      <c r="Q97" s="62">
        <f t="shared" ca="1" si="92"/>
        <v>323002.52569146926</v>
      </c>
      <c r="R97" s="62">
        <f t="shared" ca="1" si="93"/>
        <v>72334.23584601008</v>
      </c>
      <c r="S97" s="69">
        <f t="shared" ca="1" si="94"/>
        <v>0.09</v>
      </c>
      <c r="T97" s="62">
        <f t="shared" ca="1" si="95"/>
        <v>471552.78791468771</v>
      </c>
      <c r="U97" s="62">
        <f t="shared" ca="1" si="77"/>
        <v>1111.1111111111111</v>
      </c>
      <c r="V97" s="62">
        <f t="shared" ca="1" si="71"/>
        <v>62478368.293754213</v>
      </c>
      <c r="W97" s="55"/>
      <c r="X97" s="62">
        <f t="shared" ca="1" si="96"/>
        <v>868000.66056327813</v>
      </c>
      <c r="Y97" s="55"/>
      <c r="Z97" s="118" t="b">
        <v>0</v>
      </c>
      <c r="AA97" s="120" t="b">
        <f t="shared" si="78"/>
        <v>0</v>
      </c>
      <c r="AB97" s="120" t="b">
        <f t="shared" si="79"/>
        <v>1</v>
      </c>
      <c r="AC97" s="120" t="b">
        <f t="shared" ca="1" si="80"/>
        <v>0</v>
      </c>
      <c r="AD97" s="121"/>
      <c r="AE97" s="129">
        <v>31817549.043016229</v>
      </c>
      <c r="AF97" s="69">
        <f ca="1">IF(Swap_Active="No",0,OFFSET(Vectors!$D$6,Vectors!A97,MATCH(Swap_In,lstInterestRates,0)))</f>
        <v>6.9369000000000056E-2</v>
      </c>
      <c r="AG97" s="62">
        <f t="shared" ca="1" si="97"/>
        <v>183929.29663041621</v>
      </c>
      <c r="AH97" s="69">
        <f ca="1">IF(Swap_Active="No",0,OFFSET(Vectors!$D$6,Vectors!A97,MATCH(Swap_Out,lstInterestRates,0)))</f>
        <v>0.04</v>
      </c>
      <c r="AI97" s="62">
        <f t="shared" ca="1" si="98"/>
        <v>106058.49681005409</v>
      </c>
      <c r="AJ97" s="62">
        <f t="shared" ca="1" si="99"/>
        <v>77870.799820362125</v>
      </c>
      <c r="AK97" s="62">
        <f t="shared" ca="1" si="100"/>
        <v>945871.46038364025</v>
      </c>
      <c r="AL97" s="121"/>
      <c r="AM97" s="123">
        <f t="shared" ca="1" si="81"/>
        <v>120567.32928692558</v>
      </c>
      <c r="AN97" s="124">
        <f t="shared" ca="1" si="101"/>
        <v>120567.32928692558</v>
      </c>
      <c r="AO97" s="125">
        <f t="shared" ca="1" si="102"/>
        <v>0</v>
      </c>
      <c r="AP97" s="123">
        <f t="shared" ca="1" si="103"/>
        <v>825304.13109671464</v>
      </c>
      <c r="AQ97" s="121"/>
      <c r="AR97" s="126">
        <f ca="1">IF(LiabIntType1="Fixed",LiabFxdRate1,OFFSET(Vectors!$D$6,Vectors!A97,MATCH(LiabLoanIndex1,lstInterestRates,0))+LiabMarg1)</f>
        <v>7.9369000000000051E-2</v>
      </c>
      <c r="AS97" s="122">
        <f t="shared" ca="1" si="104"/>
        <v>250380.48297550267</v>
      </c>
      <c r="AT97" s="124">
        <f t="shared" ca="1" si="105"/>
        <v>250380.48297550267</v>
      </c>
      <c r="AU97" s="123">
        <f t="shared" ca="1" si="106"/>
        <v>0</v>
      </c>
      <c r="AV97" s="123">
        <f t="shared" ca="1" si="82"/>
        <v>0</v>
      </c>
      <c r="AW97" s="123">
        <f t="shared" ca="1" si="107"/>
        <v>0</v>
      </c>
      <c r="AX97" s="124">
        <f t="shared" ca="1" si="108"/>
        <v>574923.64812121191</v>
      </c>
      <c r="AY97" s="121"/>
      <c r="AZ97" s="122">
        <f t="shared" ca="1" si="83"/>
        <v>574923.64812121191</v>
      </c>
      <c r="BA97" s="124">
        <f t="shared" ca="1" si="109"/>
        <v>574923.64812121191</v>
      </c>
      <c r="BB97" s="123">
        <f t="shared" ca="1" si="110"/>
        <v>0</v>
      </c>
      <c r="BC97" s="123">
        <f t="shared" ca="1" si="84"/>
        <v>0</v>
      </c>
      <c r="BD97" s="123">
        <f t="shared" ca="1" si="111"/>
        <v>0</v>
      </c>
      <c r="BE97" s="124">
        <f t="shared" ca="1" si="112"/>
        <v>0</v>
      </c>
      <c r="BF97" s="121"/>
      <c r="BG97" s="123">
        <f t="shared" si="85"/>
        <v>1000000</v>
      </c>
      <c r="BH97" s="123">
        <f t="shared" ca="1" si="113"/>
        <v>1000000</v>
      </c>
      <c r="BI97" s="123">
        <f t="shared" ca="1" si="114"/>
        <v>0</v>
      </c>
      <c r="BJ97" s="123">
        <f t="shared" ca="1" si="115"/>
        <v>0</v>
      </c>
      <c r="BK97" s="123">
        <f t="shared" ca="1" si="72"/>
        <v>1000000</v>
      </c>
      <c r="BL97" s="123">
        <f t="shared" ca="1" si="116"/>
        <v>0</v>
      </c>
      <c r="BM97" s="121"/>
      <c r="BN97" s="126">
        <f ca="1">IF(LiabIntType2="Fixed",LiabFxdRate2,OFFSET(Vectors!$D$6,Vectors!A97,MATCH(LiabLoanIndex2,lstInterestRates,0))+LiabMarg2)</f>
        <v>0.04</v>
      </c>
      <c r="BO97" s="122">
        <f t="shared" ca="1" si="117"/>
        <v>34119.905847872607</v>
      </c>
      <c r="BP97" s="124">
        <f t="shared" ca="1" si="118"/>
        <v>0</v>
      </c>
      <c r="BQ97" s="123">
        <f t="shared" ca="1" si="119"/>
        <v>34119.905847872607</v>
      </c>
      <c r="BR97" s="123">
        <f t="shared" ca="1" si="120"/>
        <v>0</v>
      </c>
      <c r="BS97" s="121"/>
      <c r="BT97" s="123">
        <f t="shared" ca="1" si="86"/>
        <v>40818.33226980218</v>
      </c>
      <c r="BU97" s="123">
        <f t="shared" ca="1" si="121"/>
        <v>0</v>
      </c>
      <c r="BV97" s="123">
        <f t="shared" ca="1" si="122"/>
        <v>40818.33226980218</v>
      </c>
      <c r="BW97" s="123">
        <f t="shared" ca="1" si="123"/>
        <v>0</v>
      </c>
      <c r="BX97" s="121"/>
      <c r="BY97" s="123">
        <f t="shared" si="124"/>
        <v>0</v>
      </c>
      <c r="BZ97" s="123">
        <f t="shared" ca="1" si="125"/>
        <v>0</v>
      </c>
      <c r="CA97" s="121"/>
      <c r="CB97" s="122">
        <f t="shared" ca="1" si="73"/>
        <v>37280735.308222324</v>
      </c>
      <c r="CC97" s="122">
        <f t="shared" ca="1" si="126"/>
        <v>250380.48297550267</v>
      </c>
      <c r="CD97" s="124">
        <f t="shared" ca="1" si="127"/>
        <v>574923.64812121191</v>
      </c>
      <c r="CE97" s="121"/>
      <c r="CF97" s="122">
        <f t="shared" ca="1" si="74"/>
        <v>10235971.754361782</v>
      </c>
      <c r="CG97" s="124">
        <f t="shared" ca="1" si="128"/>
        <v>0</v>
      </c>
      <c r="CH97" s="123">
        <f t="shared" ca="1" si="129"/>
        <v>0</v>
      </c>
      <c r="CI97" s="121"/>
      <c r="CJ97" s="123">
        <f t="shared" ca="1" si="130"/>
        <v>1051929.9571936943</v>
      </c>
      <c r="CK97" s="123">
        <f t="shared" ca="1" si="131"/>
        <v>1051929.9571936943</v>
      </c>
      <c r="CL97" s="123">
        <f t="shared" ca="1" si="132"/>
        <v>0</v>
      </c>
      <c r="CM97" s="121"/>
      <c r="CN97" s="62">
        <f t="shared" ca="1" si="133"/>
        <v>398114.53931525711</v>
      </c>
      <c r="CO97" s="62" t="b">
        <f t="shared" si="134"/>
        <v>1</v>
      </c>
      <c r="CP97" s="126">
        <f t="shared" ca="1" si="135"/>
        <v>2.5277777777777768E-3</v>
      </c>
      <c r="CQ97" s="120"/>
      <c r="CR97" s="120"/>
      <c r="CS97" s="120"/>
      <c r="CT97" s="120"/>
      <c r="CU97" s="120"/>
      <c r="CV97" s="120"/>
      <c r="CW97" s="120"/>
      <c r="CX97" s="120"/>
      <c r="CY97" s="120"/>
      <c r="CZ97" s="120"/>
      <c r="DA97" s="120"/>
      <c r="DB97" s="120"/>
      <c r="DC97" s="120"/>
      <c r="DD97" s="120"/>
      <c r="DE97" s="116"/>
      <c r="DF97" s="116"/>
      <c r="DG97" s="116"/>
      <c r="DH97" s="116"/>
      <c r="DI97" s="116"/>
      <c r="DJ97" s="116"/>
      <c r="DK97" s="116"/>
      <c r="DL97" s="116"/>
      <c r="DM97" s="116"/>
      <c r="DN97" s="116"/>
    </row>
    <row r="98" spans="1:118" x14ac:dyDescent="0.2">
      <c r="A98" s="27">
        <v>92</v>
      </c>
      <c r="B98" s="29">
        <f t="shared" si="68"/>
        <v>41913</v>
      </c>
      <c r="C98" s="30">
        <f t="shared" si="69"/>
        <v>8.3333333333333329E-2</v>
      </c>
      <c r="D98" s="55"/>
      <c r="E98" s="62">
        <f t="shared" ca="1" si="87"/>
        <v>92907903.900819421</v>
      </c>
      <c r="F98" s="63">
        <f ca="1">IF(AssetIntType1="Fixed",AssetFxdRate1,IF(A98=1,OFFSET(Vectors!$D$6,A98,MATCH(AssetFltIndx1,lstInterestRates,0)),IF(MOD($A98,AssetRateReset1)=0,MAX(MIN(OFFSET(Vectors!$D$6,A98,MATCH(AssetFltIndx1,lstInterestRates,0)),(F97-AssetMarg1)+AssetPdCapFl1,AssetLifeCap1-AssetMarg1),(F97-AssetMarg1)-AssetPdCapFl1,AssetLifeFloor1-AssetMarg1),F97)))+AssetMarg1</f>
        <v>0.09</v>
      </c>
      <c r="G98" s="62">
        <f t="shared" ca="1" si="75"/>
        <v>804622.61694478267</v>
      </c>
      <c r="H98" s="62">
        <f t="shared" ca="1" si="88"/>
        <v>696809.27925614559</v>
      </c>
      <c r="I98" s="62">
        <f t="shared" ca="1" si="89"/>
        <v>107813.33768863708</v>
      </c>
      <c r="J98" s="62">
        <f t="shared" ca="1" si="70"/>
        <v>92800090.563130781</v>
      </c>
      <c r="K98" s="55"/>
      <c r="L98" s="62">
        <f t="shared" ca="1" si="90"/>
        <v>62478368.293754213</v>
      </c>
      <c r="M98" s="68">
        <f ca="1">IF(pdrLossTime1="",OFFSET(Vectors!$AE$6,A98+_Age1,MATCH(SDA_Loss,lstSDA,0)),OFFSET(Vectors!$X$6,A98+_Age1,MATCH(pdrLossTime1,lstDefaultCurve,0)))</f>
        <v>2.7777777777777779E-5</v>
      </c>
      <c r="N98" s="62">
        <f t="shared" ca="1" si="76"/>
        <v>2777.7777777777778</v>
      </c>
      <c r="O98" s="67">
        <f t="shared" ca="1" si="91"/>
        <v>0.92800090563130777</v>
      </c>
      <c r="P98" s="68">
        <f ca="1">OFFSET(Vectors!$L$6,A98+_Age1,MATCH(pdrPrepay1,lstPrepayCurve,0))*pdrPrepayStress1</f>
        <v>5.1430128318229462E-3</v>
      </c>
      <c r="Q98" s="62">
        <f t="shared" ca="1" si="92"/>
        <v>320954.17154107412</v>
      </c>
      <c r="R98" s="62">
        <f t="shared" ca="1" si="93"/>
        <v>72498.696610216604</v>
      </c>
      <c r="S98" s="69">
        <f t="shared" ca="1" si="94"/>
        <v>0.09</v>
      </c>
      <c r="T98" s="62">
        <f t="shared" ca="1" si="95"/>
        <v>468566.92886982328</v>
      </c>
      <c r="U98" s="62">
        <f t="shared" ca="1" si="77"/>
        <v>1111.1111111111111</v>
      </c>
      <c r="V98" s="62">
        <f t="shared" ca="1" si="71"/>
        <v>62082137.647825144</v>
      </c>
      <c r="W98" s="55"/>
      <c r="X98" s="62">
        <f t="shared" ca="1" si="96"/>
        <v>863130.90813222516</v>
      </c>
      <c r="Y98" s="55"/>
      <c r="Z98" s="118" t="b">
        <v>0</v>
      </c>
      <c r="AA98" s="120" t="b">
        <f t="shared" si="78"/>
        <v>0</v>
      </c>
      <c r="AB98" s="120" t="b">
        <f t="shared" si="79"/>
        <v>1</v>
      </c>
      <c r="AC98" s="120" t="b">
        <f t="shared" ca="1" si="80"/>
        <v>0</v>
      </c>
      <c r="AD98" s="121"/>
      <c r="AE98" s="129">
        <v>31398210.376001477</v>
      </c>
      <c r="AF98" s="69">
        <f ca="1">IF(Swap_Active="No",0,OFFSET(Vectors!$D$6,Vectors!A98,MATCH(Swap_In,lstInterestRates,0)))</f>
        <v>6.9369000000000056E-2</v>
      </c>
      <c r="AG98" s="62">
        <f t="shared" ca="1" si="97"/>
        <v>181505.20463107066</v>
      </c>
      <c r="AH98" s="69">
        <f ca="1">IF(Swap_Active="No",0,OFFSET(Vectors!$D$6,Vectors!A98,MATCH(Swap_Out,lstInterestRates,0)))</f>
        <v>0.04</v>
      </c>
      <c r="AI98" s="62">
        <f t="shared" ca="1" si="98"/>
        <v>104660.70125333825</v>
      </c>
      <c r="AJ98" s="62">
        <f t="shared" ca="1" si="99"/>
        <v>76844.503377732413</v>
      </c>
      <c r="AK98" s="62">
        <f t="shared" ca="1" si="100"/>
        <v>939975.41150995763</v>
      </c>
      <c r="AL98" s="121"/>
      <c r="AM98" s="123">
        <f t="shared" ca="1" si="81"/>
        <v>119664.25353468298</v>
      </c>
      <c r="AN98" s="124">
        <f t="shared" ca="1" si="101"/>
        <v>119664.25353468298</v>
      </c>
      <c r="AO98" s="125">
        <f t="shared" ca="1" si="102"/>
        <v>0</v>
      </c>
      <c r="AP98" s="123">
        <f t="shared" ca="1" si="103"/>
        <v>820311.1579752746</v>
      </c>
      <c r="AQ98" s="121"/>
      <c r="AR98" s="126">
        <f ca="1">IF(LiabIntType1="Fixed",LiabFxdRate1,OFFSET(Vectors!$D$6,Vectors!A98,MATCH(LiabLoanIndex1,lstInterestRates,0))+LiabMarg1)</f>
        <v>7.9369000000000051E-2</v>
      </c>
      <c r="AS98" s="122">
        <f t="shared" ca="1" si="104"/>
        <v>246577.89005652495</v>
      </c>
      <c r="AT98" s="124">
        <f t="shared" ca="1" si="105"/>
        <v>246577.89005652495</v>
      </c>
      <c r="AU98" s="123">
        <f t="shared" ca="1" si="106"/>
        <v>0</v>
      </c>
      <c r="AV98" s="123">
        <f t="shared" ca="1" si="82"/>
        <v>0</v>
      </c>
      <c r="AW98" s="123">
        <f t="shared" ca="1" si="107"/>
        <v>0</v>
      </c>
      <c r="AX98" s="124">
        <f t="shared" ca="1" si="108"/>
        <v>573733.26791874971</v>
      </c>
      <c r="AY98" s="121"/>
      <c r="AZ98" s="122">
        <f t="shared" ca="1" si="83"/>
        <v>573733.26791874971</v>
      </c>
      <c r="BA98" s="124">
        <f t="shared" ca="1" si="109"/>
        <v>573733.26791874971</v>
      </c>
      <c r="BB98" s="123">
        <f t="shared" ca="1" si="110"/>
        <v>0</v>
      </c>
      <c r="BC98" s="123">
        <f t="shared" ca="1" si="84"/>
        <v>0</v>
      </c>
      <c r="BD98" s="123">
        <f t="shared" ca="1" si="111"/>
        <v>0</v>
      </c>
      <c r="BE98" s="124">
        <f t="shared" ca="1" si="112"/>
        <v>0</v>
      </c>
      <c r="BF98" s="121"/>
      <c r="BG98" s="123">
        <f t="shared" si="85"/>
        <v>1000000</v>
      </c>
      <c r="BH98" s="123">
        <f t="shared" ca="1" si="113"/>
        <v>1000000</v>
      </c>
      <c r="BI98" s="123">
        <f t="shared" ca="1" si="114"/>
        <v>0</v>
      </c>
      <c r="BJ98" s="123">
        <f t="shared" ca="1" si="115"/>
        <v>0</v>
      </c>
      <c r="BK98" s="123">
        <f t="shared" ca="1" si="72"/>
        <v>1000000</v>
      </c>
      <c r="BL98" s="123">
        <f t="shared" ca="1" si="116"/>
        <v>0</v>
      </c>
      <c r="BM98" s="121"/>
      <c r="BN98" s="126">
        <f ca="1">IF(LiabIntType2="Fixed",LiabFxdRate2,OFFSET(Vectors!$D$6,Vectors!A98,MATCH(LiabLoanIndex2,lstInterestRates,0))+LiabMarg2)</f>
        <v>0.04</v>
      </c>
      <c r="BO98" s="122">
        <f t="shared" ca="1" si="117"/>
        <v>34119.905847872607</v>
      </c>
      <c r="BP98" s="124">
        <f t="shared" ca="1" si="118"/>
        <v>0</v>
      </c>
      <c r="BQ98" s="123">
        <f t="shared" ca="1" si="119"/>
        <v>34119.905847872607</v>
      </c>
      <c r="BR98" s="123">
        <f t="shared" ca="1" si="120"/>
        <v>0</v>
      </c>
      <c r="BS98" s="121"/>
      <c r="BT98" s="123">
        <f t="shared" ca="1" si="86"/>
        <v>40625.178343973217</v>
      </c>
      <c r="BU98" s="123">
        <f t="shared" ca="1" si="121"/>
        <v>0</v>
      </c>
      <c r="BV98" s="123">
        <f t="shared" ca="1" si="122"/>
        <v>40625.178343973217</v>
      </c>
      <c r="BW98" s="123">
        <f t="shared" ca="1" si="123"/>
        <v>0</v>
      </c>
      <c r="BX98" s="121"/>
      <c r="BY98" s="123">
        <f t="shared" si="124"/>
        <v>0</v>
      </c>
      <c r="BZ98" s="123">
        <f t="shared" ca="1" si="125"/>
        <v>0</v>
      </c>
      <c r="CA98" s="121"/>
      <c r="CB98" s="122">
        <f t="shared" ca="1" si="73"/>
        <v>36707002.040303573</v>
      </c>
      <c r="CC98" s="122">
        <f t="shared" ca="1" si="126"/>
        <v>246577.89005652495</v>
      </c>
      <c r="CD98" s="124">
        <f t="shared" ca="1" si="127"/>
        <v>573733.26791874971</v>
      </c>
      <c r="CE98" s="121"/>
      <c r="CF98" s="122">
        <f t="shared" ca="1" si="74"/>
        <v>10235971.754361782</v>
      </c>
      <c r="CG98" s="124">
        <f t="shared" ca="1" si="128"/>
        <v>0</v>
      </c>
      <c r="CH98" s="123">
        <f t="shared" ca="1" si="129"/>
        <v>0</v>
      </c>
      <c r="CI98" s="121"/>
      <c r="CJ98" s="123">
        <f t="shared" ca="1" si="130"/>
        <v>1044636.1127632959</v>
      </c>
      <c r="CK98" s="123">
        <f t="shared" ca="1" si="131"/>
        <v>1044636.1127632959</v>
      </c>
      <c r="CL98" s="123">
        <f t="shared" ca="1" si="132"/>
        <v>0</v>
      </c>
      <c r="CM98" s="121"/>
      <c r="CN98" s="62">
        <f t="shared" ca="1" si="133"/>
        <v>396230.64592906844</v>
      </c>
      <c r="CO98" s="62" t="b">
        <f t="shared" si="134"/>
        <v>1</v>
      </c>
      <c r="CP98" s="126">
        <f t="shared" ca="1" si="135"/>
        <v>2.5555555555555544E-3</v>
      </c>
      <c r="CQ98" s="120"/>
      <c r="CR98" s="120"/>
      <c r="CS98" s="120"/>
      <c r="CT98" s="120"/>
      <c r="CU98" s="120"/>
      <c r="CV98" s="120"/>
      <c r="CW98" s="120"/>
      <c r="CX98" s="120"/>
      <c r="CY98" s="120"/>
      <c r="CZ98" s="120"/>
      <c r="DA98" s="120"/>
      <c r="DB98" s="120"/>
      <c r="DC98" s="120"/>
      <c r="DD98" s="120"/>
      <c r="DE98" s="116"/>
      <c r="DF98" s="116"/>
      <c r="DG98" s="116"/>
      <c r="DH98" s="116"/>
      <c r="DI98" s="116"/>
      <c r="DJ98" s="116"/>
      <c r="DK98" s="116"/>
      <c r="DL98" s="116"/>
      <c r="DM98" s="116"/>
      <c r="DN98" s="116"/>
    </row>
    <row r="99" spans="1:118" x14ac:dyDescent="0.2">
      <c r="A99" s="27">
        <v>93</v>
      </c>
      <c r="B99" s="29">
        <f t="shared" si="68"/>
        <v>41944</v>
      </c>
      <c r="C99" s="30">
        <f t="shared" si="69"/>
        <v>8.3333333333333329E-2</v>
      </c>
      <c r="D99" s="55"/>
      <c r="E99" s="62">
        <f t="shared" ca="1" si="87"/>
        <v>92800090.563130781</v>
      </c>
      <c r="F99" s="63">
        <f ca="1">IF(AssetIntType1="Fixed",AssetFxdRate1,IF(A99=1,OFFSET(Vectors!$D$6,A99,MATCH(AssetFltIndx1,lstInterestRates,0)),IF(MOD($A99,AssetRateReset1)=0,MAX(MIN(OFFSET(Vectors!$D$6,A99,MATCH(AssetFltIndx1,lstInterestRates,0)),(F98-AssetMarg1)+AssetPdCapFl1,AssetLifeCap1-AssetMarg1),(F98-AssetMarg1)-AssetPdCapFl1,AssetLifeFloor1-AssetMarg1),F98)))+AssetMarg1</f>
        <v>0.09</v>
      </c>
      <c r="G99" s="62">
        <f t="shared" ca="1" si="75"/>
        <v>804622.61694478267</v>
      </c>
      <c r="H99" s="62">
        <f t="shared" ca="1" si="88"/>
        <v>696000.67922348087</v>
      </c>
      <c r="I99" s="62">
        <f t="shared" ca="1" si="89"/>
        <v>108621.9377213018</v>
      </c>
      <c r="J99" s="62">
        <f t="shared" ca="1" si="70"/>
        <v>92691468.625409484</v>
      </c>
      <c r="K99" s="55"/>
      <c r="L99" s="62">
        <f t="shared" ca="1" si="90"/>
        <v>62082137.647825144</v>
      </c>
      <c r="M99" s="68">
        <f ca="1">IF(pdrLossTime1="",OFFSET(Vectors!$AE$6,A99+_Age1,MATCH(SDA_Loss,lstSDA,0)),OFFSET(Vectors!$X$6,A99+_Age1,MATCH(pdrLossTime1,lstDefaultCurve,0)))</f>
        <v>2.7777777777777779E-5</v>
      </c>
      <c r="N99" s="62">
        <f t="shared" ca="1" si="76"/>
        <v>2777.7777777777778</v>
      </c>
      <c r="O99" s="67">
        <f t="shared" ca="1" si="91"/>
        <v>0.92691468625409479</v>
      </c>
      <c r="P99" s="68">
        <f ca="1">OFFSET(Vectors!$L$6,A99+_Age1,MATCH(pdrPrepay1,lstPrepayCurve,0))*pdrPrepayStress1</f>
        <v>5.1430128318229462E-3</v>
      </c>
      <c r="Q99" s="62">
        <f t="shared" ca="1" si="92"/>
        <v>318915.50446064619</v>
      </c>
      <c r="R99" s="62">
        <f t="shared" ca="1" si="93"/>
        <v>72663.510570555271</v>
      </c>
      <c r="S99" s="69">
        <f t="shared" ca="1" si="94"/>
        <v>0.09</v>
      </c>
      <c r="T99" s="62">
        <f t="shared" ca="1" si="95"/>
        <v>465595.19902535522</v>
      </c>
      <c r="U99" s="62">
        <f t="shared" ca="1" si="77"/>
        <v>1111.1111111111111</v>
      </c>
      <c r="V99" s="62">
        <f t="shared" ca="1" si="71"/>
        <v>61687780.855016164</v>
      </c>
      <c r="W99" s="55"/>
      <c r="X99" s="62">
        <f t="shared" ca="1" si="96"/>
        <v>858285.32516766782</v>
      </c>
      <c r="Y99" s="55"/>
      <c r="Z99" s="118" t="b">
        <v>0</v>
      </c>
      <c r="AA99" s="120" t="b">
        <f t="shared" si="78"/>
        <v>0</v>
      </c>
      <c r="AB99" s="120" t="b">
        <f t="shared" si="79"/>
        <v>1</v>
      </c>
      <c r="AC99" s="120" t="b">
        <f t="shared" ca="1" si="80"/>
        <v>0</v>
      </c>
      <c r="AD99" s="121"/>
      <c r="AE99" s="129">
        <v>30983175.505394556</v>
      </c>
      <c r="AF99" s="69">
        <f ca="1">IF(Swap_Active="No",0,OFFSET(Vectors!$D$6,Vectors!A99,MATCH(Swap_In,lstInterestRates,0)))</f>
        <v>6.9369000000000056E-2</v>
      </c>
      <c r="AG99" s="62">
        <f t="shared" ca="1" si="97"/>
        <v>179105.9918028097</v>
      </c>
      <c r="AH99" s="69">
        <f ca="1">IF(Swap_Active="No",0,OFFSET(Vectors!$D$6,Vectors!A99,MATCH(Swap_Out,lstInterestRates,0)))</f>
        <v>0.04</v>
      </c>
      <c r="AI99" s="62">
        <f t="shared" ca="1" si="98"/>
        <v>103277.25168464852</v>
      </c>
      <c r="AJ99" s="62">
        <f t="shared" ca="1" si="99"/>
        <v>75828.740118161179</v>
      </c>
      <c r="AK99" s="62">
        <f t="shared" ca="1" si="100"/>
        <v>934114.06528582901</v>
      </c>
      <c r="AL99" s="121"/>
      <c r="AM99" s="123">
        <f t="shared" ca="1" si="81"/>
        <v>118764.81359650173</v>
      </c>
      <c r="AN99" s="124">
        <f t="shared" ca="1" si="101"/>
        <v>118764.81359650173</v>
      </c>
      <c r="AO99" s="125">
        <f t="shared" ca="1" si="102"/>
        <v>0</v>
      </c>
      <c r="AP99" s="123">
        <f t="shared" ca="1" si="103"/>
        <v>815349.2516893273</v>
      </c>
      <c r="AQ99" s="121"/>
      <c r="AR99" s="126">
        <f ca="1">IF(LiabIntType1="Fixed",LiabFxdRate1,OFFSET(Vectors!$D$6,Vectors!A99,MATCH(LiabLoanIndex1,lstInterestRates,0))+LiabMarg1)</f>
        <v>7.9369000000000051E-2</v>
      </c>
      <c r="AS99" s="122">
        <f t="shared" ca="1" si="104"/>
        <v>242783.17041140466</v>
      </c>
      <c r="AT99" s="124">
        <f t="shared" ca="1" si="105"/>
        <v>242783.17041140466</v>
      </c>
      <c r="AU99" s="123">
        <f t="shared" ca="1" si="106"/>
        <v>0</v>
      </c>
      <c r="AV99" s="123">
        <f t="shared" ca="1" si="82"/>
        <v>0</v>
      </c>
      <c r="AW99" s="123">
        <f t="shared" ca="1" si="107"/>
        <v>0</v>
      </c>
      <c r="AX99" s="124">
        <f t="shared" ca="1" si="108"/>
        <v>572566.08127792261</v>
      </c>
      <c r="AY99" s="121"/>
      <c r="AZ99" s="122">
        <f t="shared" ca="1" si="83"/>
        <v>572566.08127792261</v>
      </c>
      <c r="BA99" s="124">
        <f t="shared" ca="1" si="109"/>
        <v>572566.08127792261</v>
      </c>
      <c r="BB99" s="123">
        <f t="shared" ca="1" si="110"/>
        <v>0</v>
      </c>
      <c r="BC99" s="123">
        <f t="shared" ca="1" si="84"/>
        <v>0</v>
      </c>
      <c r="BD99" s="123">
        <f t="shared" ca="1" si="111"/>
        <v>0</v>
      </c>
      <c r="BE99" s="124">
        <f t="shared" ca="1" si="112"/>
        <v>0</v>
      </c>
      <c r="BF99" s="121"/>
      <c r="BG99" s="123">
        <f t="shared" si="85"/>
        <v>1000000</v>
      </c>
      <c r="BH99" s="123">
        <f t="shared" ca="1" si="113"/>
        <v>1000000</v>
      </c>
      <c r="BI99" s="123">
        <f t="shared" ca="1" si="114"/>
        <v>0</v>
      </c>
      <c r="BJ99" s="123">
        <f t="shared" ca="1" si="115"/>
        <v>0</v>
      </c>
      <c r="BK99" s="123">
        <f t="shared" ca="1" si="72"/>
        <v>1000000</v>
      </c>
      <c r="BL99" s="123">
        <f t="shared" ca="1" si="116"/>
        <v>0</v>
      </c>
      <c r="BM99" s="121"/>
      <c r="BN99" s="126">
        <f ca="1">IF(LiabIntType2="Fixed",LiabFxdRate2,OFFSET(Vectors!$D$6,Vectors!A99,MATCH(LiabLoanIndex2,lstInterestRates,0))+LiabMarg2)</f>
        <v>0.04</v>
      </c>
      <c r="BO99" s="122">
        <f t="shared" ca="1" si="117"/>
        <v>34119.905847872607</v>
      </c>
      <c r="BP99" s="124">
        <f t="shared" ca="1" si="118"/>
        <v>0</v>
      </c>
      <c r="BQ99" s="123">
        <f t="shared" ca="1" si="119"/>
        <v>34119.905847872607</v>
      </c>
      <c r="BR99" s="123">
        <f t="shared" ca="1" si="120"/>
        <v>0</v>
      </c>
      <c r="BS99" s="121"/>
      <c r="BT99" s="123">
        <f t="shared" ca="1" si="86"/>
        <v>40433.053837764113</v>
      </c>
      <c r="BU99" s="123">
        <f t="shared" ca="1" si="121"/>
        <v>0</v>
      </c>
      <c r="BV99" s="123">
        <f t="shared" ca="1" si="122"/>
        <v>40433.053837764113</v>
      </c>
      <c r="BW99" s="123">
        <f t="shared" ca="1" si="123"/>
        <v>0</v>
      </c>
      <c r="BX99" s="121"/>
      <c r="BY99" s="123">
        <f t="shared" si="124"/>
        <v>0</v>
      </c>
      <c r="BZ99" s="123">
        <f t="shared" ca="1" si="125"/>
        <v>0</v>
      </c>
      <c r="CA99" s="121"/>
      <c r="CB99" s="122">
        <f t="shared" ca="1" si="73"/>
        <v>36134435.959025651</v>
      </c>
      <c r="CC99" s="122">
        <f t="shared" ca="1" si="126"/>
        <v>242783.17041140466</v>
      </c>
      <c r="CD99" s="124">
        <f t="shared" ca="1" si="127"/>
        <v>572566.08127792261</v>
      </c>
      <c r="CE99" s="121"/>
      <c r="CF99" s="122">
        <f t="shared" ca="1" si="74"/>
        <v>10235971.754361782</v>
      </c>
      <c r="CG99" s="124">
        <f t="shared" ca="1" si="128"/>
        <v>0</v>
      </c>
      <c r="CH99" s="123">
        <f t="shared" ca="1" si="129"/>
        <v>0</v>
      </c>
      <c r="CI99" s="121"/>
      <c r="CJ99" s="123">
        <f t="shared" ca="1" si="130"/>
        <v>1037391.3169704776</v>
      </c>
      <c r="CK99" s="123">
        <f t="shared" ca="1" si="131"/>
        <v>1037391.3169704776</v>
      </c>
      <c r="CL99" s="123">
        <f t="shared" ca="1" si="132"/>
        <v>0</v>
      </c>
      <c r="CM99" s="121"/>
      <c r="CN99" s="62">
        <f t="shared" ca="1" si="133"/>
        <v>394356.79280897923</v>
      </c>
      <c r="CO99" s="62" t="b">
        <f t="shared" si="134"/>
        <v>1</v>
      </c>
      <c r="CP99" s="126">
        <f t="shared" ca="1" si="135"/>
        <v>2.583333333333332E-3</v>
      </c>
      <c r="CQ99" s="120"/>
      <c r="CR99" s="120"/>
      <c r="CS99" s="120"/>
      <c r="CT99" s="120"/>
      <c r="CU99" s="120"/>
      <c r="CV99" s="120"/>
      <c r="CW99" s="120"/>
      <c r="CX99" s="120"/>
      <c r="CY99" s="120"/>
      <c r="CZ99" s="120"/>
      <c r="DA99" s="120"/>
      <c r="DB99" s="120"/>
      <c r="DC99" s="120"/>
      <c r="DD99" s="120"/>
      <c r="DE99" s="116"/>
      <c r="DF99" s="116"/>
      <c r="DG99" s="116"/>
      <c r="DH99" s="116"/>
      <c r="DI99" s="116"/>
      <c r="DJ99" s="116"/>
      <c r="DK99" s="116"/>
      <c r="DL99" s="116"/>
      <c r="DM99" s="116"/>
      <c r="DN99" s="116"/>
    </row>
    <row r="100" spans="1:118" x14ac:dyDescent="0.2">
      <c r="A100" s="27">
        <v>94</v>
      </c>
      <c r="B100" s="29">
        <f t="shared" si="68"/>
        <v>41974</v>
      </c>
      <c r="C100" s="30">
        <f t="shared" si="69"/>
        <v>8.3333333333333329E-2</v>
      </c>
      <c r="D100" s="55"/>
      <c r="E100" s="62">
        <f t="shared" ca="1" si="87"/>
        <v>92691468.625409484</v>
      </c>
      <c r="F100" s="63">
        <f ca="1">IF(AssetIntType1="Fixed",AssetFxdRate1,IF(A100=1,OFFSET(Vectors!$D$6,A100,MATCH(AssetFltIndx1,lstInterestRates,0)),IF(MOD($A100,AssetRateReset1)=0,MAX(MIN(OFFSET(Vectors!$D$6,A100,MATCH(AssetFltIndx1,lstInterestRates,0)),(F99-AssetMarg1)+AssetPdCapFl1,AssetLifeCap1-AssetMarg1),(F99-AssetMarg1)-AssetPdCapFl1,AssetLifeFloor1-AssetMarg1),F99)))+AssetMarg1</f>
        <v>0.09</v>
      </c>
      <c r="G100" s="62">
        <f t="shared" ca="1" si="75"/>
        <v>804622.61694478267</v>
      </c>
      <c r="H100" s="62">
        <f t="shared" ca="1" si="88"/>
        <v>695186.01469057112</v>
      </c>
      <c r="I100" s="62">
        <f t="shared" ca="1" si="89"/>
        <v>109436.60225421155</v>
      </c>
      <c r="J100" s="62">
        <f t="shared" ca="1" si="70"/>
        <v>92582032.023155272</v>
      </c>
      <c r="K100" s="55"/>
      <c r="L100" s="62">
        <f t="shared" ca="1" si="90"/>
        <v>61687780.855016164</v>
      </c>
      <c r="M100" s="68">
        <f ca="1">IF(pdrLossTime1="",OFFSET(Vectors!$AE$6,A100+_Age1,MATCH(SDA_Loss,lstSDA,0)),OFFSET(Vectors!$X$6,A100+_Age1,MATCH(pdrLossTime1,lstDefaultCurve,0)))</f>
        <v>2.7777777777777779E-5</v>
      </c>
      <c r="N100" s="62">
        <f t="shared" ca="1" si="76"/>
        <v>2777.7777777777778</v>
      </c>
      <c r="O100" s="67">
        <f t="shared" ca="1" si="91"/>
        <v>0.9258203202315527</v>
      </c>
      <c r="P100" s="68">
        <f ca="1">OFFSET(Vectors!$L$6,A100+_Age1,MATCH(pdrPrepay1,lstPrepayCurve,0))*pdrPrepayStress1</f>
        <v>5.1430128318229462E-3</v>
      </c>
      <c r="Q100" s="62">
        <f t="shared" ca="1" si="92"/>
        <v>316886.47281016328</v>
      </c>
      <c r="R100" s="62">
        <f t="shared" ca="1" si="93"/>
        <v>72828.678269132375</v>
      </c>
      <c r="S100" s="69">
        <f t="shared" ca="1" si="94"/>
        <v>0.09</v>
      </c>
      <c r="T100" s="62">
        <f t="shared" ca="1" si="95"/>
        <v>462637.5230792879</v>
      </c>
      <c r="U100" s="62">
        <f t="shared" ca="1" si="77"/>
        <v>1111.1111111111111</v>
      </c>
      <c r="V100" s="62">
        <f t="shared" ca="1" si="71"/>
        <v>61295287.926159091</v>
      </c>
      <c r="W100" s="55"/>
      <c r="X100" s="62">
        <f t="shared" ca="1" si="96"/>
        <v>853463.78526969475</v>
      </c>
      <c r="Y100" s="55"/>
      <c r="Z100" s="118" t="b">
        <v>0</v>
      </c>
      <c r="AA100" s="120" t="b">
        <f t="shared" si="78"/>
        <v>0</v>
      </c>
      <c r="AB100" s="120" t="b">
        <f t="shared" si="79"/>
        <v>1</v>
      </c>
      <c r="AC100" s="120" t="b">
        <f t="shared" ca="1" si="80"/>
        <v>0</v>
      </c>
      <c r="AD100" s="121"/>
      <c r="AE100" s="129">
        <v>30572401.108926326</v>
      </c>
      <c r="AF100" s="69">
        <f ca="1">IF(Swap_Active="No",0,OFFSET(Vectors!$D$6,Vectors!A100,MATCH(Swap_In,lstInterestRates,0)))</f>
        <v>6.9369000000000056E-2</v>
      </c>
      <c r="AG100" s="62">
        <f t="shared" ca="1" si="97"/>
        <v>176731.40771042596</v>
      </c>
      <c r="AH100" s="69">
        <f ca="1">IF(Swap_Active="No",0,OFFSET(Vectors!$D$6,Vectors!A100,MATCH(Swap_Out,lstInterestRates,0)))</f>
        <v>0.04</v>
      </c>
      <c r="AI100" s="62">
        <f t="shared" ca="1" si="98"/>
        <v>101908.00369642107</v>
      </c>
      <c r="AJ100" s="62">
        <f t="shared" ca="1" si="99"/>
        <v>74823.404014004889</v>
      </c>
      <c r="AK100" s="62">
        <f t="shared" ca="1" si="100"/>
        <v>928287.18928369961</v>
      </c>
      <c r="AL100" s="121"/>
      <c r="AM100" s="123">
        <f t="shared" ca="1" si="81"/>
        <v>117868.98307462096</v>
      </c>
      <c r="AN100" s="124">
        <f t="shared" ca="1" si="101"/>
        <v>117868.98307462096</v>
      </c>
      <c r="AO100" s="125">
        <f t="shared" ca="1" si="102"/>
        <v>0</v>
      </c>
      <c r="AP100" s="123">
        <f t="shared" ca="1" si="103"/>
        <v>810418.20620907866</v>
      </c>
      <c r="AQ100" s="121"/>
      <c r="AR100" s="126">
        <f ca="1">IF(LiabIntType1="Fixed",LiabFxdRate1,OFFSET(Vectors!$D$6,Vectors!A100,MATCH(LiabLoanIndex1,lstInterestRates,0))+LiabMarg1)</f>
        <v>7.9369000000000051E-2</v>
      </c>
      <c r="AS100" s="122">
        <f t="shared" ca="1" si="104"/>
        <v>238996.17063599237</v>
      </c>
      <c r="AT100" s="124">
        <f t="shared" ca="1" si="105"/>
        <v>238996.17063599237</v>
      </c>
      <c r="AU100" s="123">
        <f t="shared" ca="1" si="106"/>
        <v>0</v>
      </c>
      <c r="AV100" s="123">
        <f t="shared" ca="1" si="82"/>
        <v>0</v>
      </c>
      <c r="AW100" s="123">
        <f t="shared" ca="1" si="107"/>
        <v>0</v>
      </c>
      <c r="AX100" s="124">
        <f t="shared" ca="1" si="108"/>
        <v>571422.03557308624</v>
      </c>
      <c r="AY100" s="121"/>
      <c r="AZ100" s="122">
        <f t="shared" ca="1" si="83"/>
        <v>571422.03557308624</v>
      </c>
      <c r="BA100" s="124">
        <f t="shared" ca="1" si="109"/>
        <v>571422.03557308624</v>
      </c>
      <c r="BB100" s="123">
        <f t="shared" ca="1" si="110"/>
        <v>0</v>
      </c>
      <c r="BC100" s="123">
        <f t="shared" ca="1" si="84"/>
        <v>0</v>
      </c>
      <c r="BD100" s="123">
        <f t="shared" ca="1" si="111"/>
        <v>0</v>
      </c>
      <c r="BE100" s="124">
        <f t="shared" ca="1" si="112"/>
        <v>0</v>
      </c>
      <c r="BF100" s="121"/>
      <c r="BG100" s="123">
        <f t="shared" si="85"/>
        <v>1000000</v>
      </c>
      <c r="BH100" s="123">
        <f t="shared" ca="1" si="113"/>
        <v>1000000</v>
      </c>
      <c r="BI100" s="123">
        <f t="shared" ca="1" si="114"/>
        <v>0</v>
      </c>
      <c r="BJ100" s="123">
        <f t="shared" ca="1" si="115"/>
        <v>0</v>
      </c>
      <c r="BK100" s="123">
        <f t="shared" ca="1" si="72"/>
        <v>1000000</v>
      </c>
      <c r="BL100" s="123">
        <f t="shared" ca="1" si="116"/>
        <v>0</v>
      </c>
      <c r="BM100" s="121"/>
      <c r="BN100" s="126">
        <f ca="1">IF(LiabIntType2="Fixed",LiabFxdRate2,OFFSET(Vectors!$D$6,Vectors!A100,MATCH(LiabLoanIndex2,lstInterestRates,0))+LiabMarg2)</f>
        <v>0.04</v>
      </c>
      <c r="BO100" s="122">
        <f t="shared" ca="1" si="117"/>
        <v>34119.905847872607</v>
      </c>
      <c r="BP100" s="124">
        <f t="shared" ca="1" si="118"/>
        <v>0</v>
      </c>
      <c r="BQ100" s="123">
        <f t="shared" ca="1" si="119"/>
        <v>34119.905847872607</v>
      </c>
      <c r="BR100" s="123">
        <f t="shared" ca="1" si="120"/>
        <v>0</v>
      </c>
      <c r="BS100" s="121"/>
      <c r="BT100" s="123">
        <f t="shared" ca="1" si="86"/>
        <v>40241.953512150656</v>
      </c>
      <c r="BU100" s="123">
        <f t="shared" ca="1" si="121"/>
        <v>0</v>
      </c>
      <c r="BV100" s="123">
        <f t="shared" ca="1" si="122"/>
        <v>40241.953512150656</v>
      </c>
      <c r="BW100" s="123">
        <f t="shared" ca="1" si="123"/>
        <v>0</v>
      </c>
      <c r="BX100" s="121"/>
      <c r="BY100" s="123">
        <f t="shared" si="124"/>
        <v>0</v>
      </c>
      <c r="BZ100" s="123">
        <f t="shared" ca="1" si="125"/>
        <v>0</v>
      </c>
      <c r="CA100" s="121"/>
      <c r="CB100" s="122">
        <f t="shared" ca="1" si="73"/>
        <v>35563013.923452564</v>
      </c>
      <c r="CC100" s="122">
        <f t="shared" ca="1" si="126"/>
        <v>238996.17063599237</v>
      </c>
      <c r="CD100" s="124">
        <f t="shared" ca="1" si="127"/>
        <v>571422.03557308624</v>
      </c>
      <c r="CE100" s="121"/>
      <c r="CF100" s="122">
        <f t="shared" ca="1" si="74"/>
        <v>10235971.754361782</v>
      </c>
      <c r="CG100" s="124">
        <f t="shared" ca="1" si="128"/>
        <v>0</v>
      </c>
      <c r="CH100" s="123">
        <f t="shared" ca="1" si="129"/>
        <v>0</v>
      </c>
      <c r="CI100" s="121"/>
      <c r="CJ100" s="123">
        <f t="shared" ca="1" si="130"/>
        <v>1030195.1929801207</v>
      </c>
      <c r="CK100" s="123">
        <f t="shared" ca="1" si="131"/>
        <v>1030195.1929801207</v>
      </c>
      <c r="CL100" s="123">
        <f t="shared" ca="1" si="132"/>
        <v>0</v>
      </c>
      <c r="CM100" s="121"/>
      <c r="CN100" s="62">
        <f t="shared" ca="1" si="133"/>
        <v>392492.92885707342</v>
      </c>
      <c r="CO100" s="62" t="b">
        <f t="shared" si="134"/>
        <v>1</v>
      </c>
      <c r="CP100" s="126">
        <f t="shared" ca="1" si="135"/>
        <v>2.6111111111111096E-3</v>
      </c>
      <c r="CQ100" s="120"/>
      <c r="CR100" s="120"/>
      <c r="CS100" s="120"/>
      <c r="CT100" s="120"/>
      <c r="CU100" s="120"/>
      <c r="CV100" s="120"/>
      <c r="CW100" s="120"/>
      <c r="CX100" s="120"/>
      <c r="CY100" s="120"/>
      <c r="CZ100" s="120"/>
      <c r="DA100" s="120"/>
      <c r="DB100" s="120"/>
      <c r="DC100" s="120"/>
      <c r="DD100" s="120"/>
      <c r="DE100" s="116"/>
      <c r="DF100" s="116"/>
      <c r="DG100" s="116"/>
      <c r="DH100" s="116"/>
      <c r="DI100" s="116"/>
      <c r="DJ100" s="116"/>
      <c r="DK100" s="116"/>
      <c r="DL100" s="116"/>
      <c r="DM100" s="116"/>
      <c r="DN100" s="116"/>
    </row>
    <row r="101" spans="1:118" x14ac:dyDescent="0.2">
      <c r="A101" s="27">
        <v>95</v>
      </c>
      <c r="B101" s="29">
        <f t="shared" si="68"/>
        <v>42005</v>
      </c>
      <c r="C101" s="30">
        <f t="shared" si="69"/>
        <v>8.3333333333333329E-2</v>
      </c>
      <c r="D101" s="55"/>
      <c r="E101" s="62">
        <f t="shared" ca="1" si="87"/>
        <v>92582032.023155272</v>
      </c>
      <c r="F101" s="63">
        <f ca="1">IF(AssetIntType1="Fixed",AssetFxdRate1,IF(A101=1,OFFSET(Vectors!$D$6,A101,MATCH(AssetFltIndx1,lstInterestRates,0)),IF(MOD($A101,AssetRateReset1)=0,MAX(MIN(OFFSET(Vectors!$D$6,A101,MATCH(AssetFltIndx1,lstInterestRates,0)),(F100-AssetMarg1)+AssetPdCapFl1,AssetLifeCap1-AssetMarg1),(F100-AssetMarg1)-AssetPdCapFl1,AssetLifeFloor1-AssetMarg1),F100)))+AssetMarg1</f>
        <v>0.09</v>
      </c>
      <c r="G101" s="62">
        <f t="shared" ca="1" si="75"/>
        <v>804622.61694478267</v>
      </c>
      <c r="H101" s="62">
        <f t="shared" ca="1" si="88"/>
        <v>694365.24017366453</v>
      </c>
      <c r="I101" s="62">
        <f t="shared" ca="1" si="89"/>
        <v>110257.37677111814</v>
      </c>
      <c r="J101" s="62">
        <f t="shared" ca="1" si="70"/>
        <v>92471774.64638415</v>
      </c>
      <c r="K101" s="55"/>
      <c r="L101" s="62">
        <f t="shared" ca="1" si="90"/>
        <v>61295287.926159091</v>
      </c>
      <c r="M101" s="68">
        <f ca="1">IF(pdrLossTime1="",OFFSET(Vectors!$AE$6,A101+_Age1,MATCH(SDA_Loss,lstSDA,0)),OFFSET(Vectors!$X$6,A101+_Age1,MATCH(pdrLossTime1,lstDefaultCurve,0)))</f>
        <v>2.7777777777777779E-5</v>
      </c>
      <c r="N101" s="62">
        <f t="shared" ca="1" si="76"/>
        <v>2777.7777777777778</v>
      </c>
      <c r="O101" s="67">
        <f t="shared" ca="1" si="91"/>
        <v>0.92471774646384153</v>
      </c>
      <c r="P101" s="68">
        <f ca="1">OFFSET(Vectors!$L$6,A101+_Age1,MATCH(pdrPrepay1,lstPrepayCurve,0))*pdrPrepayStress1</f>
        <v>5.1430128318229462E-3</v>
      </c>
      <c r="Q101" s="62">
        <f t="shared" ca="1" si="92"/>
        <v>314867.02521241101</v>
      </c>
      <c r="R101" s="62">
        <f t="shared" ca="1" si="93"/>
        <v>72994.200245974178</v>
      </c>
      <c r="S101" s="69">
        <f t="shared" ca="1" si="94"/>
        <v>0.09</v>
      </c>
      <c r="T101" s="62">
        <f t="shared" ca="1" si="95"/>
        <v>459693.82611285982</v>
      </c>
      <c r="U101" s="62">
        <f t="shared" ca="1" si="77"/>
        <v>1111.1111111111111</v>
      </c>
      <c r="V101" s="62">
        <f t="shared" ca="1" si="71"/>
        <v>60904648.922922924</v>
      </c>
      <c r="W101" s="55"/>
      <c r="X101" s="62">
        <f t="shared" ca="1" si="96"/>
        <v>848666.1626823562</v>
      </c>
      <c r="Y101" s="55"/>
      <c r="Z101" s="118" t="b">
        <v>0</v>
      </c>
      <c r="AA101" s="120" t="b">
        <f t="shared" si="78"/>
        <v>0</v>
      </c>
      <c r="AB101" s="120" t="b">
        <f t="shared" si="79"/>
        <v>1</v>
      </c>
      <c r="AC101" s="120" t="b">
        <f t="shared" ca="1" si="80"/>
        <v>0</v>
      </c>
      <c r="AD101" s="121"/>
      <c r="AE101" s="129">
        <v>30165844.298282403</v>
      </c>
      <c r="AF101" s="69">
        <f ca="1">IF(Swap_Active="No",0,OFFSET(Vectors!$D$6,Vectors!A101,MATCH(Swap_In,lstInterestRates,0)))</f>
        <v>6.9369000000000056E-2</v>
      </c>
      <c r="AG101" s="62">
        <f t="shared" ca="1" si="97"/>
        <v>174381.20442729612</v>
      </c>
      <c r="AH101" s="69">
        <f ca="1">IF(Swap_Active="No",0,OFFSET(Vectors!$D$6,Vectors!A101,MATCH(Swap_Out,lstInterestRates,0)))</f>
        <v>0.04</v>
      </c>
      <c r="AI101" s="62">
        <f t="shared" ca="1" si="98"/>
        <v>100552.81432760801</v>
      </c>
      <c r="AJ101" s="62">
        <f t="shared" ca="1" si="99"/>
        <v>73828.390099688113</v>
      </c>
      <c r="AK101" s="62">
        <f t="shared" ca="1" si="100"/>
        <v>922494.55278204428</v>
      </c>
      <c r="AL101" s="121"/>
      <c r="AM101" s="123">
        <f t="shared" ca="1" si="81"/>
        <v>116976.73567837037</v>
      </c>
      <c r="AN101" s="124">
        <f t="shared" ca="1" si="101"/>
        <v>116976.73567837037</v>
      </c>
      <c r="AO101" s="125">
        <f t="shared" ca="1" si="102"/>
        <v>0</v>
      </c>
      <c r="AP101" s="123">
        <f t="shared" ca="1" si="103"/>
        <v>805517.81710367394</v>
      </c>
      <c r="AQ101" s="121"/>
      <c r="AR101" s="126">
        <f ca="1">IF(LiabIntType1="Fixed",LiabFxdRate1,OFFSET(Vectors!$D$6,Vectors!A101,MATCH(LiabLoanIndex1,lstInterestRates,0))+LiabMarg1)</f>
        <v>7.9369000000000051E-2</v>
      </c>
      <c r="AS101" s="122">
        <f t="shared" ca="1" si="104"/>
        <v>235216.73767420903</v>
      </c>
      <c r="AT101" s="124">
        <f t="shared" ca="1" si="105"/>
        <v>235216.73767420903</v>
      </c>
      <c r="AU101" s="123">
        <f t="shared" ca="1" si="106"/>
        <v>0</v>
      </c>
      <c r="AV101" s="123">
        <f t="shared" ca="1" si="82"/>
        <v>0</v>
      </c>
      <c r="AW101" s="123">
        <f t="shared" ca="1" si="107"/>
        <v>0</v>
      </c>
      <c r="AX101" s="124">
        <f t="shared" ca="1" si="108"/>
        <v>570301.07942946488</v>
      </c>
      <c r="AY101" s="121"/>
      <c r="AZ101" s="122">
        <f t="shared" ca="1" si="83"/>
        <v>570301.07942946488</v>
      </c>
      <c r="BA101" s="124">
        <f t="shared" ca="1" si="109"/>
        <v>570301.07942946488</v>
      </c>
      <c r="BB101" s="123">
        <f t="shared" ca="1" si="110"/>
        <v>0</v>
      </c>
      <c r="BC101" s="123">
        <f t="shared" ca="1" si="84"/>
        <v>0</v>
      </c>
      <c r="BD101" s="123">
        <f t="shared" ca="1" si="111"/>
        <v>0</v>
      </c>
      <c r="BE101" s="124">
        <f t="shared" ca="1" si="112"/>
        <v>0</v>
      </c>
      <c r="BF101" s="121"/>
      <c r="BG101" s="123">
        <f t="shared" si="85"/>
        <v>1000000</v>
      </c>
      <c r="BH101" s="123">
        <f t="shared" ca="1" si="113"/>
        <v>1000000</v>
      </c>
      <c r="BI101" s="123">
        <f t="shared" ca="1" si="114"/>
        <v>0</v>
      </c>
      <c r="BJ101" s="123">
        <f t="shared" ca="1" si="115"/>
        <v>0</v>
      </c>
      <c r="BK101" s="123">
        <f t="shared" ca="1" si="72"/>
        <v>1000000</v>
      </c>
      <c r="BL101" s="123">
        <f t="shared" ca="1" si="116"/>
        <v>0</v>
      </c>
      <c r="BM101" s="121"/>
      <c r="BN101" s="126">
        <f ca="1">IF(LiabIntType2="Fixed",LiabFxdRate2,OFFSET(Vectors!$D$6,Vectors!A101,MATCH(LiabLoanIndex2,lstInterestRates,0))+LiabMarg2)</f>
        <v>0.04</v>
      </c>
      <c r="BO101" s="122">
        <f t="shared" ca="1" si="117"/>
        <v>34119.905847872607</v>
      </c>
      <c r="BP101" s="124">
        <f t="shared" ca="1" si="118"/>
        <v>0</v>
      </c>
      <c r="BQ101" s="123">
        <f t="shared" ca="1" si="119"/>
        <v>34119.905847872607</v>
      </c>
      <c r="BR101" s="123">
        <f t="shared" ca="1" si="120"/>
        <v>0</v>
      </c>
      <c r="BS101" s="121"/>
      <c r="BT101" s="123">
        <f t="shared" ca="1" si="86"/>
        <v>40051.872154840821</v>
      </c>
      <c r="BU101" s="123">
        <f t="shared" ca="1" si="121"/>
        <v>0</v>
      </c>
      <c r="BV101" s="123">
        <f t="shared" ca="1" si="122"/>
        <v>40051.872154840821</v>
      </c>
      <c r="BW101" s="123">
        <f t="shared" ca="1" si="123"/>
        <v>0</v>
      </c>
      <c r="BX101" s="121"/>
      <c r="BY101" s="123">
        <f t="shared" si="124"/>
        <v>0</v>
      </c>
      <c r="BZ101" s="123">
        <f t="shared" ca="1" si="125"/>
        <v>0</v>
      </c>
      <c r="CA101" s="121"/>
      <c r="CB101" s="122">
        <f t="shared" ca="1" si="73"/>
        <v>34992712.844023101</v>
      </c>
      <c r="CC101" s="122">
        <f t="shared" ca="1" si="126"/>
        <v>235216.73767420903</v>
      </c>
      <c r="CD101" s="124">
        <f t="shared" ca="1" si="127"/>
        <v>570301.07942946488</v>
      </c>
      <c r="CE101" s="121"/>
      <c r="CF101" s="122">
        <f t="shared" ca="1" si="74"/>
        <v>10235971.754361782</v>
      </c>
      <c r="CG101" s="124">
        <f t="shared" ca="1" si="128"/>
        <v>0</v>
      </c>
      <c r="CH101" s="123">
        <f t="shared" ca="1" si="129"/>
        <v>0</v>
      </c>
      <c r="CI101" s="121"/>
      <c r="CJ101" s="123">
        <f t="shared" ca="1" si="130"/>
        <v>1023047.3671096524</v>
      </c>
      <c r="CK101" s="123">
        <f t="shared" ca="1" si="131"/>
        <v>1023047.3671096523</v>
      </c>
      <c r="CL101" s="123">
        <f t="shared" ca="1" si="132"/>
        <v>0</v>
      </c>
      <c r="CM101" s="121"/>
      <c r="CN101" s="62">
        <f t="shared" ca="1" si="133"/>
        <v>390639.00323616294</v>
      </c>
      <c r="CO101" s="62" t="b">
        <f t="shared" si="134"/>
        <v>1</v>
      </c>
      <c r="CP101" s="126">
        <f t="shared" ca="1" si="135"/>
        <v>2.6388888888888872E-3</v>
      </c>
      <c r="CQ101" s="120"/>
      <c r="CR101" s="120"/>
      <c r="CS101" s="120"/>
      <c r="CT101" s="120"/>
      <c r="CU101" s="120"/>
      <c r="CV101" s="120"/>
      <c r="CW101" s="120"/>
      <c r="CX101" s="120"/>
      <c r="CY101" s="120"/>
      <c r="CZ101" s="120"/>
      <c r="DA101" s="120"/>
      <c r="DB101" s="120"/>
      <c r="DC101" s="120"/>
      <c r="DD101" s="120"/>
      <c r="DE101" s="116"/>
      <c r="DF101" s="116"/>
      <c r="DG101" s="116"/>
      <c r="DH101" s="116"/>
      <c r="DI101" s="116"/>
      <c r="DJ101" s="116"/>
      <c r="DK101" s="116"/>
      <c r="DL101" s="116"/>
      <c r="DM101" s="116"/>
      <c r="DN101" s="116"/>
    </row>
    <row r="102" spans="1:118" x14ac:dyDescent="0.2">
      <c r="A102" s="27">
        <v>96</v>
      </c>
      <c r="B102" s="29">
        <f t="shared" si="68"/>
        <v>42036</v>
      </c>
      <c r="C102" s="30">
        <f t="shared" si="69"/>
        <v>8.3333333333333329E-2</v>
      </c>
      <c r="D102" s="55"/>
      <c r="E102" s="62">
        <f t="shared" ca="1" si="87"/>
        <v>92471774.64638415</v>
      </c>
      <c r="F102" s="63">
        <f ca="1">IF(AssetIntType1="Fixed",AssetFxdRate1,IF(A102=1,OFFSET(Vectors!$D$6,A102,MATCH(AssetFltIndx1,lstInterestRates,0)),IF(MOD($A102,AssetRateReset1)=0,MAX(MIN(OFFSET(Vectors!$D$6,A102,MATCH(AssetFltIndx1,lstInterestRates,0)),(F101-AssetMarg1)+AssetPdCapFl1,AssetLifeCap1-AssetMarg1),(F101-AssetMarg1)-AssetPdCapFl1,AssetLifeFloor1-AssetMarg1),F101)))+AssetMarg1</f>
        <v>0.09</v>
      </c>
      <c r="G102" s="62">
        <f t="shared" ca="1" si="75"/>
        <v>804622.61694478267</v>
      </c>
      <c r="H102" s="62">
        <f t="shared" ca="1" si="88"/>
        <v>693538.30984788109</v>
      </c>
      <c r="I102" s="62">
        <f t="shared" ca="1" si="89"/>
        <v>111084.30709690158</v>
      </c>
      <c r="J102" s="62">
        <f t="shared" ca="1" si="70"/>
        <v>92360690.339287251</v>
      </c>
      <c r="K102" s="55"/>
      <c r="L102" s="62">
        <f t="shared" ca="1" si="90"/>
        <v>60904648.922922924</v>
      </c>
      <c r="M102" s="68">
        <f ca="1">IF(pdrLossTime1="",OFFSET(Vectors!$AE$6,A102+_Age1,MATCH(SDA_Loss,lstSDA,0)),OFFSET(Vectors!$X$6,A102+_Age1,MATCH(pdrLossTime1,lstDefaultCurve,0)))</f>
        <v>2.7777777777777779E-5</v>
      </c>
      <c r="N102" s="62">
        <f t="shared" ca="1" si="76"/>
        <v>2777.7777777777778</v>
      </c>
      <c r="O102" s="67">
        <f t="shared" ca="1" si="91"/>
        <v>0.92360690339287255</v>
      </c>
      <c r="P102" s="68">
        <f ca="1">OFFSET(Vectors!$L$6,A102+_Age1,MATCH(pdrPrepay1,lstPrepayCurve,0))*pdrPrepayStress1</f>
        <v>5.1430128318229462E-3</v>
      </c>
      <c r="Q102" s="62">
        <f t="shared" ca="1" si="92"/>
        <v>312857.11055164185</v>
      </c>
      <c r="R102" s="62">
        <f t="shared" ca="1" si="93"/>
        <v>73160.077039002732</v>
      </c>
      <c r="S102" s="69">
        <f t="shared" ca="1" si="94"/>
        <v>0.09</v>
      </c>
      <c r="T102" s="62">
        <f t="shared" ca="1" si="95"/>
        <v>456764.03358858859</v>
      </c>
      <c r="U102" s="62">
        <f t="shared" ca="1" si="77"/>
        <v>1111.1111111111111</v>
      </c>
      <c r="V102" s="62">
        <f t="shared" ca="1" si="71"/>
        <v>60515853.957554504</v>
      </c>
      <c r="W102" s="55"/>
      <c r="X102" s="62">
        <f t="shared" ca="1" si="96"/>
        <v>843892.33229034429</v>
      </c>
      <c r="Y102" s="55"/>
      <c r="Z102" s="118" t="b">
        <v>0</v>
      </c>
      <c r="AA102" s="120" t="b">
        <f t="shared" si="78"/>
        <v>0</v>
      </c>
      <c r="AB102" s="120" t="b">
        <f t="shared" si="79"/>
        <v>1</v>
      </c>
      <c r="AC102" s="120" t="b">
        <f t="shared" ca="1" si="80"/>
        <v>0</v>
      </c>
      <c r="AD102" s="121"/>
      <c r="AE102" s="129">
        <v>29763462.614761762</v>
      </c>
      <c r="AF102" s="69">
        <f ca="1">IF(Swap_Active="No",0,OFFSET(Vectors!$D$6,Vectors!A102,MATCH(Swap_In,lstInterestRates,0)))</f>
        <v>6.9369000000000056E-2</v>
      </c>
      <c r="AG102" s="62">
        <f t="shared" ca="1" si="97"/>
        <v>172055.13651028418</v>
      </c>
      <c r="AH102" s="69">
        <f ca="1">IF(Swap_Active="No",0,OFFSET(Vectors!$D$6,Vectors!A102,MATCH(Swap_Out,lstInterestRates,0)))</f>
        <v>0.04</v>
      </c>
      <c r="AI102" s="62">
        <f t="shared" ca="1" si="98"/>
        <v>99211.542049205877</v>
      </c>
      <c r="AJ102" s="62">
        <f t="shared" ca="1" si="99"/>
        <v>72843.594461078304</v>
      </c>
      <c r="AK102" s="62">
        <f t="shared" ca="1" si="100"/>
        <v>916735.92675142258</v>
      </c>
      <c r="AL102" s="121"/>
      <c r="AM102" s="123">
        <f t="shared" ca="1" si="81"/>
        <v>116088.04522321449</v>
      </c>
      <c r="AN102" s="124">
        <f t="shared" ca="1" si="101"/>
        <v>116088.04522321449</v>
      </c>
      <c r="AO102" s="125">
        <f t="shared" ca="1" si="102"/>
        <v>0</v>
      </c>
      <c r="AP102" s="123">
        <f t="shared" ca="1" si="103"/>
        <v>800647.88152820803</v>
      </c>
      <c r="AQ102" s="121"/>
      <c r="AR102" s="126">
        <f ca="1">IF(LiabIntType1="Fixed",LiabFxdRate1,OFFSET(Vectors!$D$6,Vectors!A102,MATCH(LiabLoanIndex1,lstInterestRates,0))+LiabMarg1)</f>
        <v>7.9369000000000051E-2</v>
      </c>
      <c r="AS102" s="122">
        <f t="shared" ca="1" si="104"/>
        <v>231444.7188097726</v>
      </c>
      <c r="AT102" s="124">
        <f t="shared" ca="1" si="105"/>
        <v>231444.7188097726</v>
      </c>
      <c r="AU102" s="123">
        <f t="shared" ca="1" si="106"/>
        <v>0</v>
      </c>
      <c r="AV102" s="123">
        <f t="shared" ca="1" si="82"/>
        <v>0</v>
      </c>
      <c r="AW102" s="123">
        <f t="shared" ca="1" si="107"/>
        <v>0</v>
      </c>
      <c r="AX102" s="124">
        <f t="shared" ca="1" si="108"/>
        <v>569203.1627184354</v>
      </c>
      <c r="AY102" s="121"/>
      <c r="AZ102" s="122">
        <f t="shared" ca="1" si="83"/>
        <v>569203.1627184354</v>
      </c>
      <c r="BA102" s="124">
        <f t="shared" ca="1" si="109"/>
        <v>569203.1627184354</v>
      </c>
      <c r="BB102" s="123">
        <f t="shared" ca="1" si="110"/>
        <v>0</v>
      </c>
      <c r="BC102" s="123">
        <f t="shared" ca="1" si="84"/>
        <v>0</v>
      </c>
      <c r="BD102" s="123">
        <f t="shared" ca="1" si="111"/>
        <v>0</v>
      </c>
      <c r="BE102" s="124">
        <f t="shared" ca="1" si="112"/>
        <v>0</v>
      </c>
      <c r="BF102" s="121"/>
      <c r="BG102" s="123">
        <f t="shared" si="85"/>
        <v>1000000</v>
      </c>
      <c r="BH102" s="123">
        <f t="shared" ca="1" si="113"/>
        <v>1000000</v>
      </c>
      <c r="BI102" s="123">
        <f t="shared" ca="1" si="114"/>
        <v>0</v>
      </c>
      <c r="BJ102" s="123">
        <f t="shared" ca="1" si="115"/>
        <v>0</v>
      </c>
      <c r="BK102" s="123">
        <f t="shared" ca="1" si="72"/>
        <v>1000000</v>
      </c>
      <c r="BL102" s="123">
        <f t="shared" ca="1" si="116"/>
        <v>0</v>
      </c>
      <c r="BM102" s="121"/>
      <c r="BN102" s="126">
        <f ca="1">IF(LiabIntType2="Fixed",LiabFxdRate2,OFFSET(Vectors!$D$6,Vectors!A102,MATCH(LiabLoanIndex2,lstInterestRates,0))+LiabMarg2)</f>
        <v>0.04</v>
      </c>
      <c r="BO102" s="122">
        <f t="shared" ca="1" si="117"/>
        <v>34119.905847872607</v>
      </c>
      <c r="BP102" s="124">
        <f t="shared" ca="1" si="118"/>
        <v>0</v>
      </c>
      <c r="BQ102" s="123">
        <f t="shared" ca="1" si="119"/>
        <v>34119.905847872607</v>
      </c>
      <c r="BR102" s="123">
        <f t="shared" ca="1" si="120"/>
        <v>0</v>
      </c>
      <c r="BS102" s="121"/>
      <c r="BT102" s="123">
        <f t="shared" ca="1" si="86"/>
        <v>39862.80458013482</v>
      </c>
      <c r="BU102" s="123">
        <f t="shared" ca="1" si="121"/>
        <v>0</v>
      </c>
      <c r="BV102" s="123">
        <f t="shared" ca="1" si="122"/>
        <v>39862.80458013482</v>
      </c>
      <c r="BW102" s="123">
        <f t="shared" ca="1" si="123"/>
        <v>0</v>
      </c>
      <c r="BX102" s="121"/>
      <c r="BY102" s="123">
        <f t="shared" si="124"/>
        <v>0</v>
      </c>
      <c r="BZ102" s="123">
        <f t="shared" ca="1" si="125"/>
        <v>0</v>
      </c>
      <c r="CA102" s="121"/>
      <c r="CB102" s="122">
        <f t="shared" ca="1" si="73"/>
        <v>34423509.681304663</v>
      </c>
      <c r="CC102" s="122">
        <f t="shared" ca="1" si="126"/>
        <v>231444.7188097726</v>
      </c>
      <c r="CD102" s="124">
        <f t="shared" ca="1" si="127"/>
        <v>569203.1627184354</v>
      </c>
      <c r="CE102" s="121"/>
      <c r="CF102" s="122">
        <f t="shared" ca="1" si="74"/>
        <v>10235971.754361782</v>
      </c>
      <c r="CG102" s="124">
        <f t="shared" ca="1" si="128"/>
        <v>0</v>
      </c>
      <c r="CH102" s="123">
        <f t="shared" ca="1" si="129"/>
        <v>0</v>
      </c>
      <c r="CI102" s="121"/>
      <c r="CJ102" s="123">
        <f t="shared" ca="1" si="130"/>
        <v>1015947.4688006284</v>
      </c>
      <c r="CK102" s="123">
        <f t="shared" ca="1" si="131"/>
        <v>1015947.4688006283</v>
      </c>
      <c r="CL102" s="123">
        <f t="shared" ca="1" si="132"/>
        <v>0</v>
      </c>
      <c r="CM102" s="121"/>
      <c r="CN102" s="62">
        <f t="shared" ca="1" si="133"/>
        <v>388794.96536842233</v>
      </c>
      <c r="CO102" s="62" t="b">
        <f t="shared" si="134"/>
        <v>1</v>
      </c>
      <c r="CP102" s="126">
        <f t="shared" ca="1" si="135"/>
        <v>2.6666666666666648E-3</v>
      </c>
      <c r="CQ102" s="120"/>
      <c r="CR102" s="120"/>
      <c r="CS102" s="120"/>
      <c r="CT102" s="120"/>
      <c r="CU102" s="120"/>
      <c r="CV102" s="120"/>
      <c r="CW102" s="120"/>
      <c r="CX102" s="120"/>
      <c r="CY102" s="120"/>
      <c r="CZ102" s="120"/>
      <c r="DA102" s="120"/>
      <c r="DB102" s="120"/>
      <c r="DC102" s="120"/>
      <c r="DD102" s="120"/>
      <c r="DE102" s="116"/>
      <c r="DF102" s="116"/>
      <c r="DG102" s="116"/>
      <c r="DH102" s="116"/>
      <c r="DI102" s="116"/>
      <c r="DJ102" s="116"/>
      <c r="DK102" s="116"/>
      <c r="DL102" s="116"/>
      <c r="DM102" s="116"/>
      <c r="DN102" s="116"/>
    </row>
    <row r="103" spans="1:118" x14ac:dyDescent="0.2">
      <c r="A103" s="27">
        <v>97</v>
      </c>
      <c r="B103" s="29">
        <f t="shared" si="68"/>
        <v>42064</v>
      </c>
      <c r="C103" s="30">
        <f t="shared" si="69"/>
        <v>8.3333333333333329E-2</v>
      </c>
      <c r="D103" s="55"/>
      <c r="E103" s="62">
        <f t="shared" ca="1" si="87"/>
        <v>92360690.339287251</v>
      </c>
      <c r="F103" s="63">
        <f ca="1">IF(AssetIntType1="Fixed",AssetFxdRate1,IF(A103=1,OFFSET(Vectors!$D$6,A103,MATCH(AssetFltIndx1,lstInterestRates,0)),IF(MOD($A103,AssetRateReset1)=0,MAX(MIN(OFFSET(Vectors!$D$6,A103,MATCH(AssetFltIndx1,lstInterestRates,0)),(F102-AssetMarg1)+AssetPdCapFl1,AssetLifeCap1-AssetMarg1),(F102-AssetMarg1)-AssetPdCapFl1,AssetLifeFloor1-AssetMarg1),F102)))+AssetMarg1</f>
        <v>0.09</v>
      </c>
      <c r="G103" s="62">
        <f t="shared" ca="1" si="75"/>
        <v>804622.61694478267</v>
      </c>
      <c r="H103" s="62">
        <f t="shared" ca="1" si="88"/>
        <v>692705.17754465435</v>
      </c>
      <c r="I103" s="62">
        <f t="shared" ca="1" si="89"/>
        <v>111917.43940012832</v>
      </c>
      <c r="J103" s="62">
        <f t="shared" ca="1" si="70"/>
        <v>92248772.89988713</v>
      </c>
      <c r="K103" s="55"/>
      <c r="L103" s="62">
        <f t="shared" ca="1" si="90"/>
        <v>60515853.957554504</v>
      </c>
      <c r="M103" s="68">
        <f ca="1">IF(pdrLossTime1="",OFFSET(Vectors!$AE$6,A103+_Age1,MATCH(SDA_Loss,lstSDA,0)),OFFSET(Vectors!$X$6,A103+_Age1,MATCH(pdrLossTime1,lstDefaultCurve,0)))</f>
        <v>2.7777777777777779E-5</v>
      </c>
      <c r="N103" s="62">
        <f t="shared" ca="1" si="76"/>
        <v>2777.7777777777778</v>
      </c>
      <c r="O103" s="67">
        <f t="shared" ca="1" si="91"/>
        <v>0.92248772899887133</v>
      </c>
      <c r="P103" s="68">
        <f ca="1">OFFSET(Vectors!$L$6,A103+_Age1,MATCH(pdrPrepay1,lstPrepayCurve,0))*pdrPrepayStress1</f>
        <v>5.1430128318229462E-3</v>
      </c>
      <c r="Q103" s="62">
        <f t="shared" ca="1" si="92"/>
        <v>310856.67797224142</v>
      </c>
      <c r="R103" s="62">
        <f t="shared" ca="1" si="93"/>
        <v>73326.309183987411</v>
      </c>
      <c r="S103" s="69">
        <f t="shared" ca="1" si="94"/>
        <v>0.09</v>
      </c>
      <c r="T103" s="62">
        <f t="shared" ca="1" si="95"/>
        <v>453848.07134832547</v>
      </c>
      <c r="U103" s="62">
        <f t="shared" ca="1" si="77"/>
        <v>1111.1111111111111</v>
      </c>
      <c r="V103" s="62">
        <f t="shared" ca="1" si="71"/>
        <v>60128893.192620501</v>
      </c>
      <c r="W103" s="55"/>
      <c r="X103" s="62">
        <f t="shared" ca="1" si="96"/>
        <v>839142.16961566545</v>
      </c>
      <c r="Y103" s="55"/>
      <c r="Z103" s="118" t="b">
        <v>0</v>
      </c>
      <c r="AA103" s="120" t="b">
        <f t="shared" si="78"/>
        <v>0</v>
      </c>
      <c r="AB103" s="120" t="b">
        <f t="shared" si="79"/>
        <v>1</v>
      </c>
      <c r="AC103" s="120" t="b">
        <f t="shared" ca="1" si="80"/>
        <v>0</v>
      </c>
      <c r="AD103" s="121"/>
      <c r="AE103" s="129">
        <v>29365214.024978694</v>
      </c>
      <c r="AF103" s="69">
        <f ca="1">IF(Swap_Active="No",0,OFFSET(Vectors!$D$6,Vectors!A103,MATCH(Swap_In,lstInterestRates,0)))</f>
        <v>6.9369000000000056E-2</v>
      </c>
      <c r="AG103" s="62">
        <f t="shared" ca="1" si="97"/>
        <v>169752.96097489572</v>
      </c>
      <c r="AH103" s="69">
        <f ca="1">IF(Swap_Active="No",0,OFFSET(Vectors!$D$6,Vectors!A103,MATCH(Swap_Out,lstInterestRates,0)))</f>
        <v>0.04</v>
      </c>
      <c r="AI103" s="62">
        <f t="shared" ca="1" si="98"/>
        <v>97884.046749928981</v>
      </c>
      <c r="AJ103" s="62">
        <f t="shared" ca="1" si="99"/>
        <v>71868.914224966735</v>
      </c>
      <c r="AK103" s="62">
        <f t="shared" ca="1" si="100"/>
        <v>911011.08384063223</v>
      </c>
      <c r="AL103" s="121"/>
      <c r="AM103" s="123">
        <f t="shared" ca="1" si="81"/>
        <v>115202.88562980111</v>
      </c>
      <c r="AN103" s="124">
        <f t="shared" ca="1" si="101"/>
        <v>115202.88562980111</v>
      </c>
      <c r="AO103" s="125">
        <f t="shared" ca="1" si="102"/>
        <v>0</v>
      </c>
      <c r="AP103" s="123">
        <f t="shared" ca="1" si="103"/>
        <v>795808.19821083115</v>
      </c>
      <c r="AQ103" s="121"/>
      <c r="AR103" s="126">
        <f ca="1">IF(LiabIntType1="Fixed",LiabFxdRate1,OFFSET(Vectors!$D$6,Vectors!A103,MATCH(LiabLoanIndex1,lstInterestRates,0))+LiabMarg1)</f>
        <v>7.9369000000000051E-2</v>
      </c>
      <c r="AS103" s="122">
        <f t="shared" ca="1" si="104"/>
        <v>227679.96165795595</v>
      </c>
      <c r="AT103" s="124">
        <f t="shared" ca="1" si="105"/>
        <v>227679.96165795595</v>
      </c>
      <c r="AU103" s="123">
        <f t="shared" ca="1" si="106"/>
        <v>0</v>
      </c>
      <c r="AV103" s="123">
        <f t="shared" ca="1" si="82"/>
        <v>0</v>
      </c>
      <c r="AW103" s="123">
        <f t="shared" ca="1" si="107"/>
        <v>0</v>
      </c>
      <c r="AX103" s="124">
        <f t="shared" ca="1" si="108"/>
        <v>568128.23655287526</v>
      </c>
      <c r="AY103" s="121"/>
      <c r="AZ103" s="122">
        <f t="shared" ca="1" si="83"/>
        <v>568128.23655287526</v>
      </c>
      <c r="BA103" s="124">
        <f t="shared" ca="1" si="109"/>
        <v>568128.23655287526</v>
      </c>
      <c r="BB103" s="123">
        <f t="shared" ca="1" si="110"/>
        <v>0</v>
      </c>
      <c r="BC103" s="123">
        <f t="shared" ca="1" si="84"/>
        <v>0</v>
      </c>
      <c r="BD103" s="123">
        <f t="shared" ca="1" si="111"/>
        <v>0</v>
      </c>
      <c r="BE103" s="124">
        <f t="shared" ca="1" si="112"/>
        <v>0</v>
      </c>
      <c r="BF103" s="121"/>
      <c r="BG103" s="123">
        <f t="shared" si="85"/>
        <v>1000000</v>
      </c>
      <c r="BH103" s="123">
        <f t="shared" ca="1" si="113"/>
        <v>1000000</v>
      </c>
      <c r="BI103" s="123">
        <f t="shared" ca="1" si="114"/>
        <v>0</v>
      </c>
      <c r="BJ103" s="123">
        <f t="shared" ca="1" si="115"/>
        <v>0</v>
      </c>
      <c r="BK103" s="123">
        <f t="shared" ca="1" si="72"/>
        <v>1000000</v>
      </c>
      <c r="BL103" s="123">
        <f t="shared" ca="1" si="116"/>
        <v>0</v>
      </c>
      <c r="BM103" s="121"/>
      <c r="BN103" s="126">
        <f ca="1">IF(LiabIntType2="Fixed",LiabFxdRate2,OFFSET(Vectors!$D$6,Vectors!A103,MATCH(LiabLoanIndex2,lstInterestRates,0))+LiabMarg2)</f>
        <v>0.04</v>
      </c>
      <c r="BO103" s="122">
        <f t="shared" ca="1" si="117"/>
        <v>34119.905847872607</v>
      </c>
      <c r="BP103" s="124">
        <f t="shared" ca="1" si="118"/>
        <v>0</v>
      </c>
      <c r="BQ103" s="123">
        <f t="shared" ca="1" si="119"/>
        <v>34119.905847872607</v>
      </c>
      <c r="BR103" s="123">
        <f t="shared" ca="1" si="120"/>
        <v>0</v>
      </c>
      <c r="BS103" s="121"/>
      <c r="BT103" s="123">
        <f t="shared" ca="1" si="86"/>
        <v>39674.745628783363</v>
      </c>
      <c r="BU103" s="123">
        <f t="shared" ca="1" si="121"/>
        <v>0</v>
      </c>
      <c r="BV103" s="123">
        <f t="shared" ca="1" si="122"/>
        <v>39674.745628783363</v>
      </c>
      <c r="BW103" s="123">
        <f t="shared" ca="1" si="123"/>
        <v>0</v>
      </c>
      <c r="BX103" s="121"/>
      <c r="BY103" s="123">
        <f t="shared" si="124"/>
        <v>0</v>
      </c>
      <c r="BZ103" s="123">
        <f t="shared" ca="1" si="125"/>
        <v>0</v>
      </c>
      <c r="CA103" s="121"/>
      <c r="CB103" s="122">
        <f t="shared" ca="1" si="73"/>
        <v>33855381.444751792</v>
      </c>
      <c r="CC103" s="122">
        <f t="shared" ca="1" si="126"/>
        <v>227679.96165795595</v>
      </c>
      <c r="CD103" s="124">
        <f t="shared" ca="1" si="127"/>
        <v>568128.23655287526</v>
      </c>
      <c r="CE103" s="121"/>
      <c r="CF103" s="122">
        <f t="shared" ca="1" si="74"/>
        <v>10235971.754361782</v>
      </c>
      <c r="CG103" s="124">
        <f t="shared" ca="1" si="128"/>
        <v>0</v>
      </c>
      <c r="CH103" s="123">
        <f t="shared" ca="1" si="129"/>
        <v>0</v>
      </c>
      <c r="CI103" s="121"/>
      <c r="CJ103" s="123">
        <f t="shared" ca="1" si="130"/>
        <v>1008895.1305905612</v>
      </c>
      <c r="CK103" s="123">
        <f t="shared" ca="1" si="131"/>
        <v>1008895.1305905613</v>
      </c>
      <c r="CL103" s="123">
        <f t="shared" ca="1" si="132"/>
        <v>0</v>
      </c>
      <c r="CM103" s="121"/>
      <c r="CN103" s="62">
        <f t="shared" ca="1" si="133"/>
        <v>386960.76493400661</v>
      </c>
      <c r="CO103" s="62" t="b">
        <f t="shared" si="134"/>
        <v>1</v>
      </c>
      <c r="CP103" s="126">
        <f t="shared" ca="1" si="135"/>
        <v>2.6944444444444425E-3</v>
      </c>
      <c r="CQ103" s="120"/>
      <c r="CR103" s="120"/>
      <c r="CS103" s="120"/>
      <c r="CT103" s="120"/>
      <c r="CU103" s="120"/>
      <c r="CV103" s="120"/>
      <c r="CW103" s="120"/>
      <c r="CX103" s="120"/>
      <c r="CY103" s="120"/>
      <c r="CZ103" s="120"/>
      <c r="DA103" s="120"/>
      <c r="DB103" s="120"/>
      <c r="DC103" s="120"/>
      <c r="DD103" s="120"/>
      <c r="DE103" s="116"/>
      <c r="DF103" s="116"/>
      <c r="DG103" s="116"/>
      <c r="DH103" s="116"/>
      <c r="DI103" s="116"/>
      <c r="DJ103" s="116"/>
      <c r="DK103" s="116"/>
      <c r="DL103" s="116"/>
      <c r="DM103" s="116"/>
      <c r="DN103" s="116"/>
    </row>
    <row r="104" spans="1:118" x14ac:dyDescent="0.2">
      <c r="A104" s="27">
        <v>98</v>
      </c>
      <c r="B104" s="29">
        <f t="shared" si="68"/>
        <v>42095</v>
      </c>
      <c r="C104" s="30">
        <f t="shared" si="69"/>
        <v>8.3333333333333329E-2</v>
      </c>
      <c r="D104" s="55"/>
      <c r="E104" s="62">
        <f t="shared" ca="1" si="87"/>
        <v>92248772.89988713</v>
      </c>
      <c r="F104" s="63">
        <f ca="1">IF(AssetIntType1="Fixed",AssetFxdRate1,IF(A104=1,OFFSET(Vectors!$D$6,A104,MATCH(AssetFltIndx1,lstInterestRates,0)),IF(MOD($A104,AssetRateReset1)=0,MAX(MIN(OFFSET(Vectors!$D$6,A104,MATCH(AssetFltIndx1,lstInterestRates,0)),(F103-AssetMarg1)+AssetPdCapFl1,AssetLifeCap1-AssetMarg1),(F103-AssetMarg1)-AssetPdCapFl1,AssetLifeFloor1-AssetMarg1),F103)))+AssetMarg1</f>
        <v>0.09</v>
      </c>
      <c r="G104" s="62">
        <f t="shared" ca="1" si="75"/>
        <v>804622.61694478267</v>
      </c>
      <c r="H104" s="62">
        <f t="shared" ca="1" si="88"/>
        <v>691865.79674915341</v>
      </c>
      <c r="I104" s="62">
        <f t="shared" ca="1" si="89"/>
        <v>112756.82019562926</v>
      </c>
      <c r="J104" s="62">
        <f t="shared" ca="1" si="70"/>
        <v>92136016.079691499</v>
      </c>
      <c r="K104" s="55"/>
      <c r="L104" s="62">
        <f t="shared" ca="1" si="90"/>
        <v>60128893.192620501</v>
      </c>
      <c r="M104" s="68">
        <f ca="1">IF(pdrLossTime1="",OFFSET(Vectors!$AE$6,A104+_Age1,MATCH(SDA_Loss,lstSDA,0)),OFFSET(Vectors!$X$6,A104+_Age1,MATCH(pdrLossTime1,lstDefaultCurve,0)))</f>
        <v>2.7777777777777779E-5</v>
      </c>
      <c r="N104" s="62">
        <f t="shared" ca="1" si="76"/>
        <v>2777.7777777777778</v>
      </c>
      <c r="O104" s="67">
        <f t="shared" ca="1" si="91"/>
        <v>0.92136016079691496</v>
      </c>
      <c r="P104" s="68">
        <f ca="1">OFFSET(Vectors!$L$6,A104+_Age1,MATCH(pdrPrepay1,lstPrepayCurve,0))*pdrPrepayStress1</f>
        <v>5.1430128318229462E-3</v>
      </c>
      <c r="Q104" s="62">
        <f t="shared" ca="1" si="92"/>
        <v>308865.67687740223</v>
      </c>
      <c r="R104" s="62">
        <f t="shared" ca="1" si="93"/>
        <v>73492.897214481171</v>
      </c>
      <c r="S104" s="69">
        <f t="shared" ca="1" si="94"/>
        <v>0.09</v>
      </c>
      <c r="T104" s="62">
        <f t="shared" ca="1" si="95"/>
        <v>450945.86561132042</v>
      </c>
      <c r="U104" s="62">
        <f t="shared" ca="1" si="77"/>
        <v>1111.1111111111111</v>
      </c>
      <c r="V104" s="62">
        <f t="shared" ca="1" si="71"/>
        <v>59743756.840750843</v>
      </c>
      <c r="W104" s="55"/>
      <c r="X104" s="62">
        <f t="shared" ca="1" si="96"/>
        <v>834415.55081431486</v>
      </c>
      <c r="Y104" s="55"/>
      <c r="Z104" s="118" t="b">
        <v>0</v>
      </c>
      <c r="AA104" s="120" t="b">
        <f t="shared" si="78"/>
        <v>0</v>
      </c>
      <c r="AB104" s="120" t="b">
        <f t="shared" si="79"/>
        <v>1</v>
      </c>
      <c r="AC104" s="120" t="b">
        <f t="shared" ca="1" si="80"/>
        <v>0</v>
      </c>
      <c r="AD104" s="121"/>
      <c r="AE104" s="129">
        <v>28971056.916607808</v>
      </c>
      <c r="AF104" s="69">
        <f ca="1">IF(Swap_Active="No",0,OFFSET(Vectors!$D$6,Vectors!A104,MATCH(Swap_In,lstInterestRates,0)))</f>
        <v>6.9369000000000056E-2</v>
      </c>
      <c r="AG104" s="62">
        <f t="shared" ca="1" si="97"/>
        <v>167474.4372706807</v>
      </c>
      <c r="AH104" s="69">
        <f ca="1">IF(Swap_Active="No",0,OFFSET(Vectors!$D$6,Vectors!A104,MATCH(Swap_Out,lstInterestRates,0)))</f>
        <v>0.04</v>
      </c>
      <c r="AI104" s="62">
        <f t="shared" ca="1" si="98"/>
        <v>96570.189722026029</v>
      </c>
      <c r="AJ104" s="62">
        <f t="shared" ca="1" si="99"/>
        <v>70904.247548654675</v>
      </c>
      <c r="AK104" s="62">
        <f t="shared" ca="1" si="100"/>
        <v>905319.79836296954</v>
      </c>
      <c r="AL104" s="121"/>
      <c r="AM104" s="123">
        <f t="shared" ca="1" si="81"/>
        <v>114321.23092301407</v>
      </c>
      <c r="AN104" s="124">
        <f t="shared" ca="1" si="101"/>
        <v>114321.23092301407</v>
      </c>
      <c r="AO104" s="125">
        <f t="shared" ca="1" si="102"/>
        <v>0</v>
      </c>
      <c r="AP104" s="123">
        <f t="shared" ca="1" si="103"/>
        <v>790998.56743995543</v>
      </c>
      <c r="AQ104" s="121"/>
      <c r="AR104" s="126">
        <f ca="1">IF(LiabIntType1="Fixed",LiabFxdRate1,OFFSET(Vectors!$D$6,Vectors!A104,MATCH(LiabLoanIndex1,lstInterestRates,0))+LiabMarg1)</f>
        <v>7.9369000000000051E-2</v>
      </c>
      <c r="AS104" s="122">
        <f t="shared" ca="1" si="104"/>
        <v>223922.31415737554</v>
      </c>
      <c r="AT104" s="124">
        <f t="shared" ca="1" si="105"/>
        <v>223922.31415737554</v>
      </c>
      <c r="AU104" s="123">
        <f t="shared" ca="1" si="106"/>
        <v>0</v>
      </c>
      <c r="AV104" s="123">
        <f t="shared" ca="1" si="82"/>
        <v>0</v>
      </c>
      <c r="AW104" s="123">
        <f t="shared" ca="1" si="107"/>
        <v>0</v>
      </c>
      <c r="AX104" s="124">
        <f t="shared" ca="1" si="108"/>
        <v>567076.25328257983</v>
      </c>
      <c r="AY104" s="121"/>
      <c r="AZ104" s="122">
        <f t="shared" ca="1" si="83"/>
        <v>567076.25328257983</v>
      </c>
      <c r="BA104" s="124">
        <f t="shared" ca="1" si="109"/>
        <v>567076.25328257983</v>
      </c>
      <c r="BB104" s="123">
        <f t="shared" ca="1" si="110"/>
        <v>0</v>
      </c>
      <c r="BC104" s="123">
        <f t="shared" ca="1" si="84"/>
        <v>0</v>
      </c>
      <c r="BD104" s="123">
        <f t="shared" ca="1" si="111"/>
        <v>0</v>
      </c>
      <c r="BE104" s="124">
        <f t="shared" ca="1" si="112"/>
        <v>0</v>
      </c>
      <c r="BF104" s="121"/>
      <c r="BG104" s="123">
        <f t="shared" si="85"/>
        <v>1000000</v>
      </c>
      <c r="BH104" s="123">
        <f t="shared" ca="1" si="113"/>
        <v>1000000</v>
      </c>
      <c r="BI104" s="123">
        <f t="shared" ca="1" si="114"/>
        <v>0</v>
      </c>
      <c r="BJ104" s="123">
        <f t="shared" ca="1" si="115"/>
        <v>0</v>
      </c>
      <c r="BK104" s="123">
        <f t="shared" ca="1" si="72"/>
        <v>1000000</v>
      </c>
      <c r="BL104" s="123">
        <f t="shared" ca="1" si="116"/>
        <v>0</v>
      </c>
      <c r="BM104" s="121"/>
      <c r="BN104" s="126">
        <f ca="1">IF(LiabIntType2="Fixed",LiabFxdRate2,OFFSET(Vectors!$D$6,Vectors!A104,MATCH(LiabLoanIndex2,lstInterestRates,0))+LiabMarg2)</f>
        <v>0.04</v>
      </c>
      <c r="BO104" s="122">
        <f t="shared" ca="1" si="117"/>
        <v>34119.905847872607</v>
      </c>
      <c r="BP104" s="124">
        <f t="shared" ca="1" si="118"/>
        <v>0</v>
      </c>
      <c r="BQ104" s="123">
        <f t="shared" ca="1" si="119"/>
        <v>34119.905847872607</v>
      </c>
      <c r="BR104" s="123">
        <f t="shared" ca="1" si="120"/>
        <v>0</v>
      </c>
      <c r="BS104" s="121"/>
      <c r="BT104" s="123">
        <f t="shared" ca="1" si="86"/>
        <v>39487.69016784514</v>
      </c>
      <c r="BU104" s="123">
        <f t="shared" ca="1" si="121"/>
        <v>0</v>
      </c>
      <c r="BV104" s="123">
        <f t="shared" ca="1" si="122"/>
        <v>39487.69016784514</v>
      </c>
      <c r="BW104" s="123">
        <f t="shared" ca="1" si="123"/>
        <v>0</v>
      </c>
      <c r="BX104" s="121"/>
      <c r="BY104" s="123">
        <f t="shared" si="124"/>
        <v>0</v>
      </c>
      <c r="BZ104" s="123">
        <f t="shared" ca="1" si="125"/>
        <v>0</v>
      </c>
      <c r="CA104" s="121"/>
      <c r="CB104" s="122">
        <f t="shared" ca="1" si="73"/>
        <v>33288305.191469211</v>
      </c>
      <c r="CC104" s="122">
        <f t="shared" ca="1" si="126"/>
        <v>223922.31415737554</v>
      </c>
      <c r="CD104" s="124">
        <f t="shared" ca="1" si="127"/>
        <v>567076.25328257983</v>
      </c>
      <c r="CE104" s="121"/>
      <c r="CF104" s="122">
        <f t="shared" ca="1" si="74"/>
        <v>10235971.754361782</v>
      </c>
      <c r="CG104" s="124">
        <f t="shared" ca="1" si="128"/>
        <v>0</v>
      </c>
      <c r="CH104" s="123">
        <f t="shared" ca="1" si="129"/>
        <v>0</v>
      </c>
      <c r="CI104" s="121"/>
      <c r="CJ104" s="123">
        <f t="shared" ca="1" si="130"/>
        <v>1001889.9880849955</v>
      </c>
      <c r="CK104" s="123">
        <f t="shared" ca="1" si="131"/>
        <v>1001889.9880849954</v>
      </c>
      <c r="CL104" s="123">
        <f t="shared" ca="1" si="132"/>
        <v>0</v>
      </c>
      <c r="CM104" s="121"/>
      <c r="CN104" s="62">
        <f t="shared" ca="1" si="133"/>
        <v>385136.35186966113</v>
      </c>
      <c r="CO104" s="62" t="b">
        <f t="shared" si="134"/>
        <v>1</v>
      </c>
      <c r="CP104" s="126">
        <f t="shared" ca="1" si="135"/>
        <v>2.7222222222222201E-3</v>
      </c>
      <c r="CQ104" s="120"/>
      <c r="CR104" s="120"/>
      <c r="CS104" s="120"/>
      <c r="CT104" s="120"/>
      <c r="CU104" s="120"/>
      <c r="CV104" s="120"/>
      <c r="CW104" s="120"/>
      <c r="CX104" s="120"/>
      <c r="CY104" s="120"/>
      <c r="CZ104" s="120"/>
      <c r="DA104" s="120"/>
      <c r="DB104" s="120"/>
      <c r="DC104" s="120"/>
      <c r="DD104" s="120"/>
      <c r="DE104" s="116"/>
      <c r="DF104" s="116"/>
      <c r="DG104" s="116"/>
      <c r="DH104" s="116"/>
      <c r="DI104" s="116"/>
      <c r="DJ104" s="116"/>
      <c r="DK104" s="116"/>
      <c r="DL104" s="116"/>
      <c r="DM104" s="116"/>
      <c r="DN104" s="116"/>
    </row>
    <row r="105" spans="1:118" x14ac:dyDescent="0.2">
      <c r="A105" s="27">
        <v>99</v>
      </c>
      <c r="B105" s="29">
        <f t="shared" si="68"/>
        <v>42125</v>
      </c>
      <c r="C105" s="30">
        <f t="shared" si="69"/>
        <v>8.3333333333333329E-2</v>
      </c>
      <c r="D105" s="55"/>
      <c r="E105" s="62">
        <f t="shared" ca="1" si="87"/>
        <v>92136016.079691499</v>
      </c>
      <c r="F105" s="63">
        <f ca="1">IF(AssetIntType1="Fixed",AssetFxdRate1,IF(A105=1,OFFSET(Vectors!$D$6,A105,MATCH(AssetFltIndx1,lstInterestRates,0)),IF(MOD($A105,AssetRateReset1)=0,MAX(MIN(OFFSET(Vectors!$D$6,A105,MATCH(AssetFltIndx1,lstInterestRates,0)),(F104-AssetMarg1)+AssetPdCapFl1,AssetLifeCap1-AssetMarg1),(F104-AssetMarg1)-AssetPdCapFl1,AssetLifeFloor1-AssetMarg1),F104)))+AssetMarg1</f>
        <v>0.09</v>
      </c>
      <c r="G105" s="62">
        <f t="shared" ca="1" si="75"/>
        <v>804622.61694478267</v>
      </c>
      <c r="H105" s="62">
        <f t="shared" ca="1" si="88"/>
        <v>691020.12059768627</v>
      </c>
      <c r="I105" s="62">
        <f t="shared" ca="1" si="89"/>
        <v>113602.4963470964</v>
      </c>
      <c r="J105" s="62">
        <f t="shared" ca="1" si="70"/>
        <v>92022413.5833444</v>
      </c>
      <c r="K105" s="55"/>
      <c r="L105" s="62">
        <f t="shared" ca="1" si="90"/>
        <v>59743756.840750843</v>
      </c>
      <c r="M105" s="68">
        <f ca="1">IF(pdrLossTime1="",OFFSET(Vectors!$AE$6,A105+_Age1,MATCH(SDA_Loss,lstSDA,0)),OFFSET(Vectors!$X$6,A105+_Age1,MATCH(pdrLossTime1,lstDefaultCurve,0)))</f>
        <v>2.7777777777777779E-5</v>
      </c>
      <c r="N105" s="62">
        <f t="shared" ca="1" si="76"/>
        <v>2777.7777777777778</v>
      </c>
      <c r="O105" s="67">
        <f t="shared" ca="1" si="91"/>
        <v>0.92022413583344398</v>
      </c>
      <c r="P105" s="68">
        <f ca="1">OFFSET(Vectors!$L$6,A105+_Age1,MATCH(pdrPrepay1,lstPrepayCurve,0))*pdrPrepayStress1</f>
        <v>5.1430128318229462E-3</v>
      </c>
      <c r="Q105" s="62">
        <f t="shared" ca="1" si="92"/>
        <v>306884.05692780402</v>
      </c>
      <c r="R105" s="62">
        <f t="shared" ca="1" si="93"/>
        <v>73659.841661736791</v>
      </c>
      <c r="S105" s="69">
        <f t="shared" ca="1" si="94"/>
        <v>0.09</v>
      </c>
      <c r="T105" s="62">
        <f t="shared" ca="1" si="95"/>
        <v>448057.34297229798</v>
      </c>
      <c r="U105" s="62">
        <f t="shared" ca="1" si="77"/>
        <v>1111.1111111111111</v>
      </c>
      <c r="V105" s="62">
        <f t="shared" ca="1" si="71"/>
        <v>59360435.164383523</v>
      </c>
      <c r="W105" s="55"/>
      <c r="X105" s="62">
        <f t="shared" ca="1" si="96"/>
        <v>829712.3526729499</v>
      </c>
      <c r="Y105" s="55"/>
      <c r="Z105" s="118" t="b">
        <v>0</v>
      </c>
      <c r="AA105" s="120" t="b">
        <f t="shared" si="78"/>
        <v>0</v>
      </c>
      <c r="AB105" s="120" t="b">
        <f t="shared" si="79"/>
        <v>1</v>
      </c>
      <c r="AC105" s="120" t="b">
        <f t="shared" ca="1" si="80"/>
        <v>0</v>
      </c>
      <c r="AD105" s="121"/>
      <c r="AE105" s="129">
        <v>28580950.09417152</v>
      </c>
      <c r="AF105" s="69">
        <f ca="1">IF(Swap_Active="No",0,OFFSET(Vectors!$D$6,Vectors!A105,MATCH(Swap_In,lstInterestRates,0)))</f>
        <v>6.9369000000000056E-2</v>
      </c>
      <c r="AG105" s="62">
        <f t="shared" ca="1" si="97"/>
        <v>165219.32725688216</v>
      </c>
      <c r="AH105" s="69">
        <f ca="1">IF(Swap_Active="No",0,OFFSET(Vectors!$D$6,Vectors!A105,MATCH(Swap_Out,lstInterestRates,0)))</f>
        <v>0.04</v>
      </c>
      <c r="AI105" s="62">
        <f t="shared" ca="1" si="98"/>
        <v>95269.833647238396</v>
      </c>
      <c r="AJ105" s="62">
        <f t="shared" ca="1" si="99"/>
        <v>69949.49360964376</v>
      </c>
      <c r="AK105" s="62">
        <f t="shared" ca="1" si="100"/>
        <v>899661.84628259367</v>
      </c>
      <c r="AL105" s="121"/>
      <c r="AM105" s="123">
        <f t="shared" ca="1" si="81"/>
        <v>113443.05523103024</v>
      </c>
      <c r="AN105" s="124">
        <f t="shared" ca="1" si="101"/>
        <v>113443.05523103024</v>
      </c>
      <c r="AO105" s="125">
        <f t="shared" ca="1" si="102"/>
        <v>0</v>
      </c>
      <c r="AP105" s="123">
        <f t="shared" ca="1" si="103"/>
        <v>786218.79105156346</v>
      </c>
      <c r="AQ105" s="121"/>
      <c r="AR105" s="126">
        <f ca="1">IF(LiabIntType1="Fixed",LiabFxdRate1,OFFSET(Vectors!$D$6,Vectors!A105,MATCH(LiabLoanIndex1,lstInterestRates,0))+LiabMarg1)</f>
        <v>7.9369000000000051E-2</v>
      </c>
      <c r="AS105" s="122">
        <f t="shared" ca="1" si="104"/>
        <v>220171.62456181011</v>
      </c>
      <c r="AT105" s="124">
        <f t="shared" ca="1" si="105"/>
        <v>220171.62456181011</v>
      </c>
      <c r="AU105" s="123">
        <f t="shared" ca="1" si="106"/>
        <v>0</v>
      </c>
      <c r="AV105" s="123">
        <f t="shared" ca="1" si="82"/>
        <v>0</v>
      </c>
      <c r="AW105" s="123">
        <f t="shared" ca="1" si="107"/>
        <v>0</v>
      </c>
      <c r="AX105" s="124">
        <f t="shared" ca="1" si="108"/>
        <v>566047.16648975341</v>
      </c>
      <c r="AY105" s="121"/>
      <c r="AZ105" s="122">
        <f t="shared" ca="1" si="83"/>
        <v>566047.16648975341</v>
      </c>
      <c r="BA105" s="124">
        <f t="shared" ca="1" si="109"/>
        <v>566047.16648975341</v>
      </c>
      <c r="BB105" s="123">
        <f t="shared" ca="1" si="110"/>
        <v>0</v>
      </c>
      <c r="BC105" s="123">
        <f t="shared" ca="1" si="84"/>
        <v>0</v>
      </c>
      <c r="BD105" s="123">
        <f t="shared" ca="1" si="111"/>
        <v>0</v>
      </c>
      <c r="BE105" s="124">
        <f t="shared" ca="1" si="112"/>
        <v>0</v>
      </c>
      <c r="BF105" s="121"/>
      <c r="BG105" s="123">
        <f t="shared" si="85"/>
        <v>1000000</v>
      </c>
      <c r="BH105" s="123">
        <f t="shared" ca="1" si="113"/>
        <v>1000000</v>
      </c>
      <c r="BI105" s="123">
        <f t="shared" ca="1" si="114"/>
        <v>0</v>
      </c>
      <c r="BJ105" s="123">
        <f t="shared" ca="1" si="115"/>
        <v>0</v>
      </c>
      <c r="BK105" s="123">
        <f t="shared" ca="1" si="72"/>
        <v>1000000</v>
      </c>
      <c r="BL105" s="123">
        <f t="shared" ca="1" si="116"/>
        <v>0</v>
      </c>
      <c r="BM105" s="121"/>
      <c r="BN105" s="126">
        <f ca="1">IF(LiabIntType2="Fixed",LiabFxdRate2,OFFSET(Vectors!$D$6,Vectors!A105,MATCH(LiabLoanIndex2,lstInterestRates,0))+LiabMarg2)</f>
        <v>0.04</v>
      </c>
      <c r="BO105" s="122">
        <f t="shared" ca="1" si="117"/>
        <v>34119.905847872607</v>
      </c>
      <c r="BP105" s="124">
        <f t="shared" ca="1" si="118"/>
        <v>0</v>
      </c>
      <c r="BQ105" s="123">
        <f t="shared" ca="1" si="119"/>
        <v>34119.905847872607</v>
      </c>
      <c r="BR105" s="123">
        <f t="shared" ca="1" si="120"/>
        <v>0</v>
      </c>
      <c r="BS105" s="121"/>
      <c r="BT105" s="123">
        <f t="shared" ca="1" si="86"/>
        <v>39301.633090542986</v>
      </c>
      <c r="BU105" s="123">
        <f t="shared" ca="1" si="121"/>
        <v>0</v>
      </c>
      <c r="BV105" s="123">
        <f t="shared" ca="1" si="122"/>
        <v>39301.633090542986</v>
      </c>
      <c r="BW105" s="123">
        <f t="shared" ca="1" si="123"/>
        <v>0</v>
      </c>
      <c r="BX105" s="121"/>
      <c r="BY105" s="123">
        <f t="shared" si="124"/>
        <v>0</v>
      </c>
      <c r="BZ105" s="123">
        <f t="shared" ca="1" si="125"/>
        <v>0</v>
      </c>
      <c r="CA105" s="121"/>
      <c r="CB105" s="122">
        <f t="shared" ca="1" si="73"/>
        <v>32722258.024979457</v>
      </c>
      <c r="CC105" s="122">
        <f t="shared" ca="1" si="126"/>
        <v>220171.62456181011</v>
      </c>
      <c r="CD105" s="124">
        <f t="shared" ca="1" si="127"/>
        <v>566047.16648975341</v>
      </c>
      <c r="CE105" s="121"/>
      <c r="CF105" s="122">
        <f t="shared" ca="1" si="74"/>
        <v>10235971.754361782</v>
      </c>
      <c r="CG105" s="124">
        <f t="shared" ca="1" si="128"/>
        <v>0</v>
      </c>
      <c r="CH105" s="123">
        <f t="shared" ca="1" si="129"/>
        <v>0</v>
      </c>
      <c r="CI105" s="121"/>
      <c r="CJ105" s="123">
        <f t="shared" ca="1" si="130"/>
        <v>994931.679929832</v>
      </c>
      <c r="CK105" s="123">
        <f t="shared" ca="1" si="131"/>
        <v>994931.67992983223</v>
      </c>
      <c r="CL105" s="123">
        <f t="shared" ca="1" si="132"/>
        <v>0</v>
      </c>
      <c r="CM105" s="121"/>
      <c r="CN105" s="62">
        <f t="shared" ca="1" si="133"/>
        <v>383321.67636731855</v>
      </c>
      <c r="CO105" s="62" t="b">
        <f t="shared" si="134"/>
        <v>1</v>
      </c>
      <c r="CP105" s="126">
        <f t="shared" ca="1" si="135"/>
        <v>2.7499999999999977E-3</v>
      </c>
      <c r="CQ105" s="120"/>
      <c r="CR105" s="120"/>
      <c r="CS105" s="120"/>
      <c r="CT105" s="120"/>
      <c r="CU105" s="120"/>
      <c r="CV105" s="120"/>
      <c r="CW105" s="120"/>
      <c r="CX105" s="120"/>
      <c r="CY105" s="120"/>
      <c r="CZ105" s="120"/>
      <c r="DA105" s="120"/>
      <c r="DB105" s="120"/>
      <c r="DC105" s="120"/>
      <c r="DD105" s="120"/>
      <c r="DE105" s="116"/>
      <c r="DF105" s="116"/>
      <c r="DG105" s="116"/>
      <c r="DH105" s="116"/>
      <c r="DI105" s="116"/>
      <c r="DJ105" s="116"/>
      <c r="DK105" s="116"/>
      <c r="DL105" s="116"/>
      <c r="DM105" s="116"/>
      <c r="DN105" s="116"/>
    </row>
    <row r="106" spans="1:118" x14ac:dyDescent="0.2">
      <c r="A106" s="27">
        <v>100</v>
      </c>
      <c r="B106" s="29">
        <f t="shared" si="68"/>
        <v>42156</v>
      </c>
      <c r="C106" s="30">
        <f t="shared" si="69"/>
        <v>8.3333333333333329E-2</v>
      </c>
      <c r="D106" s="55"/>
      <c r="E106" s="62">
        <f t="shared" ca="1" si="87"/>
        <v>92022413.5833444</v>
      </c>
      <c r="F106" s="63">
        <f ca="1">IF(AssetIntType1="Fixed",AssetFxdRate1,IF(A106=1,OFFSET(Vectors!$D$6,A106,MATCH(AssetFltIndx1,lstInterestRates,0)),IF(MOD($A106,AssetRateReset1)=0,MAX(MIN(OFFSET(Vectors!$D$6,A106,MATCH(AssetFltIndx1,lstInterestRates,0)),(F105-AssetMarg1)+AssetPdCapFl1,AssetLifeCap1-AssetMarg1),(F105-AssetMarg1)-AssetPdCapFl1,AssetLifeFloor1-AssetMarg1),F105)))+AssetMarg1</f>
        <v>0.09</v>
      </c>
      <c r="G106" s="62">
        <f t="shared" ca="1" si="75"/>
        <v>804622.61694478267</v>
      </c>
      <c r="H106" s="62">
        <f t="shared" ca="1" si="88"/>
        <v>690168.10187508294</v>
      </c>
      <c r="I106" s="62">
        <f t="shared" ca="1" si="89"/>
        <v>114454.51506969973</v>
      </c>
      <c r="J106" s="62">
        <f t="shared" ca="1" si="70"/>
        <v>91907959.068274707</v>
      </c>
      <c r="K106" s="55"/>
      <c r="L106" s="62">
        <f t="shared" ca="1" si="90"/>
        <v>59360435.164383523</v>
      </c>
      <c r="M106" s="68">
        <f ca="1">IF(pdrLossTime1="",OFFSET(Vectors!$AE$6,A106+_Age1,MATCH(SDA_Loss,lstSDA,0)),OFFSET(Vectors!$X$6,A106+_Age1,MATCH(pdrLossTime1,lstDefaultCurve,0)))</f>
        <v>2.7777777777777779E-5</v>
      </c>
      <c r="N106" s="62">
        <f t="shared" ca="1" si="76"/>
        <v>2777.7777777777778</v>
      </c>
      <c r="O106" s="67">
        <f t="shared" ca="1" si="91"/>
        <v>0.91907959068274703</v>
      </c>
      <c r="P106" s="68">
        <f ca="1">OFFSET(Vectors!$L$6,A106+_Age1,MATCH(pdrPrepay1,lstPrepayCurve,0))*pdrPrepayStress1</f>
        <v>5.1430128318229462E-3</v>
      </c>
      <c r="Q106" s="62">
        <f t="shared" ca="1" si="92"/>
        <v>304911.76804030198</v>
      </c>
      <c r="R106" s="62">
        <f t="shared" ca="1" si="93"/>
        <v>73827.143054709712</v>
      </c>
      <c r="S106" s="69">
        <f t="shared" ca="1" si="94"/>
        <v>0.09</v>
      </c>
      <c r="T106" s="62">
        <f t="shared" ca="1" si="95"/>
        <v>445182.43039954308</v>
      </c>
      <c r="U106" s="62">
        <f t="shared" ca="1" si="77"/>
        <v>1111.1111111111111</v>
      </c>
      <c r="V106" s="62">
        <f t="shared" ca="1" si="71"/>
        <v>58978918.475510739</v>
      </c>
      <c r="W106" s="55"/>
      <c r="X106" s="62">
        <f t="shared" ca="1" si="96"/>
        <v>825032.45260566589</v>
      </c>
      <c r="Y106" s="55"/>
      <c r="Z106" s="118" t="b">
        <v>0</v>
      </c>
      <c r="AA106" s="120" t="b">
        <f t="shared" si="78"/>
        <v>0</v>
      </c>
      <c r="AB106" s="120" t="b">
        <f t="shared" si="79"/>
        <v>1</v>
      </c>
      <c r="AC106" s="120" t="b">
        <f t="shared" ca="1" si="80"/>
        <v>0</v>
      </c>
      <c r="AD106" s="121"/>
      <c r="AE106" s="129">
        <v>28194852.774869755</v>
      </c>
      <c r="AF106" s="69">
        <f ca="1">IF(Swap_Active="No",0,OFFSET(Vectors!$D$6,Vectors!A106,MATCH(Swap_In,lstInterestRates,0)))</f>
        <v>6.9369000000000056E-2</v>
      </c>
      <c r="AG106" s="62">
        <f t="shared" ca="1" si="97"/>
        <v>162987.39517832844</v>
      </c>
      <c r="AH106" s="69">
        <f ca="1">IF(Swap_Active="No",0,OFFSET(Vectors!$D$6,Vectors!A106,MATCH(Swap_Out,lstInterestRates,0)))</f>
        <v>0.04</v>
      </c>
      <c r="AI106" s="62">
        <f t="shared" ca="1" si="98"/>
        <v>93982.842582899175</v>
      </c>
      <c r="AJ106" s="62">
        <f t="shared" ca="1" si="99"/>
        <v>69004.552595429268</v>
      </c>
      <c r="AK106" s="62">
        <f t="shared" ca="1" si="100"/>
        <v>894037.00520109513</v>
      </c>
      <c r="AL106" s="121"/>
      <c r="AM106" s="123">
        <f t="shared" ca="1" si="81"/>
        <v>112568.33278438063</v>
      </c>
      <c r="AN106" s="124">
        <f t="shared" ca="1" si="101"/>
        <v>112568.33278438063</v>
      </c>
      <c r="AO106" s="125">
        <f t="shared" ca="1" si="102"/>
        <v>0</v>
      </c>
      <c r="AP106" s="123">
        <f t="shared" ca="1" si="103"/>
        <v>781468.67241671449</v>
      </c>
      <c r="AQ106" s="121"/>
      <c r="AR106" s="126">
        <f ca="1">IF(LiabIntType1="Fixed",LiabFxdRate1,OFFSET(Vectors!$D$6,Vectors!A106,MATCH(LiabLoanIndex1,lstInterestRates,0))+LiabMarg1)</f>
        <v>7.9369000000000051E-2</v>
      </c>
      <c r="AS106" s="122">
        <f t="shared" ca="1" si="104"/>
        <v>216427.74143204966</v>
      </c>
      <c r="AT106" s="124">
        <f t="shared" ca="1" si="105"/>
        <v>216427.74143204966</v>
      </c>
      <c r="AU106" s="123">
        <f t="shared" ca="1" si="106"/>
        <v>0</v>
      </c>
      <c r="AV106" s="123">
        <f t="shared" ca="1" si="82"/>
        <v>0</v>
      </c>
      <c r="AW106" s="123">
        <f t="shared" ca="1" si="107"/>
        <v>0</v>
      </c>
      <c r="AX106" s="124">
        <f t="shared" ca="1" si="108"/>
        <v>565040.93098466482</v>
      </c>
      <c r="AY106" s="121"/>
      <c r="AZ106" s="122">
        <f t="shared" ca="1" si="83"/>
        <v>565040.93098466482</v>
      </c>
      <c r="BA106" s="124">
        <f t="shared" ca="1" si="109"/>
        <v>565040.93098466482</v>
      </c>
      <c r="BB106" s="123">
        <f t="shared" ca="1" si="110"/>
        <v>0</v>
      </c>
      <c r="BC106" s="123">
        <f t="shared" ca="1" si="84"/>
        <v>0</v>
      </c>
      <c r="BD106" s="123">
        <f t="shared" ca="1" si="111"/>
        <v>0</v>
      </c>
      <c r="BE106" s="124">
        <f t="shared" ca="1" si="112"/>
        <v>0</v>
      </c>
      <c r="BF106" s="121"/>
      <c r="BG106" s="123">
        <f t="shared" si="85"/>
        <v>1000000</v>
      </c>
      <c r="BH106" s="123">
        <f t="shared" ca="1" si="113"/>
        <v>1000000</v>
      </c>
      <c r="BI106" s="123">
        <f t="shared" ca="1" si="114"/>
        <v>0</v>
      </c>
      <c r="BJ106" s="123">
        <f t="shared" ca="1" si="115"/>
        <v>0</v>
      </c>
      <c r="BK106" s="123">
        <f t="shared" ca="1" si="72"/>
        <v>1000000</v>
      </c>
      <c r="BL106" s="123">
        <f t="shared" ca="1" si="116"/>
        <v>0</v>
      </c>
      <c r="BM106" s="121"/>
      <c r="BN106" s="126">
        <f ca="1">IF(LiabIntType2="Fixed",LiabFxdRate2,OFFSET(Vectors!$D$6,Vectors!A106,MATCH(LiabLoanIndex2,lstInterestRates,0))+LiabMarg2)</f>
        <v>0.04</v>
      </c>
      <c r="BO106" s="122">
        <f t="shared" ca="1" si="117"/>
        <v>34119.905847872607</v>
      </c>
      <c r="BP106" s="124">
        <f t="shared" ca="1" si="118"/>
        <v>0</v>
      </c>
      <c r="BQ106" s="123">
        <f t="shared" ca="1" si="119"/>
        <v>34119.905847872607</v>
      </c>
      <c r="BR106" s="123">
        <f t="shared" ca="1" si="120"/>
        <v>0</v>
      </c>
      <c r="BS106" s="121"/>
      <c r="BT106" s="123">
        <f t="shared" ca="1" si="86"/>
        <v>39116.569316129608</v>
      </c>
      <c r="BU106" s="123">
        <f t="shared" ca="1" si="121"/>
        <v>0</v>
      </c>
      <c r="BV106" s="123">
        <f t="shared" ca="1" si="122"/>
        <v>39116.569316129608</v>
      </c>
      <c r="BW106" s="123">
        <f t="shared" ca="1" si="123"/>
        <v>0</v>
      </c>
      <c r="BX106" s="121"/>
      <c r="BY106" s="123">
        <f t="shared" si="124"/>
        <v>0</v>
      </c>
      <c r="BZ106" s="123">
        <f t="shared" ca="1" si="125"/>
        <v>0</v>
      </c>
      <c r="CA106" s="121"/>
      <c r="CB106" s="122">
        <f t="shared" ca="1" si="73"/>
        <v>32157217.093994793</v>
      </c>
      <c r="CC106" s="122">
        <f t="shared" ca="1" si="126"/>
        <v>216427.74143204966</v>
      </c>
      <c r="CD106" s="124">
        <f t="shared" ca="1" si="127"/>
        <v>565040.93098466482</v>
      </c>
      <c r="CE106" s="121"/>
      <c r="CF106" s="122">
        <f t="shared" ca="1" si="74"/>
        <v>10235971.754361782</v>
      </c>
      <c r="CG106" s="124">
        <f t="shared" ca="1" si="128"/>
        <v>0</v>
      </c>
      <c r="CH106" s="123">
        <f t="shared" ca="1" si="129"/>
        <v>0</v>
      </c>
      <c r="CI106" s="121"/>
      <c r="CJ106" s="123">
        <f t="shared" ca="1" si="130"/>
        <v>988019.8477839944</v>
      </c>
      <c r="CK106" s="123">
        <f t="shared" ca="1" si="131"/>
        <v>988019.84778399428</v>
      </c>
      <c r="CL106" s="123">
        <f t="shared" ca="1" si="132"/>
        <v>0</v>
      </c>
      <c r="CM106" s="121"/>
      <c r="CN106" s="62">
        <f t="shared" ca="1" si="133"/>
        <v>381516.68887278944</v>
      </c>
      <c r="CO106" s="62" t="b">
        <f t="shared" si="134"/>
        <v>1</v>
      </c>
      <c r="CP106" s="126">
        <f t="shared" ca="1" si="135"/>
        <v>2.7777777777777753E-3</v>
      </c>
      <c r="CQ106" s="120"/>
      <c r="CR106" s="120"/>
      <c r="CS106" s="120"/>
      <c r="CT106" s="120"/>
      <c r="CU106" s="120"/>
      <c r="CV106" s="120"/>
      <c r="CW106" s="120"/>
      <c r="CX106" s="120"/>
      <c r="CY106" s="120"/>
      <c r="CZ106" s="120"/>
      <c r="DA106" s="120"/>
      <c r="DB106" s="120"/>
      <c r="DC106" s="120"/>
      <c r="DD106" s="120"/>
      <c r="DE106" s="116"/>
      <c r="DF106" s="116"/>
      <c r="DG106" s="116"/>
      <c r="DH106" s="116"/>
      <c r="DI106" s="116"/>
      <c r="DJ106" s="116"/>
      <c r="DK106" s="116"/>
      <c r="DL106" s="116"/>
      <c r="DM106" s="116"/>
      <c r="DN106" s="116"/>
    </row>
    <row r="107" spans="1:118" x14ac:dyDescent="0.2">
      <c r="A107" s="27">
        <v>101</v>
      </c>
      <c r="B107" s="29">
        <f t="shared" si="68"/>
        <v>42186</v>
      </c>
      <c r="C107" s="30">
        <f t="shared" si="69"/>
        <v>8.3333333333333329E-2</v>
      </c>
      <c r="D107" s="55"/>
      <c r="E107" s="62">
        <f t="shared" ca="1" si="87"/>
        <v>91907959.068274707</v>
      </c>
      <c r="F107" s="63">
        <f ca="1">IF(AssetIntType1="Fixed",AssetFxdRate1,IF(A107=1,OFFSET(Vectors!$D$6,A107,MATCH(AssetFltIndx1,lstInterestRates,0)),IF(MOD($A107,AssetRateReset1)=0,MAX(MIN(OFFSET(Vectors!$D$6,A107,MATCH(AssetFltIndx1,lstInterestRates,0)),(F106-AssetMarg1)+AssetPdCapFl1,AssetLifeCap1-AssetMarg1),(F106-AssetMarg1)-AssetPdCapFl1,AssetLifeFloor1-AssetMarg1),F106)))+AssetMarg1</f>
        <v>0.09</v>
      </c>
      <c r="G107" s="62">
        <f t="shared" ca="1" si="75"/>
        <v>804622.61694478267</v>
      </c>
      <c r="H107" s="62">
        <f t="shared" ca="1" si="88"/>
        <v>689309.69301206025</v>
      </c>
      <c r="I107" s="62">
        <f t="shared" ca="1" si="89"/>
        <v>115312.92393272242</v>
      </c>
      <c r="J107" s="62">
        <f t="shared" ca="1" si="70"/>
        <v>91792646.14434199</v>
      </c>
      <c r="K107" s="55"/>
      <c r="L107" s="62">
        <f t="shared" ca="1" si="90"/>
        <v>58978918.475510739</v>
      </c>
      <c r="M107" s="68">
        <f ca="1">IF(pdrLossTime1="",OFFSET(Vectors!$AE$6,A107+_Age1,MATCH(SDA_Loss,lstSDA,0)),OFFSET(Vectors!$X$6,A107+_Age1,MATCH(pdrLossTime1,lstDefaultCurve,0)))</f>
        <v>2.7777777777777779E-5</v>
      </c>
      <c r="N107" s="62">
        <f t="shared" ca="1" si="76"/>
        <v>2777.7777777777778</v>
      </c>
      <c r="O107" s="67">
        <f t="shared" ca="1" si="91"/>
        <v>0.91792646144341994</v>
      </c>
      <c r="P107" s="68">
        <f ca="1">OFFSET(Vectors!$L$6,A107+_Age1,MATCH(pdrPrepay1,lstPrepayCurve,0))*pdrPrepayStress1</f>
        <v>5.1430128318229462E-3</v>
      </c>
      <c r="Q107" s="62">
        <f t="shared" ca="1" si="92"/>
        <v>302948.76038662094</v>
      </c>
      <c r="R107" s="62">
        <f t="shared" ca="1" si="93"/>
        <v>73994.801919934413</v>
      </c>
      <c r="S107" s="69">
        <f t="shared" ca="1" si="94"/>
        <v>0.09</v>
      </c>
      <c r="T107" s="62">
        <f t="shared" ca="1" si="95"/>
        <v>442321.05523299723</v>
      </c>
      <c r="U107" s="62">
        <f t="shared" ca="1" si="77"/>
        <v>1111.1111111111111</v>
      </c>
      <c r="V107" s="62">
        <f t="shared" ca="1" si="71"/>
        <v>58599197.135426402</v>
      </c>
      <c r="W107" s="55"/>
      <c r="X107" s="62">
        <f t="shared" ca="1" si="96"/>
        <v>820375.72865066363</v>
      </c>
      <c r="Y107" s="55"/>
      <c r="Z107" s="118" t="b">
        <v>0</v>
      </c>
      <c r="AA107" s="120" t="b">
        <f t="shared" si="78"/>
        <v>0</v>
      </c>
      <c r="AB107" s="120" t="b">
        <f t="shared" si="79"/>
        <v>1</v>
      </c>
      <c r="AC107" s="120" t="b">
        <f t="shared" ca="1" si="80"/>
        <v>0</v>
      </c>
      <c r="AD107" s="121"/>
      <c r="AE107" s="129">
        <v>27812724.584451269</v>
      </c>
      <c r="AF107" s="69">
        <f ca="1">IF(Swap_Active="No",0,OFFSET(Vectors!$D$6,Vectors!A107,MATCH(Swap_In,lstInterestRates,0)))</f>
        <v>6.9369000000000056E-2</v>
      </c>
      <c r="AG107" s="62">
        <f t="shared" ca="1" si="97"/>
        <v>160778.4076415668</v>
      </c>
      <c r="AH107" s="69">
        <f ca="1">IF(Swap_Active="No",0,OFFSET(Vectors!$D$6,Vectors!A107,MATCH(Swap_Out,lstInterestRates,0)))</f>
        <v>0.04</v>
      </c>
      <c r="AI107" s="62">
        <f t="shared" ca="1" si="98"/>
        <v>92709.081948170904</v>
      </c>
      <c r="AJ107" s="62">
        <f t="shared" ca="1" si="99"/>
        <v>68069.325693395891</v>
      </c>
      <c r="AK107" s="62">
        <f t="shared" ca="1" si="100"/>
        <v>888445.05434405955</v>
      </c>
      <c r="AL107" s="121"/>
      <c r="AM107" s="123">
        <f t="shared" ca="1" si="81"/>
        <v>111697.03791501572</v>
      </c>
      <c r="AN107" s="124">
        <f t="shared" ca="1" si="101"/>
        <v>111697.03791501572</v>
      </c>
      <c r="AO107" s="125">
        <f t="shared" ca="1" si="102"/>
        <v>0</v>
      </c>
      <c r="AP107" s="123">
        <f t="shared" ca="1" si="103"/>
        <v>776748.01642904384</v>
      </c>
      <c r="AQ107" s="121"/>
      <c r="AR107" s="126">
        <f ca="1">IF(LiabIntType1="Fixed",LiabFxdRate1,OFFSET(Vectors!$D$6,Vectors!A107,MATCH(LiabLoanIndex1,lstInterestRates,0))+LiabMarg1)</f>
        <v>7.9369000000000051E-2</v>
      </c>
      <c r="AS107" s="122">
        <f t="shared" ca="1" si="104"/>
        <v>212690.51362777286</v>
      </c>
      <c r="AT107" s="124">
        <f t="shared" ca="1" si="105"/>
        <v>212690.51362777286</v>
      </c>
      <c r="AU107" s="123">
        <f t="shared" ca="1" si="106"/>
        <v>0</v>
      </c>
      <c r="AV107" s="123">
        <f t="shared" ca="1" si="82"/>
        <v>0</v>
      </c>
      <c r="AW107" s="123">
        <f t="shared" ca="1" si="107"/>
        <v>0</v>
      </c>
      <c r="AX107" s="124">
        <f t="shared" ca="1" si="108"/>
        <v>564057.50280127092</v>
      </c>
      <c r="AY107" s="121"/>
      <c r="AZ107" s="122">
        <f t="shared" ca="1" si="83"/>
        <v>564057.50280127092</v>
      </c>
      <c r="BA107" s="124">
        <f t="shared" ca="1" si="109"/>
        <v>564057.50280127092</v>
      </c>
      <c r="BB107" s="123">
        <f t="shared" ca="1" si="110"/>
        <v>0</v>
      </c>
      <c r="BC107" s="123">
        <f t="shared" ca="1" si="84"/>
        <v>0</v>
      </c>
      <c r="BD107" s="123">
        <f t="shared" ca="1" si="111"/>
        <v>0</v>
      </c>
      <c r="BE107" s="124">
        <f t="shared" ca="1" si="112"/>
        <v>0</v>
      </c>
      <c r="BF107" s="121"/>
      <c r="BG107" s="123">
        <f t="shared" si="85"/>
        <v>1000000</v>
      </c>
      <c r="BH107" s="123">
        <f t="shared" ca="1" si="113"/>
        <v>1000000</v>
      </c>
      <c r="BI107" s="123">
        <f t="shared" ca="1" si="114"/>
        <v>0</v>
      </c>
      <c r="BJ107" s="123">
        <f t="shared" ca="1" si="115"/>
        <v>0</v>
      </c>
      <c r="BK107" s="123">
        <f t="shared" ca="1" si="72"/>
        <v>1000000</v>
      </c>
      <c r="BL107" s="123">
        <f t="shared" ca="1" si="116"/>
        <v>0</v>
      </c>
      <c r="BM107" s="121"/>
      <c r="BN107" s="126">
        <f ca="1">IF(LiabIntType2="Fixed",LiabFxdRate2,OFFSET(Vectors!$D$6,Vectors!A107,MATCH(LiabLoanIndex2,lstInterestRates,0))+LiabMarg2)</f>
        <v>0.04</v>
      </c>
      <c r="BO107" s="122">
        <f t="shared" ca="1" si="117"/>
        <v>34119.905847872607</v>
      </c>
      <c r="BP107" s="124">
        <f t="shared" ca="1" si="118"/>
        <v>0</v>
      </c>
      <c r="BQ107" s="123">
        <f t="shared" ca="1" si="119"/>
        <v>34119.905847872607</v>
      </c>
      <c r="BR107" s="123">
        <f t="shared" ca="1" si="120"/>
        <v>0</v>
      </c>
      <c r="BS107" s="121"/>
      <c r="BT107" s="123">
        <f t="shared" ca="1" si="86"/>
        <v>38932.493789741035</v>
      </c>
      <c r="BU107" s="123">
        <f t="shared" ca="1" si="121"/>
        <v>0</v>
      </c>
      <c r="BV107" s="123">
        <f t="shared" ca="1" si="122"/>
        <v>38932.493789741035</v>
      </c>
      <c r="BW107" s="123">
        <f t="shared" ca="1" si="123"/>
        <v>0</v>
      </c>
      <c r="BX107" s="121"/>
      <c r="BY107" s="123">
        <f t="shared" si="124"/>
        <v>0</v>
      </c>
      <c r="BZ107" s="123">
        <f t="shared" ca="1" si="125"/>
        <v>0</v>
      </c>
      <c r="CA107" s="121"/>
      <c r="CB107" s="122">
        <f t="shared" ca="1" si="73"/>
        <v>31593159.591193523</v>
      </c>
      <c r="CC107" s="122">
        <f t="shared" ca="1" si="126"/>
        <v>212690.51362777286</v>
      </c>
      <c r="CD107" s="124">
        <f t="shared" ca="1" si="127"/>
        <v>564057.50280127092</v>
      </c>
      <c r="CE107" s="121"/>
      <c r="CF107" s="122">
        <f t="shared" ca="1" si="74"/>
        <v>10235971.754361782</v>
      </c>
      <c r="CG107" s="124">
        <f t="shared" ca="1" si="128"/>
        <v>0</v>
      </c>
      <c r="CH107" s="123">
        <f t="shared" ca="1" si="129"/>
        <v>0</v>
      </c>
      <c r="CI107" s="121"/>
      <c r="CJ107" s="123">
        <f t="shared" ca="1" si="130"/>
        <v>981154.13629223045</v>
      </c>
      <c r="CK107" s="123">
        <f t="shared" ca="1" si="131"/>
        <v>981154.13629223034</v>
      </c>
      <c r="CL107" s="123">
        <f t="shared" ca="1" si="132"/>
        <v>0</v>
      </c>
      <c r="CM107" s="121"/>
      <c r="CN107" s="62">
        <f t="shared" ca="1" si="133"/>
        <v>379721.34008433309</v>
      </c>
      <c r="CO107" s="62" t="b">
        <f t="shared" si="134"/>
        <v>1</v>
      </c>
      <c r="CP107" s="126">
        <f t="shared" ca="1" si="135"/>
        <v>2.8055555555555529E-3</v>
      </c>
      <c r="CQ107" s="120"/>
      <c r="CR107" s="120"/>
      <c r="CS107" s="120"/>
      <c r="CT107" s="120"/>
      <c r="CU107" s="120"/>
      <c r="CV107" s="120"/>
      <c r="CW107" s="120"/>
      <c r="CX107" s="120"/>
      <c r="CY107" s="120"/>
      <c r="CZ107" s="120"/>
      <c r="DA107" s="120"/>
      <c r="DB107" s="120"/>
      <c r="DC107" s="120"/>
      <c r="DD107" s="120"/>
      <c r="DE107" s="116"/>
      <c r="DF107" s="116"/>
      <c r="DG107" s="116"/>
      <c r="DH107" s="116"/>
      <c r="DI107" s="116"/>
      <c r="DJ107" s="116"/>
      <c r="DK107" s="116"/>
      <c r="DL107" s="116"/>
      <c r="DM107" s="116"/>
      <c r="DN107" s="116"/>
    </row>
    <row r="108" spans="1:118" x14ac:dyDescent="0.2">
      <c r="A108" s="27">
        <v>102</v>
      </c>
      <c r="B108" s="29">
        <f t="shared" si="68"/>
        <v>42217</v>
      </c>
      <c r="C108" s="30">
        <f t="shared" si="69"/>
        <v>8.3333333333333329E-2</v>
      </c>
      <c r="D108" s="55"/>
      <c r="E108" s="62">
        <f t="shared" ca="1" si="87"/>
        <v>91792646.14434199</v>
      </c>
      <c r="F108" s="63">
        <f ca="1">IF(AssetIntType1="Fixed",AssetFxdRate1,IF(A108=1,OFFSET(Vectors!$D$6,A108,MATCH(AssetFltIndx1,lstInterestRates,0)),IF(MOD($A108,AssetRateReset1)=0,MAX(MIN(OFFSET(Vectors!$D$6,A108,MATCH(AssetFltIndx1,lstInterestRates,0)),(F107-AssetMarg1)+AssetPdCapFl1,AssetLifeCap1-AssetMarg1),(F107-AssetMarg1)-AssetPdCapFl1,AssetLifeFloor1-AssetMarg1),F107)))+AssetMarg1</f>
        <v>0.09</v>
      </c>
      <c r="G108" s="62">
        <f t="shared" ca="1" si="75"/>
        <v>804622.61694478267</v>
      </c>
      <c r="H108" s="62">
        <f t="shared" ca="1" si="88"/>
        <v>688444.84608256491</v>
      </c>
      <c r="I108" s="62">
        <f t="shared" ca="1" si="89"/>
        <v>116177.77086221776</v>
      </c>
      <c r="J108" s="62">
        <f t="shared" ca="1" si="70"/>
        <v>91676468.373479769</v>
      </c>
      <c r="K108" s="55"/>
      <c r="L108" s="62">
        <f t="shared" ca="1" si="90"/>
        <v>58599197.135426402</v>
      </c>
      <c r="M108" s="68">
        <f ca="1">IF(pdrLossTime1="",OFFSET(Vectors!$AE$6,A108+_Age1,MATCH(SDA_Loss,lstSDA,0)),OFFSET(Vectors!$X$6,A108+_Age1,MATCH(pdrLossTime1,lstDefaultCurve,0)))</f>
        <v>2.7777777777777779E-5</v>
      </c>
      <c r="N108" s="62">
        <f t="shared" ca="1" si="76"/>
        <v>2777.7777777777778</v>
      </c>
      <c r="O108" s="67">
        <f t="shared" ca="1" si="91"/>
        <v>0.91676468373479769</v>
      </c>
      <c r="P108" s="68">
        <f ca="1">OFFSET(Vectors!$L$6,A108+_Age1,MATCH(pdrPrepay1,lstPrepayCurve,0))*pdrPrepayStress1</f>
        <v>5.1430128318229462E-3</v>
      </c>
      <c r="Q108" s="62">
        <f t="shared" ca="1" si="92"/>
        <v>300994.9843920577</v>
      </c>
      <c r="R108" s="62">
        <f t="shared" ca="1" si="93"/>
        <v>74162.818781526847</v>
      </c>
      <c r="S108" s="69">
        <f t="shared" ca="1" si="94"/>
        <v>0.09</v>
      </c>
      <c r="T108" s="62">
        <f t="shared" ca="1" si="95"/>
        <v>439473.14518236468</v>
      </c>
      <c r="U108" s="62">
        <f t="shared" ca="1" si="77"/>
        <v>1111.1111111111111</v>
      </c>
      <c r="V108" s="62">
        <f t="shared" ca="1" si="71"/>
        <v>58221261.554475047</v>
      </c>
      <c r="W108" s="55"/>
      <c r="X108" s="62">
        <f t="shared" ca="1" si="96"/>
        <v>815742.05946706038</v>
      </c>
      <c r="Y108" s="55"/>
      <c r="Z108" s="118" t="b">
        <v>0</v>
      </c>
      <c r="AA108" s="120" t="b">
        <f t="shared" si="78"/>
        <v>0</v>
      </c>
      <c r="AB108" s="120" t="b">
        <f t="shared" si="79"/>
        <v>1</v>
      </c>
      <c r="AC108" s="120" t="b">
        <f t="shared" ca="1" si="80"/>
        <v>0</v>
      </c>
      <c r="AD108" s="121"/>
      <c r="AE108" s="129">
        <v>27434525.553126328</v>
      </c>
      <c r="AF108" s="69">
        <f ca="1">IF(Swap_Active="No",0,OFFSET(Vectors!$D$6,Vectors!A108,MATCH(Swap_In,lstInterestRates,0)))</f>
        <v>6.9369000000000056E-2</v>
      </c>
      <c r="AG108" s="62">
        <f t="shared" ca="1" si="97"/>
        <v>158592.13359123515</v>
      </c>
      <c r="AH108" s="69">
        <f ca="1">IF(Swap_Active="No",0,OFFSET(Vectors!$D$6,Vectors!A108,MATCH(Swap_Out,lstInterestRates,0)))</f>
        <v>0.04</v>
      </c>
      <c r="AI108" s="62">
        <f t="shared" ca="1" si="98"/>
        <v>91448.418510421092</v>
      </c>
      <c r="AJ108" s="62">
        <f t="shared" ca="1" si="99"/>
        <v>67143.715080814058</v>
      </c>
      <c r="AK108" s="62">
        <f t="shared" ca="1" si="100"/>
        <v>882885.77454787446</v>
      </c>
      <c r="AL108" s="121"/>
      <c r="AM108" s="123">
        <f t="shared" ca="1" si="81"/>
        <v>110829.14505537463</v>
      </c>
      <c r="AN108" s="124">
        <f t="shared" ca="1" si="101"/>
        <v>110829.14505537463</v>
      </c>
      <c r="AO108" s="125">
        <f t="shared" ca="1" si="102"/>
        <v>0</v>
      </c>
      <c r="AP108" s="123">
        <f t="shared" ca="1" si="103"/>
        <v>772056.62949249987</v>
      </c>
      <c r="AQ108" s="121"/>
      <c r="AR108" s="126">
        <f ca="1">IF(LiabIntType1="Fixed",LiabFxdRate1,OFFSET(Vectors!$D$6,Vectors!A108,MATCH(LiabLoanIndex1,lstInterestRates,0))+LiabMarg1)</f>
        <v>7.9369000000000051E-2</v>
      </c>
      <c r="AS108" s="122">
        <f t="shared" ca="1" si="104"/>
        <v>208959.79029945337</v>
      </c>
      <c r="AT108" s="124">
        <f t="shared" ca="1" si="105"/>
        <v>208959.79029945337</v>
      </c>
      <c r="AU108" s="123">
        <f t="shared" ca="1" si="106"/>
        <v>0</v>
      </c>
      <c r="AV108" s="123">
        <f t="shared" ca="1" si="82"/>
        <v>0</v>
      </c>
      <c r="AW108" s="123">
        <f t="shared" ca="1" si="107"/>
        <v>0</v>
      </c>
      <c r="AX108" s="124">
        <f t="shared" ca="1" si="108"/>
        <v>563096.83919304656</v>
      </c>
      <c r="AY108" s="121"/>
      <c r="AZ108" s="122">
        <f t="shared" ca="1" si="83"/>
        <v>563096.83919304656</v>
      </c>
      <c r="BA108" s="124">
        <f t="shared" ca="1" si="109"/>
        <v>563096.83919304656</v>
      </c>
      <c r="BB108" s="123">
        <f t="shared" ca="1" si="110"/>
        <v>0</v>
      </c>
      <c r="BC108" s="123">
        <f t="shared" ca="1" si="84"/>
        <v>0</v>
      </c>
      <c r="BD108" s="123">
        <f t="shared" ca="1" si="111"/>
        <v>0</v>
      </c>
      <c r="BE108" s="124">
        <f t="shared" ca="1" si="112"/>
        <v>0</v>
      </c>
      <c r="BF108" s="121"/>
      <c r="BG108" s="123">
        <f t="shared" si="85"/>
        <v>1000000</v>
      </c>
      <c r="BH108" s="123">
        <f t="shared" ca="1" si="113"/>
        <v>1000000</v>
      </c>
      <c r="BI108" s="123">
        <f t="shared" ca="1" si="114"/>
        <v>0</v>
      </c>
      <c r="BJ108" s="123">
        <f t="shared" ca="1" si="115"/>
        <v>0</v>
      </c>
      <c r="BK108" s="123">
        <f t="shared" ca="1" si="72"/>
        <v>1000000</v>
      </c>
      <c r="BL108" s="123">
        <f t="shared" ca="1" si="116"/>
        <v>0</v>
      </c>
      <c r="BM108" s="121"/>
      <c r="BN108" s="126">
        <f ca="1">IF(LiabIntType2="Fixed",LiabFxdRate2,OFFSET(Vectors!$D$6,Vectors!A108,MATCH(LiabLoanIndex2,lstInterestRates,0))+LiabMarg2)</f>
        <v>0.04</v>
      </c>
      <c r="BO108" s="122">
        <f t="shared" ca="1" si="117"/>
        <v>34119.905847872607</v>
      </c>
      <c r="BP108" s="124">
        <f t="shared" ca="1" si="118"/>
        <v>0</v>
      </c>
      <c r="BQ108" s="123">
        <f t="shared" ca="1" si="119"/>
        <v>34119.905847872607</v>
      </c>
      <c r="BR108" s="123">
        <f t="shared" ca="1" si="120"/>
        <v>0</v>
      </c>
      <c r="BS108" s="121"/>
      <c r="BT108" s="123">
        <f t="shared" ca="1" si="86"/>
        <v>38749.401482263878</v>
      </c>
      <c r="BU108" s="123">
        <f t="shared" ca="1" si="121"/>
        <v>0</v>
      </c>
      <c r="BV108" s="123">
        <f t="shared" ca="1" si="122"/>
        <v>38749.401482263878</v>
      </c>
      <c r="BW108" s="123">
        <f t="shared" ca="1" si="123"/>
        <v>0</v>
      </c>
      <c r="BX108" s="121"/>
      <c r="BY108" s="123">
        <f t="shared" si="124"/>
        <v>0</v>
      </c>
      <c r="BZ108" s="123">
        <f t="shared" ca="1" si="125"/>
        <v>0</v>
      </c>
      <c r="CA108" s="121"/>
      <c r="CB108" s="122">
        <f t="shared" ca="1" si="73"/>
        <v>31030062.752000477</v>
      </c>
      <c r="CC108" s="122">
        <f t="shared" ca="1" si="126"/>
        <v>208959.79029945337</v>
      </c>
      <c r="CD108" s="124">
        <f t="shared" ca="1" si="127"/>
        <v>563096.83919304656</v>
      </c>
      <c r="CE108" s="121"/>
      <c r="CF108" s="122">
        <f t="shared" ca="1" si="74"/>
        <v>10235971.754361782</v>
      </c>
      <c r="CG108" s="124">
        <f t="shared" ca="1" si="128"/>
        <v>0</v>
      </c>
      <c r="CH108" s="123">
        <f t="shared" ca="1" si="129"/>
        <v>0</v>
      </c>
      <c r="CI108" s="121"/>
      <c r="CJ108" s="123">
        <f t="shared" ca="1" si="130"/>
        <v>974334.19305829552</v>
      </c>
      <c r="CK108" s="123">
        <f t="shared" ca="1" si="131"/>
        <v>974334.19305829564</v>
      </c>
      <c r="CL108" s="123">
        <f t="shared" ca="1" si="132"/>
        <v>0</v>
      </c>
      <c r="CM108" s="121"/>
      <c r="CN108" s="62">
        <f t="shared" ca="1" si="133"/>
        <v>377935.58095136227</v>
      </c>
      <c r="CO108" s="62" t="b">
        <f t="shared" si="134"/>
        <v>1</v>
      </c>
      <c r="CP108" s="126">
        <f t="shared" ca="1" si="135"/>
        <v>2.8333333333333305E-3</v>
      </c>
      <c r="CQ108" s="120"/>
      <c r="CR108" s="120"/>
      <c r="CS108" s="120"/>
      <c r="CT108" s="120"/>
      <c r="CU108" s="120"/>
      <c r="CV108" s="120"/>
      <c r="CW108" s="120"/>
      <c r="CX108" s="120"/>
      <c r="CY108" s="120"/>
      <c r="CZ108" s="120"/>
      <c r="DA108" s="120"/>
      <c r="DB108" s="120"/>
      <c r="DC108" s="120"/>
      <c r="DD108" s="120"/>
      <c r="DE108" s="116"/>
      <c r="DF108" s="116"/>
      <c r="DG108" s="116"/>
      <c r="DH108" s="116"/>
      <c r="DI108" s="116"/>
      <c r="DJ108" s="116"/>
      <c r="DK108" s="116"/>
      <c r="DL108" s="116"/>
      <c r="DM108" s="116"/>
      <c r="DN108" s="116"/>
    </row>
    <row r="109" spans="1:118" x14ac:dyDescent="0.2">
      <c r="A109" s="27">
        <v>103</v>
      </c>
      <c r="B109" s="29">
        <f t="shared" si="68"/>
        <v>42248</v>
      </c>
      <c r="C109" s="30">
        <f t="shared" si="69"/>
        <v>8.3333333333333329E-2</v>
      </c>
      <c r="D109" s="55"/>
      <c r="E109" s="62">
        <f t="shared" ca="1" si="87"/>
        <v>91676468.373479769</v>
      </c>
      <c r="F109" s="63">
        <f ca="1">IF(AssetIntType1="Fixed",AssetFxdRate1,IF(A109=1,OFFSET(Vectors!$D$6,A109,MATCH(AssetFltIndx1,lstInterestRates,0)),IF(MOD($A109,AssetRateReset1)=0,MAX(MIN(OFFSET(Vectors!$D$6,A109,MATCH(AssetFltIndx1,lstInterestRates,0)),(F108-AssetMarg1)+AssetPdCapFl1,AssetLifeCap1-AssetMarg1),(F108-AssetMarg1)-AssetPdCapFl1,AssetLifeFloor1-AssetMarg1),F108)))+AssetMarg1</f>
        <v>0.09</v>
      </c>
      <c r="G109" s="62">
        <f t="shared" ca="1" si="75"/>
        <v>804622.61694478267</v>
      </c>
      <c r="H109" s="62">
        <f t="shared" ca="1" si="88"/>
        <v>687573.51280109829</v>
      </c>
      <c r="I109" s="62">
        <f t="shared" ca="1" si="89"/>
        <v>117049.10414368438</v>
      </c>
      <c r="J109" s="62">
        <f t="shared" ca="1" si="70"/>
        <v>91559419.269336089</v>
      </c>
      <c r="K109" s="55"/>
      <c r="L109" s="62">
        <f t="shared" ca="1" si="90"/>
        <v>58221261.554475047</v>
      </c>
      <c r="M109" s="68">
        <f ca="1">IF(pdrLossTime1="",OFFSET(Vectors!$AE$6,A109+_Age1,MATCH(SDA_Loss,lstSDA,0)),OFFSET(Vectors!$X$6,A109+_Age1,MATCH(pdrLossTime1,lstDefaultCurve,0)))</f>
        <v>2.7777777777777779E-5</v>
      </c>
      <c r="N109" s="62">
        <f t="shared" ca="1" si="76"/>
        <v>2777.7777777777778</v>
      </c>
      <c r="O109" s="67">
        <f t="shared" ca="1" si="91"/>
        <v>0.91559419269336084</v>
      </c>
      <c r="P109" s="68">
        <f ca="1">OFFSET(Vectors!$L$6,A109+_Age1,MATCH(pdrPrepay1,lstPrepayCurve,0))*pdrPrepayStress1</f>
        <v>5.1430128318229462E-3</v>
      </c>
      <c r="Q109" s="62">
        <f t="shared" ca="1" si="92"/>
        <v>299050.39073418954</v>
      </c>
      <c r="R109" s="62">
        <f t="shared" ca="1" si="93"/>
        <v>74331.194161022519</v>
      </c>
      <c r="S109" s="69">
        <f t="shared" ca="1" si="94"/>
        <v>0.09</v>
      </c>
      <c r="T109" s="62">
        <f t="shared" ca="1" si="95"/>
        <v>436638.62832522951</v>
      </c>
      <c r="U109" s="62">
        <f t="shared" ca="1" si="77"/>
        <v>1111.1111111111111</v>
      </c>
      <c r="V109" s="62">
        <f t="shared" ca="1" si="71"/>
        <v>57845102.191802062</v>
      </c>
      <c r="W109" s="55"/>
      <c r="X109" s="62">
        <f t="shared" ca="1" si="96"/>
        <v>811131.32433155272</v>
      </c>
      <c r="Y109" s="55"/>
      <c r="Z109" s="118" t="b">
        <v>0</v>
      </c>
      <c r="AA109" s="120" t="b">
        <f t="shared" si="78"/>
        <v>0</v>
      </c>
      <c r="AB109" s="120" t="b">
        <f t="shared" si="79"/>
        <v>1</v>
      </c>
      <c r="AC109" s="120" t="b">
        <f t="shared" ca="1" si="80"/>
        <v>0</v>
      </c>
      <c r="AD109" s="121"/>
      <c r="AE109" s="129">
        <v>27060216.111520234</v>
      </c>
      <c r="AF109" s="69">
        <f ca="1">IF(Swap_Active="No",0,OFFSET(Vectors!$D$6,Vectors!A109,MATCH(Swap_In,lstInterestRates,0)))</f>
        <v>6.9369000000000056E-2</v>
      </c>
      <c r="AG109" s="62">
        <f t="shared" ca="1" si="97"/>
        <v>156428.3442866707</v>
      </c>
      <c r="AH109" s="69">
        <f ca="1">IF(Swap_Active="No",0,OFFSET(Vectors!$D$6,Vectors!A109,MATCH(Swap_Out,lstInterestRates,0)))</f>
        <v>0.04</v>
      </c>
      <c r="AI109" s="62">
        <f t="shared" ca="1" si="98"/>
        <v>90200.720371734118</v>
      </c>
      <c r="AJ109" s="62">
        <f t="shared" ca="1" si="99"/>
        <v>66227.623914936587</v>
      </c>
      <c r="AK109" s="62">
        <f t="shared" ca="1" si="100"/>
        <v>877358.94824648928</v>
      </c>
      <c r="AL109" s="121"/>
      <c r="AM109" s="123">
        <f t="shared" ca="1" si="81"/>
        <v>109964.62873745861</v>
      </c>
      <c r="AN109" s="124">
        <f t="shared" ca="1" si="101"/>
        <v>109964.62873745861</v>
      </c>
      <c r="AO109" s="125">
        <f t="shared" ca="1" si="102"/>
        <v>0</v>
      </c>
      <c r="AP109" s="123">
        <f t="shared" ca="1" si="103"/>
        <v>767394.31950903067</v>
      </c>
      <c r="AQ109" s="121"/>
      <c r="AR109" s="126">
        <f ca="1">IF(LiabIntType1="Fixed",LiabFxdRate1,OFFSET(Vectors!$D$6,Vectors!A109,MATCH(LiabLoanIndex1,lstInterestRates,0))+LiabMarg1)</f>
        <v>7.9369000000000051E-2</v>
      </c>
      <c r="AS109" s="122">
        <f t="shared" ca="1" si="104"/>
        <v>205235.42088029394</v>
      </c>
      <c r="AT109" s="124">
        <f t="shared" ca="1" si="105"/>
        <v>205235.42088029394</v>
      </c>
      <c r="AU109" s="123">
        <f t="shared" ca="1" si="106"/>
        <v>0</v>
      </c>
      <c r="AV109" s="123">
        <f t="shared" ca="1" si="82"/>
        <v>0</v>
      </c>
      <c r="AW109" s="123">
        <f t="shared" ca="1" si="107"/>
        <v>0</v>
      </c>
      <c r="AX109" s="124">
        <f t="shared" ca="1" si="108"/>
        <v>562158.89862873673</v>
      </c>
      <c r="AY109" s="121"/>
      <c r="AZ109" s="122">
        <f t="shared" ca="1" si="83"/>
        <v>562158.89862873673</v>
      </c>
      <c r="BA109" s="124">
        <f t="shared" ca="1" si="109"/>
        <v>562158.89862873673</v>
      </c>
      <c r="BB109" s="123">
        <f t="shared" ca="1" si="110"/>
        <v>0</v>
      </c>
      <c r="BC109" s="123">
        <f t="shared" ca="1" si="84"/>
        <v>0</v>
      </c>
      <c r="BD109" s="123">
        <f t="shared" ca="1" si="111"/>
        <v>0</v>
      </c>
      <c r="BE109" s="124">
        <f t="shared" ca="1" si="112"/>
        <v>0</v>
      </c>
      <c r="BF109" s="121"/>
      <c r="BG109" s="123">
        <f t="shared" si="85"/>
        <v>1000000</v>
      </c>
      <c r="BH109" s="123">
        <f t="shared" ca="1" si="113"/>
        <v>1000000</v>
      </c>
      <c r="BI109" s="123">
        <f t="shared" ca="1" si="114"/>
        <v>0</v>
      </c>
      <c r="BJ109" s="123">
        <f t="shared" ca="1" si="115"/>
        <v>0</v>
      </c>
      <c r="BK109" s="123">
        <f t="shared" ca="1" si="72"/>
        <v>1000000</v>
      </c>
      <c r="BL109" s="123">
        <f t="shared" ca="1" si="116"/>
        <v>0</v>
      </c>
      <c r="BM109" s="121"/>
      <c r="BN109" s="126">
        <f ca="1">IF(LiabIntType2="Fixed",LiabFxdRate2,OFFSET(Vectors!$D$6,Vectors!A109,MATCH(LiabLoanIndex2,lstInterestRates,0))+LiabMarg2)</f>
        <v>0.04</v>
      </c>
      <c r="BO109" s="122">
        <f t="shared" ca="1" si="117"/>
        <v>34119.905847872607</v>
      </c>
      <c r="BP109" s="124">
        <f t="shared" ca="1" si="118"/>
        <v>0</v>
      </c>
      <c r="BQ109" s="123">
        <f t="shared" ca="1" si="119"/>
        <v>34119.905847872607</v>
      </c>
      <c r="BR109" s="123">
        <f t="shared" ca="1" si="120"/>
        <v>0</v>
      </c>
      <c r="BS109" s="121"/>
      <c r="BT109" s="123">
        <f t="shared" ca="1" si="86"/>
        <v>38567.287390186248</v>
      </c>
      <c r="BU109" s="123">
        <f t="shared" ca="1" si="121"/>
        <v>0</v>
      </c>
      <c r="BV109" s="123">
        <f t="shared" ca="1" si="122"/>
        <v>38567.287390186248</v>
      </c>
      <c r="BW109" s="123">
        <f t="shared" ca="1" si="123"/>
        <v>0</v>
      </c>
      <c r="BX109" s="121"/>
      <c r="BY109" s="123">
        <f t="shared" si="124"/>
        <v>0</v>
      </c>
      <c r="BZ109" s="123">
        <f t="shared" ca="1" si="125"/>
        <v>0</v>
      </c>
      <c r="CA109" s="121"/>
      <c r="CB109" s="122">
        <f t="shared" ca="1" si="73"/>
        <v>30467903.853371739</v>
      </c>
      <c r="CC109" s="122">
        <f t="shared" ca="1" si="126"/>
        <v>205235.42088029394</v>
      </c>
      <c r="CD109" s="124">
        <f t="shared" ca="1" si="127"/>
        <v>562158.89862873673</v>
      </c>
      <c r="CE109" s="121"/>
      <c r="CF109" s="122">
        <f t="shared" ca="1" si="74"/>
        <v>10235971.754361782</v>
      </c>
      <c r="CG109" s="124">
        <f t="shared" ca="1" si="128"/>
        <v>0</v>
      </c>
      <c r="CH109" s="123">
        <f t="shared" ca="1" si="129"/>
        <v>0</v>
      </c>
      <c r="CI109" s="121"/>
      <c r="CJ109" s="123">
        <f t="shared" ca="1" si="130"/>
        <v>967559.6686182234</v>
      </c>
      <c r="CK109" s="123">
        <f t="shared" ca="1" si="131"/>
        <v>967559.6686182234</v>
      </c>
      <c r="CL109" s="123">
        <f t="shared" ca="1" si="132"/>
        <v>0</v>
      </c>
      <c r="CM109" s="121"/>
      <c r="CN109" s="62">
        <f t="shared" ca="1" si="133"/>
        <v>376159.36267298984</v>
      </c>
      <c r="CO109" s="62" t="b">
        <f t="shared" si="134"/>
        <v>1</v>
      </c>
      <c r="CP109" s="126">
        <f t="shared" ca="1" si="135"/>
        <v>2.8611111111111081E-3</v>
      </c>
      <c r="CQ109" s="120"/>
      <c r="CR109" s="120"/>
      <c r="CS109" s="120"/>
      <c r="CT109" s="120"/>
      <c r="CU109" s="120"/>
      <c r="CV109" s="120"/>
      <c r="CW109" s="120"/>
      <c r="CX109" s="120"/>
      <c r="CY109" s="120"/>
      <c r="CZ109" s="120"/>
      <c r="DA109" s="120"/>
      <c r="DB109" s="120"/>
      <c r="DC109" s="120"/>
      <c r="DD109" s="120"/>
      <c r="DE109" s="116"/>
      <c r="DF109" s="116"/>
      <c r="DG109" s="116"/>
      <c r="DH109" s="116"/>
      <c r="DI109" s="116"/>
      <c r="DJ109" s="116"/>
      <c r="DK109" s="116"/>
      <c r="DL109" s="116"/>
      <c r="DM109" s="116"/>
      <c r="DN109" s="116"/>
    </row>
    <row r="110" spans="1:118" x14ac:dyDescent="0.2">
      <c r="A110" s="27">
        <v>104</v>
      </c>
      <c r="B110" s="29">
        <f t="shared" si="68"/>
        <v>42278</v>
      </c>
      <c r="C110" s="30">
        <f t="shared" si="69"/>
        <v>8.3333333333333329E-2</v>
      </c>
      <c r="D110" s="55"/>
      <c r="E110" s="62">
        <f t="shared" ca="1" si="87"/>
        <v>91559419.269336089</v>
      </c>
      <c r="F110" s="63">
        <f ca="1">IF(AssetIntType1="Fixed",AssetFxdRate1,IF(A110=1,OFFSET(Vectors!$D$6,A110,MATCH(AssetFltIndx1,lstInterestRates,0)),IF(MOD($A110,AssetRateReset1)=0,MAX(MIN(OFFSET(Vectors!$D$6,A110,MATCH(AssetFltIndx1,lstInterestRates,0)),(F109-AssetMarg1)+AssetPdCapFl1,AssetLifeCap1-AssetMarg1),(F109-AssetMarg1)-AssetPdCapFl1,AssetLifeFloor1-AssetMarg1),F109)))+AssetMarg1</f>
        <v>0.09</v>
      </c>
      <c r="G110" s="62">
        <f t="shared" ca="1" si="75"/>
        <v>804622.61694478267</v>
      </c>
      <c r="H110" s="62">
        <f t="shared" ca="1" si="88"/>
        <v>686695.64452002069</v>
      </c>
      <c r="I110" s="62">
        <f t="shared" ca="1" si="89"/>
        <v>117926.97242476197</v>
      </c>
      <c r="J110" s="62">
        <f t="shared" ca="1" si="70"/>
        <v>91441492.296911329</v>
      </c>
      <c r="K110" s="55"/>
      <c r="L110" s="62">
        <f t="shared" ca="1" si="90"/>
        <v>57845102.191802062</v>
      </c>
      <c r="M110" s="68">
        <f ca="1">IF(pdrLossTime1="",OFFSET(Vectors!$AE$6,A110+_Age1,MATCH(SDA_Loss,lstSDA,0)),OFFSET(Vectors!$X$6,A110+_Age1,MATCH(pdrLossTime1,lstDefaultCurve,0)))</f>
        <v>2.7777777777777779E-5</v>
      </c>
      <c r="N110" s="62">
        <f t="shared" ca="1" si="76"/>
        <v>2777.7777777777778</v>
      </c>
      <c r="O110" s="67">
        <f t="shared" ca="1" si="91"/>
        <v>0.91441492296911331</v>
      </c>
      <c r="P110" s="68">
        <f ca="1">OFFSET(Vectors!$L$6,A110+_Age1,MATCH(pdrPrepay1,lstPrepayCurve,0))*pdrPrepayStress1</f>
        <v>5.1430128318229462E-3</v>
      </c>
      <c r="Q110" s="62">
        <f t="shared" ca="1" si="92"/>
        <v>297114.93034159037</v>
      </c>
      <c r="R110" s="62">
        <f t="shared" ca="1" si="93"/>
        <v>74499.928577428698</v>
      </c>
      <c r="S110" s="69">
        <f t="shared" ca="1" si="94"/>
        <v>0.09</v>
      </c>
      <c r="T110" s="62">
        <f t="shared" ca="1" si="95"/>
        <v>433817.43310518214</v>
      </c>
      <c r="U110" s="62">
        <f t="shared" ca="1" si="77"/>
        <v>1111.1111111111111</v>
      </c>
      <c r="V110" s="62">
        <f t="shared" ca="1" si="71"/>
        <v>57470709.555105262</v>
      </c>
      <c r="W110" s="55"/>
      <c r="X110" s="62">
        <f t="shared" ca="1" si="96"/>
        <v>806543.40313531237</v>
      </c>
      <c r="Y110" s="55"/>
      <c r="Z110" s="118" t="b">
        <v>0</v>
      </c>
      <c r="AA110" s="120" t="b">
        <f t="shared" si="78"/>
        <v>0</v>
      </c>
      <c r="AB110" s="120" t="b">
        <f t="shared" si="79"/>
        <v>1</v>
      </c>
      <c r="AC110" s="120" t="b">
        <f t="shared" ca="1" si="80"/>
        <v>0</v>
      </c>
      <c r="AD110" s="121"/>
      <c r="AE110" s="129">
        <v>26689757.086667325</v>
      </c>
      <c r="AF110" s="69">
        <f ca="1">IF(Swap_Active="No",0,OFFSET(Vectors!$D$6,Vectors!A110,MATCH(Swap_In,lstInterestRates,0)))</f>
        <v>6.9369000000000056E-2</v>
      </c>
      <c r="AG110" s="62">
        <f t="shared" ca="1" si="97"/>
        <v>154286.81327875226</v>
      </c>
      <c r="AH110" s="69">
        <f ca="1">IF(Swap_Active="No",0,OFFSET(Vectors!$D$6,Vectors!A110,MATCH(Swap_Out,lstInterestRates,0)))</f>
        <v>0.04</v>
      </c>
      <c r="AI110" s="62">
        <f t="shared" ca="1" si="98"/>
        <v>88965.856955557741</v>
      </c>
      <c r="AJ110" s="62">
        <f t="shared" ca="1" si="99"/>
        <v>65320.956323194521</v>
      </c>
      <c r="AK110" s="62">
        <f t="shared" ca="1" si="100"/>
        <v>871864.35945850692</v>
      </c>
      <c r="AL110" s="121"/>
      <c r="AM110" s="123">
        <f t="shared" ca="1" si="81"/>
        <v>109103.46359190832</v>
      </c>
      <c r="AN110" s="124">
        <f t="shared" ca="1" si="101"/>
        <v>109103.46359190832</v>
      </c>
      <c r="AO110" s="125">
        <f t="shared" ca="1" si="102"/>
        <v>0</v>
      </c>
      <c r="AP110" s="123">
        <f t="shared" ca="1" si="103"/>
        <v>762760.89586659858</v>
      </c>
      <c r="AQ110" s="121"/>
      <c r="AR110" s="126">
        <f ca="1">IF(LiabIntType1="Fixed",LiabFxdRate1,OFFSET(Vectors!$D$6,Vectors!A110,MATCH(LiabLoanIndex1,lstInterestRates,0))+LiabMarg1)</f>
        <v>7.9369000000000051E-2</v>
      </c>
      <c r="AS110" s="122">
        <f t="shared" ca="1" si="104"/>
        <v>201517.25507818858</v>
      </c>
      <c r="AT110" s="124">
        <f t="shared" ca="1" si="105"/>
        <v>201517.25507818858</v>
      </c>
      <c r="AU110" s="123">
        <f t="shared" ca="1" si="106"/>
        <v>0</v>
      </c>
      <c r="AV110" s="123">
        <f t="shared" ca="1" si="82"/>
        <v>0</v>
      </c>
      <c r="AW110" s="123">
        <f t="shared" ca="1" si="107"/>
        <v>0</v>
      </c>
      <c r="AX110" s="124">
        <f t="shared" ca="1" si="108"/>
        <v>561243.64078840998</v>
      </c>
      <c r="AY110" s="121"/>
      <c r="AZ110" s="122">
        <f t="shared" ca="1" si="83"/>
        <v>561243.64078840998</v>
      </c>
      <c r="BA110" s="124">
        <f t="shared" ca="1" si="109"/>
        <v>561243.64078840998</v>
      </c>
      <c r="BB110" s="123">
        <f t="shared" ca="1" si="110"/>
        <v>0</v>
      </c>
      <c r="BC110" s="123">
        <f t="shared" ca="1" si="84"/>
        <v>0</v>
      </c>
      <c r="BD110" s="123">
        <f t="shared" ca="1" si="111"/>
        <v>0</v>
      </c>
      <c r="BE110" s="124">
        <f t="shared" ca="1" si="112"/>
        <v>0</v>
      </c>
      <c r="BF110" s="121"/>
      <c r="BG110" s="123">
        <f t="shared" si="85"/>
        <v>1000000</v>
      </c>
      <c r="BH110" s="123">
        <f t="shared" ca="1" si="113"/>
        <v>1000000</v>
      </c>
      <c r="BI110" s="123">
        <f t="shared" ca="1" si="114"/>
        <v>0</v>
      </c>
      <c r="BJ110" s="123">
        <f t="shared" ca="1" si="115"/>
        <v>0</v>
      </c>
      <c r="BK110" s="123">
        <f t="shared" ca="1" si="72"/>
        <v>1000000</v>
      </c>
      <c r="BL110" s="123">
        <f t="shared" ca="1" si="116"/>
        <v>0</v>
      </c>
      <c r="BM110" s="121"/>
      <c r="BN110" s="126">
        <f ca="1">IF(LiabIntType2="Fixed",LiabFxdRate2,OFFSET(Vectors!$D$6,Vectors!A110,MATCH(LiabLoanIndex2,lstInterestRates,0))+LiabMarg2)</f>
        <v>0.04</v>
      </c>
      <c r="BO110" s="122">
        <f t="shared" ca="1" si="117"/>
        <v>34119.905847872607</v>
      </c>
      <c r="BP110" s="124">
        <f t="shared" ca="1" si="118"/>
        <v>0</v>
      </c>
      <c r="BQ110" s="123">
        <f t="shared" ca="1" si="119"/>
        <v>34119.905847872607</v>
      </c>
      <c r="BR110" s="123">
        <f t="shared" ca="1" si="120"/>
        <v>0</v>
      </c>
      <c r="BS110" s="121"/>
      <c r="BT110" s="123">
        <f t="shared" ca="1" si="86"/>
        <v>38386.146535471489</v>
      </c>
      <c r="BU110" s="123">
        <f t="shared" ca="1" si="121"/>
        <v>0</v>
      </c>
      <c r="BV110" s="123">
        <f t="shared" ca="1" si="122"/>
        <v>38386.146535471489</v>
      </c>
      <c r="BW110" s="123">
        <f t="shared" ca="1" si="123"/>
        <v>0</v>
      </c>
      <c r="BX110" s="121"/>
      <c r="BY110" s="123">
        <f t="shared" si="124"/>
        <v>0</v>
      </c>
      <c r="BZ110" s="123">
        <f t="shared" ca="1" si="125"/>
        <v>0</v>
      </c>
      <c r="CA110" s="121"/>
      <c r="CB110" s="122">
        <f t="shared" ca="1" si="73"/>
        <v>29906660.21258333</v>
      </c>
      <c r="CC110" s="122">
        <f t="shared" ca="1" si="126"/>
        <v>201517.25507818858</v>
      </c>
      <c r="CD110" s="124">
        <f t="shared" ca="1" si="127"/>
        <v>561243.64078840998</v>
      </c>
      <c r="CE110" s="121"/>
      <c r="CF110" s="122">
        <f t="shared" ca="1" si="74"/>
        <v>10235971.754361782</v>
      </c>
      <c r="CG110" s="124">
        <f t="shared" ca="1" si="128"/>
        <v>0</v>
      </c>
      <c r="CH110" s="123">
        <f t="shared" ca="1" si="129"/>
        <v>0</v>
      </c>
      <c r="CI110" s="121"/>
      <c r="CJ110" s="123">
        <f t="shared" ca="1" si="130"/>
        <v>960830.21641406463</v>
      </c>
      <c r="CK110" s="123">
        <f t="shared" ca="1" si="131"/>
        <v>960830.21641406463</v>
      </c>
      <c r="CL110" s="123">
        <f t="shared" ca="1" si="132"/>
        <v>0</v>
      </c>
      <c r="CM110" s="121"/>
      <c r="CN110" s="62">
        <f t="shared" ca="1" si="133"/>
        <v>374392.63669679681</v>
      </c>
      <c r="CO110" s="62" t="b">
        <f t="shared" si="134"/>
        <v>1</v>
      </c>
      <c r="CP110" s="126">
        <f t="shared" ca="1" si="135"/>
        <v>2.8888888888888857E-3</v>
      </c>
      <c r="CQ110" s="120"/>
      <c r="CR110" s="120"/>
      <c r="CS110" s="120"/>
      <c r="CT110" s="120"/>
      <c r="CU110" s="120"/>
      <c r="CV110" s="120"/>
      <c r="CW110" s="120"/>
      <c r="CX110" s="120"/>
      <c r="CY110" s="120"/>
      <c r="CZ110" s="120"/>
      <c r="DA110" s="120"/>
      <c r="DB110" s="120"/>
      <c r="DC110" s="120"/>
      <c r="DD110" s="120"/>
      <c r="DE110" s="116"/>
      <c r="DF110" s="116"/>
      <c r="DG110" s="116"/>
      <c r="DH110" s="116"/>
      <c r="DI110" s="116"/>
      <c r="DJ110" s="116"/>
      <c r="DK110" s="116"/>
      <c r="DL110" s="116"/>
      <c r="DM110" s="116"/>
      <c r="DN110" s="116"/>
    </row>
    <row r="111" spans="1:118" x14ac:dyDescent="0.2">
      <c r="A111" s="27">
        <v>105</v>
      </c>
      <c r="B111" s="29">
        <f t="shared" si="68"/>
        <v>42309</v>
      </c>
      <c r="C111" s="30">
        <f t="shared" si="69"/>
        <v>8.3333333333333329E-2</v>
      </c>
      <c r="D111" s="55"/>
      <c r="E111" s="62">
        <f t="shared" ca="1" si="87"/>
        <v>91441492.296911329</v>
      </c>
      <c r="F111" s="63">
        <f ca="1">IF(AssetIntType1="Fixed",AssetFxdRate1,IF(A111=1,OFFSET(Vectors!$D$6,A111,MATCH(AssetFltIndx1,lstInterestRates,0)),IF(MOD($A111,AssetRateReset1)=0,MAX(MIN(OFFSET(Vectors!$D$6,A111,MATCH(AssetFltIndx1,lstInterestRates,0)),(F110-AssetMarg1)+AssetPdCapFl1,AssetLifeCap1-AssetMarg1),(F110-AssetMarg1)-AssetPdCapFl1,AssetLifeFloor1-AssetMarg1),F110)))+AssetMarg1</f>
        <v>0.09</v>
      </c>
      <c r="G111" s="62">
        <f t="shared" ca="1" si="75"/>
        <v>804622.61694478267</v>
      </c>
      <c r="H111" s="62">
        <f t="shared" ca="1" si="88"/>
        <v>685811.19222683494</v>
      </c>
      <c r="I111" s="62">
        <f t="shared" ca="1" si="89"/>
        <v>118811.42471794772</v>
      </c>
      <c r="J111" s="62">
        <f t="shared" ca="1" si="70"/>
        <v>91322680.872193381</v>
      </c>
      <c r="K111" s="55"/>
      <c r="L111" s="62">
        <f t="shared" ca="1" si="90"/>
        <v>57470709.555105262</v>
      </c>
      <c r="M111" s="68">
        <f ca="1">IF(pdrLossTime1="",OFFSET(Vectors!$AE$6,A111+_Age1,MATCH(SDA_Loss,lstSDA,0)),OFFSET(Vectors!$X$6,A111+_Age1,MATCH(pdrLossTime1,lstDefaultCurve,0)))</f>
        <v>2.7777777777777779E-5</v>
      </c>
      <c r="N111" s="62">
        <f t="shared" ca="1" si="76"/>
        <v>2777.7777777777778</v>
      </c>
      <c r="O111" s="67">
        <f t="shared" ca="1" si="91"/>
        <v>0.91322680872193385</v>
      </c>
      <c r="P111" s="68">
        <f ca="1">OFFSET(Vectors!$L$6,A111+_Age1,MATCH(pdrPrepay1,lstPrepayCurve,0))*pdrPrepayStress1</f>
        <v>5.1430128318229462E-3</v>
      </c>
      <c r="Q111" s="62">
        <f t="shared" ca="1" si="92"/>
        <v>295188.55439255276</v>
      </c>
      <c r="R111" s="62">
        <f t="shared" ca="1" si="93"/>
        <v>74669.022547097018</v>
      </c>
      <c r="S111" s="69">
        <f t="shared" ca="1" si="94"/>
        <v>0.09</v>
      </c>
      <c r="T111" s="62">
        <f t="shared" ca="1" si="95"/>
        <v>431009.48832995613</v>
      </c>
      <c r="U111" s="62">
        <f t="shared" ca="1" si="77"/>
        <v>1111.1111111111111</v>
      </c>
      <c r="V111" s="62">
        <f t="shared" ca="1" si="71"/>
        <v>57098074.200387836</v>
      </c>
      <c r="W111" s="55"/>
      <c r="X111" s="62">
        <f t="shared" ca="1" si="96"/>
        <v>801978.17638071708</v>
      </c>
      <c r="Y111" s="55"/>
      <c r="Z111" s="118" t="b">
        <v>0</v>
      </c>
      <c r="AA111" s="120" t="b">
        <f t="shared" si="78"/>
        <v>0</v>
      </c>
      <c r="AB111" s="120" t="b">
        <f t="shared" si="79"/>
        <v>1</v>
      </c>
      <c r="AC111" s="120" t="b">
        <f t="shared" ca="1" si="80"/>
        <v>0</v>
      </c>
      <c r="AD111" s="121"/>
      <c r="AE111" s="129">
        <v>26323109.69804506</v>
      </c>
      <c r="AF111" s="69">
        <f ca="1">IF(Swap_Active="No",0,OFFSET(Vectors!$D$6,Vectors!A111,MATCH(Swap_In,lstInterestRates,0)))</f>
        <v>6.9369000000000056E-2</v>
      </c>
      <c r="AG111" s="62">
        <f t="shared" ca="1" si="97"/>
        <v>152167.3163869741</v>
      </c>
      <c r="AH111" s="69">
        <f ca="1">IF(Swap_Active="No",0,OFFSET(Vectors!$D$6,Vectors!A111,MATCH(Swap_Out,lstInterestRates,0)))</f>
        <v>0.04</v>
      </c>
      <c r="AI111" s="62">
        <f t="shared" ca="1" si="98"/>
        <v>87743.698993483529</v>
      </c>
      <c r="AJ111" s="62">
        <f t="shared" ca="1" si="99"/>
        <v>64423.617393490567</v>
      </c>
      <c r="AK111" s="62">
        <f t="shared" ca="1" si="100"/>
        <v>866401.79377420759</v>
      </c>
      <c r="AL111" s="121"/>
      <c r="AM111" s="123">
        <f t="shared" ca="1" si="81"/>
        <v>108245.62434708515</v>
      </c>
      <c r="AN111" s="124">
        <f t="shared" ca="1" si="101"/>
        <v>108245.62434708515</v>
      </c>
      <c r="AO111" s="125">
        <f t="shared" ca="1" si="102"/>
        <v>0</v>
      </c>
      <c r="AP111" s="123">
        <f t="shared" ca="1" si="103"/>
        <v>758156.16942712246</v>
      </c>
      <c r="AQ111" s="121"/>
      <c r="AR111" s="126">
        <f ca="1">IF(LiabIntType1="Fixed",LiabFxdRate1,OFFSET(Vectors!$D$6,Vectors!A111,MATCH(LiabLoanIndex1,lstInterestRates,0))+LiabMarg1)</f>
        <v>7.9369000000000051E-2</v>
      </c>
      <c r="AS111" s="122">
        <f t="shared" ca="1" si="104"/>
        <v>197805.14286771065</v>
      </c>
      <c r="AT111" s="124">
        <f t="shared" ca="1" si="105"/>
        <v>197805.14286771065</v>
      </c>
      <c r="AU111" s="123">
        <f t="shared" ca="1" si="106"/>
        <v>0</v>
      </c>
      <c r="AV111" s="123">
        <f t="shared" ca="1" si="82"/>
        <v>0</v>
      </c>
      <c r="AW111" s="123">
        <f t="shared" ca="1" si="107"/>
        <v>0</v>
      </c>
      <c r="AX111" s="124">
        <f t="shared" ca="1" si="108"/>
        <v>560351.02655941178</v>
      </c>
      <c r="AY111" s="121"/>
      <c r="AZ111" s="122">
        <f t="shared" ca="1" si="83"/>
        <v>560351.02655941178</v>
      </c>
      <c r="BA111" s="124">
        <f t="shared" ca="1" si="109"/>
        <v>560351.02655941178</v>
      </c>
      <c r="BB111" s="123">
        <f t="shared" ca="1" si="110"/>
        <v>0</v>
      </c>
      <c r="BC111" s="123">
        <f t="shared" ca="1" si="84"/>
        <v>0</v>
      </c>
      <c r="BD111" s="123">
        <f t="shared" ca="1" si="111"/>
        <v>0</v>
      </c>
      <c r="BE111" s="124">
        <f t="shared" ca="1" si="112"/>
        <v>0</v>
      </c>
      <c r="BF111" s="121"/>
      <c r="BG111" s="123">
        <f t="shared" si="85"/>
        <v>1000000</v>
      </c>
      <c r="BH111" s="123">
        <f t="shared" ca="1" si="113"/>
        <v>1000000</v>
      </c>
      <c r="BI111" s="123">
        <f t="shared" ca="1" si="114"/>
        <v>0</v>
      </c>
      <c r="BJ111" s="123">
        <f t="shared" ca="1" si="115"/>
        <v>0</v>
      </c>
      <c r="BK111" s="123">
        <f t="shared" ca="1" si="72"/>
        <v>1000000</v>
      </c>
      <c r="BL111" s="123">
        <f t="shared" ca="1" si="116"/>
        <v>0</v>
      </c>
      <c r="BM111" s="121"/>
      <c r="BN111" s="126">
        <f ca="1">IF(LiabIntType2="Fixed",LiabFxdRate2,OFFSET(Vectors!$D$6,Vectors!A111,MATCH(LiabLoanIndex2,lstInterestRates,0))+LiabMarg2)</f>
        <v>0.04</v>
      </c>
      <c r="BO111" s="122">
        <f t="shared" ca="1" si="117"/>
        <v>34119.905847872607</v>
      </c>
      <c r="BP111" s="124">
        <f t="shared" ca="1" si="118"/>
        <v>0</v>
      </c>
      <c r="BQ111" s="123">
        <f t="shared" ca="1" si="119"/>
        <v>34119.905847872607</v>
      </c>
      <c r="BR111" s="123">
        <f t="shared" ca="1" si="120"/>
        <v>0</v>
      </c>
      <c r="BS111" s="121"/>
      <c r="BT111" s="123">
        <f t="shared" ca="1" si="86"/>
        <v>38205.97396541413</v>
      </c>
      <c r="BU111" s="123">
        <f t="shared" ca="1" si="121"/>
        <v>0</v>
      </c>
      <c r="BV111" s="123">
        <f t="shared" ca="1" si="122"/>
        <v>38205.97396541413</v>
      </c>
      <c r="BW111" s="123">
        <f t="shared" ca="1" si="123"/>
        <v>0</v>
      </c>
      <c r="BX111" s="121"/>
      <c r="BY111" s="123">
        <f t="shared" si="124"/>
        <v>0</v>
      </c>
      <c r="BZ111" s="123">
        <f t="shared" ca="1" si="125"/>
        <v>0</v>
      </c>
      <c r="CA111" s="121"/>
      <c r="CB111" s="122">
        <f t="shared" ca="1" si="73"/>
        <v>29346309.186023917</v>
      </c>
      <c r="CC111" s="122">
        <f t="shared" ca="1" si="126"/>
        <v>197805.14286771065</v>
      </c>
      <c r="CD111" s="124">
        <f t="shared" ca="1" si="127"/>
        <v>560351.02655941178</v>
      </c>
      <c r="CE111" s="121"/>
      <c r="CF111" s="122">
        <f t="shared" ca="1" si="74"/>
        <v>10235971.754361782</v>
      </c>
      <c r="CG111" s="124">
        <f t="shared" ca="1" si="128"/>
        <v>0</v>
      </c>
      <c r="CH111" s="123">
        <f t="shared" ca="1" si="129"/>
        <v>0</v>
      </c>
      <c r="CI111" s="121"/>
      <c r="CJ111" s="123">
        <f t="shared" ca="1" si="130"/>
        <v>954145.49276769115</v>
      </c>
      <c r="CK111" s="123">
        <f t="shared" ca="1" si="131"/>
        <v>954145.49276769115</v>
      </c>
      <c r="CL111" s="123">
        <f t="shared" ca="1" si="132"/>
        <v>0</v>
      </c>
      <c r="CM111" s="121"/>
      <c r="CN111" s="62">
        <f t="shared" ca="1" si="133"/>
        <v>372635.35471742752</v>
      </c>
      <c r="CO111" s="62" t="b">
        <f t="shared" si="134"/>
        <v>1</v>
      </c>
      <c r="CP111" s="126">
        <f t="shared" ca="1" si="135"/>
        <v>2.9166666666666633E-3</v>
      </c>
      <c r="CQ111" s="120"/>
      <c r="CR111" s="120"/>
      <c r="CS111" s="120"/>
      <c r="CT111" s="120"/>
      <c r="CU111" s="120"/>
      <c r="CV111" s="120"/>
      <c r="CW111" s="120"/>
      <c r="CX111" s="120"/>
      <c r="CY111" s="120"/>
      <c r="CZ111" s="120"/>
      <c r="DA111" s="120"/>
      <c r="DB111" s="120"/>
      <c r="DC111" s="120"/>
      <c r="DD111" s="120"/>
      <c r="DE111" s="116"/>
      <c r="DF111" s="116"/>
      <c r="DG111" s="116"/>
      <c r="DH111" s="116"/>
      <c r="DI111" s="116"/>
      <c r="DJ111" s="116"/>
      <c r="DK111" s="116"/>
      <c r="DL111" s="116"/>
      <c r="DM111" s="116"/>
      <c r="DN111" s="116"/>
    </row>
    <row r="112" spans="1:118" x14ac:dyDescent="0.2">
      <c r="A112" s="27">
        <v>106</v>
      </c>
      <c r="B112" s="29">
        <f t="shared" si="68"/>
        <v>42339</v>
      </c>
      <c r="C112" s="30">
        <f t="shared" si="69"/>
        <v>8.3333333333333329E-2</v>
      </c>
      <c r="D112" s="55"/>
      <c r="E112" s="62">
        <f t="shared" ca="1" si="87"/>
        <v>91322680.872193381</v>
      </c>
      <c r="F112" s="63">
        <f ca="1">IF(AssetIntType1="Fixed",AssetFxdRate1,IF(A112=1,OFFSET(Vectors!$D$6,A112,MATCH(AssetFltIndx1,lstInterestRates,0)),IF(MOD($A112,AssetRateReset1)=0,MAX(MIN(OFFSET(Vectors!$D$6,A112,MATCH(AssetFltIndx1,lstInterestRates,0)),(F111-AssetMarg1)+AssetPdCapFl1,AssetLifeCap1-AssetMarg1),(F111-AssetMarg1)-AssetPdCapFl1,AssetLifeFloor1-AssetMarg1),F111)))+AssetMarg1</f>
        <v>0.09</v>
      </c>
      <c r="G112" s="62">
        <f t="shared" ca="1" si="75"/>
        <v>804622.61694478267</v>
      </c>
      <c r="H112" s="62">
        <f t="shared" ca="1" si="88"/>
        <v>684920.10654145037</v>
      </c>
      <c r="I112" s="62">
        <f t="shared" ca="1" si="89"/>
        <v>119702.5104033323</v>
      </c>
      <c r="J112" s="62">
        <f t="shared" ca="1" si="70"/>
        <v>91202978.361790046</v>
      </c>
      <c r="K112" s="55"/>
      <c r="L112" s="62">
        <f t="shared" ca="1" si="90"/>
        <v>57098074.200387836</v>
      </c>
      <c r="M112" s="68">
        <f ca="1">IF(pdrLossTime1="",OFFSET(Vectors!$AE$6,A112+_Age1,MATCH(SDA_Loss,lstSDA,0)),OFFSET(Vectors!$X$6,A112+_Age1,MATCH(pdrLossTime1,lstDefaultCurve,0)))</f>
        <v>2.7777777777777779E-5</v>
      </c>
      <c r="N112" s="62">
        <f t="shared" ca="1" si="76"/>
        <v>2777.7777777777778</v>
      </c>
      <c r="O112" s="67">
        <f t="shared" ca="1" si="91"/>
        <v>0.91202978361790044</v>
      </c>
      <c r="P112" s="68">
        <f ca="1">OFFSET(Vectors!$L$6,A112+_Age1,MATCH(pdrPrepay1,lstPrepayCurve,0))*pdrPrepayStress1</f>
        <v>5.1430128318229462E-3</v>
      </c>
      <c r="Q112" s="62">
        <f t="shared" ca="1" si="92"/>
        <v>293271.21431381837</v>
      </c>
      <c r="R112" s="62">
        <f t="shared" ca="1" si="93"/>
        <v>74838.476583644617</v>
      </c>
      <c r="S112" s="69">
        <f t="shared" ca="1" si="94"/>
        <v>0.09</v>
      </c>
      <c r="T112" s="62">
        <f t="shared" ca="1" si="95"/>
        <v>428214.72316957545</v>
      </c>
      <c r="U112" s="62">
        <f t="shared" ca="1" si="77"/>
        <v>1111.1111111111111</v>
      </c>
      <c r="V112" s="62">
        <f t="shared" ca="1" si="71"/>
        <v>56727186.731712595</v>
      </c>
      <c r="W112" s="55"/>
      <c r="X112" s="62">
        <f t="shared" ca="1" si="96"/>
        <v>797435.52517814958</v>
      </c>
      <c r="Y112" s="55"/>
      <c r="Z112" s="118" t="b">
        <v>0</v>
      </c>
      <c r="AA112" s="120" t="b">
        <f t="shared" si="78"/>
        <v>0</v>
      </c>
      <c r="AB112" s="120" t="b">
        <f t="shared" si="79"/>
        <v>1</v>
      </c>
      <c r="AC112" s="120" t="b">
        <f t="shared" ca="1" si="80"/>
        <v>0</v>
      </c>
      <c r="AD112" s="121"/>
      <c r="AE112" s="129">
        <v>25960235.553647716</v>
      </c>
      <c r="AF112" s="69">
        <f ca="1">IF(Swap_Active="No",0,OFFSET(Vectors!$D$6,Vectors!A112,MATCH(Swap_In,lstInterestRates,0)))</f>
        <v>6.9369000000000056E-2</v>
      </c>
      <c r="AG112" s="62">
        <f t="shared" ca="1" si="97"/>
        <v>150069.63167674915</v>
      </c>
      <c r="AH112" s="69">
        <f ca="1">IF(Swap_Active="No",0,OFFSET(Vectors!$D$6,Vectors!A112,MATCH(Swap_Out,lstInterestRates,0)))</f>
        <v>0.04</v>
      </c>
      <c r="AI112" s="62">
        <f t="shared" ca="1" si="98"/>
        <v>86534.118512159053</v>
      </c>
      <c r="AJ112" s="62">
        <f t="shared" ca="1" si="99"/>
        <v>63535.513164590098</v>
      </c>
      <c r="AK112" s="62">
        <f t="shared" ca="1" si="100"/>
        <v>860971.03834273969</v>
      </c>
      <c r="AL112" s="121"/>
      <c r="AM112" s="123">
        <f t="shared" ca="1" si="81"/>
        <v>107391.08582815636</v>
      </c>
      <c r="AN112" s="124">
        <f t="shared" ca="1" si="101"/>
        <v>107391.08582815636</v>
      </c>
      <c r="AO112" s="125">
        <f t="shared" ca="1" si="102"/>
        <v>0</v>
      </c>
      <c r="AP112" s="123">
        <f t="shared" ca="1" si="103"/>
        <v>753579.95251458336</v>
      </c>
      <c r="AQ112" s="121"/>
      <c r="AR112" s="126">
        <f ca="1">IF(LiabIntType1="Fixed",LiabFxdRate1,OFFSET(Vectors!$D$6,Vectors!A112,MATCH(LiabLoanIndex1,lstInterestRates,0))+LiabMarg1)</f>
        <v>7.9369000000000051E-2</v>
      </c>
      <c r="AS112" s="122">
        <f t="shared" ca="1" si="104"/>
        <v>194098.93448212781</v>
      </c>
      <c r="AT112" s="124">
        <f t="shared" ca="1" si="105"/>
        <v>194098.93448212781</v>
      </c>
      <c r="AU112" s="123">
        <f t="shared" ca="1" si="106"/>
        <v>0</v>
      </c>
      <c r="AV112" s="123">
        <f t="shared" ca="1" si="82"/>
        <v>0</v>
      </c>
      <c r="AW112" s="123">
        <f t="shared" ca="1" si="107"/>
        <v>0</v>
      </c>
      <c r="AX112" s="124">
        <f t="shared" ca="1" si="108"/>
        <v>559481.01803245558</v>
      </c>
      <c r="AY112" s="121"/>
      <c r="AZ112" s="122">
        <f t="shared" ca="1" si="83"/>
        <v>559481.01803245558</v>
      </c>
      <c r="BA112" s="124">
        <f t="shared" ca="1" si="109"/>
        <v>559481.01803245558</v>
      </c>
      <c r="BB112" s="123">
        <f t="shared" ca="1" si="110"/>
        <v>0</v>
      </c>
      <c r="BC112" s="123">
        <f t="shared" ca="1" si="84"/>
        <v>0</v>
      </c>
      <c r="BD112" s="123">
        <f t="shared" ca="1" si="111"/>
        <v>0</v>
      </c>
      <c r="BE112" s="124">
        <f t="shared" ca="1" si="112"/>
        <v>0</v>
      </c>
      <c r="BF112" s="121"/>
      <c r="BG112" s="123">
        <f t="shared" si="85"/>
        <v>1000000</v>
      </c>
      <c r="BH112" s="123">
        <f t="shared" ca="1" si="113"/>
        <v>1000000</v>
      </c>
      <c r="BI112" s="123">
        <f t="shared" ca="1" si="114"/>
        <v>0</v>
      </c>
      <c r="BJ112" s="123">
        <f t="shared" ca="1" si="115"/>
        <v>0</v>
      </c>
      <c r="BK112" s="123">
        <f t="shared" ca="1" si="72"/>
        <v>1000000</v>
      </c>
      <c r="BL112" s="123">
        <f t="shared" ca="1" si="116"/>
        <v>0</v>
      </c>
      <c r="BM112" s="121"/>
      <c r="BN112" s="126">
        <f ca="1">IF(LiabIntType2="Fixed",LiabFxdRate2,OFFSET(Vectors!$D$6,Vectors!A112,MATCH(LiabLoanIndex2,lstInterestRates,0))+LiabMarg2)</f>
        <v>0.04</v>
      </c>
      <c r="BO112" s="122">
        <f t="shared" ca="1" si="117"/>
        <v>34119.905847872607</v>
      </c>
      <c r="BP112" s="124">
        <f t="shared" ca="1" si="118"/>
        <v>0</v>
      </c>
      <c r="BQ112" s="123">
        <f t="shared" ca="1" si="119"/>
        <v>34119.905847872607</v>
      </c>
      <c r="BR112" s="123">
        <f t="shared" ca="1" si="120"/>
        <v>0</v>
      </c>
      <c r="BS112" s="121"/>
      <c r="BT112" s="123">
        <f t="shared" ca="1" si="86"/>
        <v>38026.764752501585</v>
      </c>
      <c r="BU112" s="123">
        <f t="shared" ca="1" si="121"/>
        <v>0</v>
      </c>
      <c r="BV112" s="123">
        <f t="shared" ca="1" si="122"/>
        <v>38026.764752501585</v>
      </c>
      <c r="BW112" s="123">
        <f t="shared" ca="1" si="123"/>
        <v>0</v>
      </c>
      <c r="BX112" s="121"/>
      <c r="BY112" s="123">
        <f t="shared" si="124"/>
        <v>0</v>
      </c>
      <c r="BZ112" s="123">
        <f t="shared" ca="1" si="125"/>
        <v>0</v>
      </c>
      <c r="CA112" s="121"/>
      <c r="CB112" s="122">
        <f t="shared" ca="1" si="73"/>
        <v>28786828.167991463</v>
      </c>
      <c r="CC112" s="122">
        <f t="shared" ca="1" si="126"/>
        <v>194098.93448212781</v>
      </c>
      <c r="CD112" s="124">
        <f t="shared" ca="1" si="127"/>
        <v>559481.01803245558</v>
      </c>
      <c r="CE112" s="121"/>
      <c r="CF112" s="122">
        <f t="shared" ca="1" si="74"/>
        <v>10235971.754361782</v>
      </c>
      <c r="CG112" s="124">
        <f t="shared" ca="1" si="128"/>
        <v>0</v>
      </c>
      <c r="CH112" s="123">
        <f t="shared" ca="1" si="129"/>
        <v>0</v>
      </c>
      <c r="CI112" s="121"/>
      <c r="CJ112" s="123">
        <f t="shared" ca="1" si="130"/>
        <v>947505.15685489867</v>
      </c>
      <c r="CK112" s="123">
        <f t="shared" ca="1" si="131"/>
        <v>947505.15685489879</v>
      </c>
      <c r="CL112" s="123">
        <f t="shared" ca="1" si="132"/>
        <v>0</v>
      </c>
      <c r="CM112" s="121"/>
      <c r="CN112" s="62">
        <f t="shared" ca="1" si="133"/>
        <v>370887.46867524076</v>
      </c>
      <c r="CO112" s="62" t="b">
        <f t="shared" si="134"/>
        <v>1</v>
      </c>
      <c r="CP112" s="126">
        <f t="shared" ca="1" si="135"/>
        <v>2.9444444444444409E-3</v>
      </c>
      <c r="CQ112" s="120"/>
      <c r="CR112" s="120"/>
      <c r="CS112" s="120"/>
      <c r="CT112" s="120"/>
      <c r="CU112" s="120"/>
      <c r="CV112" s="120"/>
      <c r="CW112" s="120"/>
      <c r="CX112" s="120"/>
      <c r="CY112" s="120"/>
      <c r="CZ112" s="120"/>
      <c r="DA112" s="120"/>
      <c r="DB112" s="120"/>
      <c r="DC112" s="120"/>
      <c r="DD112" s="120"/>
      <c r="DE112" s="116"/>
      <c r="DF112" s="116"/>
      <c r="DG112" s="116"/>
      <c r="DH112" s="116"/>
      <c r="DI112" s="116"/>
      <c r="DJ112" s="116"/>
      <c r="DK112" s="116"/>
      <c r="DL112" s="116"/>
      <c r="DM112" s="116"/>
      <c r="DN112" s="116"/>
    </row>
    <row r="113" spans="1:118" x14ac:dyDescent="0.2">
      <c r="A113" s="27">
        <v>107</v>
      </c>
      <c r="B113" s="29">
        <f t="shared" si="68"/>
        <v>42370</v>
      </c>
      <c r="C113" s="30">
        <f t="shared" si="69"/>
        <v>8.3333333333333329E-2</v>
      </c>
      <c r="D113" s="55"/>
      <c r="E113" s="62">
        <f t="shared" ca="1" si="87"/>
        <v>91202978.361790046</v>
      </c>
      <c r="F113" s="63">
        <f ca="1">IF(AssetIntType1="Fixed",AssetFxdRate1,IF(A113=1,OFFSET(Vectors!$D$6,A113,MATCH(AssetFltIndx1,lstInterestRates,0)),IF(MOD($A113,AssetRateReset1)=0,MAX(MIN(OFFSET(Vectors!$D$6,A113,MATCH(AssetFltIndx1,lstInterestRates,0)),(F112-AssetMarg1)+AssetPdCapFl1,AssetLifeCap1-AssetMarg1),(F112-AssetMarg1)-AssetPdCapFl1,AssetLifeFloor1-AssetMarg1),F112)))+AssetMarg1</f>
        <v>0.09</v>
      </c>
      <c r="G113" s="62">
        <f t="shared" ca="1" si="75"/>
        <v>804622.61694478267</v>
      </c>
      <c r="H113" s="62">
        <f t="shared" ca="1" si="88"/>
        <v>684022.33771342528</v>
      </c>
      <c r="I113" s="62">
        <f t="shared" ca="1" si="89"/>
        <v>120600.27923135739</v>
      </c>
      <c r="J113" s="62">
        <f t="shared" ca="1" si="70"/>
        <v>91082378.082558692</v>
      </c>
      <c r="K113" s="55"/>
      <c r="L113" s="62">
        <f t="shared" ca="1" si="90"/>
        <v>56727186.731712595</v>
      </c>
      <c r="M113" s="68">
        <f ca="1">IF(pdrLossTime1="",OFFSET(Vectors!$AE$6,A113+_Age1,MATCH(SDA_Loss,lstSDA,0)),OFFSET(Vectors!$X$6,A113+_Age1,MATCH(pdrLossTime1,lstDefaultCurve,0)))</f>
        <v>2.7777777777777779E-5</v>
      </c>
      <c r="N113" s="62">
        <f t="shared" ca="1" si="76"/>
        <v>2777.7777777777778</v>
      </c>
      <c r="O113" s="67">
        <f t="shared" ca="1" si="91"/>
        <v>0.9108237808255869</v>
      </c>
      <c r="P113" s="68">
        <f ca="1">OFFSET(Vectors!$L$6,A113+_Age1,MATCH(pdrPrepay1,lstPrepayCurve,0))*pdrPrepayStress1</f>
        <v>5.1430128318229462E-3</v>
      </c>
      <c r="Q113" s="62">
        <f t="shared" ca="1" si="92"/>
        <v>291362.86177931417</v>
      </c>
      <c r="R113" s="62">
        <f t="shared" ca="1" si="93"/>
        <v>75008.291197912622</v>
      </c>
      <c r="S113" s="69">
        <f t="shared" ca="1" si="94"/>
        <v>0.09</v>
      </c>
      <c r="T113" s="62">
        <f t="shared" ca="1" si="95"/>
        <v>425433.06715451111</v>
      </c>
      <c r="U113" s="62">
        <f t="shared" ca="1" si="77"/>
        <v>1111.1111111111111</v>
      </c>
      <c r="V113" s="62">
        <f t="shared" ca="1" si="71"/>
        <v>56358037.80095759</v>
      </c>
      <c r="W113" s="55"/>
      <c r="X113" s="62">
        <f t="shared" ca="1" si="96"/>
        <v>792915.331242849</v>
      </c>
      <c r="Y113" s="55"/>
      <c r="Z113" s="118" t="b">
        <v>0</v>
      </c>
      <c r="AA113" s="120" t="b">
        <f t="shared" si="78"/>
        <v>0</v>
      </c>
      <c r="AB113" s="120" t="b">
        <f t="shared" si="79"/>
        <v>1</v>
      </c>
      <c r="AC113" s="120" t="b">
        <f t="shared" ca="1" si="80"/>
        <v>0</v>
      </c>
      <c r="AD113" s="121"/>
      <c r="AE113" s="129">
        <v>25601096.646099433</v>
      </c>
      <c r="AF113" s="69">
        <f ca="1">IF(Swap_Active="No",0,OFFSET(Vectors!$D$6,Vectors!A113,MATCH(Swap_In,lstInterestRates,0)))</f>
        <v>6.9369000000000056E-2</v>
      </c>
      <c r="AG113" s="62">
        <f t="shared" ca="1" si="97"/>
        <v>147993.53943693941</v>
      </c>
      <c r="AH113" s="69">
        <f ca="1">IF(Swap_Active="No",0,OFFSET(Vectors!$D$6,Vectors!A113,MATCH(Swap_Out,lstInterestRates,0)))</f>
        <v>0.04</v>
      </c>
      <c r="AI113" s="62">
        <f t="shared" ca="1" si="98"/>
        <v>85336.988820331433</v>
      </c>
      <c r="AJ113" s="62">
        <f t="shared" ca="1" si="99"/>
        <v>62656.550616607972</v>
      </c>
      <c r="AK113" s="62">
        <f t="shared" ca="1" si="100"/>
        <v>855571.881859457</v>
      </c>
      <c r="AL113" s="121"/>
      <c r="AM113" s="123">
        <f t="shared" ca="1" si="81"/>
        <v>106539.8229561841</v>
      </c>
      <c r="AN113" s="124">
        <f t="shared" ca="1" si="101"/>
        <v>106539.8229561841</v>
      </c>
      <c r="AO113" s="125">
        <f t="shared" ca="1" si="102"/>
        <v>0</v>
      </c>
      <c r="AP113" s="123">
        <f t="shared" ca="1" si="103"/>
        <v>749032.05890327296</v>
      </c>
      <c r="AQ113" s="121"/>
      <c r="AR113" s="126">
        <f ca="1">IF(LiabIntType1="Fixed",LiabFxdRate1,OFFSET(Vectors!$D$6,Vectors!A113,MATCH(LiabLoanIndex1,lstInterestRates,0))+LiabMarg1)</f>
        <v>7.9369000000000051E-2</v>
      </c>
      <c r="AS113" s="122">
        <f t="shared" ca="1" si="104"/>
        <v>190398.48040544297</v>
      </c>
      <c r="AT113" s="124">
        <f t="shared" ca="1" si="105"/>
        <v>190398.48040544297</v>
      </c>
      <c r="AU113" s="123">
        <f t="shared" ca="1" si="106"/>
        <v>0</v>
      </c>
      <c r="AV113" s="123">
        <f t="shared" ca="1" si="82"/>
        <v>0</v>
      </c>
      <c r="AW113" s="123">
        <f t="shared" ca="1" si="107"/>
        <v>0</v>
      </c>
      <c r="AX113" s="124">
        <f t="shared" ca="1" si="108"/>
        <v>558633.57849782996</v>
      </c>
      <c r="AY113" s="121"/>
      <c r="AZ113" s="122">
        <f t="shared" ca="1" si="83"/>
        <v>558633.57849782996</v>
      </c>
      <c r="BA113" s="124">
        <f t="shared" ca="1" si="109"/>
        <v>558633.57849782996</v>
      </c>
      <c r="BB113" s="123">
        <f t="shared" ca="1" si="110"/>
        <v>0</v>
      </c>
      <c r="BC113" s="123">
        <f t="shared" ca="1" si="84"/>
        <v>0</v>
      </c>
      <c r="BD113" s="123">
        <f t="shared" ca="1" si="111"/>
        <v>0</v>
      </c>
      <c r="BE113" s="124">
        <f t="shared" ca="1" si="112"/>
        <v>0</v>
      </c>
      <c r="BF113" s="121"/>
      <c r="BG113" s="123">
        <f t="shared" si="85"/>
        <v>1000000</v>
      </c>
      <c r="BH113" s="123">
        <f t="shared" ca="1" si="113"/>
        <v>1000000</v>
      </c>
      <c r="BI113" s="123">
        <f t="shared" ca="1" si="114"/>
        <v>0</v>
      </c>
      <c r="BJ113" s="123">
        <f t="shared" ca="1" si="115"/>
        <v>0</v>
      </c>
      <c r="BK113" s="123">
        <f t="shared" ca="1" si="72"/>
        <v>1000000</v>
      </c>
      <c r="BL113" s="123">
        <f t="shared" ca="1" si="116"/>
        <v>0</v>
      </c>
      <c r="BM113" s="121"/>
      <c r="BN113" s="126">
        <f ca="1">IF(LiabIntType2="Fixed",LiabFxdRate2,OFFSET(Vectors!$D$6,Vectors!A113,MATCH(LiabLoanIndex2,lstInterestRates,0))+LiabMarg2)</f>
        <v>0.04</v>
      </c>
      <c r="BO113" s="122">
        <f t="shared" ca="1" si="117"/>
        <v>34119.905847872607</v>
      </c>
      <c r="BP113" s="124">
        <f t="shared" ca="1" si="118"/>
        <v>0</v>
      </c>
      <c r="BQ113" s="123">
        <f t="shared" ca="1" si="119"/>
        <v>34119.905847872607</v>
      </c>
      <c r="BR113" s="123">
        <f t="shared" ca="1" si="120"/>
        <v>0</v>
      </c>
      <c r="BS113" s="121"/>
      <c r="BT113" s="123">
        <f t="shared" ca="1" si="86"/>
        <v>37848.513994280322</v>
      </c>
      <c r="BU113" s="123">
        <f t="shared" ca="1" si="121"/>
        <v>0</v>
      </c>
      <c r="BV113" s="123">
        <f t="shared" ca="1" si="122"/>
        <v>37848.513994280322</v>
      </c>
      <c r="BW113" s="123">
        <f t="shared" ca="1" si="123"/>
        <v>0</v>
      </c>
      <c r="BX113" s="121"/>
      <c r="BY113" s="123">
        <f t="shared" si="124"/>
        <v>0</v>
      </c>
      <c r="BZ113" s="123">
        <f t="shared" ca="1" si="125"/>
        <v>0</v>
      </c>
      <c r="CA113" s="121"/>
      <c r="CB113" s="122">
        <f t="shared" ca="1" si="73"/>
        <v>28228194.589493632</v>
      </c>
      <c r="CC113" s="122">
        <f t="shared" ca="1" si="126"/>
        <v>190398.48040544297</v>
      </c>
      <c r="CD113" s="124">
        <f t="shared" ca="1" si="127"/>
        <v>558633.57849782996</v>
      </c>
      <c r="CE113" s="121"/>
      <c r="CF113" s="122">
        <f t="shared" ca="1" si="74"/>
        <v>10235971.754361782</v>
      </c>
      <c r="CG113" s="124">
        <f t="shared" ca="1" si="128"/>
        <v>0</v>
      </c>
      <c r="CH113" s="123">
        <f t="shared" ca="1" si="129"/>
        <v>0</v>
      </c>
      <c r="CI113" s="121"/>
      <c r="CJ113" s="123">
        <f t="shared" ca="1" si="130"/>
        <v>940908.87067978841</v>
      </c>
      <c r="CK113" s="123">
        <f t="shared" ca="1" si="131"/>
        <v>940908.87067978852</v>
      </c>
      <c r="CL113" s="123">
        <f t="shared" ca="1" si="132"/>
        <v>0</v>
      </c>
      <c r="CM113" s="121"/>
      <c r="CN113" s="62">
        <f t="shared" ca="1" si="133"/>
        <v>369148.93075500452</v>
      </c>
      <c r="CO113" s="62" t="b">
        <f t="shared" si="134"/>
        <v>1</v>
      </c>
      <c r="CP113" s="126">
        <f t="shared" ca="1" si="135"/>
        <v>2.9722222222222185E-3</v>
      </c>
      <c r="CQ113" s="120"/>
      <c r="CR113" s="120"/>
      <c r="CS113" s="120"/>
      <c r="CT113" s="120"/>
      <c r="CU113" s="120"/>
      <c r="CV113" s="120"/>
      <c r="CW113" s="120"/>
      <c r="CX113" s="120"/>
      <c r="CY113" s="120"/>
      <c r="CZ113" s="120"/>
      <c r="DA113" s="120"/>
      <c r="DB113" s="120"/>
      <c r="DC113" s="120"/>
      <c r="DD113" s="120"/>
      <c r="DE113" s="116"/>
      <c r="DF113" s="116"/>
      <c r="DG113" s="116"/>
      <c r="DH113" s="116"/>
      <c r="DI113" s="116"/>
      <c r="DJ113" s="116"/>
      <c r="DK113" s="116"/>
      <c r="DL113" s="116"/>
      <c r="DM113" s="116"/>
      <c r="DN113" s="116"/>
    </row>
    <row r="114" spans="1:118" x14ac:dyDescent="0.2">
      <c r="A114" s="27">
        <v>108</v>
      </c>
      <c r="B114" s="29">
        <f t="shared" si="68"/>
        <v>42401</v>
      </c>
      <c r="C114" s="30">
        <f t="shared" si="69"/>
        <v>8.3333333333333329E-2</v>
      </c>
      <c r="D114" s="55"/>
      <c r="E114" s="62">
        <f t="shared" ca="1" si="87"/>
        <v>91082378.082558692</v>
      </c>
      <c r="F114" s="63">
        <f ca="1">IF(AssetIntType1="Fixed",AssetFxdRate1,IF(A114=1,OFFSET(Vectors!$D$6,A114,MATCH(AssetFltIndx1,lstInterestRates,0)),IF(MOD($A114,AssetRateReset1)=0,MAX(MIN(OFFSET(Vectors!$D$6,A114,MATCH(AssetFltIndx1,lstInterestRates,0)),(F113-AssetMarg1)+AssetPdCapFl1,AssetLifeCap1-AssetMarg1),(F113-AssetMarg1)-AssetPdCapFl1,AssetLifeFloor1-AssetMarg1),F113)))+AssetMarg1</f>
        <v>0.09</v>
      </c>
      <c r="G114" s="62">
        <f t="shared" ca="1" si="75"/>
        <v>804622.61694478267</v>
      </c>
      <c r="H114" s="62">
        <f t="shared" ca="1" si="88"/>
        <v>683117.83561919013</v>
      </c>
      <c r="I114" s="62">
        <f t="shared" ca="1" si="89"/>
        <v>121504.78132559254</v>
      </c>
      <c r="J114" s="62">
        <f t="shared" ca="1" si="70"/>
        <v>90960873.301233098</v>
      </c>
      <c r="K114" s="55"/>
      <c r="L114" s="62">
        <f t="shared" ca="1" si="90"/>
        <v>56358037.80095759</v>
      </c>
      <c r="M114" s="68">
        <f ca="1">IF(pdrLossTime1="",OFFSET(Vectors!$AE$6,A114+_Age1,MATCH(SDA_Loss,lstSDA,0)),OFFSET(Vectors!$X$6,A114+_Age1,MATCH(pdrLossTime1,lstDefaultCurve,0)))</f>
        <v>2.7777777777777779E-5</v>
      </c>
      <c r="N114" s="62">
        <f t="shared" ca="1" si="76"/>
        <v>2777.7777777777778</v>
      </c>
      <c r="O114" s="67">
        <f t="shared" ca="1" si="91"/>
        <v>0.90960873301233103</v>
      </c>
      <c r="P114" s="68">
        <f ca="1">OFFSET(Vectors!$L$6,A114+_Age1,MATCH(pdrPrepay1,lstPrepayCurve,0))*pdrPrepayStress1</f>
        <v>5.1430128318229462E-3</v>
      </c>
      <c r="Q114" s="62">
        <f t="shared" ca="1" si="92"/>
        <v>289463.44870889559</v>
      </c>
      <c r="R114" s="62">
        <f t="shared" ca="1" si="93"/>
        <v>75178.466897914273</v>
      </c>
      <c r="S114" s="69">
        <f t="shared" ca="1" si="94"/>
        <v>0.09</v>
      </c>
      <c r="T114" s="62">
        <f t="shared" ca="1" si="95"/>
        <v>422664.4501738486</v>
      </c>
      <c r="U114" s="62">
        <f t="shared" ca="1" si="77"/>
        <v>1111.1111111111111</v>
      </c>
      <c r="V114" s="62">
        <f t="shared" ca="1" si="71"/>
        <v>55990618.10757301</v>
      </c>
      <c r="W114" s="55"/>
      <c r="X114" s="62">
        <f t="shared" ca="1" si="96"/>
        <v>788417.47689176968</v>
      </c>
      <c r="Y114" s="55"/>
      <c r="Z114" s="118" t="b">
        <v>0</v>
      </c>
      <c r="AA114" s="120" t="b">
        <f t="shared" si="78"/>
        <v>0</v>
      </c>
      <c r="AB114" s="120" t="b">
        <f t="shared" si="79"/>
        <v>1</v>
      </c>
      <c r="AC114" s="120" t="b">
        <f t="shared" ca="1" si="80"/>
        <v>0</v>
      </c>
      <c r="AD114" s="121"/>
      <c r="AE114" s="129">
        <v>25245655.34880605</v>
      </c>
      <c r="AF114" s="69">
        <f ca="1">IF(Swap_Active="No",0,OFFSET(Vectors!$D$6,Vectors!A114,MATCH(Swap_In,lstInterestRates,0)))</f>
        <v>6.9369000000000056E-2</v>
      </c>
      <c r="AG114" s="62">
        <f t="shared" ca="1" si="97"/>
        <v>145938.82215761067</v>
      </c>
      <c r="AH114" s="69">
        <f ca="1">IF(Swap_Active="No",0,OFFSET(Vectors!$D$6,Vectors!A114,MATCH(Swap_Out,lstInterestRates,0)))</f>
        <v>0.04</v>
      </c>
      <c r="AI114" s="62">
        <f t="shared" ca="1" si="98"/>
        <v>84152.184496020171</v>
      </c>
      <c r="AJ114" s="62">
        <f t="shared" ca="1" si="99"/>
        <v>61786.637661590503</v>
      </c>
      <c r="AK114" s="62">
        <f t="shared" ca="1" si="100"/>
        <v>850204.11455336015</v>
      </c>
      <c r="AL114" s="121"/>
      <c r="AM114" s="123">
        <f t="shared" ca="1" si="81"/>
        <v>105691.81074721832</v>
      </c>
      <c r="AN114" s="124">
        <f t="shared" ca="1" si="101"/>
        <v>105691.81074721832</v>
      </c>
      <c r="AO114" s="125">
        <f t="shared" ca="1" si="102"/>
        <v>0</v>
      </c>
      <c r="AP114" s="123">
        <f t="shared" ca="1" si="103"/>
        <v>744512.30380614183</v>
      </c>
      <c r="AQ114" s="121"/>
      <c r="AR114" s="126">
        <f ca="1">IF(LiabIntType1="Fixed",LiabFxdRate1,OFFSET(Vectors!$D$6,Vectors!A114,MATCH(LiabLoanIndex1,lstInterestRates,0))+LiabMarg1)</f>
        <v>7.9369000000000051E-2</v>
      </c>
      <c r="AS114" s="122">
        <f t="shared" ca="1" si="104"/>
        <v>186703.63136446013</v>
      </c>
      <c r="AT114" s="124">
        <f t="shared" ca="1" si="105"/>
        <v>186703.63136446013</v>
      </c>
      <c r="AU114" s="123">
        <f t="shared" ca="1" si="106"/>
        <v>0</v>
      </c>
      <c r="AV114" s="123">
        <f t="shared" ca="1" si="82"/>
        <v>0</v>
      </c>
      <c r="AW114" s="123">
        <f t="shared" ca="1" si="107"/>
        <v>0</v>
      </c>
      <c r="AX114" s="124">
        <f t="shared" ca="1" si="108"/>
        <v>557808.67244168173</v>
      </c>
      <c r="AY114" s="121"/>
      <c r="AZ114" s="122">
        <f t="shared" ca="1" si="83"/>
        <v>557808.67244168173</v>
      </c>
      <c r="BA114" s="124">
        <f t="shared" ca="1" si="109"/>
        <v>557808.67244168173</v>
      </c>
      <c r="BB114" s="123">
        <f t="shared" ca="1" si="110"/>
        <v>0</v>
      </c>
      <c r="BC114" s="123">
        <f t="shared" ca="1" si="84"/>
        <v>0</v>
      </c>
      <c r="BD114" s="123">
        <f t="shared" ca="1" si="111"/>
        <v>0</v>
      </c>
      <c r="BE114" s="124">
        <f t="shared" ca="1" si="112"/>
        <v>0</v>
      </c>
      <c r="BF114" s="121"/>
      <c r="BG114" s="123">
        <f t="shared" si="85"/>
        <v>1000000</v>
      </c>
      <c r="BH114" s="123">
        <f t="shared" ca="1" si="113"/>
        <v>1000000</v>
      </c>
      <c r="BI114" s="123">
        <f t="shared" ca="1" si="114"/>
        <v>0</v>
      </c>
      <c r="BJ114" s="123">
        <f t="shared" ca="1" si="115"/>
        <v>0</v>
      </c>
      <c r="BK114" s="123">
        <f t="shared" ca="1" si="72"/>
        <v>1000000</v>
      </c>
      <c r="BL114" s="123">
        <f t="shared" ca="1" si="116"/>
        <v>0</v>
      </c>
      <c r="BM114" s="121"/>
      <c r="BN114" s="126">
        <f ca="1">IF(LiabIntType2="Fixed",LiabFxdRate2,OFFSET(Vectors!$D$6,Vectors!A114,MATCH(LiabLoanIndex2,lstInterestRates,0))+LiabMarg2)</f>
        <v>0.04</v>
      </c>
      <c r="BO114" s="122">
        <f t="shared" ca="1" si="117"/>
        <v>34119.905847872607</v>
      </c>
      <c r="BP114" s="124">
        <f t="shared" ca="1" si="118"/>
        <v>0</v>
      </c>
      <c r="BQ114" s="123">
        <f t="shared" ca="1" si="119"/>
        <v>34119.905847872607</v>
      </c>
      <c r="BR114" s="123">
        <f t="shared" ca="1" si="120"/>
        <v>0</v>
      </c>
      <c r="BS114" s="121"/>
      <c r="BT114" s="123">
        <f t="shared" ca="1" si="86"/>
        <v>37671.216813221727</v>
      </c>
      <c r="BU114" s="123">
        <f t="shared" ca="1" si="121"/>
        <v>0</v>
      </c>
      <c r="BV114" s="123">
        <f t="shared" ca="1" si="122"/>
        <v>37671.216813221727</v>
      </c>
      <c r="BW114" s="123">
        <f t="shared" ca="1" si="123"/>
        <v>0</v>
      </c>
      <c r="BX114" s="121"/>
      <c r="BY114" s="123">
        <f t="shared" si="124"/>
        <v>0</v>
      </c>
      <c r="BZ114" s="123">
        <f t="shared" ca="1" si="125"/>
        <v>0</v>
      </c>
      <c r="CA114" s="121"/>
      <c r="CB114" s="122">
        <f t="shared" ca="1" si="73"/>
        <v>27670385.917051952</v>
      </c>
      <c r="CC114" s="122">
        <f t="shared" ca="1" si="126"/>
        <v>186703.63136446013</v>
      </c>
      <c r="CD114" s="124">
        <f t="shared" ca="1" si="127"/>
        <v>557808.67244168173</v>
      </c>
      <c r="CE114" s="121"/>
      <c r="CF114" s="122">
        <f t="shared" ca="1" si="74"/>
        <v>10235971.754361782</v>
      </c>
      <c r="CG114" s="124">
        <f t="shared" ca="1" si="128"/>
        <v>0</v>
      </c>
      <c r="CH114" s="123">
        <f t="shared" ca="1" si="129"/>
        <v>0</v>
      </c>
      <c r="CI114" s="121"/>
      <c r="CJ114" s="123">
        <f t="shared" ca="1" si="130"/>
        <v>934356.29904938035</v>
      </c>
      <c r="CK114" s="123">
        <f t="shared" ca="1" si="131"/>
        <v>934356.29904938035</v>
      </c>
      <c r="CL114" s="123">
        <f t="shared" ca="1" si="132"/>
        <v>0</v>
      </c>
      <c r="CM114" s="121"/>
      <c r="CN114" s="62">
        <f t="shared" ca="1" si="133"/>
        <v>367419.69338458765</v>
      </c>
      <c r="CO114" s="62" t="b">
        <f t="shared" si="134"/>
        <v>1</v>
      </c>
      <c r="CP114" s="126">
        <f t="shared" ca="1" si="135"/>
        <v>2.9999999999999962E-3</v>
      </c>
      <c r="CQ114" s="120"/>
      <c r="CR114" s="120"/>
      <c r="CS114" s="120"/>
      <c r="CT114" s="120"/>
      <c r="CU114" s="120"/>
      <c r="CV114" s="120"/>
      <c r="CW114" s="120"/>
      <c r="CX114" s="120"/>
      <c r="CY114" s="120"/>
      <c r="CZ114" s="120"/>
      <c r="DA114" s="120"/>
      <c r="DB114" s="120"/>
      <c r="DC114" s="120"/>
      <c r="DD114" s="120"/>
      <c r="DE114" s="116"/>
      <c r="DF114" s="116"/>
      <c r="DG114" s="116"/>
      <c r="DH114" s="116"/>
      <c r="DI114" s="116"/>
      <c r="DJ114" s="116"/>
      <c r="DK114" s="116"/>
      <c r="DL114" s="116"/>
      <c r="DM114" s="116"/>
      <c r="DN114" s="116"/>
    </row>
    <row r="115" spans="1:118" x14ac:dyDescent="0.2">
      <c r="A115" s="27">
        <v>109</v>
      </c>
      <c r="B115" s="29">
        <f t="shared" si="68"/>
        <v>42430</v>
      </c>
      <c r="C115" s="30">
        <f t="shared" si="69"/>
        <v>8.3333333333333329E-2</v>
      </c>
      <c r="D115" s="55"/>
      <c r="E115" s="62">
        <f t="shared" ca="1" si="87"/>
        <v>90960873.301233098</v>
      </c>
      <c r="F115" s="63">
        <f ca="1">IF(AssetIntType1="Fixed",AssetFxdRate1,IF(A115=1,OFFSET(Vectors!$D$6,A115,MATCH(AssetFltIndx1,lstInterestRates,0)),IF(MOD($A115,AssetRateReset1)=0,MAX(MIN(OFFSET(Vectors!$D$6,A115,MATCH(AssetFltIndx1,lstInterestRates,0)),(F114-AssetMarg1)+AssetPdCapFl1,AssetLifeCap1-AssetMarg1),(F114-AssetMarg1)-AssetPdCapFl1,AssetLifeFloor1-AssetMarg1),F114)))+AssetMarg1</f>
        <v>0.09</v>
      </c>
      <c r="G115" s="62">
        <f t="shared" ca="1" si="75"/>
        <v>804622.61694478267</v>
      </c>
      <c r="H115" s="62">
        <f t="shared" ca="1" si="88"/>
        <v>682206.54975924816</v>
      </c>
      <c r="I115" s="62">
        <f t="shared" ca="1" si="89"/>
        <v>122416.06718553451</v>
      </c>
      <c r="J115" s="62">
        <f t="shared" ca="1" si="70"/>
        <v>90838457.234047562</v>
      </c>
      <c r="K115" s="55"/>
      <c r="L115" s="62">
        <f t="shared" ca="1" si="90"/>
        <v>55990618.10757301</v>
      </c>
      <c r="M115" s="68">
        <f ca="1">IF(pdrLossTime1="",OFFSET(Vectors!$AE$6,A115+_Age1,MATCH(SDA_Loss,lstSDA,0)),OFFSET(Vectors!$X$6,A115+_Age1,MATCH(pdrLossTime1,lstDefaultCurve,0)))</f>
        <v>2.7777777777777779E-5</v>
      </c>
      <c r="N115" s="62">
        <f t="shared" ca="1" si="76"/>
        <v>2777.7777777777778</v>
      </c>
      <c r="O115" s="67">
        <f t="shared" ca="1" si="91"/>
        <v>0.90838457234047565</v>
      </c>
      <c r="P115" s="68">
        <f ca="1">OFFSET(Vectors!$L$6,A115+_Age1,MATCH(pdrPrepay1,lstPrepayCurve,0))*pdrPrepayStress1</f>
        <v>5.1430128318229462E-3</v>
      </c>
      <c r="Q115" s="62">
        <f t="shared" ca="1" si="92"/>
        <v>287572.92726709705</v>
      </c>
      <c r="R115" s="62">
        <f t="shared" ca="1" si="93"/>
        <v>75349.004188731909</v>
      </c>
      <c r="S115" s="69">
        <f t="shared" ca="1" si="94"/>
        <v>0.09</v>
      </c>
      <c r="T115" s="62">
        <f t="shared" ca="1" si="95"/>
        <v>419908.80247346422</v>
      </c>
      <c r="U115" s="62">
        <f t="shared" ca="1" si="77"/>
        <v>1111.1111111111111</v>
      </c>
      <c r="V115" s="62">
        <f t="shared" ca="1" si="71"/>
        <v>55624918.398339406</v>
      </c>
      <c r="W115" s="55"/>
      <c r="X115" s="62">
        <f t="shared" ca="1" si="96"/>
        <v>783941.84504040435</v>
      </c>
      <c r="Y115" s="55"/>
      <c r="Z115" s="118" t="b">
        <v>0</v>
      </c>
      <c r="AA115" s="120" t="b">
        <f t="shared" si="78"/>
        <v>0</v>
      </c>
      <c r="AB115" s="120" t="b">
        <f t="shared" si="79"/>
        <v>1</v>
      </c>
      <c r="AC115" s="120" t="b">
        <f t="shared" ca="1" si="80"/>
        <v>0</v>
      </c>
      <c r="AD115" s="121"/>
      <c r="AE115" s="129">
        <v>24893874.412145477</v>
      </c>
      <c r="AF115" s="69">
        <f ca="1">IF(Swap_Active="No",0,OFFSET(Vectors!$D$6,Vectors!A115,MATCH(Swap_In,lstInterestRates,0)))</f>
        <v>6.9369000000000056E-2</v>
      </c>
      <c r="AG115" s="62">
        <f t="shared" ca="1" si="97"/>
        <v>143905.26450801006</v>
      </c>
      <c r="AH115" s="69">
        <f ca="1">IF(Swap_Active="No",0,OFFSET(Vectors!$D$6,Vectors!A115,MATCH(Swap_Out,lstInterestRates,0)))</f>
        <v>0.04</v>
      </c>
      <c r="AI115" s="62">
        <f t="shared" ca="1" si="98"/>
        <v>82979.581373818248</v>
      </c>
      <c r="AJ115" s="62">
        <f t="shared" ca="1" si="99"/>
        <v>60925.683134191815</v>
      </c>
      <c r="AK115" s="62">
        <f t="shared" ca="1" si="100"/>
        <v>844867.52817459614</v>
      </c>
      <c r="AL115" s="121"/>
      <c r="AM115" s="123">
        <f t="shared" ca="1" si="81"/>
        <v>104847.02431139332</v>
      </c>
      <c r="AN115" s="124">
        <f t="shared" ca="1" si="101"/>
        <v>104847.02431139332</v>
      </c>
      <c r="AO115" s="125">
        <f t="shared" ca="1" si="102"/>
        <v>0</v>
      </c>
      <c r="AP115" s="123">
        <f t="shared" ca="1" si="103"/>
        <v>740020.50386320287</v>
      </c>
      <c r="AQ115" s="121"/>
      <c r="AR115" s="126">
        <f ca="1">IF(LiabIntType1="Fixed",LiabFxdRate1,OFFSET(Vectors!$D$6,Vectors!A115,MATCH(LiabLoanIndex1,lstInterestRates,0))+LiabMarg1)</f>
        <v>7.9369000000000051E-2</v>
      </c>
      <c r="AS115" s="122">
        <f t="shared" ca="1" si="104"/>
        <v>183014.23832087481</v>
      </c>
      <c r="AT115" s="124">
        <f t="shared" ca="1" si="105"/>
        <v>183014.23832087481</v>
      </c>
      <c r="AU115" s="123">
        <f t="shared" ca="1" si="106"/>
        <v>0</v>
      </c>
      <c r="AV115" s="123">
        <f t="shared" ca="1" si="82"/>
        <v>0</v>
      </c>
      <c r="AW115" s="123">
        <f t="shared" ca="1" si="107"/>
        <v>0</v>
      </c>
      <c r="AX115" s="124">
        <f t="shared" ca="1" si="108"/>
        <v>557006.26554232812</v>
      </c>
      <c r="AY115" s="121"/>
      <c r="AZ115" s="122">
        <f t="shared" ca="1" si="83"/>
        <v>557006.26554232812</v>
      </c>
      <c r="BA115" s="124">
        <f t="shared" ca="1" si="109"/>
        <v>557006.26554232812</v>
      </c>
      <c r="BB115" s="123">
        <f t="shared" ca="1" si="110"/>
        <v>0</v>
      </c>
      <c r="BC115" s="123">
        <f t="shared" ca="1" si="84"/>
        <v>0</v>
      </c>
      <c r="BD115" s="123">
        <f t="shared" ca="1" si="111"/>
        <v>0</v>
      </c>
      <c r="BE115" s="124">
        <f t="shared" ca="1" si="112"/>
        <v>0</v>
      </c>
      <c r="BF115" s="121"/>
      <c r="BG115" s="123">
        <f t="shared" si="85"/>
        <v>1000000</v>
      </c>
      <c r="BH115" s="123">
        <f t="shared" ca="1" si="113"/>
        <v>1000000</v>
      </c>
      <c r="BI115" s="123">
        <f t="shared" ca="1" si="114"/>
        <v>0</v>
      </c>
      <c r="BJ115" s="123">
        <f t="shared" ca="1" si="115"/>
        <v>0</v>
      </c>
      <c r="BK115" s="123">
        <f t="shared" ca="1" si="72"/>
        <v>1000000</v>
      </c>
      <c r="BL115" s="123">
        <f t="shared" ca="1" si="116"/>
        <v>0</v>
      </c>
      <c r="BM115" s="121"/>
      <c r="BN115" s="126">
        <f ca="1">IF(LiabIntType2="Fixed",LiabFxdRate2,OFFSET(Vectors!$D$6,Vectors!A115,MATCH(LiabLoanIndex2,lstInterestRates,0))+LiabMarg2)</f>
        <v>0.04</v>
      </c>
      <c r="BO115" s="122">
        <f t="shared" ca="1" si="117"/>
        <v>34119.905847872607</v>
      </c>
      <c r="BP115" s="124">
        <f t="shared" ca="1" si="118"/>
        <v>0</v>
      </c>
      <c r="BQ115" s="123">
        <f t="shared" ca="1" si="119"/>
        <v>34119.905847872607</v>
      </c>
      <c r="BR115" s="123">
        <f t="shared" ca="1" si="120"/>
        <v>0</v>
      </c>
      <c r="BS115" s="121"/>
      <c r="BT115" s="123">
        <f t="shared" ca="1" si="86"/>
        <v>37494.868356583378</v>
      </c>
      <c r="BU115" s="123">
        <f t="shared" ca="1" si="121"/>
        <v>0</v>
      </c>
      <c r="BV115" s="123">
        <f t="shared" ca="1" si="122"/>
        <v>37494.868356583378</v>
      </c>
      <c r="BW115" s="123">
        <f t="shared" ca="1" si="123"/>
        <v>0</v>
      </c>
      <c r="BX115" s="121"/>
      <c r="BY115" s="123">
        <f t="shared" si="124"/>
        <v>0</v>
      </c>
      <c r="BZ115" s="123">
        <f t="shared" ca="1" si="125"/>
        <v>0</v>
      </c>
      <c r="CA115" s="121"/>
      <c r="CB115" s="122">
        <f t="shared" ca="1" si="73"/>
        <v>27113379.651509624</v>
      </c>
      <c r="CC115" s="122">
        <f t="shared" ca="1" si="126"/>
        <v>183014.23832087481</v>
      </c>
      <c r="CD115" s="124">
        <f t="shared" ca="1" si="127"/>
        <v>557006.26554232812</v>
      </c>
      <c r="CE115" s="121"/>
      <c r="CF115" s="122">
        <f t="shared" ca="1" si="74"/>
        <v>10235971.754361782</v>
      </c>
      <c r="CG115" s="124">
        <f t="shared" ca="1" si="128"/>
        <v>0</v>
      </c>
      <c r="CH115" s="123">
        <f t="shared" ca="1" si="129"/>
        <v>0</v>
      </c>
      <c r="CI115" s="121"/>
      <c r="CJ115" s="123">
        <f t="shared" ca="1" si="130"/>
        <v>927847.10954841436</v>
      </c>
      <c r="CK115" s="123">
        <f t="shared" ca="1" si="131"/>
        <v>927847.10954841448</v>
      </c>
      <c r="CL115" s="123">
        <f t="shared" ca="1" si="132"/>
        <v>0</v>
      </c>
      <c r="CM115" s="121"/>
      <c r="CN115" s="62">
        <f t="shared" ca="1" si="133"/>
        <v>365699.7092336067</v>
      </c>
      <c r="CO115" s="62" t="b">
        <f t="shared" si="134"/>
        <v>1</v>
      </c>
      <c r="CP115" s="126">
        <f t="shared" ca="1" si="135"/>
        <v>3.0277777777777738E-3</v>
      </c>
      <c r="CQ115" s="120"/>
      <c r="CR115" s="120"/>
      <c r="CS115" s="120"/>
      <c r="CT115" s="120"/>
      <c r="CU115" s="120"/>
      <c r="CV115" s="120"/>
      <c r="CW115" s="120"/>
      <c r="CX115" s="120"/>
      <c r="CY115" s="120"/>
      <c r="CZ115" s="120"/>
      <c r="DA115" s="120"/>
      <c r="DB115" s="120"/>
      <c r="DC115" s="120"/>
      <c r="DD115" s="120"/>
      <c r="DE115" s="116"/>
      <c r="DF115" s="116"/>
      <c r="DG115" s="116"/>
      <c r="DH115" s="116"/>
      <c r="DI115" s="116"/>
      <c r="DJ115" s="116"/>
      <c r="DK115" s="116"/>
      <c r="DL115" s="116"/>
      <c r="DM115" s="116"/>
      <c r="DN115" s="116"/>
    </row>
    <row r="116" spans="1:118" x14ac:dyDescent="0.2">
      <c r="A116" s="27">
        <v>110</v>
      </c>
      <c r="B116" s="29">
        <f t="shared" si="68"/>
        <v>42461</v>
      </c>
      <c r="C116" s="30">
        <f t="shared" si="69"/>
        <v>8.3333333333333329E-2</v>
      </c>
      <c r="D116" s="55"/>
      <c r="E116" s="62">
        <f t="shared" ca="1" si="87"/>
        <v>90838457.234047562</v>
      </c>
      <c r="F116" s="63">
        <f ca="1">IF(AssetIntType1="Fixed",AssetFxdRate1,IF(A116=1,OFFSET(Vectors!$D$6,A116,MATCH(AssetFltIndx1,lstInterestRates,0)),IF(MOD($A116,AssetRateReset1)=0,MAX(MIN(OFFSET(Vectors!$D$6,A116,MATCH(AssetFltIndx1,lstInterestRates,0)),(F115-AssetMarg1)+AssetPdCapFl1,AssetLifeCap1-AssetMarg1),(F115-AssetMarg1)-AssetPdCapFl1,AssetLifeFloor1-AssetMarg1),F115)))+AssetMarg1</f>
        <v>0.09</v>
      </c>
      <c r="G116" s="62">
        <f t="shared" ca="1" si="75"/>
        <v>804622.61694478267</v>
      </c>
      <c r="H116" s="62">
        <f t="shared" ca="1" si="88"/>
        <v>681288.42925535666</v>
      </c>
      <c r="I116" s="62">
        <f t="shared" ca="1" si="89"/>
        <v>123334.18768942601</v>
      </c>
      <c r="J116" s="62">
        <f t="shared" ca="1" si="70"/>
        <v>90715123.046358138</v>
      </c>
      <c r="K116" s="55"/>
      <c r="L116" s="62">
        <f t="shared" ca="1" si="90"/>
        <v>55624918.398339406</v>
      </c>
      <c r="M116" s="68">
        <f ca="1">IF(pdrLossTime1="",OFFSET(Vectors!$AE$6,A116+_Age1,MATCH(SDA_Loss,lstSDA,0)),OFFSET(Vectors!$X$6,A116+_Age1,MATCH(pdrLossTime1,lstDefaultCurve,0)))</f>
        <v>2.7777777777777779E-5</v>
      </c>
      <c r="N116" s="62">
        <f t="shared" ca="1" si="76"/>
        <v>2777.7777777777778</v>
      </c>
      <c r="O116" s="67">
        <f t="shared" ca="1" si="91"/>
        <v>0.90715123046358137</v>
      </c>
      <c r="P116" s="68">
        <f ca="1">OFFSET(Vectors!$L$6,A116+_Age1,MATCH(pdrPrepay1,lstPrepayCurve,0))*pdrPrepayStress1</f>
        <v>5.1430128318229462E-3</v>
      </c>
      <c r="Q116" s="62">
        <f t="shared" ca="1" si="92"/>
        <v>285691.2498618887</v>
      </c>
      <c r="R116" s="62">
        <f t="shared" ca="1" si="93"/>
        <v>75519.903572436117</v>
      </c>
      <c r="S116" s="69">
        <f t="shared" ca="1" si="94"/>
        <v>0.09</v>
      </c>
      <c r="T116" s="62">
        <f t="shared" ca="1" si="95"/>
        <v>417166.0546542122</v>
      </c>
      <c r="U116" s="62">
        <f t="shared" ca="1" si="77"/>
        <v>1111.1111111111111</v>
      </c>
      <c r="V116" s="62">
        <f t="shared" ca="1" si="71"/>
        <v>55260929.467127308</v>
      </c>
      <c r="W116" s="55"/>
      <c r="X116" s="62">
        <f t="shared" ca="1" si="96"/>
        <v>779488.3191996481</v>
      </c>
      <c r="Y116" s="55"/>
      <c r="Z116" s="118" t="b">
        <v>0</v>
      </c>
      <c r="AA116" s="120" t="b">
        <f t="shared" si="78"/>
        <v>0</v>
      </c>
      <c r="AB116" s="120" t="b">
        <f t="shared" si="79"/>
        <v>1</v>
      </c>
      <c r="AC116" s="120" t="b">
        <f t="shared" ca="1" si="80"/>
        <v>0</v>
      </c>
      <c r="AD116" s="121"/>
      <c r="AE116" s="129">
        <v>24545716.959696166</v>
      </c>
      <c r="AF116" s="69">
        <f ca="1">IF(Swap_Active="No",0,OFFSET(Vectors!$D$6,Vectors!A116,MATCH(Swap_In,lstInterestRates,0)))</f>
        <v>6.9369000000000056E-2</v>
      </c>
      <c r="AG116" s="62">
        <f t="shared" ca="1" si="97"/>
        <v>141892.65331476371</v>
      </c>
      <c r="AH116" s="69">
        <f ca="1">IF(Swap_Active="No",0,OFFSET(Vectors!$D$6,Vectors!A116,MATCH(Swap_Out,lstInterestRates,0)))</f>
        <v>0.04</v>
      </c>
      <c r="AI116" s="62">
        <f t="shared" ca="1" si="98"/>
        <v>81819.056532320552</v>
      </c>
      <c r="AJ116" s="62">
        <f t="shared" ca="1" si="99"/>
        <v>60073.596782443157</v>
      </c>
      <c r="AK116" s="62">
        <f t="shared" ca="1" si="100"/>
        <v>839561.91598209122</v>
      </c>
      <c r="AL116" s="121"/>
      <c r="AM116" s="123">
        <f t="shared" ca="1" si="81"/>
        <v>104005.43885202802</v>
      </c>
      <c r="AN116" s="124">
        <f t="shared" ca="1" si="101"/>
        <v>104005.43885202802</v>
      </c>
      <c r="AO116" s="125">
        <f t="shared" ca="1" si="102"/>
        <v>0</v>
      </c>
      <c r="AP116" s="123">
        <f t="shared" ca="1" si="103"/>
        <v>735556.47713006323</v>
      </c>
      <c r="AQ116" s="121"/>
      <c r="AR116" s="126">
        <f ca="1">IF(LiabIntType1="Fixed",LiabFxdRate1,OFFSET(Vectors!$D$6,Vectors!A116,MATCH(LiabLoanIndex1,lstInterestRates,0))+LiabMarg1)</f>
        <v>7.9369000000000051E-2</v>
      </c>
      <c r="AS116" s="122">
        <f t="shared" ca="1" si="104"/>
        <v>179330.15246338907</v>
      </c>
      <c r="AT116" s="124">
        <f t="shared" ca="1" si="105"/>
        <v>179330.15246338907</v>
      </c>
      <c r="AU116" s="123">
        <f t="shared" ca="1" si="106"/>
        <v>0</v>
      </c>
      <c r="AV116" s="123">
        <f t="shared" ca="1" si="82"/>
        <v>0</v>
      </c>
      <c r="AW116" s="123">
        <f t="shared" ca="1" si="107"/>
        <v>0</v>
      </c>
      <c r="AX116" s="124">
        <f t="shared" ca="1" si="108"/>
        <v>556226.32466667413</v>
      </c>
      <c r="AY116" s="121"/>
      <c r="AZ116" s="122">
        <f t="shared" ca="1" si="83"/>
        <v>556226.32466667413</v>
      </c>
      <c r="BA116" s="124">
        <f t="shared" ca="1" si="109"/>
        <v>556226.32466667413</v>
      </c>
      <c r="BB116" s="123">
        <f t="shared" ca="1" si="110"/>
        <v>0</v>
      </c>
      <c r="BC116" s="123">
        <f t="shared" ca="1" si="84"/>
        <v>0</v>
      </c>
      <c r="BD116" s="123">
        <f t="shared" ca="1" si="111"/>
        <v>0</v>
      </c>
      <c r="BE116" s="124">
        <f t="shared" ca="1" si="112"/>
        <v>0</v>
      </c>
      <c r="BF116" s="121"/>
      <c r="BG116" s="123">
        <f t="shared" si="85"/>
        <v>1000000</v>
      </c>
      <c r="BH116" s="123">
        <f t="shared" ca="1" si="113"/>
        <v>1000000</v>
      </c>
      <c r="BI116" s="123">
        <f t="shared" ca="1" si="114"/>
        <v>0</v>
      </c>
      <c r="BJ116" s="123">
        <f t="shared" ca="1" si="115"/>
        <v>0</v>
      </c>
      <c r="BK116" s="123">
        <f t="shared" ca="1" si="72"/>
        <v>1000000</v>
      </c>
      <c r="BL116" s="123">
        <f t="shared" ca="1" si="116"/>
        <v>0</v>
      </c>
      <c r="BM116" s="121"/>
      <c r="BN116" s="126">
        <f ca="1">IF(LiabIntType2="Fixed",LiabFxdRate2,OFFSET(Vectors!$D$6,Vectors!A116,MATCH(LiabLoanIndex2,lstInterestRates,0))+LiabMarg2)</f>
        <v>0.04</v>
      </c>
      <c r="BO116" s="122">
        <f t="shared" ca="1" si="117"/>
        <v>34119.905847872607</v>
      </c>
      <c r="BP116" s="124">
        <f t="shared" ca="1" si="118"/>
        <v>0</v>
      </c>
      <c r="BQ116" s="123">
        <f t="shared" ca="1" si="119"/>
        <v>34119.905847872607</v>
      </c>
      <c r="BR116" s="123">
        <f t="shared" ca="1" si="120"/>
        <v>0</v>
      </c>
      <c r="BS116" s="121"/>
      <c r="BT116" s="123">
        <f t="shared" ca="1" si="86"/>
        <v>37319.463796273332</v>
      </c>
      <c r="BU116" s="123">
        <f t="shared" ca="1" si="121"/>
        <v>0</v>
      </c>
      <c r="BV116" s="123">
        <f t="shared" ca="1" si="122"/>
        <v>37319.463796273332</v>
      </c>
      <c r="BW116" s="123">
        <f t="shared" ca="1" si="123"/>
        <v>0</v>
      </c>
      <c r="BX116" s="121"/>
      <c r="BY116" s="123">
        <f t="shared" si="124"/>
        <v>0</v>
      </c>
      <c r="BZ116" s="123">
        <f t="shared" ca="1" si="125"/>
        <v>0</v>
      </c>
      <c r="CA116" s="121"/>
      <c r="CB116" s="122">
        <f t="shared" ca="1" si="73"/>
        <v>26557153.326842949</v>
      </c>
      <c r="CC116" s="122">
        <f t="shared" ca="1" si="126"/>
        <v>179330.15246338907</v>
      </c>
      <c r="CD116" s="124">
        <f t="shared" ca="1" si="127"/>
        <v>556226.32466667413</v>
      </c>
      <c r="CE116" s="121"/>
      <c r="CF116" s="122">
        <f t="shared" ca="1" si="74"/>
        <v>10235971.754361782</v>
      </c>
      <c r="CG116" s="124">
        <f t="shared" ca="1" si="128"/>
        <v>0</v>
      </c>
      <c r="CH116" s="123">
        <f t="shared" ca="1" si="129"/>
        <v>0</v>
      </c>
      <c r="CI116" s="121"/>
      <c r="CJ116" s="123">
        <f t="shared" ca="1" si="130"/>
        <v>921380.97251441178</v>
      </c>
      <c r="CK116" s="123">
        <f t="shared" ca="1" si="131"/>
        <v>921380.97251441178</v>
      </c>
      <c r="CL116" s="123">
        <f t="shared" ca="1" si="132"/>
        <v>0</v>
      </c>
      <c r="CM116" s="121"/>
      <c r="CN116" s="62">
        <f t="shared" ca="1" si="133"/>
        <v>363988.93121210259</v>
      </c>
      <c r="CO116" s="62" t="b">
        <f t="shared" si="134"/>
        <v>1</v>
      </c>
      <c r="CP116" s="126">
        <f t="shared" ca="1" si="135"/>
        <v>3.0555555555555514E-3</v>
      </c>
      <c r="CQ116" s="120"/>
      <c r="CR116" s="120"/>
      <c r="CS116" s="120"/>
      <c r="CT116" s="120"/>
      <c r="CU116" s="120"/>
      <c r="CV116" s="120"/>
      <c r="CW116" s="120"/>
      <c r="CX116" s="120"/>
      <c r="CY116" s="120"/>
      <c r="CZ116" s="120"/>
      <c r="DA116" s="120"/>
      <c r="DB116" s="120"/>
      <c r="DC116" s="120"/>
      <c r="DD116" s="120"/>
      <c r="DE116" s="116"/>
      <c r="DF116" s="116"/>
      <c r="DG116" s="116"/>
      <c r="DH116" s="116"/>
      <c r="DI116" s="116"/>
      <c r="DJ116" s="116"/>
      <c r="DK116" s="116"/>
      <c r="DL116" s="116"/>
      <c r="DM116" s="116"/>
      <c r="DN116" s="116"/>
    </row>
    <row r="117" spans="1:118" x14ac:dyDescent="0.2">
      <c r="A117" s="27">
        <v>111</v>
      </c>
      <c r="B117" s="29">
        <f t="shared" si="68"/>
        <v>42491</v>
      </c>
      <c r="C117" s="30">
        <f t="shared" si="69"/>
        <v>8.3333333333333329E-2</v>
      </c>
      <c r="D117" s="55"/>
      <c r="E117" s="62">
        <f t="shared" ca="1" si="87"/>
        <v>90715123.046358138</v>
      </c>
      <c r="F117" s="63">
        <f ca="1">IF(AssetIntType1="Fixed",AssetFxdRate1,IF(A117=1,OFFSET(Vectors!$D$6,A117,MATCH(AssetFltIndx1,lstInterestRates,0)),IF(MOD($A117,AssetRateReset1)=0,MAX(MIN(OFFSET(Vectors!$D$6,A117,MATCH(AssetFltIndx1,lstInterestRates,0)),(F116-AssetMarg1)+AssetPdCapFl1,AssetLifeCap1-AssetMarg1),(F116-AssetMarg1)-AssetPdCapFl1,AssetLifeFloor1-AssetMarg1),F116)))+AssetMarg1</f>
        <v>0.09</v>
      </c>
      <c r="G117" s="62">
        <f t="shared" ca="1" si="75"/>
        <v>804622.61694478267</v>
      </c>
      <c r="H117" s="62">
        <f t="shared" ca="1" si="88"/>
        <v>680363.42284768599</v>
      </c>
      <c r="I117" s="62">
        <f t="shared" ca="1" si="89"/>
        <v>124259.19409709668</v>
      </c>
      <c r="J117" s="62">
        <f t="shared" ca="1" si="70"/>
        <v>90590863.852261037</v>
      </c>
      <c r="K117" s="55"/>
      <c r="L117" s="62">
        <f t="shared" ca="1" si="90"/>
        <v>55260929.467127308</v>
      </c>
      <c r="M117" s="68">
        <f ca="1">IF(pdrLossTime1="",OFFSET(Vectors!$AE$6,A117+_Age1,MATCH(SDA_Loss,lstSDA,0)),OFFSET(Vectors!$X$6,A117+_Age1,MATCH(pdrLossTime1,lstDefaultCurve,0)))</f>
        <v>2.7777777777777779E-5</v>
      </c>
      <c r="N117" s="62">
        <f t="shared" ca="1" si="76"/>
        <v>2777.7777777777778</v>
      </c>
      <c r="O117" s="67">
        <f t="shared" ca="1" si="91"/>
        <v>0.90590863852261039</v>
      </c>
      <c r="P117" s="68">
        <f ca="1">OFFSET(Vectors!$L$6,A117+_Age1,MATCH(pdrPrepay1,lstPrepayCurve,0))*pdrPrepayStress1</f>
        <v>5.1430128318229462E-3</v>
      </c>
      <c r="Q117" s="62">
        <f t="shared" ca="1" si="92"/>
        <v>283818.36914344045</v>
      </c>
      <c r="R117" s="62">
        <f t="shared" ca="1" si="93"/>
        <v>75691.165548052115</v>
      </c>
      <c r="S117" s="69">
        <f t="shared" ca="1" si="94"/>
        <v>0.09</v>
      </c>
      <c r="T117" s="62">
        <f t="shared" ca="1" si="95"/>
        <v>414436.13767012145</v>
      </c>
      <c r="U117" s="62">
        <f t="shared" ca="1" si="77"/>
        <v>1111.1111111111111</v>
      </c>
      <c r="V117" s="62">
        <f t="shared" ca="1" si="71"/>
        <v>54898642.154658042</v>
      </c>
      <c r="W117" s="55"/>
      <c r="X117" s="62">
        <f t="shared" ca="1" si="96"/>
        <v>775056.78347272507</v>
      </c>
      <c r="Y117" s="55"/>
      <c r="Z117" s="118" t="b">
        <v>0</v>
      </c>
      <c r="AA117" s="120" t="b">
        <f t="shared" si="78"/>
        <v>0</v>
      </c>
      <c r="AB117" s="120" t="b">
        <f t="shared" si="79"/>
        <v>1</v>
      </c>
      <c r="AC117" s="120" t="b">
        <f t="shared" ca="1" si="80"/>
        <v>0</v>
      </c>
      <c r="AD117" s="121"/>
      <c r="AE117" s="129">
        <v>24201146.484503273</v>
      </c>
      <c r="AF117" s="69">
        <f ca="1">IF(Swap_Active="No",0,OFFSET(Vectors!$D$6,Vectors!A117,MATCH(Swap_In,lstInterestRates,0)))</f>
        <v>6.9369000000000056E-2</v>
      </c>
      <c r="AG117" s="62">
        <f t="shared" ca="1" si="97"/>
        <v>139900.77754029242</v>
      </c>
      <c r="AH117" s="69">
        <f ca="1">IF(Swap_Active="No",0,OFFSET(Vectors!$D$6,Vectors!A117,MATCH(Swap_Out,lstInterestRates,0)))</f>
        <v>0.04</v>
      </c>
      <c r="AI117" s="62">
        <f t="shared" ca="1" si="98"/>
        <v>80670.488281677564</v>
      </c>
      <c r="AJ117" s="62">
        <f t="shared" ca="1" si="99"/>
        <v>59230.289258614852</v>
      </c>
      <c r="AK117" s="62">
        <f t="shared" ca="1" si="100"/>
        <v>834287.07273133995</v>
      </c>
      <c r="AL117" s="121"/>
      <c r="AM117" s="123">
        <f t="shared" ca="1" si="81"/>
        <v>103167.02966473006</v>
      </c>
      <c r="AN117" s="124">
        <f t="shared" ca="1" si="101"/>
        <v>103167.02966473006</v>
      </c>
      <c r="AO117" s="125">
        <f t="shared" ca="1" si="102"/>
        <v>0</v>
      </c>
      <c r="AP117" s="123">
        <f t="shared" ca="1" si="103"/>
        <v>731120.04306660988</v>
      </c>
      <c r="AQ117" s="121"/>
      <c r="AR117" s="126">
        <f ca="1">IF(LiabIntType1="Fixed",LiabFxdRate1,OFFSET(Vectors!$D$6,Vectors!A117,MATCH(LiabLoanIndex1,lstInterestRates,0))+LiabMarg1)</f>
        <v>7.9369000000000051E-2</v>
      </c>
      <c r="AS117" s="122">
        <f t="shared" ca="1" si="104"/>
        <v>175651.22519984993</v>
      </c>
      <c r="AT117" s="124">
        <f t="shared" ca="1" si="105"/>
        <v>175651.22519984993</v>
      </c>
      <c r="AU117" s="123">
        <f t="shared" ca="1" si="106"/>
        <v>0</v>
      </c>
      <c r="AV117" s="123">
        <f t="shared" ca="1" si="82"/>
        <v>0</v>
      </c>
      <c r="AW117" s="123">
        <f t="shared" ca="1" si="107"/>
        <v>0</v>
      </c>
      <c r="AX117" s="124">
        <f t="shared" ca="1" si="108"/>
        <v>555468.81786675996</v>
      </c>
      <c r="AY117" s="121"/>
      <c r="AZ117" s="122">
        <f t="shared" ca="1" si="83"/>
        <v>555468.81786675996</v>
      </c>
      <c r="BA117" s="124">
        <f t="shared" ca="1" si="109"/>
        <v>555468.81786675996</v>
      </c>
      <c r="BB117" s="123">
        <f t="shared" ca="1" si="110"/>
        <v>0</v>
      </c>
      <c r="BC117" s="123">
        <f t="shared" ca="1" si="84"/>
        <v>0</v>
      </c>
      <c r="BD117" s="123">
        <f t="shared" ca="1" si="111"/>
        <v>0</v>
      </c>
      <c r="BE117" s="124">
        <f t="shared" ca="1" si="112"/>
        <v>0</v>
      </c>
      <c r="BF117" s="121"/>
      <c r="BG117" s="123">
        <f t="shared" si="85"/>
        <v>1000000</v>
      </c>
      <c r="BH117" s="123">
        <f t="shared" ca="1" si="113"/>
        <v>1000000</v>
      </c>
      <c r="BI117" s="123">
        <f t="shared" ca="1" si="114"/>
        <v>0</v>
      </c>
      <c r="BJ117" s="123">
        <f t="shared" ca="1" si="115"/>
        <v>0</v>
      </c>
      <c r="BK117" s="123">
        <f t="shared" ca="1" si="72"/>
        <v>1000000</v>
      </c>
      <c r="BL117" s="123">
        <f t="shared" ca="1" si="116"/>
        <v>0</v>
      </c>
      <c r="BM117" s="121"/>
      <c r="BN117" s="126">
        <f ca="1">IF(LiabIntType2="Fixed",LiabFxdRate2,OFFSET(Vectors!$D$6,Vectors!A117,MATCH(LiabLoanIndex2,lstInterestRates,0))+LiabMarg2)</f>
        <v>0.04</v>
      </c>
      <c r="BO117" s="122">
        <f t="shared" ca="1" si="117"/>
        <v>34119.905847872607</v>
      </c>
      <c r="BP117" s="124">
        <f t="shared" ca="1" si="118"/>
        <v>0</v>
      </c>
      <c r="BQ117" s="123">
        <f t="shared" ca="1" si="119"/>
        <v>34119.905847872607</v>
      </c>
      <c r="BR117" s="123">
        <f t="shared" ca="1" si="120"/>
        <v>0</v>
      </c>
      <c r="BS117" s="121"/>
      <c r="BT117" s="123">
        <f t="shared" ca="1" si="86"/>
        <v>37144.998328719914</v>
      </c>
      <c r="BU117" s="123">
        <f t="shared" ca="1" si="121"/>
        <v>0</v>
      </c>
      <c r="BV117" s="123">
        <f t="shared" ca="1" si="122"/>
        <v>37144.998328719914</v>
      </c>
      <c r="BW117" s="123">
        <f t="shared" ca="1" si="123"/>
        <v>0</v>
      </c>
      <c r="BX117" s="121"/>
      <c r="BY117" s="123">
        <f t="shared" si="124"/>
        <v>0</v>
      </c>
      <c r="BZ117" s="123">
        <f t="shared" ca="1" si="125"/>
        <v>0</v>
      </c>
      <c r="CA117" s="121"/>
      <c r="CB117" s="122">
        <f t="shared" ca="1" si="73"/>
        <v>26001684.508976188</v>
      </c>
      <c r="CC117" s="122">
        <f t="shared" ca="1" si="126"/>
        <v>175651.22519984993</v>
      </c>
      <c r="CD117" s="124">
        <f t="shared" ca="1" si="127"/>
        <v>555468.81786675996</v>
      </c>
      <c r="CE117" s="121"/>
      <c r="CF117" s="122">
        <f t="shared" ca="1" si="74"/>
        <v>10235971.754361782</v>
      </c>
      <c r="CG117" s="124">
        <f t="shared" ca="1" si="128"/>
        <v>0</v>
      </c>
      <c r="CH117" s="123">
        <f t="shared" ca="1" si="129"/>
        <v>0</v>
      </c>
      <c r="CI117" s="121"/>
      <c r="CJ117" s="123">
        <f t="shared" ca="1" si="130"/>
        <v>914957.56101301755</v>
      </c>
      <c r="CK117" s="123">
        <f t="shared" ca="1" si="131"/>
        <v>914957.56101301755</v>
      </c>
      <c r="CL117" s="123">
        <f t="shared" ca="1" si="132"/>
        <v>0</v>
      </c>
      <c r="CM117" s="121"/>
      <c r="CN117" s="62">
        <f t="shared" ca="1" si="133"/>
        <v>362287.31246927031</v>
      </c>
      <c r="CO117" s="62" t="b">
        <f t="shared" si="134"/>
        <v>1</v>
      </c>
      <c r="CP117" s="126">
        <f t="shared" ca="1" si="135"/>
        <v>3.083333333333329E-3</v>
      </c>
      <c r="CQ117" s="120"/>
      <c r="CR117" s="120"/>
      <c r="CS117" s="120"/>
      <c r="CT117" s="120"/>
      <c r="CU117" s="120"/>
      <c r="CV117" s="120"/>
      <c r="CW117" s="120"/>
      <c r="CX117" s="120"/>
      <c r="CY117" s="120"/>
      <c r="CZ117" s="120"/>
      <c r="DA117" s="120"/>
      <c r="DB117" s="120"/>
      <c r="DC117" s="120"/>
      <c r="DD117" s="120"/>
      <c r="DE117" s="116"/>
      <c r="DF117" s="116"/>
      <c r="DG117" s="116"/>
      <c r="DH117" s="116"/>
      <c r="DI117" s="116"/>
      <c r="DJ117" s="116"/>
      <c r="DK117" s="116"/>
      <c r="DL117" s="116"/>
      <c r="DM117" s="116"/>
      <c r="DN117" s="116"/>
    </row>
    <row r="118" spans="1:118" x14ac:dyDescent="0.2">
      <c r="A118" s="27">
        <v>112</v>
      </c>
      <c r="B118" s="29">
        <f t="shared" si="68"/>
        <v>42522</v>
      </c>
      <c r="C118" s="30">
        <f t="shared" si="69"/>
        <v>8.3333333333333329E-2</v>
      </c>
      <c r="D118" s="55"/>
      <c r="E118" s="62">
        <f t="shared" ca="1" si="87"/>
        <v>90590863.852261037</v>
      </c>
      <c r="F118" s="63">
        <f ca="1">IF(AssetIntType1="Fixed",AssetFxdRate1,IF(A118=1,OFFSET(Vectors!$D$6,A118,MATCH(AssetFltIndx1,lstInterestRates,0)),IF(MOD($A118,AssetRateReset1)=0,MAX(MIN(OFFSET(Vectors!$D$6,A118,MATCH(AssetFltIndx1,lstInterestRates,0)),(F117-AssetMarg1)+AssetPdCapFl1,AssetLifeCap1-AssetMarg1),(F117-AssetMarg1)-AssetPdCapFl1,AssetLifeFloor1-AssetMarg1),F117)))+AssetMarg1</f>
        <v>0.09</v>
      </c>
      <c r="G118" s="62">
        <f t="shared" ca="1" si="75"/>
        <v>804622.61694478267</v>
      </c>
      <c r="H118" s="62">
        <f t="shared" ca="1" si="88"/>
        <v>679431.47889195778</v>
      </c>
      <c r="I118" s="62">
        <f t="shared" ca="1" si="89"/>
        <v>125191.13805282488</v>
      </c>
      <c r="J118" s="62">
        <f t="shared" ca="1" si="70"/>
        <v>90465672.714208215</v>
      </c>
      <c r="K118" s="55"/>
      <c r="L118" s="62">
        <f t="shared" ca="1" si="90"/>
        <v>54898642.154658042</v>
      </c>
      <c r="M118" s="68">
        <f ca="1">IF(pdrLossTime1="",OFFSET(Vectors!$AE$6,A118+_Age1,MATCH(SDA_Loss,lstSDA,0)),OFFSET(Vectors!$X$6,A118+_Age1,MATCH(pdrLossTime1,lstDefaultCurve,0)))</f>
        <v>2.7777777777777779E-5</v>
      </c>
      <c r="N118" s="62">
        <f t="shared" ca="1" si="76"/>
        <v>2777.7777777777778</v>
      </c>
      <c r="O118" s="67">
        <f t="shared" ca="1" si="91"/>
        <v>0.90465672714208212</v>
      </c>
      <c r="P118" s="68">
        <f ca="1">OFFSET(Vectors!$L$6,A118+_Age1,MATCH(pdrPrepay1,lstPrepayCurve,0))*pdrPrepayStress1</f>
        <v>5.1430128318229462E-3</v>
      </c>
      <c r="Q118" s="62">
        <f t="shared" ca="1" si="92"/>
        <v>281954.23800289223</v>
      </c>
      <c r="R118" s="62">
        <f t="shared" ca="1" si="93"/>
        <v>75862.790611456934</v>
      </c>
      <c r="S118" s="69">
        <f t="shared" ca="1" si="94"/>
        <v>0.09</v>
      </c>
      <c r="T118" s="62">
        <f t="shared" ca="1" si="95"/>
        <v>411718.982826602</v>
      </c>
      <c r="U118" s="62">
        <f t="shared" ca="1" si="77"/>
        <v>1111.1111111111111</v>
      </c>
      <c r="V118" s="62">
        <f t="shared" ca="1" si="71"/>
        <v>54538047.348265924</v>
      </c>
      <c r="W118" s="55"/>
      <c r="X118" s="62">
        <f t="shared" ca="1" si="96"/>
        <v>770647.12255206227</v>
      </c>
      <c r="Y118" s="55"/>
      <c r="Z118" s="118" t="b">
        <v>0</v>
      </c>
      <c r="AA118" s="120" t="b">
        <f t="shared" si="78"/>
        <v>0</v>
      </c>
      <c r="AB118" s="120" t="b">
        <f t="shared" si="79"/>
        <v>1</v>
      </c>
      <c r="AC118" s="120" t="b">
        <f t="shared" ca="1" si="80"/>
        <v>0</v>
      </c>
      <c r="AD118" s="121"/>
      <c r="AE118" s="129">
        <v>23860126.845382206</v>
      </c>
      <c r="AF118" s="69">
        <f ca="1">IF(Swap_Active="No",0,OFFSET(Vectors!$D$6,Vectors!A118,MATCH(Swap_In,lstInterestRates,0)))</f>
        <v>6.9369000000000056E-2</v>
      </c>
      <c r="AG118" s="62">
        <f t="shared" ca="1" si="97"/>
        <v>137929.42826144327</v>
      </c>
      <c r="AH118" s="69">
        <f ca="1">IF(Swap_Active="No",0,OFFSET(Vectors!$D$6,Vectors!A118,MATCH(Swap_Out,lstInterestRates,0)))</f>
        <v>0.04</v>
      </c>
      <c r="AI118" s="62">
        <f t="shared" ca="1" si="98"/>
        <v>79533.756151274021</v>
      </c>
      <c r="AJ118" s="62">
        <f t="shared" ca="1" si="99"/>
        <v>58395.672110169253</v>
      </c>
      <c r="AK118" s="62">
        <f t="shared" ca="1" si="100"/>
        <v>829042.79466223158</v>
      </c>
      <c r="AL118" s="121"/>
      <c r="AM118" s="123">
        <f t="shared" ca="1" si="81"/>
        <v>102331.77213650348</v>
      </c>
      <c r="AN118" s="124">
        <f t="shared" ca="1" si="101"/>
        <v>102331.77213650348</v>
      </c>
      <c r="AO118" s="125">
        <f t="shared" ca="1" si="102"/>
        <v>0</v>
      </c>
      <c r="AP118" s="123">
        <f t="shared" ca="1" si="103"/>
        <v>726711.0225257281</v>
      </c>
      <c r="AQ118" s="121"/>
      <c r="AR118" s="126">
        <f ca="1">IF(LiabIntType1="Fixed",LiabFxdRate1,OFFSET(Vectors!$D$6,Vectors!A118,MATCH(LiabLoanIndex1,lstInterestRates,0))+LiabMarg1)</f>
        <v>7.9369000000000051E-2</v>
      </c>
      <c r="AS118" s="122">
        <f t="shared" ca="1" si="104"/>
        <v>171977.30814941102</v>
      </c>
      <c r="AT118" s="124">
        <f t="shared" ca="1" si="105"/>
        <v>171977.30814941102</v>
      </c>
      <c r="AU118" s="123">
        <f t="shared" ca="1" si="106"/>
        <v>0</v>
      </c>
      <c r="AV118" s="123">
        <f t="shared" ca="1" si="82"/>
        <v>0</v>
      </c>
      <c r="AW118" s="123">
        <f t="shared" ca="1" si="107"/>
        <v>0</v>
      </c>
      <c r="AX118" s="124">
        <f t="shared" ca="1" si="108"/>
        <v>554733.7143763171</v>
      </c>
      <c r="AY118" s="121"/>
      <c r="AZ118" s="122">
        <f t="shared" ca="1" si="83"/>
        <v>554733.7143763171</v>
      </c>
      <c r="BA118" s="124">
        <f t="shared" ca="1" si="109"/>
        <v>554733.7143763171</v>
      </c>
      <c r="BB118" s="123">
        <f t="shared" ca="1" si="110"/>
        <v>0</v>
      </c>
      <c r="BC118" s="123">
        <f t="shared" ca="1" si="84"/>
        <v>0</v>
      </c>
      <c r="BD118" s="123">
        <f t="shared" ca="1" si="111"/>
        <v>0</v>
      </c>
      <c r="BE118" s="124">
        <f t="shared" ca="1" si="112"/>
        <v>0</v>
      </c>
      <c r="BF118" s="121"/>
      <c r="BG118" s="123">
        <f t="shared" si="85"/>
        <v>1000000</v>
      </c>
      <c r="BH118" s="123">
        <f t="shared" ca="1" si="113"/>
        <v>1000000</v>
      </c>
      <c r="BI118" s="123">
        <f t="shared" ca="1" si="114"/>
        <v>0</v>
      </c>
      <c r="BJ118" s="123">
        <f t="shared" ca="1" si="115"/>
        <v>0</v>
      </c>
      <c r="BK118" s="123">
        <f t="shared" ca="1" si="72"/>
        <v>1000000</v>
      </c>
      <c r="BL118" s="123">
        <f t="shared" ca="1" si="116"/>
        <v>0</v>
      </c>
      <c r="BM118" s="121"/>
      <c r="BN118" s="126">
        <f ca="1">IF(LiabIntType2="Fixed",LiabFxdRate2,OFFSET(Vectors!$D$6,Vectors!A118,MATCH(LiabLoanIndex2,lstInterestRates,0))+LiabMarg2)</f>
        <v>0.04</v>
      </c>
      <c r="BO118" s="122">
        <f t="shared" ca="1" si="117"/>
        <v>34119.905847872607</v>
      </c>
      <c r="BP118" s="124">
        <f t="shared" ca="1" si="118"/>
        <v>0</v>
      </c>
      <c r="BQ118" s="123">
        <f t="shared" ca="1" si="119"/>
        <v>34119.905847872607</v>
      </c>
      <c r="BR118" s="123">
        <f t="shared" ca="1" si="120"/>
        <v>0</v>
      </c>
      <c r="BS118" s="121"/>
      <c r="BT118" s="123">
        <f t="shared" ca="1" si="86"/>
        <v>36971.467174735124</v>
      </c>
      <c r="BU118" s="123">
        <f t="shared" ca="1" si="121"/>
        <v>0</v>
      </c>
      <c r="BV118" s="123">
        <f t="shared" ca="1" si="122"/>
        <v>36971.467174735124</v>
      </c>
      <c r="BW118" s="123">
        <f t="shared" ca="1" si="123"/>
        <v>0</v>
      </c>
      <c r="BX118" s="121"/>
      <c r="BY118" s="123">
        <f t="shared" si="124"/>
        <v>0</v>
      </c>
      <c r="BZ118" s="123">
        <f t="shared" ca="1" si="125"/>
        <v>0</v>
      </c>
      <c r="CA118" s="121"/>
      <c r="CB118" s="122">
        <f t="shared" ca="1" si="73"/>
        <v>25446950.794599872</v>
      </c>
      <c r="CC118" s="122">
        <f t="shared" ca="1" si="126"/>
        <v>171977.30814941102</v>
      </c>
      <c r="CD118" s="124">
        <f t="shared" ca="1" si="127"/>
        <v>554733.7143763171</v>
      </c>
      <c r="CE118" s="121"/>
      <c r="CF118" s="122">
        <f t="shared" ca="1" si="74"/>
        <v>10235971.754361782</v>
      </c>
      <c r="CG118" s="124">
        <f t="shared" ca="1" si="128"/>
        <v>0</v>
      </c>
      <c r="CH118" s="123">
        <f t="shared" ca="1" si="129"/>
        <v>0</v>
      </c>
      <c r="CI118" s="121"/>
      <c r="CJ118" s="123">
        <f t="shared" ca="1" si="130"/>
        <v>908576.55081350554</v>
      </c>
      <c r="CK118" s="123">
        <f t="shared" ca="1" si="131"/>
        <v>908576.55081350566</v>
      </c>
      <c r="CL118" s="123">
        <f t="shared" ca="1" si="132"/>
        <v>0</v>
      </c>
      <c r="CM118" s="121"/>
      <c r="CN118" s="62">
        <f t="shared" ca="1" si="133"/>
        <v>360594.80639212695</v>
      </c>
      <c r="CO118" s="62" t="b">
        <f t="shared" si="134"/>
        <v>1</v>
      </c>
      <c r="CP118" s="126">
        <f t="shared" ca="1" si="135"/>
        <v>3.1111111111111066E-3</v>
      </c>
      <c r="CQ118" s="120"/>
      <c r="CR118" s="120"/>
      <c r="CS118" s="120"/>
      <c r="CT118" s="120"/>
      <c r="CU118" s="120"/>
      <c r="CV118" s="120"/>
      <c r="CW118" s="120"/>
      <c r="CX118" s="120"/>
      <c r="CY118" s="120"/>
      <c r="CZ118" s="120"/>
      <c r="DA118" s="120"/>
      <c r="DB118" s="120"/>
      <c r="DC118" s="120"/>
      <c r="DD118" s="120"/>
      <c r="DE118" s="116"/>
      <c r="DF118" s="116"/>
      <c r="DG118" s="116"/>
      <c r="DH118" s="116"/>
      <c r="DI118" s="116"/>
      <c r="DJ118" s="116"/>
      <c r="DK118" s="116"/>
      <c r="DL118" s="116"/>
      <c r="DM118" s="116"/>
      <c r="DN118" s="116"/>
    </row>
    <row r="119" spans="1:118" x14ac:dyDescent="0.2">
      <c r="A119" s="27">
        <v>113</v>
      </c>
      <c r="B119" s="29">
        <f t="shared" si="68"/>
        <v>42552</v>
      </c>
      <c r="C119" s="30">
        <f t="shared" si="69"/>
        <v>8.3333333333333329E-2</v>
      </c>
      <c r="D119" s="55"/>
      <c r="E119" s="62">
        <f t="shared" ca="1" si="87"/>
        <v>90465672.714208215</v>
      </c>
      <c r="F119" s="63">
        <f ca="1">IF(AssetIntType1="Fixed",AssetFxdRate1,IF(A119=1,OFFSET(Vectors!$D$6,A119,MATCH(AssetFltIndx1,lstInterestRates,0)),IF(MOD($A119,AssetRateReset1)=0,MAX(MIN(OFFSET(Vectors!$D$6,A119,MATCH(AssetFltIndx1,lstInterestRates,0)),(F118-AssetMarg1)+AssetPdCapFl1,AssetLifeCap1-AssetMarg1),(F118-AssetMarg1)-AssetPdCapFl1,AssetLifeFloor1-AssetMarg1),F118)))+AssetMarg1</f>
        <v>0.09</v>
      </c>
      <c r="G119" s="62">
        <f t="shared" ca="1" si="75"/>
        <v>804622.61694478267</v>
      </c>
      <c r="H119" s="62">
        <f t="shared" ca="1" si="88"/>
        <v>678492.54535656155</v>
      </c>
      <c r="I119" s="62">
        <f t="shared" ca="1" si="89"/>
        <v>126130.07158822112</v>
      </c>
      <c r="J119" s="62">
        <f t="shared" ca="1" si="70"/>
        <v>90339542.642619997</v>
      </c>
      <c r="K119" s="55"/>
      <c r="L119" s="62">
        <f t="shared" ca="1" si="90"/>
        <v>54538047.348265924</v>
      </c>
      <c r="M119" s="68">
        <f ca="1">IF(pdrLossTime1="",OFFSET(Vectors!$AE$6,A119+_Age1,MATCH(SDA_Loss,lstSDA,0)),OFFSET(Vectors!$X$6,A119+_Age1,MATCH(pdrLossTime1,lstDefaultCurve,0)))</f>
        <v>2.7777777777777779E-5</v>
      </c>
      <c r="N119" s="62">
        <f t="shared" ca="1" si="76"/>
        <v>2777.7777777777778</v>
      </c>
      <c r="O119" s="67">
        <f t="shared" ca="1" si="91"/>
        <v>0.90339542642619997</v>
      </c>
      <c r="P119" s="68">
        <f ca="1">OFFSET(Vectors!$L$6,A119+_Age1,MATCH(pdrPrepay1,lstPrepayCurve,0))*pdrPrepayStress1</f>
        <v>5.1430128318229462E-3</v>
      </c>
      <c r="Q119" s="62">
        <f t="shared" ca="1" si="92"/>
        <v>280098.80957113131</v>
      </c>
      <c r="R119" s="62">
        <f t="shared" ca="1" si="93"/>
        <v>76034.779255314264</v>
      </c>
      <c r="S119" s="69">
        <f t="shared" ca="1" si="94"/>
        <v>0.09</v>
      </c>
      <c r="T119" s="62">
        <f t="shared" ca="1" si="95"/>
        <v>409014.52177866112</v>
      </c>
      <c r="U119" s="62">
        <f t="shared" ca="1" si="77"/>
        <v>1111.1111111111111</v>
      </c>
      <c r="V119" s="62">
        <f t="shared" ca="1" si="71"/>
        <v>54179135.9816617</v>
      </c>
      <c r="W119" s="55"/>
      <c r="X119" s="62">
        <f t="shared" ca="1" si="96"/>
        <v>766259.22171621781</v>
      </c>
      <c r="Y119" s="55"/>
      <c r="Z119" s="118" t="b">
        <v>0</v>
      </c>
      <c r="AA119" s="120" t="b">
        <f t="shared" si="78"/>
        <v>0</v>
      </c>
      <c r="AB119" s="120" t="b">
        <f t="shared" si="79"/>
        <v>1</v>
      </c>
      <c r="AC119" s="120" t="b">
        <f t="shared" ca="1" si="80"/>
        <v>0</v>
      </c>
      <c r="AD119" s="121"/>
      <c r="AE119" s="129">
        <v>23522622.263259094</v>
      </c>
      <c r="AF119" s="69">
        <f ca="1">IF(Swap_Active="No",0,OFFSET(Vectors!$D$6,Vectors!A119,MATCH(Swap_In,lstInterestRates,0)))</f>
        <v>6.9369000000000056E-2</v>
      </c>
      <c r="AG119" s="62">
        <f t="shared" ca="1" si="97"/>
        <v>135978.3986483351</v>
      </c>
      <c r="AH119" s="69">
        <f ca="1">IF(Swap_Active="No",0,OFFSET(Vectors!$D$6,Vectors!A119,MATCH(Swap_Out,lstInterestRates,0)))</f>
        <v>0.04</v>
      </c>
      <c r="AI119" s="62">
        <f t="shared" ca="1" si="98"/>
        <v>78408.740877530305</v>
      </c>
      <c r="AJ119" s="62">
        <f t="shared" ca="1" si="99"/>
        <v>57569.657770804799</v>
      </c>
      <c r="AK119" s="62">
        <f t="shared" ca="1" si="100"/>
        <v>823828.87948702264</v>
      </c>
      <c r="AL119" s="121"/>
      <c r="AM119" s="123">
        <f t="shared" ca="1" si="81"/>
        <v>101499.64174485981</v>
      </c>
      <c r="AN119" s="124">
        <f t="shared" ca="1" si="101"/>
        <v>101499.64174485981</v>
      </c>
      <c r="AO119" s="125">
        <f t="shared" ca="1" si="102"/>
        <v>0</v>
      </c>
      <c r="AP119" s="123">
        <f t="shared" ca="1" si="103"/>
        <v>722329.23774216278</v>
      </c>
      <c r="AQ119" s="121"/>
      <c r="AR119" s="126">
        <f ca="1">IF(LiabIntType1="Fixed",LiabFxdRate1,OFFSET(Vectors!$D$6,Vectors!A119,MATCH(LiabLoanIndex1,lstInterestRates,0))+LiabMarg1)</f>
        <v>7.9369000000000051E-2</v>
      </c>
      <c r="AS119" s="122">
        <f t="shared" ca="1" si="104"/>
        <v>168308.25313471653</v>
      </c>
      <c r="AT119" s="124">
        <f t="shared" ca="1" si="105"/>
        <v>168308.25313471653</v>
      </c>
      <c r="AU119" s="123">
        <f t="shared" ca="1" si="106"/>
        <v>0</v>
      </c>
      <c r="AV119" s="123">
        <f t="shared" ca="1" si="82"/>
        <v>0</v>
      </c>
      <c r="AW119" s="123">
        <f t="shared" ca="1" si="107"/>
        <v>0</v>
      </c>
      <c r="AX119" s="124">
        <f t="shared" ca="1" si="108"/>
        <v>554020.98460744624</v>
      </c>
      <c r="AY119" s="121"/>
      <c r="AZ119" s="122">
        <f t="shared" ca="1" si="83"/>
        <v>554020.98460744624</v>
      </c>
      <c r="BA119" s="124">
        <f t="shared" ca="1" si="109"/>
        <v>554020.98460744624</v>
      </c>
      <c r="BB119" s="123">
        <f t="shared" ca="1" si="110"/>
        <v>0</v>
      </c>
      <c r="BC119" s="123">
        <f t="shared" ca="1" si="84"/>
        <v>0</v>
      </c>
      <c r="BD119" s="123">
        <f t="shared" ca="1" si="111"/>
        <v>0</v>
      </c>
      <c r="BE119" s="124">
        <f t="shared" ca="1" si="112"/>
        <v>0</v>
      </c>
      <c r="BF119" s="121"/>
      <c r="BG119" s="123">
        <f t="shared" si="85"/>
        <v>1000000</v>
      </c>
      <c r="BH119" s="123">
        <f t="shared" ca="1" si="113"/>
        <v>1000000</v>
      </c>
      <c r="BI119" s="123">
        <f t="shared" ca="1" si="114"/>
        <v>0</v>
      </c>
      <c r="BJ119" s="123">
        <f t="shared" ca="1" si="115"/>
        <v>0</v>
      </c>
      <c r="BK119" s="123">
        <f t="shared" ca="1" si="72"/>
        <v>1000000</v>
      </c>
      <c r="BL119" s="123">
        <f t="shared" ca="1" si="116"/>
        <v>0</v>
      </c>
      <c r="BM119" s="121"/>
      <c r="BN119" s="126">
        <f ca="1">IF(LiabIntType2="Fixed",LiabFxdRate2,OFFSET(Vectors!$D$6,Vectors!A119,MATCH(LiabLoanIndex2,lstInterestRates,0))+LiabMarg2)</f>
        <v>0.04</v>
      </c>
      <c r="BO119" s="122">
        <f t="shared" ca="1" si="117"/>
        <v>34119.905847872607</v>
      </c>
      <c r="BP119" s="124">
        <f t="shared" ca="1" si="118"/>
        <v>0</v>
      </c>
      <c r="BQ119" s="123">
        <f t="shared" ca="1" si="119"/>
        <v>34119.905847872607</v>
      </c>
      <c r="BR119" s="123">
        <f t="shared" ca="1" si="120"/>
        <v>0</v>
      </c>
      <c r="BS119" s="121"/>
      <c r="BT119" s="123">
        <f t="shared" ca="1" si="86"/>
        <v>36798.865579382582</v>
      </c>
      <c r="BU119" s="123">
        <f t="shared" ca="1" si="121"/>
        <v>0</v>
      </c>
      <c r="BV119" s="123">
        <f t="shared" ca="1" si="122"/>
        <v>36798.865579382582</v>
      </c>
      <c r="BW119" s="123">
        <f t="shared" ca="1" si="123"/>
        <v>0</v>
      </c>
      <c r="BX119" s="121"/>
      <c r="BY119" s="123">
        <f t="shared" si="124"/>
        <v>0</v>
      </c>
      <c r="BZ119" s="123">
        <f t="shared" ca="1" si="125"/>
        <v>0</v>
      </c>
      <c r="CA119" s="121"/>
      <c r="CB119" s="122">
        <f t="shared" ca="1" si="73"/>
        <v>24892929.809992425</v>
      </c>
      <c r="CC119" s="122">
        <f t="shared" ca="1" si="126"/>
        <v>168308.25313471653</v>
      </c>
      <c r="CD119" s="124">
        <f t="shared" ca="1" si="127"/>
        <v>554020.98460744624</v>
      </c>
      <c r="CE119" s="121"/>
      <c r="CF119" s="122">
        <f t="shared" ca="1" si="74"/>
        <v>10235971.754361782</v>
      </c>
      <c r="CG119" s="124">
        <f t="shared" ca="1" si="128"/>
        <v>0</v>
      </c>
      <c r="CH119" s="123">
        <f t="shared" ca="1" si="129"/>
        <v>0</v>
      </c>
      <c r="CI119" s="121"/>
      <c r="CJ119" s="123">
        <f t="shared" ca="1" si="130"/>
        <v>902237.62036455295</v>
      </c>
      <c r="CK119" s="123">
        <f t="shared" ca="1" si="131"/>
        <v>902237.62036455283</v>
      </c>
      <c r="CL119" s="123">
        <f t="shared" ca="1" si="132"/>
        <v>0</v>
      </c>
      <c r="CM119" s="121"/>
      <c r="CN119" s="62">
        <f t="shared" ca="1" si="133"/>
        <v>358911.36660422332</v>
      </c>
      <c r="CO119" s="62" t="b">
        <f t="shared" si="134"/>
        <v>1</v>
      </c>
      <c r="CP119" s="126">
        <f t="shared" ca="1" si="135"/>
        <v>3.1388888888888842E-3</v>
      </c>
      <c r="CQ119" s="120"/>
      <c r="CR119" s="120"/>
      <c r="CS119" s="120"/>
      <c r="CT119" s="120"/>
      <c r="CU119" s="120"/>
      <c r="CV119" s="120"/>
      <c r="CW119" s="120"/>
      <c r="CX119" s="120"/>
      <c r="CY119" s="120"/>
      <c r="CZ119" s="120"/>
      <c r="DA119" s="120"/>
      <c r="DB119" s="120"/>
      <c r="DC119" s="120"/>
      <c r="DD119" s="120"/>
      <c r="DE119" s="116"/>
      <c r="DF119" s="116"/>
      <c r="DG119" s="116"/>
      <c r="DH119" s="116"/>
      <c r="DI119" s="116"/>
      <c r="DJ119" s="116"/>
      <c r="DK119" s="116"/>
      <c r="DL119" s="116"/>
      <c r="DM119" s="116"/>
      <c r="DN119" s="116"/>
    </row>
    <row r="120" spans="1:118" x14ac:dyDescent="0.2">
      <c r="A120" s="27">
        <v>114</v>
      </c>
      <c r="B120" s="29">
        <f t="shared" si="68"/>
        <v>42583</v>
      </c>
      <c r="C120" s="30">
        <f t="shared" si="69"/>
        <v>8.3333333333333329E-2</v>
      </c>
      <c r="D120" s="55"/>
      <c r="E120" s="62">
        <f t="shared" ca="1" si="87"/>
        <v>90339542.642619997</v>
      </c>
      <c r="F120" s="63">
        <f ca="1">IF(AssetIntType1="Fixed",AssetFxdRate1,IF(A120=1,OFFSET(Vectors!$D$6,A120,MATCH(AssetFltIndx1,lstInterestRates,0)),IF(MOD($A120,AssetRateReset1)=0,MAX(MIN(OFFSET(Vectors!$D$6,A120,MATCH(AssetFltIndx1,lstInterestRates,0)),(F119-AssetMarg1)+AssetPdCapFl1,AssetLifeCap1-AssetMarg1),(F119-AssetMarg1)-AssetPdCapFl1,AssetLifeFloor1-AssetMarg1),F119)))+AssetMarg1</f>
        <v>0.09</v>
      </c>
      <c r="G120" s="62">
        <f t="shared" ca="1" si="75"/>
        <v>804622.61694478267</v>
      </c>
      <c r="H120" s="62">
        <f t="shared" ca="1" si="88"/>
        <v>677546.56981964991</v>
      </c>
      <c r="I120" s="62">
        <f t="shared" ca="1" si="89"/>
        <v>127076.04712513275</v>
      </c>
      <c r="J120" s="62">
        <f t="shared" ca="1" si="70"/>
        <v>90212466.595494866</v>
      </c>
      <c r="K120" s="55"/>
      <c r="L120" s="62">
        <f t="shared" ca="1" si="90"/>
        <v>54179135.9816617</v>
      </c>
      <c r="M120" s="68">
        <f ca="1">IF(pdrLossTime1="",OFFSET(Vectors!$AE$6,A120+_Age1,MATCH(SDA_Loss,lstSDA,0)),OFFSET(Vectors!$X$6,A120+_Age1,MATCH(pdrLossTime1,lstDefaultCurve,0)))</f>
        <v>2.7777777777777779E-5</v>
      </c>
      <c r="N120" s="62">
        <f t="shared" ca="1" si="76"/>
        <v>2777.7777777777778</v>
      </c>
      <c r="O120" s="67">
        <f t="shared" ca="1" si="91"/>
        <v>0.90212466595494867</v>
      </c>
      <c r="P120" s="68">
        <f ca="1">OFFSET(Vectors!$L$6,A120+_Age1,MATCH(pdrPrepay1,lstPrepayCurve,0))*pdrPrepayStress1</f>
        <v>5.1430128318229462E-3</v>
      </c>
      <c r="Q120" s="62">
        <f t="shared" ca="1" si="92"/>
        <v>278252.03721757623</v>
      </c>
      <c r="R120" s="62">
        <f t="shared" ca="1" si="93"/>
        <v>76207.131968991307</v>
      </c>
      <c r="S120" s="69">
        <f t="shared" ca="1" si="94"/>
        <v>0.09</v>
      </c>
      <c r="T120" s="62">
        <f t="shared" ca="1" si="95"/>
        <v>406322.68652912939</v>
      </c>
      <c r="U120" s="62">
        <f t="shared" ca="1" si="77"/>
        <v>1111.1111111111111</v>
      </c>
      <c r="V120" s="62">
        <f t="shared" ca="1" si="71"/>
        <v>53821899.034697354</v>
      </c>
      <c r="W120" s="55"/>
      <c r="X120" s="62">
        <f t="shared" ca="1" si="96"/>
        <v>761892.96682680806</v>
      </c>
      <c r="Y120" s="55"/>
      <c r="Z120" s="118" t="b">
        <v>0</v>
      </c>
      <c r="AA120" s="120" t="b">
        <f t="shared" si="78"/>
        <v>0</v>
      </c>
      <c r="AB120" s="120" t="b">
        <f t="shared" si="79"/>
        <v>1</v>
      </c>
      <c r="AC120" s="120" t="b">
        <f t="shared" ca="1" si="80"/>
        <v>0</v>
      </c>
      <c r="AD120" s="121"/>
      <c r="AE120" s="129">
        <v>23188597.317547899</v>
      </c>
      <c r="AF120" s="69">
        <f ca="1">IF(Swap_Active="No",0,OFFSET(Vectors!$D$6,Vectors!A120,MATCH(Swap_In,lstInterestRates,0)))</f>
        <v>6.9369000000000056E-2</v>
      </c>
      <c r="AG120" s="62">
        <f t="shared" ca="1" si="97"/>
        <v>134047.48394341511</v>
      </c>
      <c r="AH120" s="69">
        <f ca="1">IF(Swap_Active="No",0,OFFSET(Vectors!$D$6,Vectors!A120,MATCH(Swap_Out,lstInterestRates,0)))</f>
        <v>0.04</v>
      </c>
      <c r="AI120" s="62">
        <f t="shared" ca="1" si="98"/>
        <v>77295.324391826318</v>
      </c>
      <c r="AJ120" s="62">
        <f t="shared" ca="1" si="99"/>
        <v>56752.159551588789</v>
      </c>
      <c r="AK120" s="62">
        <f t="shared" ca="1" si="100"/>
        <v>818645.12637839688</v>
      </c>
      <c r="AL120" s="121"/>
      <c r="AM120" s="123">
        <f t="shared" ca="1" si="81"/>
        <v>100670.614056933</v>
      </c>
      <c r="AN120" s="124">
        <f t="shared" ca="1" si="101"/>
        <v>100670.614056933</v>
      </c>
      <c r="AO120" s="125">
        <f t="shared" ca="1" si="102"/>
        <v>0</v>
      </c>
      <c r="AP120" s="123">
        <f t="shared" ca="1" si="103"/>
        <v>717974.5123214639</v>
      </c>
      <c r="AQ120" s="121"/>
      <c r="AR120" s="126">
        <f ca="1">IF(LiabIntType1="Fixed",LiabFxdRate1,OFFSET(Vectors!$D$6,Vectors!A120,MATCH(LiabLoanIndex1,lstInterestRates,0))+LiabMarg1)</f>
        <v>7.9369000000000051E-2</v>
      </c>
      <c r="AS120" s="122">
        <f t="shared" ca="1" si="104"/>
        <v>164643.91217410751</v>
      </c>
      <c r="AT120" s="124">
        <f t="shared" ca="1" si="105"/>
        <v>164643.91217410751</v>
      </c>
      <c r="AU120" s="123">
        <f t="shared" ca="1" si="106"/>
        <v>0</v>
      </c>
      <c r="AV120" s="123">
        <f t="shared" ca="1" si="82"/>
        <v>0</v>
      </c>
      <c r="AW120" s="123">
        <f t="shared" ca="1" si="107"/>
        <v>0</v>
      </c>
      <c r="AX120" s="124">
        <f t="shared" ca="1" si="108"/>
        <v>553330.6001473564</v>
      </c>
      <c r="AY120" s="121"/>
      <c r="AZ120" s="122">
        <f t="shared" ca="1" si="83"/>
        <v>553330.6001473564</v>
      </c>
      <c r="BA120" s="124">
        <f t="shared" ca="1" si="109"/>
        <v>553330.6001473564</v>
      </c>
      <c r="BB120" s="123">
        <f t="shared" ca="1" si="110"/>
        <v>0</v>
      </c>
      <c r="BC120" s="123">
        <f t="shared" ca="1" si="84"/>
        <v>0</v>
      </c>
      <c r="BD120" s="123">
        <f t="shared" ca="1" si="111"/>
        <v>0</v>
      </c>
      <c r="BE120" s="124">
        <f t="shared" ca="1" si="112"/>
        <v>0</v>
      </c>
      <c r="BF120" s="121"/>
      <c r="BG120" s="123">
        <f t="shared" si="85"/>
        <v>1000000</v>
      </c>
      <c r="BH120" s="123">
        <f t="shared" ca="1" si="113"/>
        <v>1000000</v>
      </c>
      <c r="BI120" s="123">
        <f t="shared" ca="1" si="114"/>
        <v>0</v>
      </c>
      <c r="BJ120" s="123">
        <f t="shared" ca="1" si="115"/>
        <v>0</v>
      </c>
      <c r="BK120" s="123">
        <f t="shared" ca="1" si="72"/>
        <v>1000000</v>
      </c>
      <c r="BL120" s="123">
        <f t="shared" ca="1" si="116"/>
        <v>0</v>
      </c>
      <c r="BM120" s="121"/>
      <c r="BN120" s="126">
        <f ca="1">IF(LiabIntType2="Fixed",LiabFxdRate2,OFFSET(Vectors!$D$6,Vectors!A120,MATCH(LiabLoanIndex2,lstInterestRates,0))+LiabMarg2)</f>
        <v>0.04</v>
      </c>
      <c r="BO120" s="122">
        <f t="shared" ca="1" si="117"/>
        <v>34119.905847872607</v>
      </c>
      <c r="BP120" s="124">
        <f t="shared" ca="1" si="118"/>
        <v>0</v>
      </c>
      <c r="BQ120" s="123">
        <f t="shared" ca="1" si="119"/>
        <v>34119.905847872607</v>
      </c>
      <c r="BR120" s="123">
        <f t="shared" ca="1" si="120"/>
        <v>0</v>
      </c>
      <c r="BS120" s="121"/>
      <c r="BT120" s="123">
        <f t="shared" ca="1" si="86"/>
        <v>36627.188811844331</v>
      </c>
      <c r="BU120" s="123">
        <f t="shared" ca="1" si="121"/>
        <v>0</v>
      </c>
      <c r="BV120" s="123">
        <f t="shared" ca="1" si="122"/>
        <v>36627.188811844331</v>
      </c>
      <c r="BW120" s="123">
        <f t="shared" ca="1" si="123"/>
        <v>0</v>
      </c>
      <c r="BX120" s="121"/>
      <c r="BY120" s="123">
        <f t="shared" si="124"/>
        <v>0</v>
      </c>
      <c r="BZ120" s="123">
        <f t="shared" ca="1" si="125"/>
        <v>0</v>
      </c>
      <c r="CA120" s="121"/>
      <c r="CB120" s="122">
        <f t="shared" ca="1" si="73"/>
        <v>24339599.20984507</v>
      </c>
      <c r="CC120" s="122">
        <f t="shared" ca="1" si="126"/>
        <v>164643.91217410751</v>
      </c>
      <c r="CD120" s="124">
        <f t="shared" ca="1" si="127"/>
        <v>553330.6001473564</v>
      </c>
      <c r="CE120" s="121"/>
      <c r="CF120" s="122">
        <f t="shared" ca="1" si="74"/>
        <v>10235971.754361782</v>
      </c>
      <c r="CG120" s="124">
        <f t="shared" ca="1" si="128"/>
        <v>0</v>
      </c>
      <c r="CH120" s="123">
        <f t="shared" ca="1" si="129"/>
        <v>0</v>
      </c>
      <c r="CI120" s="121"/>
      <c r="CJ120" s="123">
        <f t="shared" ca="1" si="130"/>
        <v>895940.45077022316</v>
      </c>
      <c r="CK120" s="123">
        <f t="shared" ca="1" si="131"/>
        <v>895940.45077022328</v>
      </c>
      <c r="CL120" s="123">
        <f t="shared" ca="1" si="132"/>
        <v>0</v>
      </c>
      <c r="CM120" s="121"/>
      <c r="CN120" s="62">
        <f t="shared" ca="1" si="133"/>
        <v>357236.94696434529</v>
      </c>
      <c r="CO120" s="62" t="b">
        <f t="shared" si="134"/>
        <v>1</v>
      </c>
      <c r="CP120" s="126">
        <f t="shared" ca="1" si="135"/>
        <v>3.1666666666666618E-3</v>
      </c>
      <c r="CQ120" s="120"/>
      <c r="CR120" s="120"/>
      <c r="CS120" s="120"/>
      <c r="CT120" s="120"/>
      <c r="CU120" s="120"/>
      <c r="CV120" s="120"/>
      <c r="CW120" s="120"/>
      <c r="CX120" s="120"/>
      <c r="CY120" s="120"/>
      <c r="CZ120" s="120"/>
      <c r="DA120" s="120"/>
      <c r="DB120" s="120"/>
      <c r="DC120" s="120"/>
      <c r="DD120" s="120"/>
      <c r="DE120" s="116"/>
      <c r="DF120" s="116"/>
      <c r="DG120" s="116"/>
      <c r="DH120" s="116"/>
      <c r="DI120" s="116"/>
      <c r="DJ120" s="116"/>
      <c r="DK120" s="116"/>
      <c r="DL120" s="116"/>
      <c r="DM120" s="116"/>
      <c r="DN120" s="116"/>
    </row>
    <row r="121" spans="1:118" x14ac:dyDescent="0.2">
      <c r="A121" s="27">
        <v>115</v>
      </c>
      <c r="B121" s="29">
        <f t="shared" si="68"/>
        <v>42614</v>
      </c>
      <c r="C121" s="30">
        <f t="shared" si="69"/>
        <v>8.3333333333333329E-2</v>
      </c>
      <c r="D121" s="55"/>
      <c r="E121" s="62">
        <f t="shared" ca="1" si="87"/>
        <v>90212466.595494866</v>
      </c>
      <c r="F121" s="63">
        <f ca="1">IF(AssetIntType1="Fixed",AssetFxdRate1,IF(A121=1,OFFSET(Vectors!$D$6,A121,MATCH(AssetFltIndx1,lstInterestRates,0)),IF(MOD($A121,AssetRateReset1)=0,MAX(MIN(OFFSET(Vectors!$D$6,A121,MATCH(AssetFltIndx1,lstInterestRates,0)),(F120-AssetMarg1)+AssetPdCapFl1,AssetLifeCap1-AssetMarg1),(F120-AssetMarg1)-AssetPdCapFl1,AssetLifeFloor1-AssetMarg1),F120)))+AssetMarg1</f>
        <v>0.09</v>
      </c>
      <c r="G121" s="62">
        <f t="shared" ca="1" si="75"/>
        <v>804622.61694478267</v>
      </c>
      <c r="H121" s="62">
        <f t="shared" ca="1" si="88"/>
        <v>676593.49946621142</v>
      </c>
      <c r="I121" s="62">
        <f t="shared" ca="1" si="89"/>
        <v>128029.11747857125</v>
      </c>
      <c r="J121" s="62">
        <f t="shared" ca="1" si="70"/>
        <v>90084437.478016302</v>
      </c>
      <c r="K121" s="55"/>
      <c r="L121" s="62">
        <f t="shared" ca="1" si="90"/>
        <v>53821899.034697354</v>
      </c>
      <c r="M121" s="68">
        <f ca="1">IF(pdrLossTime1="",OFFSET(Vectors!$AE$6,A121+_Age1,MATCH(SDA_Loss,lstSDA,0)),OFFSET(Vectors!$X$6,A121+_Age1,MATCH(pdrLossTime1,lstDefaultCurve,0)))</f>
        <v>2.7777777777777779E-5</v>
      </c>
      <c r="N121" s="62">
        <f t="shared" ca="1" si="76"/>
        <v>2777.7777777777778</v>
      </c>
      <c r="O121" s="67">
        <f t="shared" ca="1" si="91"/>
        <v>0.90084437478016299</v>
      </c>
      <c r="P121" s="68">
        <f ca="1">OFFSET(Vectors!$L$6,A121+_Age1,MATCH(pdrPrepay1,lstPrepayCurve,0))*pdrPrepayStress1</f>
        <v>5.1430128318229462E-3</v>
      </c>
      <c r="Q121" s="62">
        <f t="shared" ca="1" si="92"/>
        <v>276413.87454896758</v>
      </c>
      <c r="R121" s="62">
        <f t="shared" ca="1" si="93"/>
        <v>76379.849238482246</v>
      </c>
      <c r="S121" s="69">
        <f t="shared" ca="1" si="94"/>
        <v>0.09</v>
      </c>
      <c r="T121" s="62">
        <f t="shared" ca="1" si="95"/>
        <v>403643.40942689683</v>
      </c>
      <c r="U121" s="62">
        <f t="shared" ca="1" si="77"/>
        <v>1111.1111111111111</v>
      </c>
      <c r="V121" s="62">
        <f t="shared" ca="1" si="71"/>
        <v>53466327.533132128</v>
      </c>
      <c r="W121" s="55"/>
      <c r="X121" s="62">
        <f t="shared" ca="1" si="96"/>
        <v>757548.24432545772</v>
      </c>
      <c r="Y121" s="55"/>
      <c r="Z121" s="118" t="b">
        <v>0</v>
      </c>
      <c r="AA121" s="120" t="b">
        <f t="shared" si="78"/>
        <v>0</v>
      </c>
      <c r="AB121" s="120" t="b">
        <f t="shared" si="79"/>
        <v>1</v>
      </c>
      <c r="AC121" s="120" t="b">
        <f t="shared" ca="1" si="80"/>
        <v>0</v>
      </c>
      <c r="AD121" s="121"/>
      <c r="AE121" s="129">
        <v>22858016.942563727</v>
      </c>
      <c r="AF121" s="69">
        <f ca="1">IF(Swap_Active="No",0,OFFSET(Vectors!$D$6,Vectors!A121,MATCH(Swap_In,lstInterestRates,0)))</f>
        <v>6.9369000000000056E-2</v>
      </c>
      <c r="AG121" s="62">
        <f t="shared" ca="1" si="97"/>
        <v>132136.48144072536</v>
      </c>
      <c r="AH121" s="69">
        <f ca="1">IF(Swap_Active="No",0,OFFSET(Vectors!$D$6,Vectors!A121,MATCH(Swap_Out,lstInterestRates,0)))</f>
        <v>0.04</v>
      </c>
      <c r="AI121" s="62">
        <f t="shared" ca="1" si="98"/>
        <v>76193.389808545762</v>
      </c>
      <c r="AJ121" s="62">
        <f t="shared" ca="1" si="99"/>
        <v>55943.091632179596</v>
      </c>
      <c r="AK121" s="62">
        <f t="shared" ca="1" si="100"/>
        <v>813491.33595763729</v>
      </c>
      <c r="AL121" s="121"/>
      <c r="AM121" s="123">
        <f t="shared" ca="1" si="81"/>
        <v>99844.664728597694</v>
      </c>
      <c r="AN121" s="124">
        <f t="shared" ca="1" si="101"/>
        <v>99844.664728597694</v>
      </c>
      <c r="AO121" s="125">
        <f t="shared" ca="1" si="102"/>
        <v>0</v>
      </c>
      <c r="AP121" s="123">
        <f t="shared" ca="1" si="103"/>
        <v>713646.67122903955</v>
      </c>
      <c r="AQ121" s="121"/>
      <c r="AR121" s="126">
        <f ca="1">IF(LiabIntType1="Fixed",LiabFxdRate1,OFFSET(Vectors!$D$6,Vectors!A121,MATCH(LiabLoanIndex1,lstInterestRates,0))+LiabMarg1)</f>
        <v>7.9369000000000051E-2</v>
      </c>
      <c r="AS121" s="122">
        <f t="shared" ca="1" si="104"/>
        <v>160984.13747384955</v>
      </c>
      <c r="AT121" s="124">
        <f t="shared" ca="1" si="105"/>
        <v>160984.13747384955</v>
      </c>
      <c r="AU121" s="123">
        <f t="shared" ca="1" si="106"/>
        <v>0</v>
      </c>
      <c r="AV121" s="123">
        <f t="shared" ca="1" si="82"/>
        <v>0</v>
      </c>
      <c r="AW121" s="123">
        <f t="shared" ca="1" si="107"/>
        <v>0</v>
      </c>
      <c r="AX121" s="124">
        <f t="shared" ca="1" si="108"/>
        <v>552662.53375518997</v>
      </c>
      <c r="AY121" s="121"/>
      <c r="AZ121" s="122">
        <f t="shared" ca="1" si="83"/>
        <v>552662.53375518997</v>
      </c>
      <c r="BA121" s="124">
        <f t="shared" ca="1" si="109"/>
        <v>552662.53375518997</v>
      </c>
      <c r="BB121" s="123">
        <f t="shared" ca="1" si="110"/>
        <v>0</v>
      </c>
      <c r="BC121" s="123">
        <f t="shared" ca="1" si="84"/>
        <v>0</v>
      </c>
      <c r="BD121" s="123">
        <f t="shared" ca="1" si="111"/>
        <v>0</v>
      </c>
      <c r="BE121" s="124">
        <f t="shared" ca="1" si="112"/>
        <v>0</v>
      </c>
      <c r="BF121" s="121"/>
      <c r="BG121" s="123">
        <f t="shared" si="85"/>
        <v>1000000</v>
      </c>
      <c r="BH121" s="123">
        <f t="shared" ca="1" si="113"/>
        <v>1000000</v>
      </c>
      <c r="BI121" s="123">
        <f t="shared" ca="1" si="114"/>
        <v>0</v>
      </c>
      <c r="BJ121" s="123">
        <f t="shared" ca="1" si="115"/>
        <v>0</v>
      </c>
      <c r="BK121" s="123">
        <f t="shared" ca="1" si="72"/>
        <v>1000000</v>
      </c>
      <c r="BL121" s="123">
        <f t="shared" ca="1" si="116"/>
        <v>0</v>
      </c>
      <c r="BM121" s="121"/>
      <c r="BN121" s="126">
        <f ca="1">IF(LiabIntType2="Fixed",LiabFxdRate2,OFFSET(Vectors!$D$6,Vectors!A121,MATCH(LiabLoanIndex2,lstInterestRates,0))+LiabMarg2)</f>
        <v>0.04</v>
      </c>
      <c r="BO121" s="122">
        <f t="shared" ca="1" si="117"/>
        <v>34119.905847872607</v>
      </c>
      <c r="BP121" s="124">
        <f t="shared" ca="1" si="118"/>
        <v>0</v>
      </c>
      <c r="BQ121" s="123">
        <f t="shared" ca="1" si="119"/>
        <v>34119.905847872607</v>
      </c>
      <c r="BR121" s="123">
        <f t="shared" ca="1" si="120"/>
        <v>0</v>
      </c>
      <c r="BS121" s="121"/>
      <c r="BT121" s="123">
        <f t="shared" ca="1" si="86"/>
        <v>36456.432165288985</v>
      </c>
      <c r="BU121" s="123">
        <f t="shared" ca="1" si="121"/>
        <v>0</v>
      </c>
      <c r="BV121" s="123">
        <f t="shared" ca="1" si="122"/>
        <v>36456.432165288985</v>
      </c>
      <c r="BW121" s="123">
        <f t="shared" ca="1" si="123"/>
        <v>0</v>
      </c>
      <c r="BX121" s="121"/>
      <c r="BY121" s="123">
        <f t="shared" si="124"/>
        <v>0</v>
      </c>
      <c r="BZ121" s="123">
        <f t="shared" ca="1" si="125"/>
        <v>0</v>
      </c>
      <c r="CA121" s="121"/>
      <c r="CB121" s="122">
        <f t="shared" ca="1" si="73"/>
        <v>23786936.676089879</v>
      </c>
      <c r="CC121" s="122">
        <f t="shared" ca="1" si="126"/>
        <v>160984.13747384955</v>
      </c>
      <c r="CD121" s="124">
        <f t="shared" ca="1" si="127"/>
        <v>552662.53375518997</v>
      </c>
      <c r="CE121" s="121"/>
      <c r="CF121" s="122">
        <f t="shared" ca="1" si="74"/>
        <v>10235971.754361782</v>
      </c>
      <c r="CG121" s="124">
        <f t="shared" ca="1" si="128"/>
        <v>0</v>
      </c>
      <c r="CH121" s="123">
        <f t="shared" ca="1" si="129"/>
        <v>0</v>
      </c>
      <c r="CI121" s="121"/>
      <c r="CJ121" s="123">
        <f t="shared" ca="1" si="130"/>
        <v>889684.72576618311</v>
      </c>
      <c r="CK121" s="123">
        <f t="shared" ca="1" si="131"/>
        <v>889684.72576618299</v>
      </c>
      <c r="CL121" s="123">
        <f t="shared" ca="1" si="132"/>
        <v>0</v>
      </c>
      <c r="CM121" s="121"/>
      <c r="CN121" s="62">
        <f t="shared" ca="1" si="133"/>
        <v>355571.50156522758</v>
      </c>
      <c r="CO121" s="62" t="b">
        <f t="shared" si="134"/>
        <v>1</v>
      </c>
      <c r="CP121" s="126">
        <f t="shared" ca="1" si="135"/>
        <v>3.1944444444444394E-3</v>
      </c>
      <c r="CQ121" s="120"/>
      <c r="CR121" s="120"/>
      <c r="CS121" s="120"/>
      <c r="CT121" s="120"/>
      <c r="CU121" s="120"/>
      <c r="CV121" s="120"/>
      <c r="CW121" s="120"/>
      <c r="CX121" s="120"/>
      <c r="CY121" s="120"/>
      <c r="CZ121" s="120"/>
      <c r="DA121" s="120"/>
      <c r="DB121" s="120"/>
      <c r="DC121" s="120"/>
      <c r="DD121" s="120"/>
      <c r="DE121" s="116"/>
      <c r="DF121" s="116"/>
      <c r="DG121" s="116"/>
      <c r="DH121" s="116"/>
      <c r="DI121" s="116"/>
      <c r="DJ121" s="116"/>
      <c r="DK121" s="116"/>
      <c r="DL121" s="116"/>
      <c r="DM121" s="116"/>
      <c r="DN121" s="116"/>
    </row>
    <row r="122" spans="1:118" x14ac:dyDescent="0.2">
      <c r="A122" s="27">
        <v>116</v>
      </c>
      <c r="B122" s="29">
        <f t="shared" si="68"/>
        <v>42644</v>
      </c>
      <c r="C122" s="30">
        <f t="shared" si="69"/>
        <v>8.3333333333333329E-2</v>
      </c>
      <c r="D122" s="55"/>
      <c r="E122" s="62">
        <f t="shared" ca="1" si="87"/>
        <v>90084437.478016302</v>
      </c>
      <c r="F122" s="63">
        <f ca="1">IF(AssetIntType1="Fixed",AssetFxdRate1,IF(A122=1,OFFSET(Vectors!$D$6,A122,MATCH(AssetFltIndx1,lstInterestRates,0)),IF(MOD($A122,AssetRateReset1)=0,MAX(MIN(OFFSET(Vectors!$D$6,A122,MATCH(AssetFltIndx1,lstInterestRates,0)),(F121-AssetMarg1)+AssetPdCapFl1,AssetLifeCap1-AssetMarg1),(F121-AssetMarg1)-AssetPdCapFl1,AssetLifeFloor1-AssetMarg1),F121)))+AssetMarg1</f>
        <v>0.09</v>
      </c>
      <c r="G122" s="62">
        <f t="shared" ca="1" si="75"/>
        <v>804622.61694478267</v>
      </c>
      <c r="H122" s="62">
        <f t="shared" ca="1" si="88"/>
        <v>675633.28108512226</v>
      </c>
      <c r="I122" s="62">
        <f t="shared" ca="1" si="89"/>
        <v>128989.33585966041</v>
      </c>
      <c r="J122" s="62">
        <f t="shared" ca="1" si="70"/>
        <v>89955448.142156646</v>
      </c>
      <c r="K122" s="55"/>
      <c r="L122" s="62">
        <f t="shared" ca="1" si="90"/>
        <v>53466327.533132128</v>
      </c>
      <c r="M122" s="68">
        <f ca="1">IF(pdrLossTime1="",OFFSET(Vectors!$AE$6,A122+_Age1,MATCH(SDA_Loss,lstSDA,0)),OFFSET(Vectors!$X$6,A122+_Age1,MATCH(pdrLossTime1,lstDefaultCurve,0)))</f>
        <v>2.7777777777777779E-5</v>
      </c>
      <c r="N122" s="62">
        <f t="shared" ca="1" si="76"/>
        <v>2777.7777777777778</v>
      </c>
      <c r="O122" s="67">
        <f t="shared" ca="1" si="91"/>
        <v>0.89955448142156647</v>
      </c>
      <c r="P122" s="68">
        <f ca="1">OFFSET(Vectors!$L$6,A122+_Age1,MATCH(pdrPrepay1,lstPrepayCurve,0))*pdrPrepayStress1</f>
        <v>5.1430128318229462E-3</v>
      </c>
      <c r="Q122" s="62">
        <f t="shared" ca="1" si="92"/>
        <v>274584.27540816471</v>
      </c>
      <c r="R122" s="62">
        <f t="shared" ca="1" si="93"/>
        <v>76552.931546313121</v>
      </c>
      <c r="S122" s="69">
        <f t="shared" ca="1" si="94"/>
        <v>0.09</v>
      </c>
      <c r="T122" s="62">
        <f t="shared" ca="1" si="95"/>
        <v>400976.62316515762</v>
      </c>
      <c r="U122" s="62">
        <f t="shared" ca="1" si="77"/>
        <v>1111.1111111111111</v>
      </c>
      <c r="V122" s="62">
        <f t="shared" ca="1" si="71"/>
        <v>53112412.548399873</v>
      </c>
      <c r="W122" s="55"/>
      <c r="X122" s="62">
        <f t="shared" ca="1" si="96"/>
        <v>753224.94123074657</v>
      </c>
      <c r="Y122" s="55"/>
      <c r="Z122" s="118" t="b">
        <v>0</v>
      </c>
      <c r="AA122" s="120" t="b">
        <f t="shared" si="78"/>
        <v>0</v>
      </c>
      <c r="AB122" s="120" t="b">
        <f t="shared" si="79"/>
        <v>1</v>
      </c>
      <c r="AC122" s="120" t="b">
        <f t="shared" ca="1" si="80"/>
        <v>0</v>
      </c>
      <c r="AD122" s="121"/>
      <c r="AE122" s="129">
        <v>22530846.42397204</v>
      </c>
      <c r="AF122" s="69">
        <f ca="1">IF(Swap_Active="No",0,OFFSET(Vectors!$D$6,Vectors!A122,MATCH(Swap_In,lstInterestRates,0)))</f>
        <v>6.9369000000000056E-2</v>
      </c>
      <c r="AG122" s="62">
        <f t="shared" ca="1" si="97"/>
        <v>130245.19046537648</v>
      </c>
      <c r="AH122" s="69">
        <f ca="1">IF(Swap_Active="No",0,OFFSET(Vectors!$D$6,Vectors!A122,MATCH(Swap_Out,lstInterestRates,0)))</f>
        <v>0.04</v>
      </c>
      <c r="AI122" s="62">
        <f t="shared" ca="1" si="98"/>
        <v>75102.821413240134</v>
      </c>
      <c r="AJ122" s="62">
        <f t="shared" ca="1" si="99"/>
        <v>55142.369052136346</v>
      </c>
      <c r="AK122" s="62">
        <f t="shared" ca="1" si="100"/>
        <v>808367.31028288289</v>
      </c>
      <c r="AL122" s="121"/>
      <c r="AM122" s="123">
        <f t="shared" ca="1" si="81"/>
        <v>99021.769503591</v>
      </c>
      <c r="AN122" s="124">
        <f t="shared" ca="1" si="101"/>
        <v>99021.769503591</v>
      </c>
      <c r="AO122" s="125">
        <f t="shared" ca="1" si="102"/>
        <v>0</v>
      </c>
      <c r="AP122" s="123">
        <f t="shared" ca="1" si="103"/>
        <v>709345.54077929188</v>
      </c>
      <c r="AQ122" s="121"/>
      <c r="AR122" s="126">
        <f ca="1">IF(LiabIntType1="Fixed",LiabFxdRate1,OFFSET(Vectors!$D$6,Vectors!A122,MATCH(LiabLoanIndex1,lstInterestRates,0))+LiabMarg1)</f>
        <v>7.9369000000000051E-2</v>
      </c>
      <c r="AS122" s="122">
        <f t="shared" ca="1" si="104"/>
        <v>157328.78142038157</v>
      </c>
      <c r="AT122" s="124">
        <f t="shared" ca="1" si="105"/>
        <v>157328.78142038157</v>
      </c>
      <c r="AU122" s="123">
        <f t="shared" ca="1" si="106"/>
        <v>0</v>
      </c>
      <c r="AV122" s="123">
        <f t="shared" ca="1" si="82"/>
        <v>0</v>
      </c>
      <c r="AW122" s="123">
        <f t="shared" ca="1" si="107"/>
        <v>0</v>
      </c>
      <c r="AX122" s="124">
        <f t="shared" ca="1" si="108"/>
        <v>552016.75935891038</v>
      </c>
      <c r="AY122" s="121"/>
      <c r="AZ122" s="122">
        <f t="shared" ca="1" si="83"/>
        <v>552016.75935891038</v>
      </c>
      <c r="BA122" s="124">
        <f t="shared" ca="1" si="109"/>
        <v>552016.75935891038</v>
      </c>
      <c r="BB122" s="123">
        <f t="shared" ca="1" si="110"/>
        <v>0</v>
      </c>
      <c r="BC122" s="123">
        <f t="shared" ca="1" si="84"/>
        <v>0</v>
      </c>
      <c r="BD122" s="123">
        <f t="shared" ca="1" si="111"/>
        <v>0</v>
      </c>
      <c r="BE122" s="124">
        <f t="shared" ca="1" si="112"/>
        <v>0</v>
      </c>
      <c r="BF122" s="121"/>
      <c r="BG122" s="123">
        <f t="shared" si="85"/>
        <v>1000000</v>
      </c>
      <c r="BH122" s="123">
        <f t="shared" ca="1" si="113"/>
        <v>1000000</v>
      </c>
      <c r="BI122" s="123">
        <f t="shared" ca="1" si="114"/>
        <v>0</v>
      </c>
      <c r="BJ122" s="123">
        <f t="shared" ca="1" si="115"/>
        <v>0</v>
      </c>
      <c r="BK122" s="123">
        <f t="shared" ca="1" si="72"/>
        <v>1000000</v>
      </c>
      <c r="BL122" s="123">
        <f t="shared" ca="1" si="116"/>
        <v>0</v>
      </c>
      <c r="BM122" s="121"/>
      <c r="BN122" s="126">
        <f ca="1">IF(LiabIntType2="Fixed",LiabFxdRate2,OFFSET(Vectors!$D$6,Vectors!A122,MATCH(LiabLoanIndex2,lstInterestRates,0))+LiabMarg2)</f>
        <v>0.04</v>
      </c>
      <c r="BO122" s="122">
        <f t="shared" ca="1" si="117"/>
        <v>34119.905847872607</v>
      </c>
      <c r="BP122" s="124">
        <f t="shared" ca="1" si="118"/>
        <v>0</v>
      </c>
      <c r="BQ122" s="123">
        <f t="shared" ca="1" si="119"/>
        <v>34119.905847872607</v>
      </c>
      <c r="BR122" s="123">
        <f t="shared" ca="1" si="120"/>
        <v>0</v>
      </c>
      <c r="BS122" s="121"/>
      <c r="BT122" s="123">
        <f t="shared" ca="1" si="86"/>
        <v>36286.590956738626</v>
      </c>
      <c r="BU122" s="123">
        <f t="shared" ca="1" si="121"/>
        <v>0</v>
      </c>
      <c r="BV122" s="123">
        <f t="shared" ca="1" si="122"/>
        <v>36286.590956738626</v>
      </c>
      <c r="BW122" s="123">
        <f t="shared" ca="1" si="123"/>
        <v>0</v>
      </c>
      <c r="BX122" s="121"/>
      <c r="BY122" s="123">
        <f t="shared" si="124"/>
        <v>0</v>
      </c>
      <c r="BZ122" s="123">
        <f t="shared" ca="1" si="125"/>
        <v>0</v>
      </c>
      <c r="CA122" s="121"/>
      <c r="CB122" s="122">
        <f t="shared" ca="1" si="73"/>
        <v>23234919.91673097</v>
      </c>
      <c r="CC122" s="122">
        <f t="shared" ca="1" si="126"/>
        <v>157328.78142038157</v>
      </c>
      <c r="CD122" s="124">
        <f t="shared" ca="1" si="127"/>
        <v>552016.75935891038</v>
      </c>
      <c r="CE122" s="121"/>
      <c r="CF122" s="122">
        <f t="shared" ca="1" si="74"/>
        <v>10235971.754361782</v>
      </c>
      <c r="CG122" s="124">
        <f t="shared" ca="1" si="128"/>
        <v>0</v>
      </c>
      <c r="CH122" s="123">
        <f t="shared" ca="1" si="129"/>
        <v>0</v>
      </c>
      <c r="CI122" s="121"/>
      <c r="CJ122" s="123">
        <f t="shared" ca="1" si="130"/>
        <v>883470.13169612305</v>
      </c>
      <c r="CK122" s="123">
        <f t="shared" ca="1" si="131"/>
        <v>883470.13169612305</v>
      </c>
      <c r="CL122" s="123">
        <f t="shared" ca="1" si="132"/>
        <v>0</v>
      </c>
      <c r="CM122" s="121"/>
      <c r="CN122" s="62">
        <f t="shared" ca="1" si="133"/>
        <v>353914.98473225557</v>
      </c>
      <c r="CO122" s="62" t="b">
        <f t="shared" si="134"/>
        <v>1</v>
      </c>
      <c r="CP122" s="126">
        <f t="shared" ca="1" si="135"/>
        <v>3.222222222222217E-3</v>
      </c>
      <c r="CQ122" s="120"/>
      <c r="CR122" s="120"/>
      <c r="CS122" s="120"/>
      <c r="CT122" s="120"/>
      <c r="CU122" s="120"/>
      <c r="CV122" s="120"/>
      <c r="CW122" s="120"/>
      <c r="CX122" s="120"/>
      <c r="CY122" s="120"/>
      <c r="CZ122" s="120"/>
      <c r="DA122" s="120"/>
      <c r="DB122" s="120"/>
      <c r="DC122" s="120"/>
      <c r="DD122" s="120"/>
      <c r="DE122" s="116"/>
      <c r="DF122" s="116"/>
      <c r="DG122" s="116"/>
      <c r="DH122" s="116"/>
      <c r="DI122" s="116"/>
      <c r="DJ122" s="116"/>
      <c r="DK122" s="116"/>
      <c r="DL122" s="116"/>
      <c r="DM122" s="116"/>
      <c r="DN122" s="116"/>
    </row>
    <row r="123" spans="1:118" x14ac:dyDescent="0.2">
      <c r="A123" s="27">
        <v>117</v>
      </c>
      <c r="B123" s="29">
        <f t="shared" si="68"/>
        <v>42675</v>
      </c>
      <c r="C123" s="30">
        <f t="shared" si="69"/>
        <v>8.3333333333333329E-2</v>
      </c>
      <c r="D123" s="55"/>
      <c r="E123" s="62">
        <f t="shared" ca="1" si="87"/>
        <v>89955448.142156646</v>
      </c>
      <c r="F123" s="63">
        <f ca="1">IF(AssetIntType1="Fixed",AssetFxdRate1,IF(A123=1,OFFSET(Vectors!$D$6,A123,MATCH(AssetFltIndx1,lstInterestRates,0)),IF(MOD($A123,AssetRateReset1)=0,MAX(MIN(OFFSET(Vectors!$D$6,A123,MATCH(AssetFltIndx1,lstInterestRates,0)),(F122-AssetMarg1)+AssetPdCapFl1,AssetLifeCap1-AssetMarg1),(F122-AssetMarg1)-AssetPdCapFl1,AssetLifeFloor1-AssetMarg1),F122)))+AssetMarg1</f>
        <v>0.09</v>
      </c>
      <c r="G123" s="62">
        <f t="shared" ca="1" si="75"/>
        <v>804622.61694478267</v>
      </c>
      <c r="H123" s="62">
        <f t="shared" ca="1" si="88"/>
        <v>674665.86106617481</v>
      </c>
      <c r="I123" s="62">
        <f t="shared" ca="1" si="89"/>
        <v>129956.75587860786</v>
      </c>
      <c r="J123" s="62">
        <f t="shared" ca="1" si="70"/>
        <v>89825491.386278033</v>
      </c>
      <c r="K123" s="55"/>
      <c r="L123" s="62">
        <f t="shared" ca="1" si="90"/>
        <v>53112412.548399873</v>
      </c>
      <c r="M123" s="68">
        <f ca="1">IF(pdrLossTime1="",OFFSET(Vectors!$AE$6,A123+_Age1,MATCH(SDA_Loss,lstSDA,0)),OFFSET(Vectors!$X$6,A123+_Age1,MATCH(pdrLossTime1,lstDefaultCurve,0)))</f>
        <v>2.7777777777777779E-5</v>
      </c>
      <c r="N123" s="62">
        <f t="shared" ca="1" si="76"/>
        <v>2777.7777777777778</v>
      </c>
      <c r="O123" s="67">
        <f t="shared" ca="1" si="91"/>
        <v>0.89825491386278034</v>
      </c>
      <c r="P123" s="68">
        <f ca="1">OFFSET(Vectors!$L$6,A123+_Age1,MATCH(pdrPrepay1,lstPrepayCurve,0))*pdrPrepayStress1</f>
        <v>5.1430128318229462E-3</v>
      </c>
      <c r="Q123" s="62">
        <f t="shared" ca="1" si="92"/>
        <v>272763.19387295004</v>
      </c>
      <c r="R123" s="62">
        <f t="shared" ca="1" si="93"/>
        <v>76726.379371498377</v>
      </c>
      <c r="S123" s="69">
        <f t="shared" ca="1" si="94"/>
        <v>0.09</v>
      </c>
      <c r="T123" s="62">
        <f t="shared" ca="1" si="95"/>
        <v>398322.26077966572</v>
      </c>
      <c r="U123" s="62">
        <f t="shared" ca="1" si="77"/>
        <v>1111.1111111111111</v>
      </c>
      <c r="V123" s="62">
        <f t="shared" ca="1" si="71"/>
        <v>52760145.197377644</v>
      </c>
      <c r="W123" s="55"/>
      <c r="X123" s="62">
        <f t="shared" ca="1" si="96"/>
        <v>748922.94513522519</v>
      </c>
      <c r="Y123" s="55"/>
      <c r="Z123" s="118" t="b">
        <v>0</v>
      </c>
      <c r="AA123" s="120" t="b">
        <f t="shared" si="78"/>
        <v>0</v>
      </c>
      <c r="AB123" s="120" t="b">
        <f t="shared" si="79"/>
        <v>1</v>
      </c>
      <c r="AC123" s="120" t="b">
        <f t="shared" ca="1" si="80"/>
        <v>0</v>
      </c>
      <c r="AD123" s="121"/>
      <c r="AE123" s="129">
        <v>22207051.395273358</v>
      </c>
      <c r="AF123" s="69">
        <f ca="1">IF(Swap_Active="No",0,OFFSET(Vectors!$D$6,Vectors!A123,MATCH(Swap_In,lstInterestRates,0)))</f>
        <v>6.9369000000000056E-2</v>
      </c>
      <c r="AG123" s="62">
        <f t="shared" ca="1" si="97"/>
        <v>128373.41235322657</v>
      </c>
      <c r="AH123" s="69">
        <f ca="1">IF(Swap_Active="No",0,OFFSET(Vectors!$D$6,Vectors!A123,MATCH(Swap_Out,lstInterestRates,0)))</f>
        <v>0.04</v>
      </c>
      <c r="AI123" s="62">
        <f t="shared" ca="1" si="98"/>
        <v>74023.504650911185</v>
      </c>
      <c r="AJ123" s="62">
        <f t="shared" ca="1" si="99"/>
        <v>54349.90770231538</v>
      </c>
      <c r="AK123" s="62">
        <f t="shared" ca="1" si="100"/>
        <v>803272.85283754056</v>
      </c>
      <c r="AL123" s="121"/>
      <c r="AM123" s="123">
        <f t="shared" ca="1" si="81"/>
        <v>98201.904212637688</v>
      </c>
      <c r="AN123" s="124">
        <f t="shared" ca="1" si="101"/>
        <v>98201.904212637688</v>
      </c>
      <c r="AO123" s="125">
        <f t="shared" ca="1" si="102"/>
        <v>0</v>
      </c>
      <c r="AP123" s="123">
        <f t="shared" ca="1" si="103"/>
        <v>705070.94862490287</v>
      </c>
      <c r="AQ123" s="121"/>
      <c r="AR123" s="126">
        <f ca="1">IF(LiabIntType1="Fixed",LiabFxdRate1,OFFSET(Vectors!$D$6,Vectors!A123,MATCH(LiabLoanIndex1,lstInterestRates,0))+LiabMarg1)</f>
        <v>7.9369000000000051E-2</v>
      </c>
      <c r="AS123" s="122">
        <f t="shared" ca="1" si="104"/>
        <v>153677.69657258512</v>
      </c>
      <c r="AT123" s="124">
        <f t="shared" ca="1" si="105"/>
        <v>153677.69657258512</v>
      </c>
      <c r="AU123" s="123">
        <f t="shared" ca="1" si="106"/>
        <v>0</v>
      </c>
      <c r="AV123" s="123">
        <f t="shared" ca="1" si="82"/>
        <v>0</v>
      </c>
      <c r="AW123" s="123">
        <f t="shared" ca="1" si="107"/>
        <v>0</v>
      </c>
      <c r="AX123" s="124">
        <f t="shared" ca="1" si="108"/>
        <v>551393.25205231772</v>
      </c>
      <c r="AY123" s="121"/>
      <c r="AZ123" s="122">
        <f t="shared" ca="1" si="83"/>
        <v>551393.25205231772</v>
      </c>
      <c r="BA123" s="124">
        <f t="shared" ca="1" si="109"/>
        <v>551393.25205231772</v>
      </c>
      <c r="BB123" s="123">
        <f t="shared" ca="1" si="110"/>
        <v>0</v>
      </c>
      <c r="BC123" s="123">
        <f t="shared" ca="1" si="84"/>
        <v>0</v>
      </c>
      <c r="BD123" s="123">
        <f t="shared" ca="1" si="111"/>
        <v>0</v>
      </c>
      <c r="BE123" s="124">
        <f t="shared" ca="1" si="112"/>
        <v>0</v>
      </c>
      <c r="BF123" s="121"/>
      <c r="BG123" s="123">
        <f t="shared" si="85"/>
        <v>1000000</v>
      </c>
      <c r="BH123" s="123">
        <f t="shared" ca="1" si="113"/>
        <v>1000000</v>
      </c>
      <c r="BI123" s="123">
        <f t="shared" ca="1" si="114"/>
        <v>0</v>
      </c>
      <c r="BJ123" s="123">
        <f t="shared" ca="1" si="115"/>
        <v>0</v>
      </c>
      <c r="BK123" s="123">
        <f t="shared" ca="1" si="72"/>
        <v>1000000</v>
      </c>
      <c r="BL123" s="123">
        <f t="shared" ca="1" si="116"/>
        <v>0</v>
      </c>
      <c r="BM123" s="121"/>
      <c r="BN123" s="126">
        <f ca="1">IF(LiabIntType2="Fixed",LiabFxdRate2,OFFSET(Vectors!$D$6,Vectors!A123,MATCH(LiabLoanIndex2,lstInterestRates,0))+LiabMarg2)</f>
        <v>0.04</v>
      </c>
      <c r="BO123" s="122">
        <f t="shared" ca="1" si="117"/>
        <v>34119.905847872607</v>
      </c>
      <c r="BP123" s="124">
        <f t="shared" ca="1" si="118"/>
        <v>0</v>
      </c>
      <c r="BQ123" s="123">
        <f t="shared" ca="1" si="119"/>
        <v>34119.905847872607</v>
      </c>
      <c r="BR123" s="123">
        <f t="shared" ca="1" si="120"/>
        <v>0</v>
      </c>
      <c r="BS123" s="121"/>
      <c r="BT123" s="123">
        <f t="shared" ca="1" si="86"/>
        <v>36117.660526941763</v>
      </c>
      <c r="BU123" s="123">
        <f t="shared" ca="1" si="121"/>
        <v>0</v>
      </c>
      <c r="BV123" s="123">
        <f t="shared" ca="1" si="122"/>
        <v>36117.660526941763</v>
      </c>
      <c r="BW123" s="123">
        <f t="shared" ca="1" si="123"/>
        <v>0</v>
      </c>
      <c r="BX123" s="121"/>
      <c r="BY123" s="123">
        <f t="shared" si="124"/>
        <v>0</v>
      </c>
      <c r="BZ123" s="123">
        <f t="shared" ca="1" si="125"/>
        <v>0</v>
      </c>
      <c r="CA123" s="121"/>
      <c r="CB123" s="122">
        <f t="shared" ca="1" si="73"/>
        <v>22683526.664678652</v>
      </c>
      <c r="CC123" s="122">
        <f t="shared" ca="1" si="126"/>
        <v>153677.69657258512</v>
      </c>
      <c r="CD123" s="124">
        <f t="shared" ca="1" si="127"/>
        <v>551393.25205231772</v>
      </c>
      <c r="CE123" s="121"/>
      <c r="CF123" s="122">
        <f t="shared" ca="1" si="74"/>
        <v>10235971.754361782</v>
      </c>
      <c r="CG123" s="124">
        <f t="shared" ca="1" si="128"/>
        <v>0</v>
      </c>
      <c r="CH123" s="123">
        <f t="shared" ca="1" si="129"/>
        <v>0</v>
      </c>
      <c r="CI123" s="121"/>
      <c r="CJ123" s="123">
        <f t="shared" ca="1" si="130"/>
        <v>877296.35748845176</v>
      </c>
      <c r="CK123" s="123">
        <f t="shared" ca="1" si="131"/>
        <v>877296.35748845176</v>
      </c>
      <c r="CL123" s="123">
        <f t="shared" ca="1" si="132"/>
        <v>0</v>
      </c>
      <c r="CM123" s="121"/>
      <c r="CN123" s="62">
        <f t="shared" ca="1" si="133"/>
        <v>352267.35102222615</v>
      </c>
      <c r="CO123" s="62" t="b">
        <f t="shared" si="134"/>
        <v>1</v>
      </c>
      <c r="CP123" s="126">
        <f t="shared" ca="1" si="135"/>
        <v>3.2499999999999946E-3</v>
      </c>
      <c r="CQ123" s="120"/>
      <c r="CR123" s="120"/>
      <c r="CS123" s="120"/>
      <c r="CT123" s="120"/>
      <c r="CU123" s="120"/>
      <c r="CV123" s="120"/>
      <c r="CW123" s="120"/>
      <c r="CX123" s="120"/>
      <c r="CY123" s="120"/>
      <c r="CZ123" s="120"/>
      <c r="DA123" s="120"/>
      <c r="DB123" s="120"/>
      <c r="DC123" s="120"/>
      <c r="DD123" s="120"/>
      <c r="DE123" s="116"/>
      <c r="DF123" s="116"/>
      <c r="DG123" s="116"/>
      <c r="DH123" s="116"/>
      <c r="DI123" s="116"/>
      <c r="DJ123" s="116"/>
      <c r="DK123" s="116"/>
      <c r="DL123" s="116"/>
      <c r="DM123" s="116"/>
      <c r="DN123" s="116"/>
    </row>
    <row r="124" spans="1:118" x14ac:dyDescent="0.2">
      <c r="A124" s="27">
        <v>118</v>
      </c>
      <c r="B124" s="29">
        <f t="shared" si="68"/>
        <v>42705</v>
      </c>
      <c r="C124" s="30">
        <f t="shared" si="69"/>
        <v>8.3333333333333329E-2</v>
      </c>
      <c r="D124" s="55"/>
      <c r="E124" s="62">
        <f t="shared" ca="1" si="87"/>
        <v>89825491.386278033</v>
      </c>
      <c r="F124" s="63">
        <f ca="1">IF(AssetIntType1="Fixed",AssetFxdRate1,IF(A124=1,OFFSET(Vectors!$D$6,A124,MATCH(AssetFltIndx1,lstInterestRates,0)),IF(MOD($A124,AssetRateReset1)=0,MAX(MIN(OFFSET(Vectors!$D$6,A124,MATCH(AssetFltIndx1,lstInterestRates,0)),(F123-AssetMarg1)+AssetPdCapFl1,AssetLifeCap1-AssetMarg1),(F123-AssetMarg1)-AssetPdCapFl1,AssetLifeFloor1-AssetMarg1),F123)))+AssetMarg1</f>
        <v>0.09</v>
      </c>
      <c r="G124" s="62">
        <f t="shared" ca="1" si="75"/>
        <v>804622.61694478267</v>
      </c>
      <c r="H124" s="62">
        <f t="shared" ca="1" si="88"/>
        <v>673691.18539708527</v>
      </c>
      <c r="I124" s="62">
        <f t="shared" ca="1" si="89"/>
        <v>130931.4315476974</v>
      </c>
      <c r="J124" s="62">
        <f t="shared" ca="1" si="70"/>
        <v>89694559.954730332</v>
      </c>
      <c r="K124" s="55"/>
      <c r="L124" s="62">
        <f t="shared" ca="1" si="90"/>
        <v>52760145.197377644</v>
      </c>
      <c r="M124" s="68">
        <f ca="1">IF(pdrLossTime1="",OFFSET(Vectors!$AE$6,A124+_Age1,MATCH(SDA_Loss,lstSDA,0)),OFFSET(Vectors!$X$6,A124+_Age1,MATCH(pdrLossTime1,lstDefaultCurve,0)))</f>
        <v>2.7777777777777779E-5</v>
      </c>
      <c r="N124" s="62">
        <f t="shared" ca="1" si="76"/>
        <v>2777.7777777777778</v>
      </c>
      <c r="O124" s="67">
        <f t="shared" ca="1" si="91"/>
        <v>0.89694559954730335</v>
      </c>
      <c r="P124" s="68">
        <f ca="1">OFFSET(Vectors!$L$6,A124+_Age1,MATCH(pdrPrepay1,lstPrepayCurve,0))*pdrPrepayStress1</f>
        <v>5.1430128318229462E-3</v>
      </c>
      <c r="Q124" s="62">
        <f t="shared" ca="1" si="92"/>
        <v>270950.58425483928</v>
      </c>
      <c r="R124" s="62">
        <f t="shared" ca="1" si="93"/>
        <v>76900.193189386278</v>
      </c>
      <c r="S124" s="69">
        <f t="shared" ca="1" si="94"/>
        <v>0.09</v>
      </c>
      <c r="T124" s="62">
        <f t="shared" ca="1" si="95"/>
        <v>395680.25564699899</v>
      </c>
      <c r="U124" s="62">
        <f t="shared" ca="1" si="77"/>
        <v>1111.1111111111111</v>
      </c>
      <c r="V124" s="62">
        <f t="shared" ca="1" si="71"/>
        <v>52409516.642155647</v>
      </c>
      <c r="W124" s="55"/>
      <c r="X124" s="62">
        <f t="shared" ca="1" si="96"/>
        <v>744642.14420233562</v>
      </c>
      <c r="Y124" s="55"/>
      <c r="Z124" s="118" t="b">
        <v>0</v>
      </c>
      <c r="AA124" s="120" t="b">
        <f t="shared" si="78"/>
        <v>0</v>
      </c>
      <c r="AB124" s="120" t="b">
        <f t="shared" si="79"/>
        <v>1</v>
      </c>
      <c r="AC124" s="120" t="b">
        <f t="shared" ca="1" si="80"/>
        <v>0</v>
      </c>
      <c r="AD124" s="121"/>
      <c r="AE124" s="129">
        <v>21886597.834323131</v>
      </c>
      <c r="AF124" s="69">
        <f ca="1">IF(Swap_Active="No",0,OFFSET(Vectors!$D$6,Vectors!A124,MATCH(Swap_In,lstInterestRates,0)))</f>
        <v>6.9369000000000056E-2</v>
      </c>
      <c r="AG124" s="62">
        <f t="shared" ca="1" si="97"/>
        <v>126520.95043076354</v>
      </c>
      <c r="AH124" s="69">
        <f ca="1">IF(Swap_Active="No",0,OFFSET(Vectors!$D$6,Vectors!A124,MATCH(Swap_Out,lstInterestRates,0)))</f>
        <v>0.04</v>
      </c>
      <c r="AI124" s="62">
        <f t="shared" ca="1" si="98"/>
        <v>72955.326114410433</v>
      </c>
      <c r="AJ124" s="62">
        <f t="shared" ca="1" si="99"/>
        <v>53565.624316353103</v>
      </c>
      <c r="AK124" s="62">
        <f t="shared" ca="1" si="100"/>
        <v>798207.76851868874</v>
      </c>
      <c r="AL124" s="121"/>
      <c r="AM124" s="123">
        <f t="shared" ca="1" si="81"/>
        <v>97385.04477257884</v>
      </c>
      <c r="AN124" s="124">
        <f t="shared" ca="1" si="101"/>
        <v>97385.04477257884</v>
      </c>
      <c r="AO124" s="125">
        <f t="shared" ca="1" si="102"/>
        <v>0</v>
      </c>
      <c r="AP124" s="123">
        <f t="shared" ca="1" si="103"/>
        <v>700822.72374610987</v>
      </c>
      <c r="AQ124" s="121"/>
      <c r="AR124" s="126">
        <f ca="1">IF(LiabIntType1="Fixed",LiabFxdRate1,OFFSET(Vectors!$D$6,Vectors!A124,MATCH(LiabLoanIndex1,lstInterestRates,0))+LiabMarg1)</f>
        <v>7.9369000000000051E-2</v>
      </c>
      <c r="AS124" s="122">
        <f t="shared" ca="1" si="104"/>
        <v>150030.73565407342</v>
      </c>
      <c r="AT124" s="124">
        <f t="shared" ca="1" si="105"/>
        <v>150030.73565407342</v>
      </c>
      <c r="AU124" s="123">
        <f t="shared" ca="1" si="106"/>
        <v>0</v>
      </c>
      <c r="AV124" s="123">
        <f t="shared" ca="1" si="82"/>
        <v>0</v>
      </c>
      <c r="AW124" s="123">
        <f t="shared" ca="1" si="107"/>
        <v>0</v>
      </c>
      <c r="AX124" s="124">
        <f t="shared" ca="1" si="108"/>
        <v>550791.98809203645</v>
      </c>
      <c r="AY124" s="121"/>
      <c r="AZ124" s="122">
        <f t="shared" ca="1" si="83"/>
        <v>550791.98809203645</v>
      </c>
      <c r="BA124" s="124">
        <f t="shared" ca="1" si="109"/>
        <v>550791.98809203645</v>
      </c>
      <c r="BB124" s="123">
        <f t="shared" ca="1" si="110"/>
        <v>0</v>
      </c>
      <c r="BC124" s="123">
        <f t="shared" ca="1" si="84"/>
        <v>0</v>
      </c>
      <c r="BD124" s="123">
        <f t="shared" ca="1" si="111"/>
        <v>0</v>
      </c>
      <c r="BE124" s="124">
        <f t="shared" ca="1" si="112"/>
        <v>0</v>
      </c>
      <c r="BF124" s="121"/>
      <c r="BG124" s="123">
        <f t="shared" si="85"/>
        <v>1000000</v>
      </c>
      <c r="BH124" s="123">
        <f t="shared" ca="1" si="113"/>
        <v>1000000</v>
      </c>
      <c r="BI124" s="123">
        <f t="shared" ca="1" si="114"/>
        <v>0</v>
      </c>
      <c r="BJ124" s="123">
        <f t="shared" ca="1" si="115"/>
        <v>0</v>
      </c>
      <c r="BK124" s="123">
        <f t="shared" ca="1" si="72"/>
        <v>1000000</v>
      </c>
      <c r="BL124" s="123">
        <f t="shared" ca="1" si="116"/>
        <v>0</v>
      </c>
      <c r="BM124" s="121"/>
      <c r="BN124" s="126">
        <f ca="1">IF(LiabIntType2="Fixed",LiabFxdRate2,OFFSET(Vectors!$D$6,Vectors!A124,MATCH(LiabLoanIndex2,lstInterestRates,0))+LiabMarg2)</f>
        <v>0.04</v>
      </c>
      <c r="BO124" s="122">
        <f t="shared" ca="1" si="117"/>
        <v>34119.905847872607</v>
      </c>
      <c r="BP124" s="124">
        <f t="shared" ca="1" si="118"/>
        <v>0</v>
      </c>
      <c r="BQ124" s="123">
        <f t="shared" ca="1" si="119"/>
        <v>34119.905847872607</v>
      </c>
      <c r="BR124" s="123">
        <f t="shared" ca="1" si="120"/>
        <v>0</v>
      </c>
      <c r="BS124" s="121"/>
      <c r="BT124" s="123">
        <f t="shared" ca="1" si="86"/>
        <v>35949.636240235464</v>
      </c>
      <c r="BU124" s="123">
        <f t="shared" ca="1" si="121"/>
        <v>0</v>
      </c>
      <c r="BV124" s="123">
        <f t="shared" ca="1" si="122"/>
        <v>35949.636240235464</v>
      </c>
      <c r="BW124" s="123">
        <f t="shared" ca="1" si="123"/>
        <v>0</v>
      </c>
      <c r="BX124" s="121"/>
      <c r="BY124" s="123">
        <f t="shared" si="124"/>
        <v>0</v>
      </c>
      <c r="BZ124" s="123">
        <f t="shared" ca="1" si="125"/>
        <v>0</v>
      </c>
      <c r="CA124" s="121"/>
      <c r="CB124" s="122">
        <f t="shared" ca="1" si="73"/>
        <v>22132734.676586617</v>
      </c>
      <c r="CC124" s="122">
        <f t="shared" ca="1" si="126"/>
        <v>150030.73565407342</v>
      </c>
      <c r="CD124" s="124">
        <f t="shared" ca="1" si="127"/>
        <v>550791.98809203645</v>
      </c>
      <c r="CE124" s="121"/>
      <c r="CF124" s="122">
        <f t="shared" ca="1" si="74"/>
        <v>10235971.754361782</v>
      </c>
      <c r="CG124" s="124">
        <f t="shared" ca="1" si="128"/>
        <v>0</v>
      </c>
      <c r="CH124" s="123">
        <f t="shared" ca="1" si="129"/>
        <v>0</v>
      </c>
      <c r="CI124" s="121"/>
      <c r="CJ124" s="123">
        <f t="shared" ca="1" si="130"/>
        <v>871163.09463309916</v>
      </c>
      <c r="CK124" s="123">
        <f t="shared" ca="1" si="131"/>
        <v>871163.09463309916</v>
      </c>
      <c r="CL124" s="123">
        <f t="shared" ca="1" si="132"/>
        <v>0</v>
      </c>
      <c r="CM124" s="121"/>
      <c r="CN124" s="62">
        <f t="shared" ca="1" si="133"/>
        <v>350628.55522200331</v>
      </c>
      <c r="CO124" s="62" t="b">
        <f t="shared" si="134"/>
        <v>1</v>
      </c>
      <c r="CP124" s="126">
        <f t="shared" ca="1" si="135"/>
        <v>3.2777777777777723E-3</v>
      </c>
      <c r="CQ124" s="120"/>
      <c r="CR124" s="120"/>
      <c r="CS124" s="120"/>
      <c r="CT124" s="120"/>
      <c r="CU124" s="120"/>
      <c r="CV124" s="120"/>
      <c r="CW124" s="120"/>
      <c r="CX124" s="120"/>
      <c r="CY124" s="120"/>
      <c r="CZ124" s="120"/>
      <c r="DA124" s="120"/>
      <c r="DB124" s="120"/>
      <c r="DC124" s="120"/>
      <c r="DD124" s="120"/>
      <c r="DE124" s="116"/>
      <c r="DF124" s="116"/>
      <c r="DG124" s="116"/>
      <c r="DH124" s="116"/>
      <c r="DI124" s="116"/>
      <c r="DJ124" s="116"/>
      <c r="DK124" s="116"/>
      <c r="DL124" s="116"/>
      <c r="DM124" s="116"/>
      <c r="DN124" s="116"/>
    </row>
    <row r="125" spans="1:118" x14ac:dyDescent="0.2">
      <c r="A125" s="27">
        <v>119</v>
      </c>
      <c r="B125" s="29">
        <f t="shared" si="68"/>
        <v>42736</v>
      </c>
      <c r="C125" s="30">
        <f t="shared" si="69"/>
        <v>8.3333333333333329E-2</v>
      </c>
      <c r="D125" s="55"/>
      <c r="E125" s="62">
        <f t="shared" ca="1" si="87"/>
        <v>89694559.954730332</v>
      </c>
      <c r="F125" s="63">
        <f ca="1">IF(AssetIntType1="Fixed",AssetFxdRate1,IF(A125=1,OFFSET(Vectors!$D$6,A125,MATCH(AssetFltIndx1,lstInterestRates,0)),IF(MOD($A125,AssetRateReset1)=0,MAX(MIN(OFFSET(Vectors!$D$6,A125,MATCH(AssetFltIndx1,lstInterestRates,0)),(F124-AssetMarg1)+AssetPdCapFl1,AssetLifeCap1-AssetMarg1),(F124-AssetMarg1)-AssetPdCapFl1,AssetLifeFloor1-AssetMarg1),F124)))+AssetMarg1</f>
        <v>0.09</v>
      </c>
      <c r="G125" s="62">
        <f t="shared" ca="1" si="75"/>
        <v>804622.61694478267</v>
      </c>
      <c r="H125" s="62">
        <f t="shared" ca="1" si="88"/>
        <v>672709.19966047746</v>
      </c>
      <c r="I125" s="62">
        <f t="shared" ca="1" si="89"/>
        <v>131913.41728430521</v>
      </c>
      <c r="J125" s="62">
        <f t="shared" ca="1" si="70"/>
        <v>89562646.537446022</v>
      </c>
      <c r="K125" s="55"/>
      <c r="L125" s="62">
        <f t="shared" ca="1" si="90"/>
        <v>52409516.642155647</v>
      </c>
      <c r="M125" s="68">
        <f ca="1">IF(pdrLossTime1="",OFFSET(Vectors!$AE$6,A125+_Age1,MATCH(SDA_Loss,lstSDA,0)),OFFSET(Vectors!$X$6,A125+_Age1,MATCH(pdrLossTime1,lstDefaultCurve,0)))</f>
        <v>2.7777777777777779E-5</v>
      </c>
      <c r="N125" s="62">
        <f t="shared" ca="1" si="76"/>
        <v>2777.7777777777778</v>
      </c>
      <c r="O125" s="67">
        <f t="shared" ca="1" si="91"/>
        <v>0.89562646537446022</v>
      </c>
      <c r="P125" s="68">
        <f ca="1">OFFSET(Vectors!$L$6,A125+_Age1,MATCH(pdrPrepay1,lstPrepayCurve,0))*pdrPrepayStress1</f>
        <v>5.1430128318229462E-3</v>
      </c>
      <c r="Q125" s="62">
        <f t="shared" ca="1" si="92"/>
        <v>269146.40109789855</v>
      </c>
      <c r="R125" s="62">
        <f t="shared" ca="1" si="93"/>
        <v>77074.373471657673</v>
      </c>
      <c r="S125" s="69">
        <f t="shared" ca="1" si="94"/>
        <v>0.09</v>
      </c>
      <c r="T125" s="62">
        <f t="shared" ca="1" si="95"/>
        <v>393050.54148283403</v>
      </c>
      <c r="U125" s="62">
        <f t="shared" ca="1" si="77"/>
        <v>1111.1111111111111</v>
      </c>
      <c r="V125" s="62">
        <f t="shared" ca="1" si="71"/>
        <v>52060518.089808315</v>
      </c>
      <c r="W125" s="55"/>
      <c r="X125" s="62">
        <f t="shared" ca="1" si="96"/>
        <v>740382.42716350139</v>
      </c>
      <c r="Y125" s="55"/>
      <c r="Z125" s="118" t="b">
        <v>0</v>
      </c>
      <c r="AA125" s="120" t="b">
        <f t="shared" si="78"/>
        <v>0</v>
      </c>
      <c r="AB125" s="120" t="b">
        <f t="shared" si="79"/>
        <v>1</v>
      </c>
      <c r="AC125" s="120" t="b">
        <f t="shared" ca="1" si="80"/>
        <v>0</v>
      </c>
      <c r="AD125" s="121"/>
      <c r="AE125" s="129">
        <v>21569452.059886403</v>
      </c>
      <c r="AF125" s="69">
        <f ca="1">IF(Swap_Active="No",0,OFFSET(Vectors!$D$6,Vectors!A125,MATCH(Swap_In,lstInterestRates,0)))</f>
        <v>6.9369000000000056E-2</v>
      </c>
      <c r="AG125" s="62">
        <f t="shared" ca="1" si="97"/>
        <v>124687.60999518842</v>
      </c>
      <c r="AH125" s="69">
        <f ca="1">IF(Swap_Active="No",0,OFFSET(Vectors!$D$6,Vectors!A125,MATCH(Swap_Out,lstInterestRates,0)))</f>
        <v>0.04</v>
      </c>
      <c r="AI125" s="62">
        <f t="shared" ca="1" si="98"/>
        <v>71898.173532954679</v>
      </c>
      <c r="AJ125" s="62">
        <f t="shared" ca="1" si="99"/>
        <v>52789.436462233745</v>
      </c>
      <c r="AK125" s="62">
        <f t="shared" ca="1" si="100"/>
        <v>793171.86362573516</v>
      </c>
      <c r="AL125" s="121"/>
      <c r="AM125" s="123">
        <f t="shared" ca="1" si="81"/>
        <v>96571.167185503829</v>
      </c>
      <c r="AN125" s="124">
        <f t="shared" ca="1" si="101"/>
        <v>96571.167185503829</v>
      </c>
      <c r="AO125" s="125">
        <f t="shared" ca="1" si="102"/>
        <v>0</v>
      </c>
      <c r="AP125" s="123">
        <f t="shared" ca="1" si="103"/>
        <v>696600.69644023129</v>
      </c>
      <c r="AQ125" s="121"/>
      <c r="AR125" s="126">
        <f ca="1">IF(LiabIntType1="Fixed",LiabFxdRate1,OFFSET(Vectors!$D$6,Vectors!A125,MATCH(LiabLoanIndex1,lstInterestRates,0))+LiabMarg1)</f>
        <v>7.9369000000000051E-2</v>
      </c>
      <c r="AS125" s="122">
        <f t="shared" ca="1" si="104"/>
        <v>146387.75154550036</v>
      </c>
      <c r="AT125" s="124">
        <f t="shared" ca="1" si="105"/>
        <v>146387.75154550036</v>
      </c>
      <c r="AU125" s="123">
        <f t="shared" ca="1" si="106"/>
        <v>0</v>
      </c>
      <c r="AV125" s="123">
        <f t="shared" ca="1" si="82"/>
        <v>0</v>
      </c>
      <c r="AW125" s="123">
        <f t="shared" ca="1" si="107"/>
        <v>0</v>
      </c>
      <c r="AX125" s="124">
        <f t="shared" ca="1" si="108"/>
        <v>550212.94489473093</v>
      </c>
      <c r="AY125" s="121"/>
      <c r="AZ125" s="122">
        <f t="shared" ca="1" si="83"/>
        <v>550212.94489473093</v>
      </c>
      <c r="BA125" s="124">
        <f t="shared" ca="1" si="109"/>
        <v>550212.94489473093</v>
      </c>
      <c r="BB125" s="123">
        <f t="shared" ca="1" si="110"/>
        <v>0</v>
      </c>
      <c r="BC125" s="123">
        <f t="shared" ca="1" si="84"/>
        <v>0</v>
      </c>
      <c r="BD125" s="123">
        <f t="shared" ca="1" si="111"/>
        <v>0</v>
      </c>
      <c r="BE125" s="124">
        <f t="shared" ca="1" si="112"/>
        <v>0</v>
      </c>
      <c r="BF125" s="121"/>
      <c r="BG125" s="123">
        <f t="shared" si="85"/>
        <v>1000000</v>
      </c>
      <c r="BH125" s="123">
        <f t="shared" ca="1" si="113"/>
        <v>1000000</v>
      </c>
      <c r="BI125" s="123">
        <f t="shared" ca="1" si="114"/>
        <v>0</v>
      </c>
      <c r="BJ125" s="123">
        <f t="shared" ca="1" si="115"/>
        <v>0</v>
      </c>
      <c r="BK125" s="123">
        <f t="shared" ca="1" si="72"/>
        <v>1000000</v>
      </c>
      <c r="BL125" s="123">
        <f t="shared" ca="1" si="116"/>
        <v>0</v>
      </c>
      <c r="BM125" s="121"/>
      <c r="BN125" s="126">
        <f ca="1">IF(LiabIntType2="Fixed",LiabFxdRate2,OFFSET(Vectors!$D$6,Vectors!A125,MATCH(LiabLoanIndex2,lstInterestRates,0))+LiabMarg2)</f>
        <v>0.04</v>
      </c>
      <c r="BO125" s="122">
        <f t="shared" ca="1" si="117"/>
        <v>34119.905847872607</v>
      </c>
      <c r="BP125" s="124">
        <f t="shared" ca="1" si="118"/>
        <v>0</v>
      </c>
      <c r="BQ125" s="123">
        <f t="shared" ca="1" si="119"/>
        <v>34119.905847872607</v>
      </c>
      <c r="BR125" s="123">
        <f t="shared" ca="1" si="120"/>
        <v>0</v>
      </c>
      <c r="BS125" s="121"/>
      <c r="BT125" s="123">
        <f t="shared" ca="1" si="86"/>
        <v>35782.51348442398</v>
      </c>
      <c r="BU125" s="123">
        <f t="shared" ca="1" si="121"/>
        <v>0</v>
      </c>
      <c r="BV125" s="123">
        <f t="shared" ca="1" si="122"/>
        <v>35782.51348442398</v>
      </c>
      <c r="BW125" s="123">
        <f t="shared" ca="1" si="123"/>
        <v>0</v>
      </c>
      <c r="BX125" s="121"/>
      <c r="BY125" s="123">
        <f t="shared" si="124"/>
        <v>0</v>
      </c>
      <c r="BZ125" s="123">
        <f t="shared" ca="1" si="125"/>
        <v>0</v>
      </c>
      <c r="CA125" s="121"/>
      <c r="CB125" s="122">
        <f t="shared" ca="1" si="73"/>
        <v>21582521.731691886</v>
      </c>
      <c r="CC125" s="122">
        <f t="shared" ca="1" si="126"/>
        <v>146387.75154550036</v>
      </c>
      <c r="CD125" s="124">
        <f t="shared" ca="1" si="127"/>
        <v>550212.94489473093</v>
      </c>
      <c r="CE125" s="121"/>
      <c r="CF125" s="122">
        <f t="shared" ca="1" si="74"/>
        <v>10235971.754361782</v>
      </c>
      <c r="CG125" s="124">
        <f t="shared" ca="1" si="128"/>
        <v>0</v>
      </c>
      <c r="CH125" s="123">
        <f t="shared" ca="1" si="129"/>
        <v>0</v>
      </c>
      <c r="CI125" s="121"/>
      <c r="CJ125" s="123">
        <f t="shared" ca="1" si="130"/>
        <v>865070.03715868981</v>
      </c>
      <c r="CK125" s="123">
        <f t="shared" ca="1" si="131"/>
        <v>865070.03715868981</v>
      </c>
      <c r="CL125" s="123">
        <f t="shared" ca="1" si="132"/>
        <v>0</v>
      </c>
      <c r="CM125" s="121"/>
      <c r="CN125" s="62">
        <f t="shared" ca="1" si="133"/>
        <v>348998.55234733399</v>
      </c>
      <c r="CO125" s="62" t="b">
        <f t="shared" si="134"/>
        <v>1</v>
      </c>
      <c r="CP125" s="126">
        <f t="shared" ca="1" si="135"/>
        <v>3.3055555555555499E-3</v>
      </c>
      <c r="CQ125" s="120"/>
      <c r="CR125" s="120"/>
      <c r="CS125" s="120"/>
      <c r="CT125" s="120"/>
      <c r="CU125" s="120"/>
      <c r="CV125" s="120"/>
      <c r="CW125" s="120"/>
      <c r="CX125" s="120"/>
      <c r="CY125" s="120"/>
      <c r="CZ125" s="120"/>
      <c r="DA125" s="120"/>
      <c r="DB125" s="120"/>
      <c r="DC125" s="120"/>
      <c r="DD125" s="120"/>
      <c r="DE125" s="116"/>
      <c r="DF125" s="116"/>
      <c r="DG125" s="116"/>
      <c r="DH125" s="116"/>
      <c r="DI125" s="116"/>
      <c r="DJ125" s="116"/>
      <c r="DK125" s="116"/>
      <c r="DL125" s="116"/>
      <c r="DM125" s="116"/>
      <c r="DN125" s="116"/>
    </row>
    <row r="126" spans="1:118" x14ac:dyDescent="0.2">
      <c r="A126" s="27">
        <v>120</v>
      </c>
      <c r="B126" s="29">
        <f t="shared" si="68"/>
        <v>42767</v>
      </c>
      <c r="C126" s="30">
        <f t="shared" si="69"/>
        <v>8.3333333333333329E-2</v>
      </c>
      <c r="D126" s="55"/>
      <c r="E126" s="62">
        <f t="shared" ca="1" si="87"/>
        <v>89562646.537446022</v>
      </c>
      <c r="F126" s="63">
        <f ca="1">IF(AssetIntType1="Fixed",AssetFxdRate1,IF(A126=1,OFFSET(Vectors!$D$6,A126,MATCH(AssetFltIndx1,lstInterestRates,0)),IF(MOD($A126,AssetRateReset1)=0,MAX(MIN(OFFSET(Vectors!$D$6,A126,MATCH(AssetFltIndx1,lstInterestRates,0)),(F125-AssetMarg1)+AssetPdCapFl1,AssetLifeCap1-AssetMarg1),(F125-AssetMarg1)-AssetPdCapFl1,AssetLifeFloor1-AssetMarg1),F125)))+AssetMarg1</f>
        <v>0.09</v>
      </c>
      <c r="G126" s="62">
        <f t="shared" ca="1" si="75"/>
        <v>804622.61694478267</v>
      </c>
      <c r="H126" s="62">
        <f t="shared" ca="1" si="88"/>
        <v>671719.8490308451</v>
      </c>
      <c r="I126" s="62">
        <f t="shared" ca="1" si="89"/>
        <v>132902.76791393757</v>
      </c>
      <c r="J126" s="62">
        <f t="shared" ca="1" si="70"/>
        <v>89429743.769532084</v>
      </c>
      <c r="K126" s="55"/>
      <c r="L126" s="62">
        <f t="shared" ca="1" si="90"/>
        <v>52060518.089808315</v>
      </c>
      <c r="M126" s="68">
        <f ca="1">IF(pdrLossTime1="",OFFSET(Vectors!$AE$6,A126+_Age1,MATCH(SDA_Loss,lstSDA,0)),OFFSET(Vectors!$X$6,A126+_Age1,MATCH(pdrLossTime1,lstDefaultCurve,0)))</f>
        <v>2.7777777777777779E-5</v>
      </c>
      <c r="N126" s="62">
        <f t="shared" ca="1" si="76"/>
        <v>2777.7777777777778</v>
      </c>
      <c r="O126" s="67">
        <f t="shared" ca="1" si="91"/>
        <v>0.89429743769532088</v>
      </c>
      <c r="P126" s="68">
        <f ca="1">OFFSET(Vectors!$L$6,A126+_Age1,MATCH(pdrPrepay1,lstPrepayCurve,0))*pdrPrepayStress1</f>
        <v>5.1430128318229462E-3</v>
      </c>
      <c r="Q126" s="62">
        <f t="shared" ca="1" si="92"/>
        <v>267350.59917756752</v>
      </c>
      <c r="R126" s="62">
        <f t="shared" ca="1" si="93"/>
        <v>77248.920686160811</v>
      </c>
      <c r="S126" s="69">
        <f t="shared" ca="1" si="94"/>
        <v>0.09</v>
      </c>
      <c r="T126" s="62">
        <f t="shared" ca="1" si="95"/>
        <v>390433.05234022904</v>
      </c>
      <c r="U126" s="62">
        <f t="shared" ca="1" si="77"/>
        <v>1111.1111111111111</v>
      </c>
      <c r="V126" s="62">
        <f t="shared" ca="1" si="71"/>
        <v>51713140.792166807</v>
      </c>
      <c r="W126" s="55"/>
      <c r="X126" s="62">
        <f t="shared" ca="1" si="96"/>
        <v>736143.68331506848</v>
      </c>
      <c r="Y126" s="55"/>
      <c r="Z126" s="118" t="b">
        <v>0</v>
      </c>
      <c r="AA126" s="120" t="b">
        <f t="shared" si="78"/>
        <v>0</v>
      </c>
      <c r="AB126" s="120" t="b">
        <f t="shared" si="79"/>
        <v>1</v>
      </c>
      <c r="AC126" s="120" t="b">
        <f t="shared" ca="1" si="80"/>
        <v>0</v>
      </c>
      <c r="AD126" s="121"/>
      <c r="AE126" s="129">
        <v>21255580.728226978</v>
      </c>
      <c r="AF126" s="69">
        <f ca="1">IF(Swap_Active="No",0,OFFSET(Vectors!$D$6,Vectors!A126,MATCH(Swap_In,lstInterestRates,0)))</f>
        <v>6.9369000000000056E-2</v>
      </c>
      <c r="AG126" s="62">
        <f t="shared" ca="1" si="97"/>
        <v>122873.1982946982</v>
      </c>
      <c r="AH126" s="69">
        <f ca="1">IF(Swap_Active="No",0,OFFSET(Vectors!$D$6,Vectors!A126,MATCH(Swap_Out,lstInterestRates,0)))</f>
        <v>0.04</v>
      </c>
      <c r="AI126" s="62">
        <f t="shared" ca="1" si="98"/>
        <v>70851.935760756591</v>
      </c>
      <c r="AJ126" s="62">
        <f t="shared" ca="1" si="99"/>
        <v>52021.262533941612</v>
      </c>
      <c r="AK126" s="62">
        <f t="shared" ca="1" si="100"/>
        <v>788164.94584901014</v>
      </c>
      <c r="AL126" s="121"/>
      <c r="AM126" s="123">
        <f t="shared" ca="1" si="81"/>
        <v>95760.247537885472</v>
      </c>
      <c r="AN126" s="124">
        <f t="shared" ca="1" si="101"/>
        <v>95760.247537885472</v>
      </c>
      <c r="AO126" s="125">
        <f t="shared" ca="1" si="102"/>
        <v>0</v>
      </c>
      <c r="AP126" s="123">
        <f t="shared" ca="1" si="103"/>
        <v>692404.6983111247</v>
      </c>
      <c r="AQ126" s="121"/>
      <c r="AR126" s="126">
        <f ca="1">IF(LiabIntType1="Fixed",LiabFxdRate1,OFFSET(Vectors!$D$6,Vectors!A126,MATCH(LiabLoanIndex1,lstInterestRates,0))+LiabMarg1)</f>
        <v>7.9369000000000051E-2</v>
      </c>
      <c r="AS126" s="122">
        <f t="shared" ca="1" si="104"/>
        <v>142748.59727688786</v>
      </c>
      <c r="AT126" s="124">
        <f t="shared" ca="1" si="105"/>
        <v>142748.59727688786</v>
      </c>
      <c r="AU126" s="123">
        <f t="shared" ca="1" si="106"/>
        <v>0</v>
      </c>
      <c r="AV126" s="123">
        <f t="shared" ca="1" si="82"/>
        <v>0</v>
      </c>
      <c r="AW126" s="123">
        <f t="shared" ca="1" si="107"/>
        <v>0</v>
      </c>
      <c r="AX126" s="124">
        <f t="shared" ca="1" si="108"/>
        <v>549656.10103423684</v>
      </c>
      <c r="AY126" s="121"/>
      <c r="AZ126" s="122">
        <f t="shared" ca="1" si="83"/>
        <v>549656.10103423684</v>
      </c>
      <c r="BA126" s="124">
        <f t="shared" ca="1" si="109"/>
        <v>549656.10103423684</v>
      </c>
      <c r="BB126" s="123">
        <f t="shared" ca="1" si="110"/>
        <v>0</v>
      </c>
      <c r="BC126" s="123">
        <f t="shared" ca="1" si="84"/>
        <v>0</v>
      </c>
      <c r="BD126" s="123">
        <f t="shared" ca="1" si="111"/>
        <v>0</v>
      </c>
      <c r="BE126" s="124">
        <f t="shared" ca="1" si="112"/>
        <v>0</v>
      </c>
      <c r="BF126" s="121"/>
      <c r="BG126" s="123">
        <f t="shared" si="85"/>
        <v>1000000</v>
      </c>
      <c r="BH126" s="123">
        <f t="shared" ca="1" si="113"/>
        <v>1000000</v>
      </c>
      <c r="BI126" s="123">
        <f t="shared" ca="1" si="114"/>
        <v>0</v>
      </c>
      <c r="BJ126" s="123">
        <f t="shared" ca="1" si="115"/>
        <v>0</v>
      </c>
      <c r="BK126" s="123">
        <f t="shared" ca="1" si="72"/>
        <v>1000000</v>
      </c>
      <c r="BL126" s="123">
        <f t="shared" ca="1" si="116"/>
        <v>0</v>
      </c>
      <c r="BM126" s="121"/>
      <c r="BN126" s="126">
        <f ca="1">IF(LiabIntType2="Fixed",LiabFxdRate2,OFFSET(Vectors!$D$6,Vectors!A126,MATCH(LiabLoanIndex2,lstInterestRates,0))+LiabMarg2)</f>
        <v>0.04</v>
      </c>
      <c r="BO126" s="122">
        <f t="shared" ca="1" si="117"/>
        <v>34119.905847872607</v>
      </c>
      <c r="BP126" s="124">
        <f t="shared" ca="1" si="118"/>
        <v>0</v>
      </c>
      <c r="BQ126" s="123">
        <f t="shared" ca="1" si="119"/>
        <v>34119.905847872607</v>
      </c>
      <c r="BR126" s="123">
        <f t="shared" ca="1" si="120"/>
        <v>0</v>
      </c>
      <c r="BS126" s="121"/>
      <c r="BT126" s="123">
        <f t="shared" ca="1" si="86"/>
        <v>35616.287670641126</v>
      </c>
      <c r="BU126" s="123">
        <f t="shared" ca="1" si="121"/>
        <v>0</v>
      </c>
      <c r="BV126" s="123">
        <f t="shared" ca="1" si="122"/>
        <v>35616.287670641126</v>
      </c>
      <c r="BW126" s="123">
        <f t="shared" ca="1" si="123"/>
        <v>0</v>
      </c>
      <c r="BX126" s="121"/>
      <c r="BY126" s="123">
        <f t="shared" si="124"/>
        <v>0</v>
      </c>
      <c r="BZ126" s="123">
        <f t="shared" ca="1" si="125"/>
        <v>0</v>
      </c>
      <c r="CA126" s="121"/>
      <c r="CB126" s="122">
        <f t="shared" ca="1" si="73"/>
        <v>21032865.630657651</v>
      </c>
      <c r="CC126" s="122">
        <f t="shared" ca="1" si="126"/>
        <v>142748.59727688786</v>
      </c>
      <c r="CD126" s="124">
        <f t="shared" ca="1" si="127"/>
        <v>549656.10103423684</v>
      </c>
      <c r="CE126" s="121"/>
      <c r="CF126" s="122">
        <f t="shared" ca="1" si="74"/>
        <v>10235971.754361782</v>
      </c>
      <c r="CG126" s="124">
        <f t="shared" ca="1" si="128"/>
        <v>0</v>
      </c>
      <c r="CH126" s="123">
        <f t="shared" ca="1" si="129"/>
        <v>0</v>
      </c>
      <c r="CI126" s="121"/>
      <c r="CJ126" s="123">
        <f t="shared" ca="1" si="130"/>
        <v>859016.88160976674</v>
      </c>
      <c r="CK126" s="123">
        <f t="shared" ca="1" si="131"/>
        <v>859016.88160976674</v>
      </c>
      <c r="CL126" s="123">
        <f t="shared" ca="1" si="132"/>
        <v>0</v>
      </c>
      <c r="CM126" s="121"/>
      <c r="CN126" s="62">
        <f t="shared" ca="1" si="133"/>
        <v>347377.29764150607</v>
      </c>
      <c r="CO126" s="62" t="b">
        <f t="shared" si="134"/>
        <v>1</v>
      </c>
      <c r="CP126" s="126">
        <f t="shared" ca="1" si="135"/>
        <v>3.3333333333333275E-3</v>
      </c>
      <c r="CQ126" s="120"/>
      <c r="CR126" s="120"/>
      <c r="CS126" s="120"/>
      <c r="CT126" s="120"/>
      <c r="CU126" s="120"/>
      <c r="CV126" s="120"/>
      <c r="CW126" s="120"/>
      <c r="CX126" s="120"/>
      <c r="CY126" s="120"/>
      <c r="CZ126" s="120"/>
      <c r="DA126" s="120"/>
      <c r="DB126" s="120"/>
      <c r="DC126" s="120"/>
      <c r="DD126" s="120"/>
      <c r="DE126" s="116"/>
      <c r="DF126" s="116"/>
      <c r="DG126" s="116"/>
      <c r="DH126" s="116"/>
      <c r="DI126" s="116"/>
      <c r="DJ126" s="116"/>
      <c r="DK126" s="116"/>
      <c r="DL126" s="116"/>
      <c r="DM126" s="116"/>
      <c r="DN126" s="116"/>
    </row>
    <row r="127" spans="1:118" x14ac:dyDescent="0.2">
      <c r="A127" s="27">
        <v>121</v>
      </c>
      <c r="B127" s="29">
        <f t="shared" si="68"/>
        <v>42795</v>
      </c>
      <c r="C127" s="30">
        <f t="shared" si="69"/>
        <v>8.3333333333333329E-2</v>
      </c>
      <c r="D127" s="55"/>
      <c r="E127" s="62">
        <f t="shared" ca="1" si="87"/>
        <v>89429743.769532084</v>
      </c>
      <c r="F127" s="63">
        <f ca="1">IF(AssetIntType1="Fixed",AssetFxdRate1,IF(A127=1,OFFSET(Vectors!$D$6,A127,MATCH(AssetFltIndx1,lstInterestRates,0)),IF(MOD($A127,AssetRateReset1)=0,MAX(MIN(OFFSET(Vectors!$D$6,A127,MATCH(AssetFltIndx1,lstInterestRates,0)),(F126-AssetMarg1)+AssetPdCapFl1,AssetLifeCap1-AssetMarg1),(F126-AssetMarg1)-AssetPdCapFl1,AssetLifeFloor1-AssetMarg1),F126)))+AssetMarg1</f>
        <v>0.09</v>
      </c>
      <c r="G127" s="62">
        <f t="shared" ca="1" si="75"/>
        <v>804622.61694478267</v>
      </c>
      <c r="H127" s="62">
        <f t="shared" ca="1" si="88"/>
        <v>670723.07827149064</v>
      </c>
      <c r="I127" s="62">
        <f t="shared" ca="1" si="89"/>
        <v>133899.53867329203</v>
      </c>
      <c r="J127" s="62">
        <f t="shared" ca="1" si="70"/>
        <v>89295844.230858788</v>
      </c>
      <c r="K127" s="55"/>
      <c r="L127" s="62">
        <f t="shared" ca="1" si="90"/>
        <v>51713140.792166807</v>
      </c>
      <c r="M127" s="68">
        <f ca="1">IF(pdrLossTime1="",OFFSET(Vectors!$AE$6,A127+_Age1,MATCH(SDA_Loss,lstSDA,0)),OFFSET(Vectors!$X$6,A127+_Age1,MATCH(pdrLossTime1,lstDefaultCurve,0)))</f>
        <v>2.7777777777777779E-5</v>
      </c>
      <c r="N127" s="62">
        <f t="shared" ca="1" si="76"/>
        <v>2777.7777777777778</v>
      </c>
      <c r="O127" s="67">
        <f t="shared" ca="1" si="91"/>
        <v>0.8929584423085879</v>
      </c>
      <c r="P127" s="68">
        <f ca="1">OFFSET(Vectors!$L$6,A127+_Age1,MATCH(pdrPrepay1,lstPrepayCurve,0))*pdrPrepayStress1</f>
        <v>5.1430128318229462E-3</v>
      </c>
      <c r="Q127" s="62">
        <f t="shared" ca="1" si="92"/>
        <v>265563.13349948992</v>
      </c>
      <c r="R127" s="62">
        <f t="shared" ca="1" si="93"/>
        <v>77423.835296890553</v>
      </c>
      <c r="S127" s="69">
        <f t="shared" ca="1" si="94"/>
        <v>0.09</v>
      </c>
      <c r="T127" s="62">
        <f t="shared" ca="1" si="95"/>
        <v>387827.72260791773</v>
      </c>
      <c r="U127" s="62">
        <f t="shared" ca="1" si="77"/>
        <v>1111.1111111111111</v>
      </c>
      <c r="V127" s="62">
        <f t="shared" ca="1" si="71"/>
        <v>51367376.045592651</v>
      </c>
      <c r="W127" s="55"/>
      <c r="X127" s="62">
        <f t="shared" ca="1" si="96"/>
        <v>731925.8025154093</v>
      </c>
      <c r="Y127" s="55"/>
      <c r="Z127" s="118" t="b">
        <v>0</v>
      </c>
      <c r="AA127" s="120" t="b">
        <f t="shared" si="78"/>
        <v>0</v>
      </c>
      <c r="AB127" s="120" t="b">
        <f t="shared" si="79"/>
        <v>1</v>
      </c>
      <c r="AC127" s="120" t="b">
        <f t="shared" ca="1" si="80"/>
        <v>0</v>
      </c>
      <c r="AD127" s="121"/>
      <c r="AE127" s="129">
        <v>20944950.829730604</v>
      </c>
      <c r="AF127" s="69">
        <f ca="1">IF(Swap_Active="No",0,OFFSET(Vectors!$D$6,Vectors!A127,MATCH(Swap_In,lstInterestRates,0)))</f>
        <v>6.9369000000000056E-2</v>
      </c>
      <c r="AG127" s="62">
        <f t="shared" ca="1" si="97"/>
        <v>121077.52450896527</v>
      </c>
      <c r="AH127" s="69">
        <f ca="1">IF(Swap_Active="No",0,OFFSET(Vectors!$D$6,Vectors!A127,MATCH(Swap_Out,lstInterestRates,0)))</f>
        <v>0.04</v>
      </c>
      <c r="AI127" s="62">
        <f t="shared" ca="1" si="98"/>
        <v>69816.502765768673</v>
      </c>
      <c r="AJ127" s="62">
        <f t="shared" ca="1" si="99"/>
        <v>51261.021743196601</v>
      </c>
      <c r="AK127" s="62">
        <f t="shared" ca="1" si="100"/>
        <v>783186.82425860595</v>
      </c>
      <c r="AL127" s="121"/>
      <c r="AM127" s="123">
        <f t="shared" ca="1" si="81"/>
        <v>94952.261999718699</v>
      </c>
      <c r="AN127" s="124">
        <f t="shared" ca="1" si="101"/>
        <v>94952.261999718699</v>
      </c>
      <c r="AO127" s="125">
        <f t="shared" ca="1" si="102"/>
        <v>0</v>
      </c>
      <c r="AP127" s="123">
        <f t="shared" ca="1" si="103"/>
        <v>688234.56225888722</v>
      </c>
      <c r="AQ127" s="121"/>
      <c r="AR127" s="126">
        <f ca="1">IF(LiabIntType1="Fixed",LiabFxdRate1,OFFSET(Vectors!$D$6,Vectors!A127,MATCH(LiabLoanIndex1,lstInterestRates,0))+LiabMarg1)</f>
        <v>7.9369000000000051E-2</v>
      </c>
      <c r="AS127" s="122">
        <f t="shared" ca="1" si="104"/>
        <v>139113.12601997235</v>
      </c>
      <c r="AT127" s="124">
        <f t="shared" ca="1" si="105"/>
        <v>139113.12601997235</v>
      </c>
      <c r="AU127" s="123">
        <f t="shared" ca="1" si="106"/>
        <v>0</v>
      </c>
      <c r="AV127" s="123">
        <f t="shared" ca="1" si="82"/>
        <v>0</v>
      </c>
      <c r="AW127" s="123">
        <f t="shared" ca="1" si="107"/>
        <v>0</v>
      </c>
      <c r="AX127" s="124">
        <f t="shared" ca="1" si="108"/>
        <v>549121.43623891484</v>
      </c>
      <c r="AY127" s="121"/>
      <c r="AZ127" s="122">
        <f t="shared" ca="1" si="83"/>
        <v>549121.43623891484</v>
      </c>
      <c r="BA127" s="124">
        <f t="shared" ca="1" si="109"/>
        <v>549121.43623891484</v>
      </c>
      <c r="BB127" s="123">
        <f t="shared" ca="1" si="110"/>
        <v>0</v>
      </c>
      <c r="BC127" s="123">
        <f t="shared" ca="1" si="84"/>
        <v>0</v>
      </c>
      <c r="BD127" s="123">
        <f t="shared" ca="1" si="111"/>
        <v>0</v>
      </c>
      <c r="BE127" s="124">
        <f t="shared" ca="1" si="112"/>
        <v>0</v>
      </c>
      <c r="BF127" s="121"/>
      <c r="BG127" s="123">
        <f t="shared" si="85"/>
        <v>1000000</v>
      </c>
      <c r="BH127" s="123">
        <f t="shared" ca="1" si="113"/>
        <v>1000000</v>
      </c>
      <c r="BI127" s="123">
        <f t="shared" ca="1" si="114"/>
        <v>0</v>
      </c>
      <c r="BJ127" s="123">
        <f t="shared" ca="1" si="115"/>
        <v>0</v>
      </c>
      <c r="BK127" s="123">
        <f t="shared" ca="1" si="72"/>
        <v>1000000</v>
      </c>
      <c r="BL127" s="123">
        <f t="shared" ca="1" si="116"/>
        <v>0</v>
      </c>
      <c r="BM127" s="121"/>
      <c r="BN127" s="126">
        <f ca="1">IF(LiabIntType2="Fixed",LiabFxdRate2,OFFSET(Vectors!$D$6,Vectors!A127,MATCH(LiabLoanIndex2,lstInterestRates,0))+LiabMarg2)</f>
        <v>0.04</v>
      </c>
      <c r="BO127" s="122">
        <f t="shared" ca="1" si="117"/>
        <v>34119.905847872607</v>
      </c>
      <c r="BP127" s="124">
        <f t="shared" ca="1" si="118"/>
        <v>0</v>
      </c>
      <c r="BQ127" s="123">
        <f t="shared" ca="1" si="119"/>
        <v>34119.905847872607</v>
      </c>
      <c r="BR127" s="123">
        <f t="shared" ca="1" si="120"/>
        <v>0</v>
      </c>
      <c r="BS127" s="121"/>
      <c r="BT127" s="123">
        <f t="shared" ca="1" si="86"/>
        <v>35450.954233228265</v>
      </c>
      <c r="BU127" s="123">
        <f t="shared" ca="1" si="121"/>
        <v>0</v>
      </c>
      <c r="BV127" s="123">
        <f t="shared" ca="1" si="122"/>
        <v>35450.954233228265</v>
      </c>
      <c r="BW127" s="123">
        <f t="shared" ca="1" si="123"/>
        <v>0</v>
      </c>
      <c r="BX127" s="121"/>
      <c r="BY127" s="123">
        <f t="shared" si="124"/>
        <v>0</v>
      </c>
      <c r="BZ127" s="123">
        <f t="shared" ca="1" si="125"/>
        <v>0</v>
      </c>
      <c r="CA127" s="121"/>
      <c r="CB127" s="122">
        <f t="shared" ca="1" si="73"/>
        <v>20483744.194418736</v>
      </c>
      <c r="CC127" s="122">
        <f t="shared" ca="1" si="126"/>
        <v>139113.12601997235</v>
      </c>
      <c r="CD127" s="124">
        <f t="shared" ca="1" si="127"/>
        <v>549121.43623891484</v>
      </c>
      <c r="CE127" s="121"/>
      <c r="CF127" s="122">
        <f t="shared" ca="1" si="74"/>
        <v>10235971.754361782</v>
      </c>
      <c r="CG127" s="124">
        <f t="shared" ca="1" si="128"/>
        <v>0</v>
      </c>
      <c r="CH127" s="123">
        <f t="shared" ca="1" si="129"/>
        <v>0</v>
      </c>
      <c r="CI127" s="121"/>
      <c r="CJ127" s="123">
        <f t="shared" ca="1" si="130"/>
        <v>853003.32702437462</v>
      </c>
      <c r="CK127" s="123">
        <f t="shared" ca="1" si="131"/>
        <v>853003.32702437462</v>
      </c>
      <c r="CL127" s="123">
        <f t="shared" ca="1" si="132"/>
        <v>0</v>
      </c>
      <c r="CM127" s="121"/>
      <c r="CN127" s="62">
        <f t="shared" ca="1" si="133"/>
        <v>345764.7465741582</v>
      </c>
      <c r="CO127" s="62" t="b">
        <f t="shared" si="134"/>
        <v>1</v>
      </c>
      <c r="CP127" s="126">
        <f t="shared" ca="1" si="135"/>
        <v>3.3611111111111051E-3</v>
      </c>
      <c r="CQ127" s="120"/>
      <c r="CR127" s="120"/>
      <c r="CS127" s="120"/>
      <c r="CT127" s="120"/>
      <c r="CU127" s="120"/>
      <c r="CV127" s="120"/>
      <c r="CW127" s="120"/>
      <c r="CX127" s="120"/>
      <c r="CY127" s="120"/>
      <c r="CZ127" s="120"/>
      <c r="DA127" s="120"/>
      <c r="DB127" s="120"/>
      <c r="DC127" s="120"/>
      <c r="DD127" s="120"/>
      <c r="DE127" s="116"/>
      <c r="DF127" s="116"/>
      <c r="DG127" s="116"/>
      <c r="DH127" s="116"/>
      <c r="DI127" s="116"/>
      <c r="DJ127" s="116"/>
      <c r="DK127" s="116"/>
      <c r="DL127" s="116"/>
      <c r="DM127" s="116"/>
      <c r="DN127" s="116"/>
    </row>
    <row r="128" spans="1:118" x14ac:dyDescent="0.2">
      <c r="A128" s="27">
        <v>122</v>
      </c>
      <c r="B128" s="29">
        <f t="shared" si="68"/>
        <v>42826</v>
      </c>
      <c r="C128" s="30">
        <f t="shared" si="69"/>
        <v>8.3333333333333329E-2</v>
      </c>
      <c r="D128" s="55"/>
      <c r="E128" s="62">
        <f t="shared" ca="1" si="87"/>
        <v>89295844.230858788</v>
      </c>
      <c r="F128" s="63">
        <f ca="1">IF(AssetIntType1="Fixed",AssetFxdRate1,IF(A128=1,OFFSET(Vectors!$D$6,A128,MATCH(AssetFltIndx1,lstInterestRates,0)),IF(MOD($A128,AssetRateReset1)=0,MAX(MIN(OFFSET(Vectors!$D$6,A128,MATCH(AssetFltIndx1,lstInterestRates,0)),(F127-AssetMarg1)+AssetPdCapFl1,AssetLifeCap1-AssetMarg1),(F127-AssetMarg1)-AssetPdCapFl1,AssetLifeFloor1-AssetMarg1),F127)))+AssetMarg1</f>
        <v>0.09</v>
      </c>
      <c r="G128" s="62">
        <f t="shared" ca="1" si="75"/>
        <v>804622.61694478267</v>
      </c>
      <c r="H128" s="62">
        <f t="shared" ca="1" si="88"/>
        <v>669718.83173144085</v>
      </c>
      <c r="I128" s="62">
        <f t="shared" ca="1" si="89"/>
        <v>134903.78521334182</v>
      </c>
      <c r="J128" s="62">
        <f t="shared" ca="1" si="70"/>
        <v>89160940.445645452</v>
      </c>
      <c r="K128" s="55"/>
      <c r="L128" s="62">
        <f t="shared" ca="1" si="90"/>
        <v>51367376.045592651</v>
      </c>
      <c r="M128" s="68">
        <f ca="1">IF(pdrLossTime1="",OFFSET(Vectors!$AE$6,A128+_Age1,MATCH(SDA_Loss,lstSDA,0)),OFFSET(Vectors!$X$6,A128+_Age1,MATCH(pdrLossTime1,lstDefaultCurve,0)))</f>
        <v>2.7777777777777779E-5</v>
      </c>
      <c r="N128" s="62">
        <f t="shared" ca="1" si="76"/>
        <v>2777.7777777777778</v>
      </c>
      <c r="O128" s="67">
        <f t="shared" ca="1" si="91"/>
        <v>0.89160940445645454</v>
      </c>
      <c r="P128" s="68">
        <f ca="1">OFFSET(Vectors!$L$6,A128+_Age1,MATCH(pdrPrepay1,lstPrepayCurve,0))*pdrPrepayStress1</f>
        <v>5.1430128318229462E-3</v>
      </c>
      <c r="Q128" s="62">
        <f t="shared" ca="1" si="92"/>
        <v>263783.9592983498</v>
      </c>
      <c r="R128" s="62">
        <f t="shared" ca="1" si="93"/>
        <v>77599.117763826274</v>
      </c>
      <c r="S128" s="69">
        <f t="shared" ca="1" si="94"/>
        <v>0.09</v>
      </c>
      <c r="T128" s="62">
        <f t="shared" ca="1" si="95"/>
        <v>385234.48700861156</v>
      </c>
      <c r="U128" s="62">
        <f t="shared" ca="1" si="77"/>
        <v>1111.1111111111111</v>
      </c>
      <c r="V128" s="62">
        <f t="shared" ca="1" si="71"/>
        <v>51023215.1907527</v>
      </c>
      <c r="W128" s="55"/>
      <c r="X128" s="62">
        <f t="shared" ca="1" si="96"/>
        <v>727728.67518189875</v>
      </c>
      <c r="Y128" s="55"/>
      <c r="Z128" s="118" t="b">
        <v>0</v>
      </c>
      <c r="AA128" s="120" t="b">
        <f t="shared" si="78"/>
        <v>0</v>
      </c>
      <c r="AB128" s="120" t="b">
        <f t="shared" si="79"/>
        <v>1</v>
      </c>
      <c r="AC128" s="120" t="b">
        <f t="shared" ca="1" si="80"/>
        <v>0</v>
      </c>
      <c r="AD128" s="121"/>
      <c r="AE128" s="129">
        <v>20637529.685562063</v>
      </c>
      <c r="AF128" s="69">
        <f ca="1">IF(Swap_Active="No",0,OFFSET(Vectors!$D$6,Vectors!A128,MATCH(Swap_In,lstInterestRates,0)))</f>
        <v>6.9369000000000056E-2</v>
      </c>
      <c r="AG128" s="62">
        <f t="shared" ca="1" si="97"/>
        <v>119300.39972981298</v>
      </c>
      <c r="AH128" s="69">
        <f ca="1">IF(Swap_Active="No",0,OFFSET(Vectors!$D$6,Vectors!A128,MATCH(Swap_Out,lstInterestRates,0)))</f>
        <v>0.04</v>
      </c>
      <c r="AI128" s="62">
        <f t="shared" ca="1" si="98"/>
        <v>68791.765618540201</v>
      </c>
      <c r="AJ128" s="62">
        <f t="shared" ca="1" si="99"/>
        <v>50508.634111272782</v>
      </c>
      <c r="AK128" s="62">
        <f t="shared" ca="1" si="100"/>
        <v>778237.30929317151</v>
      </c>
      <c r="AL128" s="121"/>
      <c r="AM128" s="123">
        <f t="shared" ca="1" si="81"/>
        <v>94147.186823662225</v>
      </c>
      <c r="AN128" s="124">
        <f t="shared" ca="1" si="101"/>
        <v>94147.186823662225</v>
      </c>
      <c r="AO128" s="125">
        <f t="shared" ca="1" si="102"/>
        <v>0</v>
      </c>
      <c r="AP128" s="123">
        <f t="shared" ca="1" si="103"/>
        <v>684090.12246950925</v>
      </c>
      <c r="AQ128" s="121"/>
      <c r="AR128" s="126">
        <f ca="1">IF(LiabIntType1="Fixed",LiabFxdRate1,OFFSET(Vectors!$D$6,Vectors!A128,MATCH(LiabLoanIndex1,lstInterestRates,0))+LiabMarg1)</f>
        <v>7.9369000000000051E-2</v>
      </c>
      <c r="AS128" s="122">
        <f t="shared" ca="1" si="104"/>
        <v>135481.19108056847</v>
      </c>
      <c r="AT128" s="124">
        <f t="shared" ca="1" si="105"/>
        <v>135481.19108056847</v>
      </c>
      <c r="AU128" s="123">
        <f t="shared" ca="1" si="106"/>
        <v>0</v>
      </c>
      <c r="AV128" s="123">
        <f t="shared" ca="1" si="82"/>
        <v>0</v>
      </c>
      <c r="AW128" s="123">
        <f t="shared" ca="1" si="107"/>
        <v>0</v>
      </c>
      <c r="AX128" s="124">
        <f t="shared" ca="1" si="108"/>
        <v>548608.93138894078</v>
      </c>
      <c r="AY128" s="121"/>
      <c r="AZ128" s="122">
        <f t="shared" ca="1" si="83"/>
        <v>548608.93138894078</v>
      </c>
      <c r="BA128" s="124">
        <f t="shared" ca="1" si="109"/>
        <v>548608.93138894078</v>
      </c>
      <c r="BB128" s="123">
        <f t="shared" ca="1" si="110"/>
        <v>0</v>
      </c>
      <c r="BC128" s="123">
        <f t="shared" ca="1" si="84"/>
        <v>0</v>
      </c>
      <c r="BD128" s="123">
        <f t="shared" ca="1" si="111"/>
        <v>0</v>
      </c>
      <c r="BE128" s="124">
        <f t="shared" ca="1" si="112"/>
        <v>0</v>
      </c>
      <c r="BF128" s="121"/>
      <c r="BG128" s="123">
        <f t="shared" si="85"/>
        <v>1000000</v>
      </c>
      <c r="BH128" s="123">
        <f t="shared" ca="1" si="113"/>
        <v>1000000</v>
      </c>
      <c r="BI128" s="123">
        <f t="shared" ca="1" si="114"/>
        <v>0</v>
      </c>
      <c r="BJ128" s="123">
        <f t="shared" ca="1" si="115"/>
        <v>0</v>
      </c>
      <c r="BK128" s="123">
        <f t="shared" ca="1" si="72"/>
        <v>1000000</v>
      </c>
      <c r="BL128" s="123">
        <f t="shared" ca="1" si="116"/>
        <v>0</v>
      </c>
      <c r="BM128" s="121"/>
      <c r="BN128" s="126">
        <f ca="1">IF(LiabIntType2="Fixed",LiabFxdRate2,OFFSET(Vectors!$D$6,Vectors!A128,MATCH(LiabLoanIndex2,lstInterestRates,0))+LiabMarg2)</f>
        <v>0.04</v>
      </c>
      <c r="BO128" s="122">
        <f t="shared" ca="1" si="117"/>
        <v>34119.905847872607</v>
      </c>
      <c r="BP128" s="124">
        <f t="shared" ca="1" si="118"/>
        <v>0</v>
      </c>
      <c r="BQ128" s="123">
        <f t="shared" ca="1" si="119"/>
        <v>34119.905847872607</v>
      </c>
      <c r="BR128" s="123">
        <f t="shared" ca="1" si="120"/>
        <v>0</v>
      </c>
      <c r="BS128" s="121"/>
      <c r="BT128" s="123">
        <f t="shared" ca="1" si="86"/>
        <v>35286.508629598349</v>
      </c>
      <c r="BU128" s="123">
        <f t="shared" ca="1" si="121"/>
        <v>0</v>
      </c>
      <c r="BV128" s="123">
        <f t="shared" ca="1" si="122"/>
        <v>35286.508629598349</v>
      </c>
      <c r="BW128" s="123">
        <f t="shared" ca="1" si="123"/>
        <v>0</v>
      </c>
      <c r="BX128" s="121"/>
      <c r="BY128" s="123">
        <f t="shared" si="124"/>
        <v>0</v>
      </c>
      <c r="BZ128" s="123">
        <f t="shared" ca="1" si="125"/>
        <v>0</v>
      </c>
      <c r="CA128" s="121"/>
      <c r="CB128" s="122">
        <f t="shared" ca="1" si="73"/>
        <v>19935135.263029795</v>
      </c>
      <c r="CC128" s="122">
        <f t="shared" ca="1" si="126"/>
        <v>135481.19108056847</v>
      </c>
      <c r="CD128" s="124">
        <f t="shared" ca="1" si="127"/>
        <v>548608.93138894078</v>
      </c>
      <c r="CE128" s="121"/>
      <c r="CF128" s="122">
        <f t="shared" ca="1" si="74"/>
        <v>10235971.754361782</v>
      </c>
      <c r="CG128" s="124">
        <f t="shared" ca="1" si="128"/>
        <v>0</v>
      </c>
      <c r="CH128" s="123">
        <f t="shared" ca="1" si="129"/>
        <v>0</v>
      </c>
      <c r="CI128" s="121"/>
      <c r="CJ128" s="123">
        <f t="shared" ca="1" si="130"/>
        <v>847029.07491171174</v>
      </c>
      <c r="CK128" s="123">
        <f t="shared" ca="1" si="131"/>
        <v>847029.07491171174</v>
      </c>
      <c r="CL128" s="123">
        <f t="shared" ca="1" si="132"/>
        <v>0</v>
      </c>
      <c r="CM128" s="121"/>
      <c r="CN128" s="62">
        <f t="shared" ca="1" si="133"/>
        <v>344160.85483995383</v>
      </c>
      <c r="CO128" s="62" t="b">
        <f t="shared" si="134"/>
        <v>1</v>
      </c>
      <c r="CP128" s="126">
        <f t="shared" ca="1" si="135"/>
        <v>3.3888888888888827E-3</v>
      </c>
      <c r="CQ128" s="120"/>
      <c r="CR128" s="120"/>
      <c r="CS128" s="120"/>
      <c r="CT128" s="120"/>
      <c r="CU128" s="120"/>
      <c r="CV128" s="120"/>
      <c r="CW128" s="120"/>
      <c r="CX128" s="120"/>
      <c r="CY128" s="120"/>
      <c r="CZ128" s="120"/>
      <c r="DA128" s="120"/>
      <c r="DB128" s="120"/>
      <c r="DC128" s="120"/>
      <c r="DD128" s="120"/>
      <c r="DE128" s="116"/>
      <c r="DF128" s="116"/>
      <c r="DG128" s="116"/>
      <c r="DH128" s="116"/>
      <c r="DI128" s="116"/>
      <c r="DJ128" s="116"/>
      <c r="DK128" s="116"/>
      <c r="DL128" s="116"/>
      <c r="DM128" s="116"/>
      <c r="DN128" s="116"/>
    </row>
    <row r="129" spans="1:118" x14ac:dyDescent="0.2">
      <c r="A129" s="27">
        <v>123</v>
      </c>
      <c r="B129" s="29">
        <f t="shared" si="68"/>
        <v>42856</v>
      </c>
      <c r="C129" s="30">
        <f t="shared" si="69"/>
        <v>8.3333333333333329E-2</v>
      </c>
      <c r="D129" s="55"/>
      <c r="E129" s="62">
        <f t="shared" ca="1" si="87"/>
        <v>89160940.445645452</v>
      </c>
      <c r="F129" s="63">
        <f ca="1">IF(AssetIntType1="Fixed",AssetFxdRate1,IF(A129=1,OFFSET(Vectors!$D$6,A129,MATCH(AssetFltIndx1,lstInterestRates,0)),IF(MOD($A129,AssetRateReset1)=0,MAX(MIN(OFFSET(Vectors!$D$6,A129,MATCH(AssetFltIndx1,lstInterestRates,0)),(F128-AssetMarg1)+AssetPdCapFl1,AssetLifeCap1-AssetMarg1),(F128-AssetMarg1)-AssetPdCapFl1,AssetLifeFloor1-AssetMarg1),F128)))+AssetMarg1</f>
        <v>0.09</v>
      </c>
      <c r="G129" s="62">
        <f t="shared" ca="1" si="75"/>
        <v>804622.61694478267</v>
      </c>
      <c r="H129" s="62">
        <f t="shared" ca="1" si="88"/>
        <v>668707.05334234086</v>
      </c>
      <c r="I129" s="62">
        <f t="shared" ca="1" si="89"/>
        <v>135915.56360244181</v>
      </c>
      <c r="J129" s="62">
        <f t="shared" ca="1" si="70"/>
        <v>89025024.882043004</v>
      </c>
      <c r="K129" s="55"/>
      <c r="L129" s="62">
        <f t="shared" ca="1" si="90"/>
        <v>51023215.1907527</v>
      </c>
      <c r="M129" s="68">
        <f ca="1">IF(pdrLossTime1="",OFFSET(Vectors!$AE$6,A129+_Age1,MATCH(SDA_Loss,lstSDA,0)),OFFSET(Vectors!$X$6,A129+_Age1,MATCH(pdrLossTime1,lstDefaultCurve,0)))</f>
        <v>2.7777777777777779E-5</v>
      </c>
      <c r="N129" s="62">
        <f t="shared" ca="1" si="76"/>
        <v>2777.7777777777778</v>
      </c>
      <c r="O129" s="67">
        <f t="shared" ca="1" si="91"/>
        <v>0.89025024882043002</v>
      </c>
      <c r="P129" s="68">
        <f ca="1">OFFSET(Vectors!$L$6,A129+_Age1,MATCH(pdrPrepay1,lstPrepayCurve,0))*pdrPrepayStress1</f>
        <v>5.1430128318229462E-3</v>
      </c>
      <c r="Q129" s="62">
        <f t="shared" ca="1" si="92"/>
        <v>262013.03203671443</v>
      </c>
      <c r="R129" s="62">
        <f t="shared" ca="1" si="93"/>
        <v>77774.768542907521</v>
      </c>
      <c r="S129" s="69">
        <f t="shared" ca="1" si="94"/>
        <v>0.09</v>
      </c>
      <c r="T129" s="62">
        <f t="shared" ca="1" si="95"/>
        <v>382653.28059731191</v>
      </c>
      <c r="U129" s="62">
        <f t="shared" ca="1" si="77"/>
        <v>1111.1111111111111</v>
      </c>
      <c r="V129" s="62">
        <f t="shared" ca="1" si="71"/>
        <v>50680649.612395301</v>
      </c>
      <c r="W129" s="55"/>
      <c r="X129" s="62">
        <f t="shared" ca="1" si="96"/>
        <v>723552.19228804496</v>
      </c>
      <c r="Y129" s="55"/>
      <c r="Z129" s="118" t="b">
        <v>0</v>
      </c>
      <c r="AA129" s="120" t="b">
        <f t="shared" si="78"/>
        <v>0</v>
      </c>
      <c r="AB129" s="120" t="b">
        <f t="shared" si="79"/>
        <v>1</v>
      </c>
      <c r="AC129" s="120" t="b">
        <f t="shared" ca="1" si="80"/>
        <v>0</v>
      </c>
      <c r="AD129" s="121"/>
      <c r="AE129" s="129">
        <v>20333284.944355555</v>
      </c>
      <c r="AF129" s="69">
        <f ca="1">IF(Swap_Active="No",0,OFFSET(Vectors!$D$6,Vectors!A129,MATCH(Swap_In,lstInterestRates,0)))</f>
        <v>6.9369000000000056E-2</v>
      </c>
      <c r="AG129" s="62">
        <f t="shared" ca="1" si="97"/>
        <v>117541.63694208345</v>
      </c>
      <c r="AH129" s="69">
        <f ca="1">IF(Swap_Active="No",0,OFFSET(Vectors!$D$6,Vectors!A129,MATCH(Swap_Out,lstInterestRates,0)))</f>
        <v>0.04</v>
      </c>
      <c r="AI129" s="62">
        <f t="shared" ca="1" si="98"/>
        <v>67777.616481185178</v>
      </c>
      <c r="AJ129" s="62">
        <f t="shared" ca="1" si="99"/>
        <v>49764.020460898275</v>
      </c>
      <c r="AK129" s="62">
        <f t="shared" ca="1" si="100"/>
        <v>773316.21274894325</v>
      </c>
      <c r="AL129" s="121"/>
      <c r="AM129" s="123">
        <f t="shared" ca="1" si="81"/>
        <v>93344.998344183579</v>
      </c>
      <c r="AN129" s="124">
        <f t="shared" ca="1" si="101"/>
        <v>93344.998344183579</v>
      </c>
      <c r="AO129" s="125">
        <f t="shared" ca="1" si="102"/>
        <v>0</v>
      </c>
      <c r="AP129" s="123">
        <f t="shared" ca="1" si="103"/>
        <v>679971.2144047597</v>
      </c>
      <c r="AQ129" s="121"/>
      <c r="AR129" s="126">
        <f ca="1">IF(LiabIntType1="Fixed",LiabFxdRate1,OFFSET(Vectors!$D$6,Vectors!A129,MATCH(LiabLoanIndex1,lstInterestRates,0))+LiabMarg1)</f>
        <v>7.9369000000000051E-2</v>
      </c>
      <c r="AS129" s="122">
        <f t="shared" ca="1" si="104"/>
        <v>131852.64589095107</v>
      </c>
      <c r="AT129" s="124">
        <f t="shared" ca="1" si="105"/>
        <v>131852.64589095107</v>
      </c>
      <c r="AU129" s="123">
        <f t="shared" ca="1" si="106"/>
        <v>0</v>
      </c>
      <c r="AV129" s="123">
        <f t="shared" ca="1" si="82"/>
        <v>0</v>
      </c>
      <c r="AW129" s="123">
        <f t="shared" ca="1" si="107"/>
        <v>0</v>
      </c>
      <c r="AX129" s="124">
        <f t="shared" ca="1" si="108"/>
        <v>548118.56851380866</v>
      </c>
      <c r="AY129" s="121"/>
      <c r="AZ129" s="122">
        <f t="shared" ca="1" si="83"/>
        <v>548118.56851380866</v>
      </c>
      <c r="BA129" s="124">
        <f t="shared" ca="1" si="109"/>
        <v>548118.56851380866</v>
      </c>
      <c r="BB129" s="123">
        <f t="shared" ca="1" si="110"/>
        <v>0</v>
      </c>
      <c r="BC129" s="123">
        <f t="shared" ca="1" si="84"/>
        <v>0</v>
      </c>
      <c r="BD129" s="123">
        <f t="shared" ca="1" si="111"/>
        <v>0</v>
      </c>
      <c r="BE129" s="124">
        <f t="shared" ca="1" si="112"/>
        <v>0</v>
      </c>
      <c r="BF129" s="121"/>
      <c r="BG129" s="123">
        <f t="shared" si="85"/>
        <v>1000000</v>
      </c>
      <c r="BH129" s="123">
        <f t="shared" ca="1" si="113"/>
        <v>1000000</v>
      </c>
      <c r="BI129" s="123">
        <f t="shared" ca="1" si="114"/>
        <v>0</v>
      </c>
      <c r="BJ129" s="123">
        <f t="shared" ca="1" si="115"/>
        <v>0</v>
      </c>
      <c r="BK129" s="123">
        <f t="shared" ca="1" si="72"/>
        <v>1000000</v>
      </c>
      <c r="BL129" s="123">
        <f t="shared" ca="1" si="116"/>
        <v>0</v>
      </c>
      <c r="BM129" s="121"/>
      <c r="BN129" s="126">
        <f ca="1">IF(LiabIntType2="Fixed",LiabFxdRate2,OFFSET(Vectors!$D$6,Vectors!A129,MATCH(LiabLoanIndex2,lstInterestRates,0))+LiabMarg2)</f>
        <v>0.04</v>
      </c>
      <c r="BO129" s="122">
        <f t="shared" ca="1" si="117"/>
        <v>34119.905847872607</v>
      </c>
      <c r="BP129" s="124">
        <f t="shared" ca="1" si="118"/>
        <v>0</v>
      </c>
      <c r="BQ129" s="123">
        <f t="shared" ca="1" si="119"/>
        <v>34119.905847872607</v>
      </c>
      <c r="BR129" s="123">
        <f t="shared" ca="1" si="120"/>
        <v>0</v>
      </c>
      <c r="BS129" s="121"/>
      <c r="BT129" s="123">
        <f t="shared" ca="1" si="86"/>
        <v>35122.946340114788</v>
      </c>
      <c r="BU129" s="123">
        <f t="shared" ca="1" si="121"/>
        <v>0</v>
      </c>
      <c r="BV129" s="123">
        <f t="shared" ca="1" si="122"/>
        <v>35122.946340114788</v>
      </c>
      <c r="BW129" s="123">
        <f t="shared" ca="1" si="123"/>
        <v>0</v>
      </c>
      <c r="BX129" s="121"/>
      <c r="BY129" s="123">
        <f t="shared" si="124"/>
        <v>0</v>
      </c>
      <c r="BZ129" s="123">
        <f t="shared" ca="1" si="125"/>
        <v>0</v>
      </c>
      <c r="CA129" s="121"/>
      <c r="CB129" s="122">
        <f t="shared" ca="1" si="73"/>
        <v>19387016.694515988</v>
      </c>
      <c r="CC129" s="122">
        <f t="shared" ca="1" si="126"/>
        <v>131852.64589095107</v>
      </c>
      <c r="CD129" s="124">
        <f t="shared" ca="1" si="127"/>
        <v>548118.56851380866</v>
      </c>
      <c r="CE129" s="121"/>
      <c r="CF129" s="122">
        <f t="shared" ca="1" si="74"/>
        <v>10235971.754361782</v>
      </c>
      <c r="CG129" s="124">
        <f t="shared" ca="1" si="128"/>
        <v>0</v>
      </c>
      <c r="CH129" s="123">
        <f t="shared" ca="1" si="129"/>
        <v>0</v>
      </c>
      <c r="CI129" s="121"/>
      <c r="CJ129" s="123">
        <f t="shared" ca="1" si="130"/>
        <v>841093.82923012844</v>
      </c>
      <c r="CK129" s="123">
        <f t="shared" ca="1" si="131"/>
        <v>841093.82923012844</v>
      </c>
      <c r="CL129" s="123">
        <f t="shared" ca="1" si="132"/>
        <v>0</v>
      </c>
      <c r="CM129" s="121"/>
      <c r="CN129" s="62">
        <f t="shared" ca="1" si="133"/>
        <v>342565.57835739967</v>
      </c>
      <c r="CO129" s="62" t="b">
        <f t="shared" si="134"/>
        <v>1</v>
      </c>
      <c r="CP129" s="126">
        <f t="shared" ca="1" si="135"/>
        <v>3.4166666666666603E-3</v>
      </c>
      <c r="CQ129" s="120"/>
      <c r="CR129" s="120"/>
      <c r="CS129" s="120"/>
      <c r="CT129" s="120"/>
      <c r="CU129" s="120"/>
      <c r="CV129" s="120"/>
      <c r="CW129" s="120"/>
      <c r="CX129" s="120"/>
      <c r="CY129" s="120"/>
      <c r="CZ129" s="120"/>
      <c r="DA129" s="120"/>
      <c r="DB129" s="120"/>
      <c r="DC129" s="120"/>
      <c r="DD129" s="120"/>
      <c r="DE129" s="116"/>
      <c r="DF129" s="116"/>
      <c r="DG129" s="116"/>
      <c r="DH129" s="116"/>
      <c r="DI129" s="116"/>
      <c r="DJ129" s="116"/>
      <c r="DK129" s="116"/>
      <c r="DL129" s="116"/>
      <c r="DM129" s="116"/>
      <c r="DN129" s="116"/>
    </row>
    <row r="130" spans="1:118" x14ac:dyDescent="0.2">
      <c r="A130" s="27">
        <v>124</v>
      </c>
      <c r="B130" s="29">
        <f t="shared" si="68"/>
        <v>42887</v>
      </c>
      <c r="C130" s="30">
        <f t="shared" si="69"/>
        <v>8.3333333333333329E-2</v>
      </c>
      <c r="D130" s="55"/>
      <c r="E130" s="62">
        <f t="shared" ca="1" si="87"/>
        <v>89025024.882043004</v>
      </c>
      <c r="F130" s="63">
        <f ca="1">IF(AssetIntType1="Fixed",AssetFxdRate1,IF(A130=1,OFFSET(Vectors!$D$6,A130,MATCH(AssetFltIndx1,lstInterestRates,0)),IF(MOD($A130,AssetRateReset1)=0,MAX(MIN(OFFSET(Vectors!$D$6,A130,MATCH(AssetFltIndx1,lstInterestRates,0)),(F129-AssetMarg1)+AssetPdCapFl1,AssetLifeCap1-AssetMarg1),(F129-AssetMarg1)-AssetPdCapFl1,AssetLifeFloor1-AssetMarg1),F129)))+AssetMarg1</f>
        <v>0.09</v>
      </c>
      <c r="G130" s="62">
        <f t="shared" ca="1" si="75"/>
        <v>804622.61694478267</v>
      </c>
      <c r="H130" s="62">
        <f t="shared" ca="1" si="88"/>
        <v>667687.68661532248</v>
      </c>
      <c r="I130" s="62">
        <f t="shared" ca="1" si="89"/>
        <v>136934.93032946019</v>
      </c>
      <c r="J130" s="62">
        <f t="shared" ca="1" si="70"/>
        <v>88888089.951713547</v>
      </c>
      <c r="K130" s="55"/>
      <c r="L130" s="62">
        <f t="shared" ca="1" si="90"/>
        <v>50680649.612395301</v>
      </c>
      <c r="M130" s="68">
        <f ca="1">IF(pdrLossTime1="",OFFSET(Vectors!$AE$6,A130+_Age1,MATCH(SDA_Loss,lstSDA,0)),OFFSET(Vectors!$X$6,A130+_Age1,MATCH(pdrLossTime1,lstDefaultCurve,0)))</f>
        <v>2.7777777777777779E-5</v>
      </c>
      <c r="N130" s="62">
        <f t="shared" ca="1" si="76"/>
        <v>2777.7777777777778</v>
      </c>
      <c r="O130" s="67">
        <f t="shared" ca="1" si="91"/>
        <v>0.88888089951713545</v>
      </c>
      <c r="P130" s="68">
        <f ca="1">OFFSET(Vectors!$L$6,A130+_Age1,MATCH(pdrPrepay1,lstPrepayCurve,0))*pdrPrepayStress1</f>
        <v>5.1430128318229462E-3</v>
      </c>
      <c r="Q130" s="62">
        <f t="shared" ca="1" si="92"/>
        <v>260250.30740388413</v>
      </c>
      <c r="R130" s="62">
        <f t="shared" ca="1" si="93"/>
        <v>77950.788085858876</v>
      </c>
      <c r="S130" s="69">
        <f t="shared" ca="1" si="94"/>
        <v>0.09</v>
      </c>
      <c r="T130" s="62">
        <f t="shared" ca="1" si="95"/>
        <v>380084.03875963145</v>
      </c>
      <c r="U130" s="62">
        <f t="shared" ca="1" si="77"/>
        <v>1111.1111111111111</v>
      </c>
      <c r="V130" s="62">
        <f t="shared" ca="1" si="71"/>
        <v>50339670.739127785</v>
      </c>
      <c r="W130" s="55"/>
      <c r="X130" s="62">
        <f t="shared" ca="1" si="96"/>
        <v>719396.24536048563</v>
      </c>
      <c r="Y130" s="55"/>
      <c r="Z130" s="118" t="b">
        <v>0</v>
      </c>
      <c r="AA130" s="120" t="b">
        <f t="shared" si="78"/>
        <v>0</v>
      </c>
      <c r="AB130" s="120" t="b">
        <f t="shared" si="79"/>
        <v>1</v>
      </c>
      <c r="AC130" s="120" t="b">
        <f t="shared" ca="1" si="80"/>
        <v>0</v>
      </c>
      <c r="AD130" s="121"/>
      <c r="AE130" s="129">
        <v>20032184.578938305</v>
      </c>
      <c r="AF130" s="69">
        <f ca="1">IF(Swap_Active="No",0,OFFSET(Vectors!$D$6,Vectors!A130,MATCH(Swap_In,lstInterestRates,0)))</f>
        <v>6.9369000000000056E-2</v>
      </c>
      <c r="AG130" s="62">
        <f t="shared" ca="1" si="97"/>
        <v>115801.0510046977</v>
      </c>
      <c r="AH130" s="69">
        <f ca="1">IF(Swap_Active="No",0,OFFSET(Vectors!$D$6,Vectors!A130,MATCH(Swap_Out,lstInterestRates,0)))</f>
        <v>0.04</v>
      </c>
      <c r="AI130" s="62">
        <f t="shared" ca="1" si="98"/>
        <v>66773.948596461007</v>
      </c>
      <c r="AJ130" s="62">
        <f t="shared" ca="1" si="99"/>
        <v>49027.102408236693</v>
      </c>
      <c r="AK130" s="62">
        <f t="shared" ca="1" si="100"/>
        <v>768423.34776872233</v>
      </c>
      <c r="AL130" s="121"/>
      <c r="AM130" s="123">
        <f t="shared" ca="1" si="81"/>
        <v>92545.672976707167</v>
      </c>
      <c r="AN130" s="124">
        <f t="shared" ca="1" si="101"/>
        <v>92545.672976707167</v>
      </c>
      <c r="AO130" s="125">
        <f t="shared" ca="1" si="102"/>
        <v>0</v>
      </c>
      <c r="AP130" s="123">
        <f t="shared" ca="1" si="103"/>
        <v>675877.67479201523</v>
      </c>
      <c r="AQ130" s="121"/>
      <c r="AR130" s="126">
        <f ca="1">IF(LiabIntType1="Fixed",LiabFxdRate1,OFFSET(Vectors!$D$6,Vectors!A130,MATCH(LiabLoanIndex1,lstInterestRates,0))+LiabMarg1)</f>
        <v>7.9369000000000051E-2</v>
      </c>
      <c r="AS130" s="122">
        <f t="shared" ca="1" si="104"/>
        <v>128227.34400225336</v>
      </c>
      <c r="AT130" s="124">
        <f t="shared" ca="1" si="105"/>
        <v>128227.34400225336</v>
      </c>
      <c r="AU130" s="123">
        <f t="shared" ca="1" si="106"/>
        <v>0</v>
      </c>
      <c r="AV130" s="123">
        <f t="shared" ca="1" si="82"/>
        <v>0</v>
      </c>
      <c r="AW130" s="123">
        <f t="shared" ca="1" si="107"/>
        <v>0</v>
      </c>
      <c r="AX130" s="124">
        <f t="shared" ca="1" si="108"/>
        <v>547650.33078976185</v>
      </c>
      <c r="AY130" s="121"/>
      <c r="AZ130" s="122">
        <f t="shared" ca="1" si="83"/>
        <v>547650.33078976185</v>
      </c>
      <c r="BA130" s="124">
        <f t="shared" ca="1" si="109"/>
        <v>547650.33078976185</v>
      </c>
      <c r="BB130" s="123">
        <f t="shared" ca="1" si="110"/>
        <v>0</v>
      </c>
      <c r="BC130" s="123">
        <f t="shared" ca="1" si="84"/>
        <v>0</v>
      </c>
      <c r="BD130" s="123">
        <f t="shared" ca="1" si="111"/>
        <v>0</v>
      </c>
      <c r="BE130" s="124">
        <f t="shared" ca="1" si="112"/>
        <v>0</v>
      </c>
      <c r="BF130" s="121"/>
      <c r="BG130" s="123">
        <f t="shared" si="85"/>
        <v>1000000</v>
      </c>
      <c r="BH130" s="123">
        <f t="shared" ca="1" si="113"/>
        <v>1000000</v>
      </c>
      <c r="BI130" s="123">
        <f t="shared" ca="1" si="114"/>
        <v>0</v>
      </c>
      <c r="BJ130" s="123">
        <f t="shared" ca="1" si="115"/>
        <v>0</v>
      </c>
      <c r="BK130" s="123">
        <f t="shared" ca="1" si="72"/>
        <v>1000000</v>
      </c>
      <c r="BL130" s="123">
        <f t="shared" ca="1" si="116"/>
        <v>0</v>
      </c>
      <c r="BM130" s="121"/>
      <c r="BN130" s="126">
        <f ca="1">IF(LiabIntType2="Fixed",LiabFxdRate2,OFFSET(Vectors!$D$6,Vectors!A130,MATCH(LiabLoanIndex2,lstInterestRates,0))+LiabMarg2)</f>
        <v>0.04</v>
      </c>
      <c r="BO130" s="122">
        <f t="shared" ca="1" si="117"/>
        <v>34119.905847872607</v>
      </c>
      <c r="BP130" s="124">
        <f t="shared" ca="1" si="118"/>
        <v>0</v>
      </c>
      <c r="BQ130" s="123">
        <f t="shared" ca="1" si="119"/>
        <v>34119.905847872607</v>
      </c>
      <c r="BR130" s="123">
        <f t="shared" ca="1" si="120"/>
        <v>0</v>
      </c>
      <c r="BS130" s="121"/>
      <c r="BT130" s="123">
        <f t="shared" ca="1" si="86"/>
        <v>34960.262867955593</v>
      </c>
      <c r="BU130" s="123">
        <f t="shared" ca="1" si="121"/>
        <v>0</v>
      </c>
      <c r="BV130" s="123">
        <f t="shared" ca="1" si="122"/>
        <v>34960.262867955593</v>
      </c>
      <c r="BW130" s="123">
        <f t="shared" ca="1" si="123"/>
        <v>0</v>
      </c>
      <c r="BX130" s="121"/>
      <c r="BY130" s="123">
        <f t="shared" si="124"/>
        <v>0</v>
      </c>
      <c r="BZ130" s="123">
        <f t="shared" ca="1" si="125"/>
        <v>0</v>
      </c>
      <c r="CA130" s="121"/>
      <c r="CB130" s="122">
        <f t="shared" ca="1" si="73"/>
        <v>18839366.363726225</v>
      </c>
      <c r="CC130" s="122">
        <f t="shared" ca="1" si="126"/>
        <v>128227.34400225336</v>
      </c>
      <c r="CD130" s="124">
        <f t="shared" ca="1" si="127"/>
        <v>547650.33078976185</v>
      </c>
      <c r="CE130" s="121"/>
      <c r="CF130" s="122">
        <f t="shared" ca="1" si="74"/>
        <v>10235971.754361782</v>
      </c>
      <c r="CG130" s="124">
        <f t="shared" ca="1" si="128"/>
        <v>0</v>
      </c>
      <c r="CH130" s="123">
        <f t="shared" ca="1" si="129"/>
        <v>0</v>
      </c>
      <c r="CI130" s="121"/>
      <c r="CJ130" s="123">
        <f t="shared" ca="1" si="130"/>
        <v>835197.29636518331</v>
      </c>
      <c r="CK130" s="123">
        <f t="shared" ca="1" si="131"/>
        <v>835197.29636518331</v>
      </c>
      <c r="CL130" s="123">
        <f t="shared" ca="1" si="132"/>
        <v>0</v>
      </c>
      <c r="CM130" s="121"/>
      <c r="CN130" s="62">
        <f t="shared" ca="1" si="133"/>
        <v>340978.87326752074</v>
      </c>
      <c r="CO130" s="62" t="b">
        <f t="shared" si="134"/>
        <v>1</v>
      </c>
      <c r="CP130" s="126">
        <f t="shared" ca="1" si="135"/>
        <v>3.4444444444444379E-3</v>
      </c>
      <c r="CQ130" s="120"/>
      <c r="CR130" s="120"/>
      <c r="CS130" s="120"/>
      <c r="CT130" s="120"/>
      <c r="CU130" s="120"/>
      <c r="CV130" s="120"/>
      <c r="CW130" s="120"/>
      <c r="CX130" s="120"/>
      <c r="CY130" s="120"/>
      <c r="CZ130" s="120"/>
      <c r="DA130" s="120"/>
      <c r="DB130" s="120"/>
      <c r="DC130" s="120"/>
      <c r="DD130" s="120"/>
      <c r="DE130" s="116"/>
      <c r="DF130" s="116"/>
      <c r="DG130" s="116"/>
      <c r="DH130" s="116"/>
      <c r="DI130" s="116"/>
      <c r="DJ130" s="116"/>
      <c r="DK130" s="116"/>
      <c r="DL130" s="116"/>
      <c r="DM130" s="116"/>
      <c r="DN130" s="116"/>
    </row>
    <row r="131" spans="1:118" x14ac:dyDescent="0.2">
      <c r="A131" s="27">
        <v>125</v>
      </c>
      <c r="B131" s="29">
        <f t="shared" si="68"/>
        <v>42917</v>
      </c>
      <c r="C131" s="30">
        <f t="shared" si="69"/>
        <v>8.3333333333333329E-2</v>
      </c>
      <c r="D131" s="55"/>
      <c r="E131" s="62">
        <f t="shared" ca="1" si="87"/>
        <v>88888089.951713547</v>
      </c>
      <c r="F131" s="63">
        <f ca="1">IF(AssetIntType1="Fixed",AssetFxdRate1,IF(A131=1,OFFSET(Vectors!$D$6,A131,MATCH(AssetFltIndx1,lstInterestRates,0)),IF(MOD($A131,AssetRateReset1)=0,MAX(MIN(OFFSET(Vectors!$D$6,A131,MATCH(AssetFltIndx1,lstInterestRates,0)),(F130-AssetMarg1)+AssetPdCapFl1,AssetLifeCap1-AssetMarg1),(F130-AssetMarg1)-AssetPdCapFl1,AssetLifeFloor1-AssetMarg1),F130)))+AssetMarg1</f>
        <v>0.09</v>
      </c>
      <c r="G131" s="62">
        <f t="shared" ca="1" si="75"/>
        <v>804622.61694478267</v>
      </c>
      <c r="H131" s="62">
        <f t="shared" ca="1" si="88"/>
        <v>666660.67463785154</v>
      </c>
      <c r="I131" s="62">
        <f t="shared" ca="1" si="89"/>
        <v>137961.94230693113</v>
      </c>
      <c r="J131" s="62">
        <f t="shared" ca="1" si="70"/>
        <v>88750128.009406611</v>
      </c>
      <c r="K131" s="55"/>
      <c r="L131" s="62">
        <f t="shared" ca="1" si="90"/>
        <v>50339670.739127785</v>
      </c>
      <c r="M131" s="68">
        <f ca="1">IF(pdrLossTime1="",OFFSET(Vectors!$AE$6,A131+_Age1,MATCH(SDA_Loss,lstSDA,0)),OFFSET(Vectors!$X$6,A131+_Age1,MATCH(pdrLossTime1,lstDefaultCurve,0)))</f>
        <v>2.7777777777777779E-5</v>
      </c>
      <c r="N131" s="62">
        <f t="shared" ca="1" si="76"/>
        <v>2777.7777777777778</v>
      </c>
      <c r="O131" s="67">
        <f t="shared" ca="1" si="91"/>
        <v>0.88750128009406615</v>
      </c>
      <c r="P131" s="68">
        <f ca="1">OFFSET(Vectors!$L$6,A131+_Age1,MATCH(pdrPrepay1,lstPrepayCurve,0))*pdrPrepayStress1</f>
        <v>5.1430128318229462E-3</v>
      </c>
      <c r="Q131" s="62">
        <f t="shared" ca="1" si="92"/>
        <v>258495.74131474757</v>
      </c>
      <c r="R131" s="62">
        <f t="shared" ca="1" si="93"/>
        <v>78127.176840188549</v>
      </c>
      <c r="S131" s="69">
        <f t="shared" ca="1" si="94"/>
        <v>0.09</v>
      </c>
      <c r="T131" s="62">
        <f t="shared" ca="1" si="95"/>
        <v>377526.69721012504</v>
      </c>
      <c r="U131" s="62">
        <f t="shared" ca="1" si="77"/>
        <v>1111.1111111111111</v>
      </c>
      <c r="V131" s="62">
        <f t="shared" ca="1" si="71"/>
        <v>50000270.043195076</v>
      </c>
      <c r="W131" s="55"/>
      <c r="X131" s="62">
        <f t="shared" ca="1" si="96"/>
        <v>715260.72647617233</v>
      </c>
      <c r="Y131" s="55"/>
      <c r="Z131" s="118" t="b">
        <v>0</v>
      </c>
      <c r="AA131" s="120" t="b">
        <f t="shared" si="78"/>
        <v>0</v>
      </c>
      <c r="AB131" s="120" t="b">
        <f t="shared" si="79"/>
        <v>1</v>
      </c>
      <c r="AC131" s="120" t="b">
        <f t="shared" ca="1" si="80"/>
        <v>0</v>
      </c>
      <c r="AD131" s="121"/>
      <c r="AE131" s="129">
        <v>19734196.883086842</v>
      </c>
      <c r="AF131" s="69">
        <f ca="1">IF(Swap_Active="No",0,OFFSET(Vectors!$D$6,Vectors!A131,MATCH(Swap_In,lstInterestRates,0)))</f>
        <v>6.9369000000000056E-2</v>
      </c>
      <c r="AG131" s="62">
        <f t="shared" ca="1" si="97"/>
        <v>114078.45863190434</v>
      </c>
      <c r="AH131" s="69">
        <f ca="1">IF(Swap_Active="No",0,OFFSET(Vectors!$D$6,Vectors!A131,MATCH(Swap_Out,lstInterestRates,0)))</f>
        <v>0.04</v>
      </c>
      <c r="AI131" s="62">
        <f t="shared" ca="1" si="98"/>
        <v>65780.656276956142</v>
      </c>
      <c r="AJ131" s="62">
        <f t="shared" ca="1" si="99"/>
        <v>48297.802354948202</v>
      </c>
      <c r="AK131" s="62">
        <f t="shared" ca="1" si="100"/>
        <v>763558.52883112058</v>
      </c>
      <c r="AL131" s="121"/>
      <c r="AM131" s="123">
        <f t="shared" ca="1" si="81"/>
        <v>91749.187216765567</v>
      </c>
      <c r="AN131" s="124">
        <f t="shared" ca="1" si="101"/>
        <v>91749.187216765567</v>
      </c>
      <c r="AO131" s="125">
        <f t="shared" ca="1" si="102"/>
        <v>0</v>
      </c>
      <c r="AP131" s="123">
        <f t="shared" ca="1" si="103"/>
        <v>671809.34161435498</v>
      </c>
      <c r="AQ131" s="121"/>
      <c r="AR131" s="126">
        <f ca="1">IF(LiabIntType1="Fixed",LiabFxdRate1,OFFSET(Vectors!$D$6,Vectors!A131,MATCH(LiabLoanIndex1,lstInterestRates,0))+LiabMarg1)</f>
        <v>7.9369000000000051E-2</v>
      </c>
      <c r="AS131" s="122">
        <f t="shared" ca="1" si="104"/>
        <v>124605.1390768823</v>
      </c>
      <c r="AT131" s="124">
        <f t="shared" ca="1" si="105"/>
        <v>124605.1390768823</v>
      </c>
      <c r="AU131" s="123">
        <f t="shared" ca="1" si="106"/>
        <v>0</v>
      </c>
      <c r="AV131" s="123">
        <f t="shared" ca="1" si="82"/>
        <v>0</v>
      </c>
      <c r="AW131" s="123">
        <f t="shared" ca="1" si="107"/>
        <v>0</v>
      </c>
      <c r="AX131" s="124">
        <f t="shared" ca="1" si="108"/>
        <v>547204.20253747271</v>
      </c>
      <c r="AY131" s="121"/>
      <c r="AZ131" s="122">
        <f t="shared" ca="1" si="83"/>
        <v>547204.20253747271</v>
      </c>
      <c r="BA131" s="124">
        <f t="shared" ca="1" si="109"/>
        <v>547204.20253747271</v>
      </c>
      <c r="BB131" s="123">
        <f t="shared" ca="1" si="110"/>
        <v>0</v>
      </c>
      <c r="BC131" s="123">
        <f t="shared" ca="1" si="84"/>
        <v>0</v>
      </c>
      <c r="BD131" s="123">
        <f t="shared" ca="1" si="111"/>
        <v>0</v>
      </c>
      <c r="BE131" s="124">
        <f t="shared" ca="1" si="112"/>
        <v>0</v>
      </c>
      <c r="BF131" s="121"/>
      <c r="BG131" s="123">
        <f t="shared" si="85"/>
        <v>1000000</v>
      </c>
      <c r="BH131" s="123">
        <f t="shared" ca="1" si="113"/>
        <v>1000000</v>
      </c>
      <c r="BI131" s="123">
        <f t="shared" ca="1" si="114"/>
        <v>0</v>
      </c>
      <c r="BJ131" s="123">
        <f t="shared" ca="1" si="115"/>
        <v>0</v>
      </c>
      <c r="BK131" s="123">
        <f t="shared" ca="1" si="72"/>
        <v>1000000</v>
      </c>
      <c r="BL131" s="123">
        <f t="shared" ca="1" si="116"/>
        <v>0</v>
      </c>
      <c r="BM131" s="121"/>
      <c r="BN131" s="126">
        <f ca="1">IF(LiabIntType2="Fixed",LiabFxdRate2,OFFSET(Vectors!$D$6,Vectors!A131,MATCH(LiabLoanIndex2,lstInterestRates,0))+LiabMarg2)</f>
        <v>0.04</v>
      </c>
      <c r="BO131" s="122">
        <f t="shared" ca="1" si="117"/>
        <v>34119.905847872607</v>
      </c>
      <c r="BP131" s="124">
        <f t="shared" ca="1" si="118"/>
        <v>0</v>
      </c>
      <c r="BQ131" s="123">
        <f t="shared" ca="1" si="119"/>
        <v>34119.905847872607</v>
      </c>
      <c r="BR131" s="123">
        <f t="shared" ca="1" si="120"/>
        <v>0</v>
      </c>
      <c r="BS131" s="121"/>
      <c r="BT131" s="123">
        <f t="shared" ca="1" si="86"/>
        <v>34798.453738995835</v>
      </c>
      <c r="BU131" s="123">
        <f t="shared" ca="1" si="121"/>
        <v>0</v>
      </c>
      <c r="BV131" s="123">
        <f t="shared" ca="1" si="122"/>
        <v>34798.453738995835</v>
      </c>
      <c r="BW131" s="123">
        <f t="shared" ca="1" si="123"/>
        <v>0</v>
      </c>
      <c r="BX131" s="121"/>
      <c r="BY131" s="123">
        <f t="shared" si="124"/>
        <v>0</v>
      </c>
      <c r="BZ131" s="123">
        <f t="shared" ca="1" si="125"/>
        <v>0</v>
      </c>
      <c r="CA131" s="121"/>
      <c r="CB131" s="122">
        <f t="shared" ca="1" si="73"/>
        <v>18292162.161188751</v>
      </c>
      <c r="CC131" s="122">
        <f t="shared" ca="1" si="126"/>
        <v>124605.1390768823</v>
      </c>
      <c r="CD131" s="124">
        <f t="shared" ca="1" si="127"/>
        <v>547204.20253747271</v>
      </c>
      <c r="CE131" s="121"/>
      <c r="CF131" s="122">
        <f t="shared" ca="1" si="74"/>
        <v>10235971.754361782</v>
      </c>
      <c r="CG131" s="124">
        <f t="shared" ca="1" si="128"/>
        <v>0</v>
      </c>
      <c r="CH131" s="123">
        <f t="shared" ca="1" si="129"/>
        <v>0</v>
      </c>
      <c r="CI131" s="121"/>
      <c r="CJ131" s="123">
        <f t="shared" ca="1" si="130"/>
        <v>829339.18510807666</v>
      </c>
      <c r="CK131" s="123">
        <f t="shared" ca="1" si="131"/>
        <v>829339.18510807678</v>
      </c>
      <c r="CL131" s="123">
        <f t="shared" ca="1" si="132"/>
        <v>0</v>
      </c>
      <c r="CM131" s="121"/>
      <c r="CN131" s="62">
        <f t="shared" ca="1" si="133"/>
        <v>339400.69593271392</v>
      </c>
      <c r="CO131" s="62" t="b">
        <f t="shared" si="134"/>
        <v>1</v>
      </c>
      <c r="CP131" s="126">
        <f t="shared" ca="1" si="135"/>
        <v>3.4722222222222155E-3</v>
      </c>
      <c r="CQ131" s="120"/>
      <c r="CR131" s="120"/>
      <c r="CS131" s="120"/>
      <c r="CT131" s="120"/>
      <c r="CU131" s="120"/>
      <c r="CV131" s="120"/>
      <c r="CW131" s="120"/>
      <c r="CX131" s="120"/>
      <c r="CY131" s="120"/>
      <c r="CZ131" s="120"/>
      <c r="DA131" s="120"/>
      <c r="DB131" s="120"/>
      <c r="DC131" s="120"/>
      <c r="DD131" s="120"/>
      <c r="DE131" s="116"/>
      <c r="DF131" s="116"/>
      <c r="DG131" s="116"/>
      <c r="DH131" s="116"/>
      <c r="DI131" s="116"/>
      <c r="DJ131" s="116"/>
      <c r="DK131" s="116"/>
      <c r="DL131" s="116"/>
      <c r="DM131" s="116"/>
      <c r="DN131" s="116"/>
    </row>
    <row r="132" spans="1:118" x14ac:dyDescent="0.2">
      <c r="A132" s="27">
        <v>126</v>
      </c>
      <c r="B132" s="29">
        <f t="shared" si="68"/>
        <v>42948</v>
      </c>
      <c r="C132" s="30">
        <f t="shared" si="69"/>
        <v>8.3333333333333329E-2</v>
      </c>
      <c r="D132" s="55"/>
      <c r="E132" s="62">
        <f t="shared" ca="1" si="87"/>
        <v>88750128.009406611</v>
      </c>
      <c r="F132" s="63">
        <f ca="1">IF(AssetIntType1="Fixed",AssetFxdRate1,IF(A132=1,OFFSET(Vectors!$D$6,A132,MATCH(AssetFltIndx1,lstInterestRates,0)),IF(MOD($A132,AssetRateReset1)=0,MAX(MIN(OFFSET(Vectors!$D$6,A132,MATCH(AssetFltIndx1,lstInterestRates,0)),(F131-AssetMarg1)+AssetPdCapFl1,AssetLifeCap1-AssetMarg1),(F131-AssetMarg1)-AssetPdCapFl1,AssetLifeFloor1-AssetMarg1),F131)))+AssetMarg1</f>
        <v>0.09</v>
      </c>
      <c r="G132" s="62">
        <f t="shared" ca="1" si="75"/>
        <v>804622.61694478267</v>
      </c>
      <c r="H132" s="62">
        <f t="shared" ca="1" si="88"/>
        <v>665625.96007054951</v>
      </c>
      <c r="I132" s="62">
        <f t="shared" ca="1" si="89"/>
        <v>138996.65687423316</v>
      </c>
      <c r="J132" s="62">
        <f t="shared" ca="1" si="70"/>
        <v>88611131.352532372</v>
      </c>
      <c r="K132" s="55"/>
      <c r="L132" s="62">
        <f t="shared" ca="1" si="90"/>
        <v>50000270.043195076</v>
      </c>
      <c r="M132" s="68">
        <f ca="1">IF(pdrLossTime1="",OFFSET(Vectors!$AE$6,A132+_Age1,MATCH(SDA_Loss,lstSDA,0)),OFFSET(Vectors!$X$6,A132+_Age1,MATCH(pdrLossTime1,lstDefaultCurve,0)))</f>
        <v>2.7777777777777779E-5</v>
      </c>
      <c r="N132" s="62">
        <f t="shared" ca="1" si="76"/>
        <v>2777.7777777777778</v>
      </c>
      <c r="O132" s="67">
        <f t="shared" ca="1" si="91"/>
        <v>0.88611131352532368</v>
      </c>
      <c r="P132" s="68">
        <f ca="1">OFFSET(Vectors!$L$6,A132+_Age1,MATCH(pdrPrepay1,lstPrepayCurve,0))*pdrPrepayStress1</f>
        <v>5.1430128318229462E-3</v>
      </c>
      <c r="Q132" s="62">
        <f t="shared" ca="1" si="92"/>
        <v>256749.28990864448</v>
      </c>
      <c r="R132" s="62">
        <f t="shared" ca="1" si="93"/>
        <v>78303.935249000409</v>
      </c>
      <c r="S132" s="69">
        <f t="shared" ca="1" si="94"/>
        <v>0.09</v>
      </c>
      <c r="T132" s="62">
        <f t="shared" ca="1" si="95"/>
        <v>374981.19199062971</v>
      </c>
      <c r="U132" s="62">
        <f t="shared" ca="1" si="77"/>
        <v>1111.1111111111111</v>
      </c>
      <c r="V132" s="62">
        <f t="shared" ca="1" si="71"/>
        <v>49662439.040259652</v>
      </c>
      <c r="W132" s="55"/>
      <c r="X132" s="62">
        <f t="shared" ca="1" si="96"/>
        <v>711145.52825938573</v>
      </c>
      <c r="Y132" s="55"/>
      <c r="Z132" s="118" t="b">
        <v>0</v>
      </c>
      <c r="AA132" s="120" t="b">
        <f t="shared" si="78"/>
        <v>0</v>
      </c>
      <c r="AB132" s="120" t="b">
        <f t="shared" si="79"/>
        <v>1</v>
      </c>
      <c r="AC132" s="120" t="b">
        <f t="shared" ca="1" si="80"/>
        <v>0</v>
      </c>
      <c r="AD132" s="121"/>
      <c r="AE132" s="129">
        <v>19439290.468315791</v>
      </c>
      <c r="AF132" s="69">
        <f ca="1">IF(Swap_Active="No",0,OFFSET(Vectors!$D$6,Vectors!A132,MATCH(Swap_In,lstInterestRates,0)))</f>
        <v>6.9369000000000056E-2</v>
      </c>
      <c r="AG132" s="62">
        <f t="shared" ca="1" si="97"/>
        <v>112373.6783747166</v>
      </c>
      <c r="AH132" s="69">
        <f ca="1">IF(Swap_Active="No",0,OFFSET(Vectors!$D$6,Vectors!A132,MATCH(Swap_Out,lstInterestRates,0)))</f>
        <v>0.04</v>
      </c>
      <c r="AI132" s="62">
        <f t="shared" ca="1" si="98"/>
        <v>64797.63489438597</v>
      </c>
      <c r="AJ132" s="62">
        <f t="shared" ca="1" si="99"/>
        <v>47576.043480330634</v>
      </c>
      <c r="AK132" s="62">
        <f t="shared" ca="1" si="100"/>
        <v>758721.57173971634</v>
      </c>
      <c r="AL132" s="121"/>
      <c r="AM132" s="123">
        <f t="shared" ca="1" si="81"/>
        <v>90955.517639153768</v>
      </c>
      <c r="AN132" s="124">
        <f t="shared" ca="1" si="101"/>
        <v>90955.517639153768</v>
      </c>
      <c r="AO132" s="125">
        <f t="shared" ca="1" si="102"/>
        <v>0</v>
      </c>
      <c r="AP132" s="123">
        <f t="shared" ca="1" si="103"/>
        <v>667766.05410056259</v>
      </c>
      <c r="AQ132" s="121"/>
      <c r="AR132" s="126">
        <f ca="1">IF(LiabIntType1="Fixed",LiabFxdRate1,OFFSET(Vectors!$D$6,Vectors!A132,MATCH(LiabLoanIndex1,lstInterestRates,0))+LiabMarg1)</f>
        <v>7.9369000000000051E-2</v>
      </c>
      <c r="AS132" s="122">
        <f t="shared" ca="1" si="104"/>
        <v>120985.88488094923</v>
      </c>
      <c r="AT132" s="124">
        <f t="shared" ca="1" si="105"/>
        <v>120985.88488094923</v>
      </c>
      <c r="AU132" s="123">
        <f t="shared" ca="1" si="106"/>
        <v>0</v>
      </c>
      <c r="AV132" s="123">
        <f t="shared" ca="1" si="82"/>
        <v>0</v>
      </c>
      <c r="AW132" s="123">
        <f t="shared" ca="1" si="107"/>
        <v>0</v>
      </c>
      <c r="AX132" s="124">
        <f t="shared" ca="1" si="108"/>
        <v>546780.16921961331</v>
      </c>
      <c r="AY132" s="121"/>
      <c r="AZ132" s="122">
        <f t="shared" ca="1" si="83"/>
        <v>546780.16921961331</v>
      </c>
      <c r="BA132" s="124">
        <f t="shared" ca="1" si="109"/>
        <v>546780.16921961331</v>
      </c>
      <c r="BB132" s="123">
        <f t="shared" ca="1" si="110"/>
        <v>0</v>
      </c>
      <c r="BC132" s="123">
        <f t="shared" ca="1" si="84"/>
        <v>0</v>
      </c>
      <c r="BD132" s="123">
        <f t="shared" ca="1" si="111"/>
        <v>0</v>
      </c>
      <c r="BE132" s="124">
        <f t="shared" ca="1" si="112"/>
        <v>0</v>
      </c>
      <c r="BF132" s="121"/>
      <c r="BG132" s="123">
        <f t="shared" si="85"/>
        <v>1000000</v>
      </c>
      <c r="BH132" s="123">
        <f t="shared" ca="1" si="113"/>
        <v>1000000</v>
      </c>
      <c r="BI132" s="123">
        <f t="shared" ca="1" si="114"/>
        <v>0</v>
      </c>
      <c r="BJ132" s="123">
        <f t="shared" ca="1" si="115"/>
        <v>0</v>
      </c>
      <c r="BK132" s="123">
        <f t="shared" ca="1" si="72"/>
        <v>1000000</v>
      </c>
      <c r="BL132" s="123">
        <f t="shared" ca="1" si="116"/>
        <v>0</v>
      </c>
      <c r="BM132" s="121"/>
      <c r="BN132" s="126">
        <f ca="1">IF(LiabIntType2="Fixed",LiabFxdRate2,OFFSET(Vectors!$D$6,Vectors!A132,MATCH(LiabLoanIndex2,lstInterestRates,0))+LiabMarg2)</f>
        <v>0.04</v>
      </c>
      <c r="BO132" s="122">
        <f t="shared" ca="1" si="117"/>
        <v>34119.905847872607</v>
      </c>
      <c r="BP132" s="124">
        <f t="shared" ca="1" si="118"/>
        <v>0</v>
      </c>
      <c r="BQ132" s="123">
        <f t="shared" ca="1" si="119"/>
        <v>34119.905847872607</v>
      </c>
      <c r="BR132" s="123">
        <f t="shared" ca="1" si="120"/>
        <v>0</v>
      </c>
      <c r="BS132" s="121"/>
      <c r="BT132" s="123">
        <f t="shared" ca="1" si="86"/>
        <v>34637.514501671787</v>
      </c>
      <c r="BU132" s="123">
        <f t="shared" ca="1" si="121"/>
        <v>0</v>
      </c>
      <c r="BV132" s="123">
        <f t="shared" ca="1" si="122"/>
        <v>34637.514501671787</v>
      </c>
      <c r="BW132" s="123">
        <f t="shared" ca="1" si="123"/>
        <v>0</v>
      </c>
      <c r="BX132" s="121"/>
      <c r="BY132" s="123">
        <f t="shared" si="124"/>
        <v>0</v>
      </c>
      <c r="BZ132" s="123">
        <f t="shared" ca="1" si="125"/>
        <v>0</v>
      </c>
      <c r="CA132" s="121"/>
      <c r="CB132" s="122">
        <f t="shared" ca="1" si="73"/>
        <v>17745381.991969138</v>
      </c>
      <c r="CC132" s="122">
        <f t="shared" ca="1" si="126"/>
        <v>120985.88488094923</v>
      </c>
      <c r="CD132" s="124">
        <f t="shared" ca="1" si="127"/>
        <v>546780.16921961331</v>
      </c>
      <c r="CE132" s="121"/>
      <c r="CF132" s="122">
        <f t="shared" ca="1" si="74"/>
        <v>10235971.754361782</v>
      </c>
      <c r="CG132" s="124">
        <f t="shared" ca="1" si="128"/>
        <v>0</v>
      </c>
      <c r="CH132" s="123">
        <f t="shared" ca="1" si="129"/>
        <v>0</v>
      </c>
      <c r="CI132" s="121"/>
      <c r="CJ132" s="123">
        <f t="shared" ca="1" si="130"/>
        <v>823519.20663410239</v>
      </c>
      <c r="CK132" s="123">
        <f t="shared" ca="1" si="131"/>
        <v>823519.20663410227</v>
      </c>
      <c r="CL132" s="123">
        <f t="shared" ca="1" si="132"/>
        <v>0</v>
      </c>
      <c r="CM132" s="121"/>
      <c r="CN132" s="62">
        <f t="shared" ca="1" si="133"/>
        <v>337831.0029354227</v>
      </c>
      <c r="CO132" s="62" t="b">
        <f t="shared" si="134"/>
        <v>1</v>
      </c>
      <c r="CP132" s="126">
        <f t="shared" ca="1" si="135"/>
        <v>3.4999999999999931E-3</v>
      </c>
      <c r="CQ132" s="120"/>
      <c r="CR132" s="120"/>
      <c r="CS132" s="120"/>
      <c r="CT132" s="120"/>
      <c r="CU132" s="120"/>
      <c r="CV132" s="120"/>
      <c r="CW132" s="120"/>
      <c r="CX132" s="120"/>
      <c r="CY132" s="120"/>
      <c r="CZ132" s="120"/>
      <c r="DA132" s="120"/>
      <c r="DB132" s="120"/>
      <c r="DC132" s="120"/>
      <c r="DD132" s="120"/>
      <c r="DE132" s="116"/>
      <c r="DF132" s="116"/>
      <c r="DG132" s="116"/>
      <c r="DH132" s="116"/>
      <c r="DI132" s="116"/>
      <c r="DJ132" s="116"/>
      <c r="DK132" s="116"/>
      <c r="DL132" s="116"/>
      <c r="DM132" s="116"/>
      <c r="DN132" s="116"/>
    </row>
    <row r="133" spans="1:118" x14ac:dyDescent="0.2">
      <c r="A133" s="27">
        <v>127</v>
      </c>
      <c r="B133" s="29">
        <f t="shared" si="68"/>
        <v>42979</v>
      </c>
      <c r="C133" s="30">
        <f t="shared" si="69"/>
        <v>8.3333333333333329E-2</v>
      </c>
      <c r="D133" s="55"/>
      <c r="E133" s="62">
        <f t="shared" ca="1" si="87"/>
        <v>88611131.352532372</v>
      </c>
      <c r="F133" s="63">
        <f ca="1">IF(AssetIntType1="Fixed",AssetFxdRate1,IF(A133=1,OFFSET(Vectors!$D$6,A133,MATCH(AssetFltIndx1,lstInterestRates,0)),IF(MOD($A133,AssetRateReset1)=0,MAX(MIN(OFFSET(Vectors!$D$6,A133,MATCH(AssetFltIndx1,lstInterestRates,0)),(F132-AssetMarg1)+AssetPdCapFl1,AssetLifeCap1-AssetMarg1),(F132-AssetMarg1)-AssetPdCapFl1,AssetLifeFloor1-AssetMarg1),F132)))+AssetMarg1</f>
        <v>0.09</v>
      </c>
      <c r="G133" s="62">
        <f t="shared" ca="1" si="75"/>
        <v>804622.61694478267</v>
      </c>
      <c r="H133" s="62">
        <f t="shared" ca="1" si="88"/>
        <v>664583.48514399282</v>
      </c>
      <c r="I133" s="62">
        <f t="shared" ca="1" si="89"/>
        <v>140039.13180078985</v>
      </c>
      <c r="J133" s="62">
        <f t="shared" ca="1" si="70"/>
        <v>88471092.220731586</v>
      </c>
      <c r="K133" s="55"/>
      <c r="L133" s="62">
        <f t="shared" ca="1" si="90"/>
        <v>49662439.040259652</v>
      </c>
      <c r="M133" s="68">
        <f ca="1">IF(pdrLossTime1="",OFFSET(Vectors!$AE$6,A133+_Age1,MATCH(SDA_Loss,lstSDA,0)),OFFSET(Vectors!$X$6,A133+_Age1,MATCH(pdrLossTime1,lstDefaultCurve,0)))</f>
        <v>2.7777777777777779E-5</v>
      </c>
      <c r="N133" s="62">
        <f t="shared" ca="1" si="76"/>
        <v>2777.7777777777778</v>
      </c>
      <c r="O133" s="67">
        <f t="shared" ca="1" si="91"/>
        <v>0.88471092220731584</v>
      </c>
      <c r="P133" s="68">
        <f ca="1">OFFSET(Vectors!$L$6,A133+_Age1,MATCH(pdrPrepay1,lstPrepayCurve,0))*pdrPrepayStress1</f>
        <v>5.1430128318229462E-3</v>
      </c>
      <c r="Q133" s="62">
        <f t="shared" ca="1" si="92"/>
        <v>255010.90954823419</v>
      </c>
      <c r="R133" s="62">
        <f t="shared" ca="1" si="93"/>
        <v>78481.063750917805</v>
      </c>
      <c r="S133" s="69">
        <f t="shared" ca="1" si="94"/>
        <v>0.09</v>
      </c>
      <c r="T133" s="62">
        <f t="shared" ca="1" si="95"/>
        <v>372447.45946861408</v>
      </c>
      <c r="U133" s="62">
        <f t="shared" ca="1" si="77"/>
        <v>1111.1111111111111</v>
      </c>
      <c r="V133" s="62">
        <f t="shared" ca="1" si="71"/>
        <v>49326169.28918273</v>
      </c>
      <c r="W133" s="55"/>
      <c r="X133" s="62">
        <f t="shared" ca="1" si="96"/>
        <v>707050.54387887719</v>
      </c>
      <c r="Y133" s="55"/>
      <c r="Z133" s="118" t="b">
        <v>0</v>
      </c>
      <c r="AA133" s="120" t="b">
        <f t="shared" si="78"/>
        <v>0</v>
      </c>
      <c r="AB133" s="120" t="b">
        <f t="shared" si="79"/>
        <v>1</v>
      </c>
      <c r="AC133" s="120" t="b">
        <f t="shared" ca="1" si="80"/>
        <v>0</v>
      </c>
      <c r="AD133" s="121"/>
      <c r="AE133" s="129">
        <v>19147434.260698725</v>
      </c>
      <c r="AF133" s="69">
        <f ca="1">IF(Swap_Active="No",0,OFFSET(Vectors!$D$6,Vectors!A133,MATCH(Swap_In,lstInterestRates,0)))</f>
        <v>6.9369000000000056E-2</v>
      </c>
      <c r="AG133" s="62">
        <f t="shared" ca="1" si="97"/>
        <v>110686.53060253424</v>
      </c>
      <c r="AH133" s="69">
        <f ca="1">IF(Swap_Active="No",0,OFFSET(Vectors!$D$6,Vectors!A133,MATCH(Swap_Out,lstInterestRates,0)))</f>
        <v>0.04</v>
      </c>
      <c r="AI133" s="62">
        <f t="shared" ca="1" si="98"/>
        <v>63824.780868995746</v>
      </c>
      <c r="AJ133" s="62">
        <f t="shared" ca="1" si="99"/>
        <v>46861.749733538498</v>
      </c>
      <c r="AK133" s="62">
        <f t="shared" ca="1" si="100"/>
        <v>753912.29361241567</v>
      </c>
      <c r="AL133" s="121"/>
      <c r="AM133" s="123">
        <f t="shared" ca="1" si="81"/>
        <v>90164.64089708656</v>
      </c>
      <c r="AN133" s="124">
        <f t="shared" ca="1" si="101"/>
        <v>90164.64089708656</v>
      </c>
      <c r="AO133" s="125">
        <f t="shared" ca="1" si="102"/>
        <v>0</v>
      </c>
      <c r="AP133" s="123">
        <f t="shared" ca="1" si="103"/>
        <v>663747.65271532908</v>
      </c>
      <c r="AQ133" s="121"/>
      <c r="AR133" s="126">
        <f ca="1">IF(LiabIntType1="Fixed",LiabFxdRate1,OFFSET(Vectors!$D$6,Vectors!A133,MATCH(LiabLoanIndex1,lstInterestRates,0))+LiabMarg1)</f>
        <v>7.9369000000000051E-2</v>
      </c>
      <c r="AS133" s="122">
        <f t="shared" ca="1" si="104"/>
        <v>117369.43527671661</v>
      </c>
      <c r="AT133" s="124">
        <f t="shared" ca="1" si="105"/>
        <v>117369.43527671661</v>
      </c>
      <c r="AU133" s="123">
        <f t="shared" ca="1" si="106"/>
        <v>0</v>
      </c>
      <c r="AV133" s="123">
        <f t="shared" ca="1" si="82"/>
        <v>0</v>
      </c>
      <c r="AW133" s="123">
        <f t="shared" ca="1" si="107"/>
        <v>0</v>
      </c>
      <c r="AX133" s="124">
        <f t="shared" ca="1" si="108"/>
        <v>546378.21743861248</v>
      </c>
      <c r="AY133" s="121"/>
      <c r="AZ133" s="122">
        <f t="shared" ca="1" si="83"/>
        <v>546378.21743861248</v>
      </c>
      <c r="BA133" s="124">
        <f t="shared" ca="1" si="109"/>
        <v>546378.21743861248</v>
      </c>
      <c r="BB133" s="123">
        <f t="shared" ca="1" si="110"/>
        <v>0</v>
      </c>
      <c r="BC133" s="123">
        <f t="shared" ca="1" si="84"/>
        <v>0</v>
      </c>
      <c r="BD133" s="123">
        <f t="shared" ca="1" si="111"/>
        <v>0</v>
      </c>
      <c r="BE133" s="124">
        <f t="shared" ca="1" si="112"/>
        <v>0</v>
      </c>
      <c r="BF133" s="121"/>
      <c r="BG133" s="123">
        <f t="shared" si="85"/>
        <v>1000000</v>
      </c>
      <c r="BH133" s="123">
        <f t="shared" ca="1" si="113"/>
        <v>1000000</v>
      </c>
      <c r="BI133" s="123">
        <f t="shared" ca="1" si="114"/>
        <v>0</v>
      </c>
      <c r="BJ133" s="123">
        <f t="shared" ca="1" si="115"/>
        <v>0</v>
      </c>
      <c r="BK133" s="123">
        <f t="shared" ca="1" si="72"/>
        <v>1000000</v>
      </c>
      <c r="BL133" s="123">
        <f t="shared" ca="1" si="116"/>
        <v>0</v>
      </c>
      <c r="BM133" s="121"/>
      <c r="BN133" s="126">
        <f ca="1">IF(LiabIntType2="Fixed",LiabFxdRate2,OFFSET(Vectors!$D$6,Vectors!A133,MATCH(LiabLoanIndex2,lstInterestRates,0))+LiabMarg2)</f>
        <v>0.04</v>
      </c>
      <c r="BO133" s="122">
        <f t="shared" ca="1" si="117"/>
        <v>34119.905847872607</v>
      </c>
      <c r="BP133" s="124">
        <f t="shared" ca="1" si="118"/>
        <v>0</v>
      </c>
      <c r="BQ133" s="123">
        <f t="shared" ca="1" si="119"/>
        <v>34119.905847872607</v>
      </c>
      <c r="BR133" s="123">
        <f t="shared" ca="1" si="120"/>
        <v>0</v>
      </c>
      <c r="BS133" s="121"/>
      <c r="BT133" s="123">
        <f t="shared" ca="1" si="86"/>
        <v>34477.440726857079</v>
      </c>
      <c r="BU133" s="123">
        <f t="shared" ca="1" si="121"/>
        <v>0</v>
      </c>
      <c r="BV133" s="123">
        <f t="shared" ca="1" si="122"/>
        <v>34477.440726857079</v>
      </c>
      <c r="BW133" s="123">
        <f t="shared" ca="1" si="123"/>
        <v>0</v>
      </c>
      <c r="BX133" s="121"/>
      <c r="BY133" s="123">
        <f t="shared" si="124"/>
        <v>0</v>
      </c>
      <c r="BZ133" s="123">
        <f t="shared" ca="1" si="125"/>
        <v>0</v>
      </c>
      <c r="CA133" s="121"/>
      <c r="CB133" s="122">
        <f t="shared" ca="1" si="73"/>
        <v>17199003.774530526</v>
      </c>
      <c r="CC133" s="122">
        <f t="shared" ca="1" si="126"/>
        <v>117369.43527671661</v>
      </c>
      <c r="CD133" s="124">
        <f t="shared" ca="1" si="127"/>
        <v>546378.21743861248</v>
      </c>
      <c r="CE133" s="121"/>
      <c r="CF133" s="122">
        <f t="shared" ca="1" si="74"/>
        <v>10235971.754361782</v>
      </c>
      <c r="CG133" s="124">
        <f t="shared" ca="1" si="128"/>
        <v>0</v>
      </c>
      <c r="CH133" s="123">
        <f t="shared" ca="1" si="129"/>
        <v>0</v>
      </c>
      <c r="CI133" s="121"/>
      <c r="CJ133" s="123">
        <f t="shared" ca="1" si="130"/>
        <v>817737.07448141137</v>
      </c>
      <c r="CK133" s="123">
        <f t="shared" ca="1" si="131"/>
        <v>817737.07448141137</v>
      </c>
      <c r="CL133" s="123">
        <f t="shared" ca="1" si="132"/>
        <v>0</v>
      </c>
      <c r="CM133" s="121"/>
      <c r="CN133" s="62">
        <f t="shared" ca="1" si="133"/>
        <v>336269.7510769298</v>
      </c>
      <c r="CO133" s="62" t="b">
        <f t="shared" si="134"/>
        <v>1</v>
      </c>
      <c r="CP133" s="126">
        <f t="shared" ca="1" si="135"/>
        <v>3.5277777777777707E-3</v>
      </c>
      <c r="CQ133" s="120"/>
      <c r="CR133" s="120"/>
      <c r="CS133" s="120"/>
      <c r="CT133" s="120"/>
      <c r="CU133" s="120"/>
      <c r="CV133" s="120"/>
      <c r="CW133" s="120"/>
      <c r="CX133" s="120"/>
      <c r="CY133" s="120"/>
      <c r="CZ133" s="120"/>
      <c r="DA133" s="120"/>
      <c r="DB133" s="120"/>
      <c r="DC133" s="120"/>
      <c r="DD133" s="120"/>
      <c r="DE133" s="116"/>
      <c r="DF133" s="116"/>
      <c r="DG133" s="116"/>
      <c r="DH133" s="116"/>
      <c r="DI133" s="116"/>
      <c r="DJ133" s="116"/>
      <c r="DK133" s="116"/>
      <c r="DL133" s="116"/>
      <c r="DM133" s="116"/>
      <c r="DN133" s="116"/>
    </row>
    <row r="134" spans="1:118" x14ac:dyDescent="0.2">
      <c r="A134" s="27">
        <v>128</v>
      </c>
      <c r="B134" s="29">
        <f t="shared" ref="B134:B197" si="136">IF(A134=0,ClosingDate,IF(A134=1,FirstPayDate,EDATE(B133,PmtFreqAdd)))</f>
        <v>43009</v>
      </c>
      <c r="C134" s="30">
        <f t="shared" ref="C134:C197" si="137">IF(A134=0,0,IF(DayCountSys="30 / 360",DAYS360(B133,B134)/360,IF(DayCountSys="Actual / 360",(B134-B133)/360,(B134-B133)/365)))</f>
        <v>8.3333333333333329E-2</v>
      </c>
      <c r="D134" s="55"/>
      <c r="E134" s="62">
        <f t="shared" ca="1" si="87"/>
        <v>88471092.220731586</v>
      </c>
      <c r="F134" s="63">
        <f ca="1">IF(AssetIntType1="Fixed",AssetFxdRate1,IF(A134=1,OFFSET(Vectors!$D$6,A134,MATCH(AssetFltIndx1,lstInterestRates,0)),IF(MOD($A134,AssetRateReset1)=0,MAX(MIN(OFFSET(Vectors!$D$6,A134,MATCH(AssetFltIndx1,lstInterestRates,0)),(F133-AssetMarg1)+AssetPdCapFl1,AssetLifeCap1-AssetMarg1),(F133-AssetMarg1)-AssetPdCapFl1,AssetLifeFloor1-AssetMarg1),F133)))+AssetMarg1</f>
        <v>0.09</v>
      </c>
      <c r="G134" s="62">
        <f t="shared" ca="1" si="75"/>
        <v>804622.61694478267</v>
      </c>
      <c r="H134" s="62">
        <f t="shared" ca="1" si="88"/>
        <v>663533.19165548682</v>
      </c>
      <c r="I134" s="62">
        <f t="shared" ca="1" si="89"/>
        <v>141089.42528929585</v>
      </c>
      <c r="J134" s="62">
        <f t="shared" ref="J134:J197" ca="1" si="138">IF(A134=0,AssetCurBal1,E134-I134)</f>
        <v>88330002.795442283</v>
      </c>
      <c r="K134" s="55"/>
      <c r="L134" s="62">
        <f t="shared" ca="1" si="90"/>
        <v>49326169.28918273</v>
      </c>
      <c r="M134" s="68">
        <f ca="1">IF(pdrLossTime1="",OFFSET(Vectors!$AE$6,A134+_Age1,MATCH(SDA_Loss,lstSDA,0)),OFFSET(Vectors!$X$6,A134+_Age1,MATCH(pdrLossTime1,lstDefaultCurve,0)))</f>
        <v>2.7777777777777779E-5</v>
      </c>
      <c r="N134" s="62">
        <f t="shared" ca="1" si="76"/>
        <v>2777.7777777777778</v>
      </c>
      <c r="O134" s="67">
        <f t="shared" ca="1" si="91"/>
        <v>0.88330002795442286</v>
      </c>
      <c r="P134" s="68">
        <f ca="1">OFFSET(Vectors!$L$6,A134+_Age1,MATCH(pdrPrepay1,lstPrepayCurve,0))*pdrPrepayStress1</f>
        <v>5.1430128318229462E-3</v>
      </c>
      <c r="Q134" s="62">
        <f t="shared" ca="1" si="92"/>
        <v>253280.55681837027</v>
      </c>
      <c r="R134" s="62">
        <f t="shared" ca="1" si="93"/>
        <v>78658.562780038948</v>
      </c>
      <c r="S134" s="69">
        <f t="shared" ca="1" si="94"/>
        <v>0.09</v>
      </c>
      <c r="T134" s="62">
        <f t="shared" ca="1" si="95"/>
        <v>369925.43633553712</v>
      </c>
      <c r="U134" s="62">
        <f t="shared" ca="1" si="77"/>
        <v>1111.1111111111111</v>
      </c>
      <c r="V134" s="62">
        <f t="shared" ref="V134:V197" ca="1" si="139">IF(A134=0,AssetCurBal1,L134-N134-Q134-R134)</f>
        <v>48991452.391806543</v>
      </c>
      <c r="W134" s="55"/>
      <c r="X134" s="62">
        <f t="shared" ca="1" si="96"/>
        <v>702975.6670450574</v>
      </c>
      <c r="Y134" s="55"/>
      <c r="Z134" s="118" t="b">
        <v>0</v>
      </c>
      <c r="AA134" s="120" t="b">
        <f t="shared" si="78"/>
        <v>0</v>
      </c>
      <c r="AB134" s="120" t="b">
        <f t="shared" si="79"/>
        <v>1</v>
      </c>
      <c r="AC134" s="120" t="b">
        <f t="shared" ca="1" si="80"/>
        <v>0</v>
      </c>
      <c r="AD134" s="121"/>
      <c r="AE134" s="129">
        <v>18858597.497720871</v>
      </c>
      <c r="AF134" s="69">
        <f ca="1">IF(Swap_Active="No",0,OFFSET(Vectors!$D$6,Vectors!A134,MATCH(Swap_In,lstInterestRates,0)))</f>
        <v>6.9369000000000056E-2</v>
      </c>
      <c r="AG134" s="62">
        <f t="shared" ca="1" si="97"/>
        <v>109016.83748495</v>
      </c>
      <c r="AH134" s="69">
        <f ca="1">IF(Swap_Active="No",0,OFFSET(Vectors!$D$6,Vectors!A134,MATCH(Swap_Out,lstInterestRates,0)))</f>
        <v>0.04</v>
      </c>
      <c r="AI134" s="62">
        <f t="shared" ca="1" si="98"/>
        <v>62861.991659069565</v>
      </c>
      <c r="AJ134" s="62">
        <f t="shared" ca="1" si="99"/>
        <v>46154.845825880431</v>
      </c>
      <c r="AK134" s="62">
        <f t="shared" ca="1" si="100"/>
        <v>749130.51287093782</v>
      </c>
      <c r="AL134" s="121"/>
      <c r="AM134" s="123">
        <f t="shared" ca="1" si="81"/>
        <v>89376.533721358937</v>
      </c>
      <c r="AN134" s="124">
        <f t="shared" ca="1" si="101"/>
        <v>89376.533721358937</v>
      </c>
      <c r="AO134" s="125">
        <f t="shared" ca="1" si="102"/>
        <v>0</v>
      </c>
      <c r="AP134" s="123">
        <f t="shared" ca="1" si="103"/>
        <v>659753.97914957884</v>
      </c>
      <c r="AQ134" s="121"/>
      <c r="AR134" s="126">
        <f ca="1">IF(LiabIntType1="Fixed",LiabFxdRate1,OFFSET(Vectors!$D$6,Vectors!A134,MATCH(LiabLoanIndex1,lstInterestRates,0))+LiabMarg1)</f>
        <v>7.9369000000000051E-2</v>
      </c>
      <c r="AS134" s="122">
        <f t="shared" ca="1" si="104"/>
        <v>113755.64421505951</v>
      </c>
      <c r="AT134" s="124">
        <f t="shared" ca="1" si="105"/>
        <v>113755.64421505951</v>
      </c>
      <c r="AU134" s="123">
        <f t="shared" ca="1" si="106"/>
        <v>0</v>
      </c>
      <c r="AV134" s="123">
        <f t="shared" ca="1" si="82"/>
        <v>0</v>
      </c>
      <c r="AW134" s="123">
        <f t="shared" ca="1" si="107"/>
        <v>0</v>
      </c>
      <c r="AX134" s="124">
        <f t="shared" ca="1" si="108"/>
        <v>545998.33493451937</v>
      </c>
      <c r="AY134" s="121"/>
      <c r="AZ134" s="122">
        <f t="shared" ca="1" si="83"/>
        <v>545998.33493451937</v>
      </c>
      <c r="BA134" s="124">
        <f t="shared" ca="1" si="109"/>
        <v>545998.33493451937</v>
      </c>
      <c r="BB134" s="123">
        <f t="shared" ca="1" si="110"/>
        <v>0</v>
      </c>
      <c r="BC134" s="123">
        <f t="shared" ca="1" si="84"/>
        <v>0</v>
      </c>
      <c r="BD134" s="123">
        <f t="shared" ca="1" si="111"/>
        <v>0</v>
      </c>
      <c r="BE134" s="124">
        <f t="shared" ca="1" si="112"/>
        <v>0</v>
      </c>
      <c r="BF134" s="121"/>
      <c r="BG134" s="123">
        <f t="shared" si="85"/>
        <v>1000000</v>
      </c>
      <c r="BH134" s="123">
        <f t="shared" ca="1" si="113"/>
        <v>1000000</v>
      </c>
      <c r="BI134" s="123">
        <f t="shared" ca="1" si="114"/>
        <v>0</v>
      </c>
      <c r="BJ134" s="123">
        <f t="shared" ca="1" si="115"/>
        <v>0</v>
      </c>
      <c r="BK134" s="123">
        <f t="shared" ref="BK134:BK197" ca="1" si="140">IF(A134=0,AssetCurBal1*RsrvPercent,BH134-BI134+BJ134)</f>
        <v>1000000</v>
      </c>
      <c r="BL134" s="123">
        <f t="shared" ca="1" si="116"/>
        <v>0</v>
      </c>
      <c r="BM134" s="121"/>
      <c r="BN134" s="126">
        <f ca="1">IF(LiabIntType2="Fixed",LiabFxdRate2,OFFSET(Vectors!$D$6,Vectors!A134,MATCH(LiabLoanIndex2,lstInterestRates,0))+LiabMarg2)</f>
        <v>0.04</v>
      </c>
      <c r="BO134" s="122">
        <f t="shared" ca="1" si="117"/>
        <v>34119.905847872607</v>
      </c>
      <c r="BP134" s="124">
        <f t="shared" ca="1" si="118"/>
        <v>0</v>
      </c>
      <c r="BQ134" s="123">
        <f t="shared" ca="1" si="119"/>
        <v>34119.905847872607</v>
      </c>
      <c r="BR134" s="123">
        <f t="shared" ca="1" si="120"/>
        <v>0</v>
      </c>
      <c r="BS134" s="121"/>
      <c r="BT134" s="123">
        <f t="shared" ca="1" si="86"/>
        <v>34318.2280077428</v>
      </c>
      <c r="BU134" s="123">
        <f t="shared" ca="1" si="121"/>
        <v>0</v>
      </c>
      <c r="BV134" s="123">
        <f t="shared" ca="1" si="122"/>
        <v>34318.2280077428</v>
      </c>
      <c r="BW134" s="123">
        <f t="shared" ca="1" si="123"/>
        <v>0</v>
      </c>
      <c r="BX134" s="121"/>
      <c r="BY134" s="123">
        <f t="shared" si="124"/>
        <v>0</v>
      </c>
      <c r="BZ134" s="123">
        <f t="shared" ca="1" si="125"/>
        <v>0</v>
      </c>
      <c r="CA134" s="121"/>
      <c r="CB134" s="122">
        <f t="shared" ref="CB134:CB197" ca="1" si="141">IF(A134=0,V134*LiabAdvRate1,CB133-CD134)</f>
        <v>16653005.439596007</v>
      </c>
      <c r="CC134" s="122">
        <f t="shared" ca="1" si="126"/>
        <v>113755.64421505951</v>
      </c>
      <c r="CD134" s="124">
        <f t="shared" ca="1" si="127"/>
        <v>545998.33493451937</v>
      </c>
      <c r="CE134" s="121"/>
      <c r="CF134" s="122">
        <f t="shared" ref="CF134:CF197" ca="1" si="142">IF(A134=0,V134*LiabAdvRate2,CF133-CH134)</f>
        <v>10235971.754361782</v>
      </c>
      <c r="CG134" s="124">
        <f t="shared" ca="1" si="128"/>
        <v>0</v>
      </c>
      <c r="CH134" s="123">
        <f t="shared" ca="1" si="129"/>
        <v>0</v>
      </c>
      <c r="CI134" s="121"/>
      <c r="CJ134" s="123">
        <f t="shared" ca="1" si="130"/>
        <v>811992.50453000737</v>
      </c>
      <c r="CK134" s="123">
        <f t="shared" ca="1" si="131"/>
        <v>811992.50453000737</v>
      </c>
      <c r="CL134" s="123">
        <f t="shared" ca="1" si="132"/>
        <v>0</v>
      </c>
      <c r="CM134" s="121"/>
      <c r="CN134" s="62">
        <f t="shared" ca="1" si="133"/>
        <v>334716.89737618703</v>
      </c>
      <c r="CO134" s="62" t="b">
        <f t="shared" si="134"/>
        <v>1</v>
      </c>
      <c r="CP134" s="126">
        <f t="shared" ca="1" si="135"/>
        <v>3.5555555555555484E-3</v>
      </c>
      <c r="CQ134" s="120"/>
      <c r="CR134" s="120"/>
      <c r="CS134" s="120"/>
      <c r="CT134" s="120"/>
      <c r="CU134" s="120"/>
      <c r="CV134" s="120"/>
      <c r="CW134" s="120"/>
      <c r="CX134" s="120"/>
      <c r="CY134" s="120"/>
      <c r="CZ134" s="120"/>
      <c r="DA134" s="120"/>
      <c r="DB134" s="120"/>
      <c r="DC134" s="120"/>
      <c r="DD134" s="120"/>
      <c r="DE134" s="116"/>
      <c r="DF134" s="116"/>
      <c r="DG134" s="116"/>
      <c r="DH134" s="116"/>
      <c r="DI134" s="116"/>
      <c r="DJ134" s="116"/>
      <c r="DK134" s="116"/>
      <c r="DL134" s="116"/>
      <c r="DM134" s="116"/>
      <c r="DN134" s="116"/>
    </row>
    <row r="135" spans="1:118" x14ac:dyDescent="0.2">
      <c r="A135" s="27">
        <v>129</v>
      </c>
      <c r="B135" s="29">
        <f t="shared" si="136"/>
        <v>43040</v>
      </c>
      <c r="C135" s="30">
        <f t="shared" si="137"/>
        <v>8.3333333333333329E-2</v>
      </c>
      <c r="D135" s="55"/>
      <c r="E135" s="62">
        <f t="shared" ca="1" si="87"/>
        <v>88330002.795442283</v>
      </c>
      <c r="F135" s="63">
        <f ca="1">IF(AssetIntType1="Fixed",AssetFxdRate1,IF(A135=1,OFFSET(Vectors!$D$6,A135,MATCH(AssetFltIndx1,lstInterestRates,0)),IF(MOD($A135,AssetRateReset1)=0,MAX(MIN(OFFSET(Vectors!$D$6,A135,MATCH(AssetFltIndx1,lstInterestRates,0)),(F134-AssetMarg1)+AssetPdCapFl1,AssetLifeCap1-AssetMarg1),(F134-AssetMarg1)-AssetPdCapFl1,AssetLifeFloor1-AssetMarg1),F134)))+AssetMarg1</f>
        <v>0.09</v>
      </c>
      <c r="G135" s="62">
        <f t="shared" ref="G135:G198" ca="1" si="143">IF(J134&lt;=G134,H135+E135,-PMT(F135*C135,OrgTerm1,AssetOrgBal1))</f>
        <v>804622.61694478267</v>
      </c>
      <c r="H135" s="62">
        <f t="shared" ca="1" si="88"/>
        <v>662475.02096581715</v>
      </c>
      <c r="I135" s="62">
        <f t="shared" ca="1" si="89"/>
        <v>142147.59597896552</v>
      </c>
      <c r="J135" s="62">
        <f t="shared" ca="1" si="138"/>
        <v>88187855.199463323</v>
      </c>
      <c r="K135" s="55"/>
      <c r="L135" s="62">
        <f t="shared" ca="1" si="90"/>
        <v>48991452.391806543</v>
      </c>
      <c r="M135" s="68">
        <f ca="1">IF(pdrLossTime1="",OFFSET(Vectors!$AE$6,A135+_Age1,MATCH(SDA_Loss,lstSDA,0)),OFFSET(Vectors!$X$6,A135+_Age1,MATCH(pdrLossTime1,lstDefaultCurve,0)))</f>
        <v>2.7777777777777779E-5</v>
      </c>
      <c r="N135" s="62">
        <f t="shared" ref="N135:N198" ca="1" si="144">MIN(L135,IF(pdrLossTime1="",L135*M135,$L$7*M135))</f>
        <v>2777.7777777777778</v>
      </c>
      <c r="O135" s="67">
        <f t="shared" ca="1" si="91"/>
        <v>0.88187855199463328</v>
      </c>
      <c r="P135" s="68">
        <f ca="1">OFFSET(Vectors!$L$6,A135+_Age1,MATCH(pdrPrepay1,lstPrepayCurve,0))*pdrPrepayStress1</f>
        <v>5.1430128318229462E-3</v>
      </c>
      <c r="Q135" s="62">
        <f t="shared" ca="1" si="92"/>
        <v>251558.18852498243</v>
      </c>
      <c r="R135" s="62">
        <f t="shared" ca="1" si="93"/>
        <v>78836.432765732447</v>
      </c>
      <c r="S135" s="69">
        <f t="shared" ca="1" si="94"/>
        <v>0.09</v>
      </c>
      <c r="T135" s="62">
        <f t="shared" ca="1" si="95"/>
        <v>367415.05960521573</v>
      </c>
      <c r="U135" s="62">
        <f t="shared" ref="U135:U198" ca="1" si="145">IF(A135&lt;=pdrRecovLag1,0,OFFSET(N135,-pdrRecovLag1,0)*pdrRecovRate1)</f>
        <v>1111.1111111111111</v>
      </c>
      <c r="V135" s="62">
        <f t="shared" ca="1" si="139"/>
        <v>48658279.992738053</v>
      </c>
      <c r="W135" s="55"/>
      <c r="X135" s="62">
        <f t="shared" ca="1" si="96"/>
        <v>698920.79200704175</v>
      </c>
      <c r="Y135" s="55"/>
      <c r="Z135" s="118" t="b">
        <v>0</v>
      </c>
      <c r="AA135" s="120" t="b">
        <f t="shared" ref="AA135:AA198" si="146">IF(GlobalTrigger="Yes",TRUE,FALSE)</f>
        <v>0</v>
      </c>
      <c r="AB135" s="120" t="b">
        <f t="shared" ref="AB135:AB198" si="147">IF(AND(A135&gt;=PostDefTriggerMo,PostDefTriggerMo&lt;&gt;0),TRUE,FALSE)</f>
        <v>1</v>
      </c>
      <c r="AC135" s="120" t="b">
        <f t="shared" ref="AC135:AC198" ca="1" si="148">IF(CP135&gt;Trigger_Def,TRUE,FALSE)</f>
        <v>0</v>
      </c>
      <c r="AD135" s="121"/>
      <c r="AE135" s="129">
        <v>18572749.72516324</v>
      </c>
      <c r="AF135" s="69">
        <f ca="1">IF(Swap_Active="No",0,OFFSET(Vectors!$D$6,Vectors!A135,MATCH(Swap_In,lstInterestRates,0)))</f>
        <v>6.9369000000000056E-2</v>
      </c>
      <c r="AG135" s="62">
        <f t="shared" ca="1" si="97"/>
        <v>107364.42297373748</v>
      </c>
      <c r="AH135" s="69">
        <f ca="1">IF(Swap_Active="No",0,OFFSET(Vectors!$D$6,Vectors!A135,MATCH(Swap_Out,lstInterestRates,0)))</f>
        <v>0.04</v>
      </c>
      <c r="AI135" s="62">
        <f t="shared" ca="1" si="98"/>
        <v>61909.165750544125</v>
      </c>
      <c r="AJ135" s="62">
        <f t="shared" ca="1" si="99"/>
        <v>45455.257223193359</v>
      </c>
      <c r="AK135" s="62">
        <f t="shared" ca="1" si="100"/>
        <v>744376.04923023516</v>
      </c>
      <c r="AL135" s="121"/>
      <c r="AM135" s="123">
        <f t="shared" ref="AM135:AM198" ca="1" si="149">(C135*AssetFee*L135)+(C135*LiabFees1*CB134)+(C135*LiabFees2*CF134)</f>
        <v>88591.172919509234</v>
      </c>
      <c r="AN135" s="124">
        <f t="shared" ca="1" si="101"/>
        <v>88591.172919509234</v>
      </c>
      <c r="AO135" s="125">
        <f t="shared" ca="1" si="102"/>
        <v>0</v>
      </c>
      <c r="AP135" s="123">
        <f t="shared" ca="1" si="103"/>
        <v>655784.87631072593</v>
      </c>
      <c r="AQ135" s="121"/>
      <c r="AR135" s="126">
        <f ca="1">IF(LiabIntType1="Fixed",LiabFxdRate1,OFFSET(Vectors!$D$6,Vectors!A135,MATCH(LiabLoanIndex1,lstInterestRates,0))+LiabMarg1)</f>
        <v>7.9369000000000051E-2</v>
      </c>
      <c r="AS135" s="122">
        <f t="shared" ca="1" si="104"/>
        <v>110144.36572794136</v>
      </c>
      <c r="AT135" s="124">
        <f t="shared" ca="1" si="105"/>
        <v>110144.36572794136</v>
      </c>
      <c r="AU135" s="123">
        <f t="shared" ca="1" si="106"/>
        <v>0</v>
      </c>
      <c r="AV135" s="123">
        <f t="shared" ref="AV135:AV198" ca="1" si="150">IF(LiabReserveOnOff1="No",0,MIN(AU135,BH135))</f>
        <v>0</v>
      </c>
      <c r="AW135" s="123">
        <f t="shared" ca="1" si="107"/>
        <v>0</v>
      </c>
      <c r="AX135" s="124">
        <f t="shared" ca="1" si="108"/>
        <v>545640.51058278454</v>
      </c>
      <c r="AY135" s="121"/>
      <c r="AZ135" s="122">
        <f t="shared" ref="AZ135:AZ198" ca="1" si="151">IF(OR(Z135, AB135,AC135),MIN(AX135,AX135+BH135-AV135,CB134),IF(LiabPrinType1="Sequential",MIN((N135+Q135+R135),CB134),MIN((N135+Q135+R135)*LiabAdvRate1,CB134)))</f>
        <v>545640.51058278454</v>
      </c>
      <c r="BA135" s="124">
        <f t="shared" ca="1" si="109"/>
        <v>545640.51058278454</v>
      </c>
      <c r="BB135" s="123">
        <f t="shared" ca="1" si="110"/>
        <v>0</v>
      </c>
      <c r="BC135" s="123">
        <f t="shared" ref="BC135:BC198" ca="1" si="152">IF(LiabReserveOnOff1="No",0,MIN(BB135,BH135-AV135))</f>
        <v>0</v>
      </c>
      <c r="BD135" s="123">
        <f t="shared" ca="1" si="111"/>
        <v>0</v>
      </c>
      <c r="BE135" s="124">
        <f t="shared" ca="1" si="112"/>
        <v>0</v>
      </c>
      <c r="BF135" s="121"/>
      <c r="BG135" s="123">
        <f t="shared" ref="BG135:BG198" si="153">AssetCurBal1*RsrvPercent</f>
        <v>1000000</v>
      </c>
      <c r="BH135" s="123">
        <f t="shared" ca="1" si="113"/>
        <v>1000000</v>
      </c>
      <c r="BI135" s="123">
        <f t="shared" ca="1" si="114"/>
        <v>0</v>
      </c>
      <c r="BJ135" s="123">
        <f t="shared" ca="1" si="115"/>
        <v>0</v>
      </c>
      <c r="BK135" s="123">
        <f t="shared" ca="1" si="140"/>
        <v>1000000</v>
      </c>
      <c r="BL135" s="123">
        <f t="shared" ca="1" si="116"/>
        <v>0</v>
      </c>
      <c r="BM135" s="121"/>
      <c r="BN135" s="126">
        <f ca="1">IF(LiabIntType2="Fixed",LiabFxdRate2,OFFSET(Vectors!$D$6,Vectors!A135,MATCH(LiabLoanIndex2,lstInterestRates,0))+LiabMarg2)</f>
        <v>0.04</v>
      </c>
      <c r="BO135" s="122">
        <f t="shared" ca="1" si="117"/>
        <v>34119.905847872607</v>
      </c>
      <c r="BP135" s="124">
        <f t="shared" ca="1" si="118"/>
        <v>0</v>
      </c>
      <c r="BQ135" s="123">
        <f t="shared" ca="1" si="119"/>
        <v>34119.905847872607</v>
      </c>
      <c r="BR135" s="123">
        <f t="shared" ca="1" si="120"/>
        <v>0</v>
      </c>
      <c r="BS135" s="121"/>
      <c r="BT135" s="123">
        <f t="shared" ref="BT135:BT198" ca="1" si="154">IF(AND(LiabPrinType2="Sequential",CB134&gt;0),0,IF(LiabPrinType2="Sequential",MIN((N135+Q135+R135),CF134),MIN((N135+Q135+R135)*LiabAdvRate2,CF134)))</f>
        <v>34159.871959701828</v>
      </c>
      <c r="BU135" s="123">
        <f t="shared" ca="1" si="121"/>
        <v>0</v>
      </c>
      <c r="BV135" s="123">
        <f t="shared" ca="1" si="122"/>
        <v>34159.871959701828</v>
      </c>
      <c r="BW135" s="123">
        <f t="shared" ca="1" si="123"/>
        <v>0</v>
      </c>
      <c r="BX135" s="121"/>
      <c r="BY135" s="123">
        <f t="shared" si="124"/>
        <v>0</v>
      </c>
      <c r="BZ135" s="123">
        <f t="shared" ca="1" si="125"/>
        <v>0</v>
      </c>
      <c r="CA135" s="121"/>
      <c r="CB135" s="122">
        <f t="shared" ca="1" si="141"/>
        <v>16107364.929013222</v>
      </c>
      <c r="CC135" s="122">
        <f t="shared" ca="1" si="126"/>
        <v>110144.36572794136</v>
      </c>
      <c r="CD135" s="124">
        <f t="shared" ca="1" si="127"/>
        <v>545640.51058278454</v>
      </c>
      <c r="CE135" s="121"/>
      <c r="CF135" s="122">
        <f t="shared" ca="1" si="142"/>
        <v>10235971.754361782</v>
      </c>
      <c r="CG135" s="124">
        <f t="shared" ca="1" si="128"/>
        <v>0</v>
      </c>
      <c r="CH135" s="123">
        <f t="shared" ca="1" si="129"/>
        <v>0</v>
      </c>
      <c r="CI135" s="121"/>
      <c r="CJ135" s="123">
        <f t="shared" ca="1" si="130"/>
        <v>806285.21498077922</v>
      </c>
      <c r="CK135" s="123">
        <f t="shared" ca="1" si="131"/>
        <v>806285.21498077922</v>
      </c>
      <c r="CL135" s="123">
        <f t="shared" ca="1" si="132"/>
        <v>0</v>
      </c>
      <c r="CM135" s="121"/>
      <c r="CN135" s="62">
        <f t="shared" ca="1" si="133"/>
        <v>333172.39906849264</v>
      </c>
      <c r="CO135" s="62" t="b">
        <f t="shared" si="134"/>
        <v>1</v>
      </c>
      <c r="CP135" s="126">
        <f t="shared" ca="1" si="135"/>
        <v>3.583333333333326E-3</v>
      </c>
      <c r="CQ135" s="120"/>
      <c r="CR135" s="120"/>
      <c r="CS135" s="120"/>
      <c r="CT135" s="120"/>
      <c r="CU135" s="120"/>
      <c r="CV135" s="120"/>
      <c r="CW135" s="120"/>
      <c r="CX135" s="120"/>
      <c r="CY135" s="120"/>
      <c r="CZ135" s="120"/>
      <c r="DA135" s="120"/>
      <c r="DB135" s="120"/>
      <c r="DC135" s="120"/>
      <c r="DD135" s="120"/>
      <c r="DE135" s="116"/>
      <c r="DF135" s="116"/>
      <c r="DG135" s="116"/>
      <c r="DH135" s="116"/>
      <c r="DI135" s="116"/>
      <c r="DJ135" s="116"/>
      <c r="DK135" s="116"/>
      <c r="DL135" s="116"/>
      <c r="DM135" s="116"/>
      <c r="DN135" s="116"/>
    </row>
    <row r="136" spans="1:118" x14ac:dyDescent="0.2">
      <c r="A136" s="27">
        <v>130</v>
      </c>
      <c r="B136" s="29">
        <f t="shared" si="136"/>
        <v>43070</v>
      </c>
      <c r="C136" s="30">
        <f t="shared" si="137"/>
        <v>8.3333333333333329E-2</v>
      </c>
      <c r="D136" s="55"/>
      <c r="E136" s="62">
        <f t="shared" ref="E136:E199" ca="1" si="155">J135</f>
        <v>88187855.199463323</v>
      </c>
      <c r="F136" s="63">
        <f ca="1">IF(AssetIntType1="Fixed",AssetFxdRate1,IF(A136=1,OFFSET(Vectors!$D$6,A136,MATCH(AssetFltIndx1,lstInterestRates,0)),IF(MOD($A136,AssetRateReset1)=0,MAX(MIN(OFFSET(Vectors!$D$6,A136,MATCH(AssetFltIndx1,lstInterestRates,0)),(F135-AssetMarg1)+AssetPdCapFl1,AssetLifeCap1-AssetMarg1),(F135-AssetMarg1)-AssetPdCapFl1,AssetLifeFloor1-AssetMarg1),F135)))+AssetMarg1</f>
        <v>0.09</v>
      </c>
      <c r="G136" s="62">
        <f t="shared" ca="1" si="143"/>
        <v>804622.61694478267</v>
      </c>
      <c r="H136" s="62">
        <f t="shared" ref="H136:H199" ca="1" si="156">F136*C136*E136</f>
        <v>661408.91399597493</v>
      </c>
      <c r="I136" s="62">
        <f t="shared" ref="I136:I199" ca="1" si="157">G136-H136</f>
        <v>143213.70294880774</v>
      </c>
      <c r="J136" s="62">
        <f t="shared" ca="1" si="138"/>
        <v>88044641.496514514</v>
      </c>
      <c r="K136" s="55"/>
      <c r="L136" s="62">
        <f t="shared" ref="L136:L199" ca="1" si="158">V135</f>
        <v>48658279.992738053</v>
      </c>
      <c r="M136" s="68">
        <f ca="1">IF(pdrLossTime1="",OFFSET(Vectors!$AE$6,A136+_Age1,MATCH(SDA_Loss,lstSDA,0)),OFFSET(Vectors!$X$6,A136+_Age1,MATCH(pdrLossTime1,lstDefaultCurve,0)))</f>
        <v>2.7777777777777779E-5</v>
      </c>
      <c r="N136" s="62">
        <f t="shared" ca="1" si="144"/>
        <v>2777.7777777777778</v>
      </c>
      <c r="O136" s="67">
        <f t="shared" ref="O136:O199" ca="1" si="159">IF(A136=0,1,J136/$J$6)</f>
        <v>0.88044641496514509</v>
      </c>
      <c r="P136" s="68">
        <f ca="1">OFFSET(Vectors!$L$6,A136+_Age1,MATCH(pdrPrepay1,lstPrepayCurve,0))*pdrPrepayStress1</f>
        <v>5.1430128318229462E-3</v>
      </c>
      <c r="Q136" s="62">
        <f t="shared" ref="Q136:Q199" ca="1" si="160">IF(L136=0,0,MAX(MIN((L136-N136),L136*O136/O135*P136),0))</f>
        <v>249843.76169396349</v>
      </c>
      <c r="R136" s="62">
        <f t="shared" ref="R136:R199" ca="1" si="161">(L136-N136)*(1-O136/O135)</f>
        <v>79014.674132605243</v>
      </c>
      <c r="S136" s="69">
        <f t="shared" ref="S136:S199" ca="1" si="162">F136</f>
        <v>0.09</v>
      </c>
      <c r="T136" s="62">
        <f t="shared" ref="T136:T199" ca="1" si="163">S136*C136*(L136-N136)</f>
        <v>364916.26661220205</v>
      </c>
      <c r="U136" s="62">
        <f t="shared" ca="1" si="145"/>
        <v>1111.1111111111111</v>
      </c>
      <c r="V136" s="62">
        <f t="shared" ca="1" si="139"/>
        <v>48326643.779133707</v>
      </c>
      <c r="W136" s="55"/>
      <c r="X136" s="62">
        <f t="shared" ref="X136:X199" ca="1" si="164">Q136+R136+T136+U136</f>
        <v>694885.81354988192</v>
      </c>
      <c r="Y136" s="55"/>
      <c r="Z136" s="118" t="b">
        <v>0</v>
      </c>
      <c r="AA136" s="120" t="b">
        <f t="shared" si="146"/>
        <v>0</v>
      </c>
      <c r="AB136" s="120" t="b">
        <f t="shared" si="147"/>
        <v>1</v>
      </c>
      <c r="AC136" s="120" t="b">
        <f t="shared" ca="1" si="148"/>
        <v>0</v>
      </c>
      <c r="AD136" s="121"/>
      <c r="AE136" s="129">
        <v>18289860.794017941</v>
      </c>
      <c r="AF136" s="69">
        <f ca="1">IF(Swap_Active="No",0,OFFSET(Vectors!$D$6,Vectors!A136,MATCH(Swap_In,lstInterestRates,0)))</f>
        <v>6.9369000000000056E-2</v>
      </c>
      <c r="AG136" s="62">
        <f t="shared" ref="AG136:AG199" ca="1" si="165">AE136*AF136*C136</f>
        <v>105729.11278501929</v>
      </c>
      <c r="AH136" s="69">
        <f ca="1">IF(Swap_Active="No",0,OFFSET(Vectors!$D$6,Vectors!A136,MATCH(Swap_Out,lstInterestRates,0)))</f>
        <v>0.04</v>
      </c>
      <c r="AI136" s="62">
        <f t="shared" ref="AI136:AI199" ca="1" si="166">AE136*AH136*C136</f>
        <v>60966.202646726466</v>
      </c>
      <c r="AJ136" s="62">
        <f t="shared" ref="AJ136:AJ199" ca="1" si="167">AG136-AI136</f>
        <v>44762.91013829282</v>
      </c>
      <c r="AK136" s="62">
        <f t="shared" ref="AK136:AK199" ca="1" si="168">X136+AJ136</f>
        <v>739648.72368817474</v>
      </c>
      <c r="AL136" s="121"/>
      <c r="AM136" s="123">
        <f t="shared" ca="1" si="149"/>
        <v>87808.535374985586</v>
      </c>
      <c r="AN136" s="124">
        <f t="shared" ref="AN136:AN199" ca="1" si="169">MIN(X136,AM136)</f>
        <v>87808.535374985586</v>
      </c>
      <c r="AO136" s="125">
        <f t="shared" ref="AO136:AO199" ca="1" si="170">AM136-AN136</f>
        <v>0</v>
      </c>
      <c r="AP136" s="123">
        <f t="shared" ref="AP136:AP199" ca="1" si="171">AK136-AN136</f>
        <v>651840.1883131892</v>
      </c>
      <c r="AQ136" s="121"/>
      <c r="AR136" s="126">
        <f ca="1">IF(LiabIntType1="Fixed",LiabFxdRate1,OFFSET(Vectors!$D$6,Vectors!A136,MATCH(LiabLoanIndex1,lstInterestRates,0))+LiabMarg1)</f>
        <v>7.9369000000000051E-2</v>
      </c>
      <c r="AS136" s="122">
        <f t="shared" ref="AS136:AS199" ca="1" si="172">C136*AR136*CB135</f>
        <v>106535.45392090427</v>
      </c>
      <c r="AT136" s="124">
        <f t="shared" ref="AT136:AT199" ca="1" si="173">MIN(AP136,AS136)</f>
        <v>106535.45392090427</v>
      </c>
      <c r="AU136" s="123">
        <f t="shared" ref="AU136:AU199" ca="1" si="174">AS136-AT136</f>
        <v>0</v>
      </c>
      <c r="AV136" s="123">
        <f t="shared" ca="1" si="150"/>
        <v>0</v>
      </c>
      <c r="AW136" s="123">
        <f t="shared" ref="AW136:AW199" ca="1" si="175">AU136-AV136</f>
        <v>0</v>
      </c>
      <c r="AX136" s="124">
        <f t="shared" ref="AX136:AX199" ca="1" si="176">AP136-AT136</f>
        <v>545304.73439228488</v>
      </c>
      <c r="AY136" s="121"/>
      <c r="AZ136" s="122">
        <f t="shared" ca="1" si="151"/>
        <v>545304.73439228488</v>
      </c>
      <c r="BA136" s="124">
        <f t="shared" ref="BA136:BA199" ca="1" si="177">MIN(AX136,AZ136)</f>
        <v>545304.73439228488</v>
      </c>
      <c r="BB136" s="123">
        <f t="shared" ref="BB136:BB199" ca="1" si="178">AZ136-BA136</f>
        <v>0</v>
      </c>
      <c r="BC136" s="123">
        <f t="shared" ca="1" si="152"/>
        <v>0</v>
      </c>
      <c r="BD136" s="123">
        <f t="shared" ref="BD136:BD199" ca="1" si="179">BB136-BC136</f>
        <v>0</v>
      </c>
      <c r="BE136" s="124">
        <f t="shared" ref="BE136:BE199" ca="1" si="180">AX136-BA136</f>
        <v>0</v>
      </c>
      <c r="BF136" s="121"/>
      <c r="BG136" s="123">
        <f t="shared" si="153"/>
        <v>1000000</v>
      </c>
      <c r="BH136" s="123">
        <f t="shared" ref="BH136:BH199" ca="1" si="181">BK135</f>
        <v>1000000</v>
      </c>
      <c r="BI136" s="123">
        <f t="shared" ref="BI136:BI199" ca="1" si="182">AV136+BC136</f>
        <v>0</v>
      </c>
      <c r="BJ136" s="123">
        <f t="shared" ref="BJ136:BJ199" ca="1" si="183">IF(CB135&lt;1,0,MAX(MIN(BG136-BH136,BE136),0))</f>
        <v>0</v>
      </c>
      <c r="BK136" s="123">
        <f t="shared" ca="1" si="140"/>
        <v>1000000</v>
      </c>
      <c r="BL136" s="123">
        <f t="shared" ref="BL136:BL199" ca="1" si="184">BE136-BJ136</f>
        <v>0</v>
      </c>
      <c r="BM136" s="121"/>
      <c r="BN136" s="126">
        <f ca="1">IF(LiabIntType2="Fixed",LiabFxdRate2,OFFSET(Vectors!$D$6,Vectors!A136,MATCH(LiabLoanIndex2,lstInterestRates,0))+LiabMarg2)</f>
        <v>0.04</v>
      </c>
      <c r="BO136" s="122">
        <f t="shared" ref="BO136:BO199" ca="1" si="185">C136*BN136*CF135</f>
        <v>34119.905847872607</v>
      </c>
      <c r="BP136" s="124">
        <f t="shared" ref="BP136:BP199" ca="1" si="186">MIN(BL136,BO136)</f>
        <v>0</v>
      </c>
      <c r="BQ136" s="123">
        <f t="shared" ref="BQ136:BQ199" ca="1" si="187">BO136-BP136</f>
        <v>34119.905847872607</v>
      </c>
      <c r="BR136" s="123">
        <f t="shared" ref="BR136:BR199" ca="1" si="188">BL136-BP136</f>
        <v>0</v>
      </c>
      <c r="BS136" s="121"/>
      <c r="BT136" s="123">
        <f t="shared" ca="1" si="154"/>
        <v>34002.368220171476</v>
      </c>
      <c r="BU136" s="123">
        <f t="shared" ref="BU136:BU199" ca="1" si="189">MIN(BR136,BT136)</f>
        <v>0</v>
      </c>
      <c r="BV136" s="123">
        <f t="shared" ref="BV136:BV199" ca="1" si="190">BT136-BU136</f>
        <v>34002.368220171476</v>
      </c>
      <c r="BW136" s="123">
        <f t="shared" ref="BW136:BW199" ca="1" si="191">BR136-BU136</f>
        <v>0</v>
      </c>
      <c r="BX136" s="121"/>
      <c r="BY136" s="123">
        <f t="shared" ref="BY136:BY199" si="192">IF(AA136,MIN(BW136,CB135-BA136),0)</f>
        <v>0</v>
      </c>
      <c r="BZ136" s="123">
        <f t="shared" ref="BZ136:BZ199" ca="1" si="193">BW136-BY136</f>
        <v>0</v>
      </c>
      <c r="CA136" s="121"/>
      <c r="CB136" s="122">
        <f t="shared" ca="1" si="141"/>
        <v>15562060.194620937</v>
      </c>
      <c r="CC136" s="122">
        <f t="shared" ref="CC136:CC199" ca="1" si="194">AT136+AV136</f>
        <v>106535.45392090427</v>
      </c>
      <c r="CD136" s="124">
        <f t="shared" ref="CD136:CD199" ca="1" si="195">BA136+BC136+BY136</f>
        <v>545304.73439228488</v>
      </c>
      <c r="CE136" s="121"/>
      <c r="CF136" s="122">
        <f t="shared" ca="1" si="142"/>
        <v>10235971.754361782</v>
      </c>
      <c r="CG136" s="124">
        <f t="shared" ref="CG136:CG199" ca="1" si="196">BP136</f>
        <v>0</v>
      </c>
      <c r="CH136" s="123">
        <f t="shared" ref="CH136:CH199" ca="1" si="197">BU136</f>
        <v>0</v>
      </c>
      <c r="CI136" s="121"/>
      <c r="CJ136" s="123">
        <f t="shared" ref="CJ136:CJ199" ca="1" si="198">Q136+R136+T136+U136+AG136+BI136</f>
        <v>800614.92633490125</v>
      </c>
      <c r="CK136" s="123">
        <f t="shared" ref="CK136:CK199" ca="1" si="199">AI136+AN136+AT136+AV136+BA136+BC136+BJ136+BP136+BU136+BY136+BZ136</f>
        <v>800614.92633490125</v>
      </c>
      <c r="CL136" s="123">
        <f t="shared" ref="CL136:CL199" ca="1" si="200">CJ136-CK136</f>
        <v>0</v>
      </c>
      <c r="CM136" s="121"/>
      <c r="CN136" s="62">
        <f t="shared" ref="CN136:CN199" ca="1" si="201">N136+Q136+R136</f>
        <v>331636.2136043465</v>
      </c>
      <c r="CO136" s="62" t="b">
        <f t="shared" ref="CO136:CO199" si="202">OR(Z136:AB136)</f>
        <v>1</v>
      </c>
      <c r="CP136" s="126">
        <f t="shared" ref="CP136:CP199" ca="1" si="203">N136/$L$7+CP135</f>
        <v>3.6111111111111036E-3</v>
      </c>
      <c r="CQ136" s="120"/>
      <c r="CR136" s="120"/>
      <c r="CS136" s="120"/>
      <c r="CT136" s="120"/>
      <c r="CU136" s="120"/>
      <c r="CV136" s="120"/>
      <c r="CW136" s="120"/>
      <c r="CX136" s="120"/>
      <c r="CY136" s="120"/>
      <c r="CZ136" s="120"/>
      <c r="DA136" s="120"/>
      <c r="DB136" s="120"/>
      <c r="DC136" s="120"/>
      <c r="DD136" s="120"/>
      <c r="DE136" s="116"/>
      <c r="DF136" s="116"/>
      <c r="DG136" s="116"/>
      <c r="DH136" s="116"/>
      <c r="DI136" s="116"/>
      <c r="DJ136" s="116"/>
      <c r="DK136" s="116"/>
      <c r="DL136" s="116"/>
      <c r="DM136" s="116"/>
      <c r="DN136" s="116"/>
    </row>
    <row r="137" spans="1:118" x14ac:dyDescent="0.2">
      <c r="A137" s="27">
        <v>131</v>
      </c>
      <c r="B137" s="29">
        <f t="shared" si="136"/>
        <v>43101</v>
      </c>
      <c r="C137" s="30">
        <f t="shared" si="137"/>
        <v>8.3333333333333329E-2</v>
      </c>
      <c r="D137" s="55"/>
      <c r="E137" s="62">
        <f t="shared" ca="1" si="155"/>
        <v>88044641.496514514</v>
      </c>
      <c r="F137" s="63">
        <f ca="1">IF(AssetIntType1="Fixed",AssetFxdRate1,IF(A137=1,OFFSET(Vectors!$D$6,A137,MATCH(AssetFltIndx1,lstInterestRates,0)),IF(MOD($A137,AssetRateReset1)=0,MAX(MIN(OFFSET(Vectors!$D$6,A137,MATCH(AssetFltIndx1,lstInterestRates,0)),(F136-AssetMarg1)+AssetPdCapFl1,AssetLifeCap1-AssetMarg1),(F136-AssetMarg1)-AssetPdCapFl1,AssetLifeFloor1-AssetMarg1),F136)))+AssetMarg1</f>
        <v>0.09</v>
      </c>
      <c r="G137" s="62">
        <f t="shared" ca="1" si="143"/>
        <v>804622.61694478267</v>
      </c>
      <c r="H137" s="62">
        <f t="shared" ca="1" si="156"/>
        <v>660334.81122385885</v>
      </c>
      <c r="I137" s="62">
        <f t="shared" ca="1" si="157"/>
        <v>144287.80572092382</v>
      </c>
      <c r="J137" s="62">
        <f t="shared" ca="1" si="138"/>
        <v>87900353.690793589</v>
      </c>
      <c r="K137" s="55"/>
      <c r="L137" s="62">
        <f t="shared" ca="1" si="158"/>
        <v>48326643.779133707</v>
      </c>
      <c r="M137" s="68">
        <f ca="1">IF(pdrLossTime1="",OFFSET(Vectors!$AE$6,A137+_Age1,MATCH(SDA_Loss,lstSDA,0)),OFFSET(Vectors!$X$6,A137+_Age1,MATCH(pdrLossTime1,lstDefaultCurve,0)))</f>
        <v>2.7777777777777779E-5</v>
      </c>
      <c r="N137" s="62">
        <f t="shared" ca="1" si="144"/>
        <v>2777.7777777777778</v>
      </c>
      <c r="O137" s="67">
        <f t="shared" ca="1" si="159"/>
        <v>0.87900353690793587</v>
      </c>
      <c r="P137" s="68">
        <f ca="1">OFFSET(Vectors!$L$6,A137+_Age1,MATCH(pdrPrepay1,lstPrepayCurve,0))*pdrPrepayStress1</f>
        <v>5.1430128318229462E-3</v>
      </c>
      <c r="Q137" s="62">
        <f t="shared" ca="1" si="160"/>
        <v>248137.23357006398</v>
      </c>
      <c r="R137" s="62">
        <f t="shared" ca="1" si="161"/>
        <v>79193.28730032187</v>
      </c>
      <c r="S137" s="69">
        <f t="shared" ca="1" si="162"/>
        <v>0.09</v>
      </c>
      <c r="T137" s="62">
        <f t="shared" ca="1" si="163"/>
        <v>362428.99501016946</v>
      </c>
      <c r="U137" s="62">
        <f t="shared" ca="1" si="145"/>
        <v>1111.1111111111111</v>
      </c>
      <c r="V137" s="62">
        <f t="shared" ca="1" si="139"/>
        <v>47996535.480485551</v>
      </c>
      <c r="W137" s="55"/>
      <c r="X137" s="62">
        <f t="shared" ca="1" si="164"/>
        <v>690870.6269916665</v>
      </c>
      <c r="Y137" s="55"/>
      <c r="Z137" s="118" t="b">
        <v>0</v>
      </c>
      <c r="AA137" s="120" t="b">
        <f t="shared" si="146"/>
        <v>0</v>
      </c>
      <c r="AB137" s="120" t="b">
        <f t="shared" si="147"/>
        <v>1</v>
      </c>
      <c r="AC137" s="120" t="b">
        <f t="shared" ca="1" si="148"/>
        <v>0</v>
      </c>
      <c r="AD137" s="121"/>
      <c r="AE137" s="129">
        <v>18009900.857434351</v>
      </c>
      <c r="AF137" s="69">
        <f ca="1">IF(Swap_Active="No",0,OFFSET(Vectors!$D$6,Vectors!A137,MATCH(Swap_In,lstInterestRates,0)))</f>
        <v>6.9369000000000056E-2</v>
      </c>
      <c r="AG137" s="62">
        <f t="shared" ca="1" si="165"/>
        <v>104110.7343816137</v>
      </c>
      <c r="AH137" s="69">
        <f ca="1">IF(Swap_Active="No",0,OFFSET(Vectors!$D$6,Vectors!A137,MATCH(Swap_Out,lstInterestRates,0)))</f>
        <v>0.04</v>
      </c>
      <c r="AI137" s="62">
        <f t="shared" ca="1" si="166"/>
        <v>60033.002858114502</v>
      </c>
      <c r="AJ137" s="62">
        <f t="shared" ca="1" si="167"/>
        <v>44077.731523499198</v>
      </c>
      <c r="AK137" s="62">
        <f t="shared" ca="1" si="168"/>
        <v>734948.35851516575</v>
      </c>
      <c r="AL137" s="121"/>
      <c r="AM137" s="123">
        <f t="shared" ca="1" si="149"/>
        <v>87028.598046314903</v>
      </c>
      <c r="AN137" s="124">
        <f t="shared" ca="1" si="169"/>
        <v>87028.598046314903</v>
      </c>
      <c r="AO137" s="125">
        <f t="shared" ca="1" si="170"/>
        <v>0</v>
      </c>
      <c r="AP137" s="123">
        <f t="shared" ca="1" si="171"/>
        <v>647919.76046885084</v>
      </c>
      <c r="AQ137" s="121"/>
      <c r="AR137" s="126">
        <f ca="1">IF(LiabIntType1="Fixed",LiabFxdRate1,OFFSET(Vectors!$D$6,Vectors!A137,MATCH(LiabLoanIndex1,lstInterestRates,0))+LiabMarg1)</f>
        <v>7.9369000000000051E-2</v>
      </c>
      <c r="AS137" s="122">
        <f t="shared" ca="1" si="172"/>
        <v>102928.76296557249</v>
      </c>
      <c r="AT137" s="124">
        <f t="shared" ca="1" si="173"/>
        <v>102928.76296557249</v>
      </c>
      <c r="AU137" s="123">
        <f t="shared" ca="1" si="174"/>
        <v>0</v>
      </c>
      <c r="AV137" s="123">
        <f t="shared" ca="1" si="150"/>
        <v>0</v>
      </c>
      <c r="AW137" s="123">
        <f t="shared" ca="1" si="175"/>
        <v>0</v>
      </c>
      <c r="AX137" s="124">
        <f t="shared" ca="1" si="176"/>
        <v>544990.99750327831</v>
      </c>
      <c r="AY137" s="121"/>
      <c r="AZ137" s="122">
        <f t="shared" ca="1" si="151"/>
        <v>544990.99750327831</v>
      </c>
      <c r="BA137" s="124">
        <f t="shared" ca="1" si="177"/>
        <v>544990.99750327831</v>
      </c>
      <c r="BB137" s="123">
        <f t="shared" ca="1" si="178"/>
        <v>0</v>
      </c>
      <c r="BC137" s="123">
        <f t="shared" ca="1" si="152"/>
        <v>0</v>
      </c>
      <c r="BD137" s="123">
        <f t="shared" ca="1" si="179"/>
        <v>0</v>
      </c>
      <c r="BE137" s="124">
        <f t="shared" ca="1" si="180"/>
        <v>0</v>
      </c>
      <c r="BF137" s="121"/>
      <c r="BG137" s="123">
        <f t="shared" si="153"/>
        <v>1000000</v>
      </c>
      <c r="BH137" s="123">
        <f t="shared" ca="1" si="181"/>
        <v>1000000</v>
      </c>
      <c r="BI137" s="123">
        <f t="shared" ca="1" si="182"/>
        <v>0</v>
      </c>
      <c r="BJ137" s="123">
        <f t="shared" ca="1" si="183"/>
        <v>0</v>
      </c>
      <c r="BK137" s="123">
        <f t="shared" ca="1" si="140"/>
        <v>1000000</v>
      </c>
      <c r="BL137" s="123">
        <f t="shared" ca="1" si="184"/>
        <v>0</v>
      </c>
      <c r="BM137" s="121"/>
      <c r="BN137" s="126">
        <f ca="1">IF(LiabIntType2="Fixed",LiabFxdRate2,OFFSET(Vectors!$D$6,Vectors!A137,MATCH(LiabLoanIndex2,lstInterestRates,0))+LiabMarg2)</f>
        <v>0.04</v>
      </c>
      <c r="BO137" s="122">
        <f t="shared" ca="1" si="185"/>
        <v>34119.905847872607</v>
      </c>
      <c r="BP137" s="124">
        <f t="shared" ca="1" si="186"/>
        <v>0</v>
      </c>
      <c r="BQ137" s="123">
        <f t="shared" ca="1" si="187"/>
        <v>34119.905847872607</v>
      </c>
      <c r="BR137" s="123">
        <f t="shared" ca="1" si="188"/>
        <v>0</v>
      </c>
      <c r="BS137" s="121"/>
      <c r="BT137" s="123">
        <f t="shared" ca="1" si="154"/>
        <v>33845.712448521583</v>
      </c>
      <c r="BU137" s="123">
        <f t="shared" ca="1" si="189"/>
        <v>0</v>
      </c>
      <c r="BV137" s="123">
        <f t="shared" ca="1" si="190"/>
        <v>33845.712448521583</v>
      </c>
      <c r="BW137" s="123">
        <f t="shared" ca="1" si="191"/>
        <v>0</v>
      </c>
      <c r="BX137" s="121"/>
      <c r="BY137" s="123">
        <f t="shared" si="192"/>
        <v>0</v>
      </c>
      <c r="BZ137" s="123">
        <f t="shared" ca="1" si="193"/>
        <v>0</v>
      </c>
      <c r="CA137" s="121"/>
      <c r="CB137" s="122">
        <f t="shared" ca="1" si="141"/>
        <v>15017069.197117658</v>
      </c>
      <c r="CC137" s="122">
        <f t="shared" ca="1" si="194"/>
        <v>102928.76296557249</v>
      </c>
      <c r="CD137" s="124">
        <f t="shared" ca="1" si="195"/>
        <v>544990.99750327831</v>
      </c>
      <c r="CE137" s="121"/>
      <c r="CF137" s="122">
        <f t="shared" ca="1" si="142"/>
        <v>10235971.754361782</v>
      </c>
      <c r="CG137" s="124">
        <f t="shared" ca="1" si="196"/>
        <v>0</v>
      </c>
      <c r="CH137" s="123">
        <f t="shared" ca="1" si="197"/>
        <v>0</v>
      </c>
      <c r="CI137" s="121"/>
      <c r="CJ137" s="123">
        <f t="shared" ca="1" si="198"/>
        <v>794981.36137328018</v>
      </c>
      <c r="CK137" s="123">
        <f t="shared" ca="1" si="199"/>
        <v>794981.36137328018</v>
      </c>
      <c r="CL137" s="123">
        <f t="shared" ca="1" si="200"/>
        <v>0</v>
      </c>
      <c r="CM137" s="121"/>
      <c r="CN137" s="62">
        <f t="shared" ca="1" si="201"/>
        <v>330108.29864816362</v>
      </c>
      <c r="CO137" s="62" t="b">
        <f t="shared" si="202"/>
        <v>1</v>
      </c>
      <c r="CP137" s="126">
        <f t="shared" ca="1" si="203"/>
        <v>3.6388888888888812E-3</v>
      </c>
      <c r="CQ137" s="120"/>
      <c r="CR137" s="120"/>
      <c r="CS137" s="120"/>
      <c r="CT137" s="120"/>
      <c r="CU137" s="120"/>
      <c r="CV137" s="120"/>
      <c r="CW137" s="120"/>
      <c r="CX137" s="120"/>
      <c r="CY137" s="120"/>
      <c r="CZ137" s="120"/>
      <c r="DA137" s="120"/>
      <c r="DB137" s="120"/>
      <c r="DC137" s="120"/>
      <c r="DD137" s="120"/>
      <c r="DE137" s="116"/>
      <c r="DF137" s="116"/>
      <c r="DG137" s="116"/>
      <c r="DH137" s="116"/>
      <c r="DI137" s="116"/>
      <c r="DJ137" s="116"/>
      <c r="DK137" s="116"/>
      <c r="DL137" s="116"/>
      <c r="DM137" s="116"/>
      <c r="DN137" s="116"/>
    </row>
    <row r="138" spans="1:118" x14ac:dyDescent="0.2">
      <c r="A138" s="27">
        <v>132</v>
      </c>
      <c r="B138" s="29">
        <f t="shared" si="136"/>
        <v>43132</v>
      </c>
      <c r="C138" s="30">
        <f t="shared" si="137"/>
        <v>8.3333333333333329E-2</v>
      </c>
      <c r="D138" s="55"/>
      <c r="E138" s="62">
        <f t="shared" ca="1" si="155"/>
        <v>87900353.690793589</v>
      </c>
      <c r="F138" s="63">
        <f ca="1">IF(AssetIntType1="Fixed",AssetFxdRate1,IF(A138=1,OFFSET(Vectors!$D$6,A138,MATCH(AssetFltIndx1,lstInterestRates,0)),IF(MOD($A138,AssetRateReset1)=0,MAX(MIN(OFFSET(Vectors!$D$6,A138,MATCH(AssetFltIndx1,lstInterestRates,0)),(F137-AssetMarg1)+AssetPdCapFl1,AssetLifeCap1-AssetMarg1),(F137-AssetMarg1)-AssetPdCapFl1,AssetLifeFloor1-AssetMarg1),F137)))+AssetMarg1</f>
        <v>0.09</v>
      </c>
      <c r="G138" s="62">
        <f t="shared" ca="1" si="143"/>
        <v>804622.61694478267</v>
      </c>
      <c r="H138" s="62">
        <f t="shared" ca="1" si="156"/>
        <v>659252.65268095187</v>
      </c>
      <c r="I138" s="62">
        <f t="shared" ca="1" si="157"/>
        <v>145369.9642638308</v>
      </c>
      <c r="J138" s="62">
        <f t="shared" ca="1" si="138"/>
        <v>87754983.726529762</v>
      </c>
      <c r="K138" s="55"/>
      <c r="L138" s="62">
        <f t="shared" ca="1" si="158"/>
        <v>47996535.480485551</v>
      </c>
      <c r="M138" s="68">
        <f ca="1">IF(pdrLossTime1="",OFFSET(Vectors!$AE$6,A138+_Age1,MATCH(SDA_Loss,lstSDA,0)),OFFSET(Vectors!$X$6,A138+_Age1,MATCH(pdrLossTime1,lstDefaultCurve,0)))</f>
        <v>2.7777777777777779E-5</v>
      </c>
      <c r="N138" s="62">
        <f t="shared" ca="1" si="144"/>
        <v>2777.7777777777778</v>
      </c>
      <c r="O138" s="67">
        <f t="shared" ca="1" si="159"/>
        <v>0.87754983726529767</v>
      </c>
      <c r="P138" s="68">
        <f ca="1">OFFSET(Vectors!$L$6,A138+_Age1,MATCH(pdrPrepay1,lstPrepayCurve,0))*pdrPrepayStress1</f>
        <v>5.1430128318229462E-3</v>
      </c>
      <c r="Q138" s="62">
        <f t="shared" ca="1" si="160"/>
        <v>246438.56161579199</v>
      </c>
      <c r="R138" s="62">
        <f t="shared" ca="1" si="161"/>
        <v>79372.272683584553</v>
      </c>
      <c r="S138" s="69">
        <f t="shared" ca="1" si="162"/>
        <v>0.09</v>
      </c>
      <c r="T138" s="62">
        <f t="shared" ca="1" si="163"/>
        <v>359953.18277030828</v>
      </c>
      <c r="U138" s="62">
        <f t="shared" ca="1" si="145"/>
        <v>1111.1111111111111</v>
      </c>
      <c r="V138" s="62">
        <f t="shared" ca="1" si="139"/>
        <v>47667946.868408397</v>
      </c>
      <c r="W138" s="55"/>
      <c r="X138" s="62">
        <f t="shared" ca="1" si="164"/>
        <v>686875.12818079593</v>
      </c>
      <c r="Y138" s="55"/>
      <c r="Z138" s="118" t="b">
        <v>0</v>
      </c>
      <c r="AA138" s="120" t="b">
        <f t="shared" si="146"/>
        <v>0</v>
      </c>
      <c r="AB138" s="120" t="b">
        <f t="shared" si="147"/>
        <v>1</v>
      </c>
      <c r="AC138" s="120" t="b">
        <f t="shared" ca="1" si="148"/>
        <v>0</v>
      </c>
      <c r="AD138" s="121"/>
      <c r="AE138" s="129">
        <v>17732840.367695842</v>
      </c>
      <c r="AF138" s="69">
        <f ca="1">IF(Swap_Active="No",0,OFFSET(Vectors!$D$6,Vectors!A138,MATCH(Swap_In,lstInterestRates,0)))</f>
        <v>6.9369000000000056E-2</v>
      </c>
      <c r="AG138" s="62">
        <f t="shared" ca="1" si="165"/>
        <v>102509.11695555781</v>
      </c>
      <c r="AH138" s="69">
        <f ca="1">IF(Swap_Active="No",0,OFFSET(Vectors!$D$6,Vectors!A138,MATCH(Swap_Out,lstInterestRates,0)))</f>
        <v>0.04</v>
      </c>
      <c r="AI138" s="62">
        <f t="shared" ca="1" si="166"/>
        <v>59109.467892319473</v>
      </c>
      <c r="AJ138" s="62">
        <f t="shared" ca="1" si="167"/>
        <v>43399.649063238336</v>
      </c>
      <c r="AK138" s="62">
        <f t="shared" ca="1" si="168"/>
        <v>730274.77724403422</v>
      </c>
      <c r="AL138" s="121"/>
      <c r="AM138" s="123">
        <f t="shared" ca="1" si="149"/>
        <v>86251.337966274936</v>
      </c>
      <c r="AN138" s="124">
        <f t="shared" ca="1" si="169"/>
        <v>86251.337966274936</v>
      </c>
      <c r="AO138" s="125">
        <f t="shared" ca="1" si="170"/>
        <v>0</v>
      </c>
      <c r="AP138" s="123">
        <f t="shared" ca="1" si="171"/>
        <v>644023.43927775929</v>
      </c>
      <c r="AQ138" s="121"/>
      <c r="AR138" s="126">
        <f ca="1">IF(LiabIntType1="Fixed",LiabFxdRate1,OFFSET(Vectors!$D$6,Vectors!A138,MATCH(LiabLoanIndex1,lstInterestRates,0))+LiabMarg1)</f>
        <v>7.9369000000000051E-2</v>
      </c>
      <c r="AS138" s="122">
        <f t="shared" ca="1" si="172"/>
        <v>99324.14709216934</v>
      </c>
      <c r="AT138" s="124">
        <f t="shared" ca="1" si="173"/>
        <v>99324.14709216934</v>
      </c>
      <c r="AU138" s="123">
        <f t="shared" ca="1" si="174"/>
        <v>0</v>
      </c>
      <c r="AV138" s="123">
        <f t="shared" ca="1" si="150"/>
        <v>0</v>
      </c>
      <c r="AW138" s="123">
        <f t="shared" ca="1" si="175"/>
        <v>0</v>
      </c>
      <c r="AX138" s="124">
        <f t="shared" ca="1" si="176"/>
        <v>544699.2921855899</v>
      </c>
      <c r="AY138" s="121"/>
      <c r="AZ138" s="122">
        <f t="shared" ca="1" si="151"/>
        <v>544699.2921855899</v>
      </c>
      <c r="BA138" s="124">
        <f t="shared" ca="1" si="177"/>
        <v>544699.2921855899</v>
      </c>
      <c r="BB138" s="123">
        <f t="shared" ca="1" si="178"/>
        <v>0</v>
      </c>
      <c r="BC138" s="123">
        <f t="shared" ca="1" si="152"/>
        <v>0</v>
      </c>
      <c r="BD138" s="123">
        <f t="shared" ca="1" si="179"/>
        <v>0</v>
      </c>
      <c r="BE138" s="124">
        <f t="shared" ca="1" si="180"/>
        <v>0</v>
      </c>
      <c r="BF138" s="121"/>
      <c r="BG138" s="123">
        <f t="shared" si="153"/>
        <v>1000000</v>
      </c>
      <c r="BH138" s="123">
        <f t="shared" ca="1" si="181"/>
        <v>1000000</v>
      </c>
      <c r="BI138" s="123">
        <f t="shared" ca="1" si="182"/>
        <v>0</v>
      </c>
      <c r="BJ138" s="123">
        <f t="shared" ca="1" si="183"/>
        <v>0</v>
      </c>
      <c r="BK138" s="123">
        <f t="shared" ca="1" si="140"/>
        <v>1000000</v>
      </c>
      <c r="BL138" s="123">
        <f t="shared" ca="1" si="184"/>
        <v>0</v>
      </c>
      <c r="BM138" s="121"/>
      <c r="BN138" s="126">
        <f ca="1">IF(LiabIntType2="Fixed",LiabFxdRate2,OFFSET(Vectors!$D$6,Vectors!A138,MATCH(LiabLoanIndex2,lstInterestRates,0))+LiabMarg2)</f>
        <v>0.04</v>
      </c>
      <c r="BO138" s="122">
        <f t="shared" ca="1" si="185"/>
        <v>34119.905847872607</v>
      </c>
      <c r="BP138" s="124">
        <f t="shared" ca="1" si="186"/>
        <v>0</v>
      </c>
      <c r="BQ138" s="123">
        <f t="shared" ca="1" si="187"/>
        <v>34119.905847872607</v>
      </c>
      <c r="BR138" s="123">
        <f t="shared" ca="1" si="188"/>
        <v>0</v>
      </c>
      <c r="BS138" s="121"/>
      <c r="BT138" s="123">
        <f t="shared" ca="1" si="154"/>
        <v>33689.900325939714</v>
      </c>
      <c r="BU138" s="123">
        <f t="shared" ca="1" si="189"/>
        <v>0</v>
      </c>
      <c r="BV138" s="123">
        <f t="shared" ca="1" si="190"/>
        <v>33689.900325939714</v>
      </c>
      <c r="BW138" s="123">
        <f t="shared" ca="1" si="191"/>
        <v>0</v>
      </c>
      <c r="BX138" s="121"/>
      <c r="BY138" s="123">
        <f t="shared" si="192"/>
        <v>0</v>
      </c>
      <c r="BZ138" s="123">
        <f t="shared" ca="1" si="193"/>
        <v>0</v>
      </c>
      <c r="CA138" s="121"/>
      <c r="CB138" s="122">
        <f t="shared" ca="1" si="141"/>
        <v>14472369.904932069</v>
      </c>
      <c r="CC138" s="122">
        <f t="shared" ca="1" si="194"/>
        <v>99324.14709216934</v>
      </c>
      <c r="CD138" s="124">
        <f t="shared" ca="1" si="195"/>
        <v>544699.2921855899</v>
      </c>
      <c r="CE138" s="121"/>
      <c r="CF138" s="122">
        <f t="shared" ca="1" si="142"/>
        <v>10235971.754361782</v>
      </c>
      <c r="CG138" s="124">
        <f t="shared" ca="1" si="196"/>
        <v>0</v>
      </c>
      <c r="CH138" s="123">
        <f t="shared" ca="1" si="197"/>
        <v>0</v>
      </c>
      <c r="CI138" s="121"/>
      <c r="CJ138" s="123">
        <f t="shared" ca="1" si="198"/>
        <v>789384.24513635377</v>
      </c>
      <c r="CK138" s="123">
        <f t="shared" ca="1" si="199"/>
        <v>789384.24513635365</v>
      </c>
      <c r="CL138" s="123">
        <f t="shared" ca="1" si="200"/>
        <v>0</v>
      </c>
      <c r="CM138" s="121"/>
      <c r="CN138" s="62">
        <f t="shared" ca="1" si="201"/>
        <v>328588.61207715434</v>
      </c>
      <c r="CO138" s="62" t="b">
        <f t="shared" si="202"/>
        <v>1</v>
      </c>
      <c r="CP138" s="126">
        <f t="shared" ca="1" si="203"/>
        <v>3.6666666666666588E-3</v>
      </c>
      <c r="CQ138" s="120"/>
      <c r="CR138" s="120"/>
      <c r="CS138" s="120"/>
      <c r="CT138" s="120"/>
      <c r="CU138" s="120"/>
      <c r="CV138" s="120"/>
      <c r="CW138" s="120"/>
      <c r="CX138" s="120"/>
      <c r="CY138" s="120"/>
      <c r="CZ138" s="120"/>
      <c r="DA138" s="120"/>
      <c r="DB138" s="120"/>
      <c r="DC138" s="120"/>
      <c r="DD138" s="120"/>
      <c r="DE138" s="116"/>
      <c r="DF138" s="116"/>
      <c r="DG138" s="116"/>
      <c r="DH138" s="116"/>
      <c r="DI138" s="116"/>
      <c r="DJ138" s="116"/>
      <c r="DK138" s="116"/>
      <c r="DL138" s="116"/>
      <c r="DM138" s="116"/>
      <c r="DN138" s="116"/>
    </row>
    <row r="139" spans="1:118" x14ac:dyDescent="0.2">
      <c r="A139" s="27">
        <v>133</v>
      </c>
      <c r="B139" s="29">
        <f t="shared" si="136"/>
        <v>43160</v>
      </c>
      <c r="C139" s="30">
        <f t="shared" si="137"/>
        <v>8.3333333333333329E-2</v>
      </c>
      <c r="D139" s="55"/>
      <c r="E139" s="62">
        <f t="shared" ca="1" si="155"/>
        <v>87754983.726529762</v>
      </c>
      <c r="F139" s="63">
        <f ca="1">IF(AssetIntType1="Fixed",AssetFxdRate1,IF(A139=1,OFFSET(Vectors!$D$6,A139,MATCH(AssetFltIndx1,lstInterestRates,0)),IF(MOD($A139,AssetRateReset1)=0,MAX(MIN(OFFSET(Vectors!$D$6,A139,MATCH(AssetFltIndx1,lstInterestRates,0)),(F138-AssetMarg1)+AssetPdCapFl1,AssetLifeCap1-AssetMarg1),(F138-AssetMarg1)-AssetPdCapFl1,AssetLifeFloor1-AssetMarg1),F138)))+AssetMarg1</f>
        <v>0.09</v>
      </c>
      <c r="G139" s="62">
        <f t="shared" ca="1" si="143"/>
        <v>804622.61694478267</v>
      </c>
      <c r="H139" s="62">
        <f t="shared" ca="1" si="156"/>
        <v>658162.37794897321</v>
      </c>
      <c r="I139" s="62">
        <f t="shared" ca="1" si="157"/>
        <v>146460.23899580946</v>
      </c>
      <c r="J139" s="62">
        <f t="shared" ca="1" si="138"/>
        <v>87608523.487533957</v>
      </c>
      <c r="K139" s="55"/>
      <c r="L139" s="62">
        <f t="shared" ca="1" si="158"/>
        <v>47667946.868408397</v>
      </c>
      <c r="M139" s="68">
        <f ca="1">IF(pdrLossTime1="",OFFSET(Vectors!$AE$6,A139+_Age1,MATCH(SDA_Loss,lstSDA,0)),OFFSET(Vectors!$X$6,A139+_Age1,MATCH(pdrLossTime1,lstDefaultCurve,0)))</f>
        <v>2.7777777777777779E-5</v>
      </c>
      <c r="N139" s="62">
        <f t="shared" ca="1" si="144"/>
        <v>2777.7777777777778</v>
      </c>
      <c r="O139" s="67">
        <f t="shared" ca="1" si="159"/>
        <v>0.87608523487533951</v>
      </c>
      <c r="P139" s="68">
        <f ca="1">OFFSET(Vectors!$L$6,A139+_Age1,MATCH(pdrPrepay1,lstPrepayCurve,0))*pdrPrepayStress1</f>
        <v>5.1430128318229462E-3</v>
      </c>
      <c r="Q139" s="62">
        <f t="shared" ca="1" si="160"/>
        <v>244747.70351031935</v>
      </c>
      <c r="R139" s="62">
        <f t="shared" ca="1" si="161"/>
        <v>79551.630691934712</v>
      </c>
      <c r="S139" s="69">
        <f t="shared" ca="1" si="162"/>
        <v>0.09</v>
      </c>
      <c r="T139" s="62">
        <f t="shared" ca="1" si="163"/>
        <v>357488.76817972964</v>
      </c>
      <c r="U139" s="62">
        <f t="shared" ca="1" si="145"/>
        <v>1111.1111111111111</v>
      </c>
      <c r="V139" s="62">
        <f t="shared" ca="1" si="139"/>
        <v>47340869.756428361</v>
      </c>
      <c r="W139" s="55"/>
      <c r="X139" s="62">
        <f t="shared" ca="1" si="164"/>
        <v>682899.2134930949</v>
      </c>
      <c r="Y139" s="55"/>
      <c r="Z139" s="118" t="b">
        <v>0</v>
      </c>
      <c r="AA139" s="120" t="b">
        <f t="shared" si="146"/>
        <v>0</v>
      </c>
      <c r="AB139" s="120" t="b">
        <f t="shared" si="147"/>
        <v>1</v>
      </c>
      <c r="AC139" s="120" t="b">
        <f t="shared" ca="1" si="148"/>
        <v>0</v>
      </c>
      <c r="AD139" s="121"/>
      <c r="AE139" s="129">
        <v>17458650.073226698</v>
      </c>
      <c r="AF139" s="69">
        <f ca="1">IF(Swap_Active="No",0,OFFSET(Vectors!$D$6,Vectors!A139,MATCH(Swap_In,lstInterestRates,0)))</f>
        <v>6.9369000000000056E-2</v>
      </c>
      <c r="AG139" s="62">
        <f t="shared" ca="1" si="165"/>
        <v>100924.09141080531</v>
      </c>
      <c r="AH139" s="69">
        <f ca="1">IF(Swap_Active="No",0,OFFSET(Vectors!$D$6,Vectors!A139,MATCH(Swap_Out,lstInterestRates,0)))</f>
        <v>0.04</v>
      </c>
      <c r="AI139" s="62">
        <f t="shared" ca="1" si="166"/>
        <v>58195.500244088995</v>
      </c>
      <c r="AJ139" s="62">
        <f t="shared" ca="1" si="167"/>
        <v>42728.591166716316</v>
      </c>
      <c r="AK139" s="62">
        <f t="shared" ca="1" si="168"/>
        <v>725627.8046598112</v>
      </c>
      <c r="AL139" s="121"/>
      <c r="AM139" s="123">
        <f t="shared" ca="1" si="149"/>
        <v>85476.73224106901</v>
      </c>
      <c r="AN139" s="124">
        <f t="shared" ca="1" si="169"/>
        <v>85476.73224106901</v>
      </c>
      <c r="AO139" s="125">
        <f t="shared" ca="1" si="170"/>
        <v>0</v>
      </c>
      <c r="AP139" s="123">
        <f t="shared" ca="1" si="171"/>
        <v>640151.07241874223</v>
      </c>
      <c r="AQ139" s="121"/>
      <c r="AR139" s="126">
        <f ca="1">IF(LiabIntType1="Fixed",LiabFxdRate1,OFFSET(Vectors!$D$6,Vectors!A139,MATCH(LiabLoanIndex1,lstInterestRates,0))+LiabMarg1)</f>
        <v>7.9369000000000051E-2</v>
      </c>
      <c r="AS139" s="122">
        <f t="shared" ca="1" si="172"/>
        <v>95721.460582046173</v>
      </c>
      <c r="AT139" s="124">
        <f t="shared" ca="1" si="173"/>
        <v>95721.460582046173</v>
      </c>
      <c r="AU139" s="123">
        <f t="shared" ca="1" si="174"/>
        <v>0</v>
      </c>
      <c r="AV139" s="123">
        <f t="shared" ca="1" si="150"/>
        <v>0</v>
      </c>
      <c r="AW139" s="123">
        <f t="shared" ca="1" si="175"/>
        <v>0</v>
      </c>
      <c r="AX139" s="124">
        <f t="shared" ca="1" si="176"/>
        <v>544429.61183669604</v>
      </c>
      <c r="AY139" s="121"/>
      <c r="AZ139" s="122">
        <f t="shared" ca="1" si="151"/>
        <v>544429.61183669604</v>
      </c>
      <c r="BA139" s="124">
        <f t="shared" ca="1" si="177"/>
        <v>544429.61183669604</v>
      </c>
      <c r="BB139" s="123">
        <f t="shared" ca="1" si="178"/>
        <v>0</v>
      </c>
      <c r="BC139" s="123">
        <f t="shared" ca="1" si="152"/>
        <v>0</v>
      </c>
      <c r="BD139" s="123">
        <f t="shared" ca="1" si="179"/>
        <v>0</v>
      </c>
      <c r="BE139" s="124">
        <f t="shared" ca="1" si="180"/>
        <v>0</v>
      </c>
      <c r="BF139" s="121"/>
      <c r="BG139" s="123">
        <f t="shared" si="153"/>
        <v>1000000</v>
      </c>
      <c r="BH139" s="123">
        <f t="shared" ca="1" si="181"/>
        <v>1000000</v>
      </c>
      <c r="BI139" s="123">
        <f t="shared" ca="1" si="182"/>
        <v>0</v>
      </c>
      <c r="BJ139" s="123">
        <f t="shared" ca="1" si="183"/>
        <v>0</v>
      </c>
      <c r="BK139" s="123">
        <f t="shared" ca="1" si="140"/>
        <v>1000000</v>
      </c>
      <c r="BL139" s="123">
        <f t="shared" ca="1" si="184"/>
        <v>0</v>
      </c>
      <c r="BM139" s="121"/>
      <c r="BN139" s="126">
        <f ca="1">IF(LiabIntType2="Fixed",LiabFxdRate2,OFFSET(Vectors!$D$6,Vectors!A139,MATCH(LiabLoanIndex2,lstInterestRates,0))+LiabMarg2)</f>
        <v>0.04</v>
      </c>
      <c r="BO139" s="122">
        <f t="shared" ca="1" si="185"/>
        <v>34119.905847872607</v>
      </c>
      <c r="BP139" s="124">
        <f t="shared" ca="1" si="186"/>
        <v>0</v>
      </c>
      <c r="BQ139" s="123">
        <f t="shared" ca="1" si="187"/>
        <v>34119.905847872607</v>
      </c>
      <c r="BR139" s="123">
        <f t="shared" ca="1" si="188"/>
        <v>0</v>
      </c>
      <c r="BS139" s="121"/>
      <c r="BT139" s="123">
        <f t="shared" ca="1" si="154"/>
        <v>33534.927555298629</v>
      </c>
      <c r="BU139" s="123">
        <f t="shared" ca="1" si="189"/>
        <v>0</v>
      </c>
      <c r="BV139" s="123">
        <f t="shared" ca="1" si="190"/>
        <v>33534.927555298629</v>
      </c>
      <c r="BW139" s="123">
        <f t="shared" ca="1" si="191"/>
        <v>0</v>
      </c>
      <c r="BX139" s="121"/>
      <c r="BY139" s="123">
        <f t="shared" si="192"/>
        <v>0</v>
      </c>
      <c r="BZ139" s="123">
        <f t="shared" ca="1" si="193"/>
        <v>0</v>
      </c>
      <c r="CA139" s="121"/>
      <c r="CB139" s="122">
        <f t="shared" ca="1" si="141"/>
        <v>13927940.293095373</v>
      </c>
      <c r="CC139" s="122">
        <f t="shared" ca="1" si="194"/>
        <v>95721.460582046173</v>
      </c>
      <c r="CD139" s="124">
        <f t="shared" ca="1" si="195"/>
        <v>544429.61183669604</v>
      </c>
      <c r="CE139" s="121"/>
      <c r="CF139" s="122">
        <f t="shared" ca="1" si="142"/>
        <v>10235971.754361782</v>
      </c>
      <c r="CG139" s="124">
        <f t="shared" ca="1" si="196"/>
        <v>0</v>
      </c>
      <c r="CH139" s="123">
        <f t="shared" ca="1" si="197"/>
        <v>0</v>
      </c>
      <c r="CI139" s="121"/>
      <c r="CJ139" s="123">
        <f t="shared" ca="1" si="198"/>
        <v>783823.30490390025</v>
      </c>
      <c r="CK139" s="123">
        <f t="shared" ca="1" si="199"/>
        <v>783823.30490390025</v>
      </c>
      <c r="CL139" s="123">
        <f t="shared" ca="1" si="200"/>
        <v>0</v>
      </c>
      <c r="CM139" s="121"/>
      <c r="CN139" s="62">
        <f t="shared" ca="1" si="201"/>
        <v>327077.11198003183</v>
      </c>
      <c r="CO139" s="62" t="b">
        <f t="shared" si="202"/>
        <v>1</v>
      </c>
      <c r="CP139" s="126">
        <f t="shared" ca="1" si="203"/>
        <v>3.6944444444444364E-3</v>
      </c>
      <c r="CQ139" s="120"/>
      <c r="CR139" s="120"/>
      <c r="CS139" s="120"/>
      <c r="CT139" s="120"/>
      <c r="CU139" s="120"/>
      <c r="CV139" s="120"/>
      <c r="CW139" s="120"/>
      <c r="CX139" s="120"/>
      <c r="CY139" s="120"/>
      <c r="CZ139" s="120"/>
      <c r="DA139" s="120"/>
      <c r="DB139" s="120"/>
      <c r="DC139" s="120"/>
      <c r="DD139" s="120"/>
      <c r="DE139" s="116"/>
      <c r="DF139" s="116"/>
      <c r="DG139" s="116"/>
      <c r="DH139" s="116"/>
      <c r="DI139" s="116"/>
      <c r="DJ139" s="116"/>
      <c r="DK139" s="116"/>
      <c r="DL139" s="116"/>
      <c r="DM139" s="116"/>
      <c r="DN139" s="116"/>
    </row>
    <row r="140" spans="1:118" x14ac:dyDescent="0.2">
      <c r="A140" s="27">
        <v>134</v>
      </c>
      <c r="B140" s="29">
        <f t="shared" si="136"/>
        <v>43191</v>
      </c>
      <c r="C140" s="30">
        <f t="shared" si="137"/>
        <v>8.3333333333333329E-2</v>
      </c>
      <c r="D140" s="55"/>
      <c r="E140" s="62">
        <f t="shared" ca="1" si="155"/>
        <v>87608523.487533957</v>
      </c>
      <c r="F140" s="63">
        <f ca="1">IF(AssetIntType1="Fixed",AssetFxdRate1,IF(A140=1,OFFSET(Vectors!$D$6,A140,MATCH(AssetFltIndx1,lstInterestRates,0)),IF(MOD($A140,AssetRateReset1)=0,MAX(MIN(OFFSET(Vectors!$D$6,A140,MATCH(AssetFltIndx1,lstInterestRates,0)),(F139-AssetMarg1)+AssetPdCapFl1,AssetLifeCap1-AssetMarg1),(F139-AssetMarg1)-AssetPdCapFl1,AssetLifeFloor1-AssetMarg1),F139)))+AssetMarg1</f>
        <v>0.09</v>
      </c>
      <c r="G140" s="62">
        <f t="shared" ca="1" si="143"/>
        <v>804622.61694478267</v>
      </c>
      <c r="H140" s="62">
        <f t="shared" ca="1" si="156"/>
        <v>657063.92615650466</v>
      </c>
      <c r="I140" s="62">
        <f t="shared" ca="1" si="157"/>
        <v>147558.69078827801</v>
      </c>
      <c r="J140" s="62">
        <f t="shared" ca="1" si="138"/>
        <v>87460964.796745673</v>
      </c>
      <c r="K140" s="55"/>
      <c r="L140" s="62">
        <f t="shared" ca="1" si="158"/>
        <v>47340869.756428361</v>
      </c>
      <c r="M140" s="68">
        <f ca="1">IF(pdrLossTime1="",OFFSET(Vectors!$AE$6,A140+_Age1,MATCH(SDA_Loss,lstSDA,0)),OFFSET(Vectors!$X$6,A140+_Age1,MATCH(pdrLossTime1,lstDefaultCurve,0)))</f>
        <v>2.7777777777777779E-5</v>
      </c>
      <c r="N140" s="62">
        <f t="shared" ca="1" si="144"/>
        <v>2777.7777777777778</v>
      </c>
      <c r="O140" s="67">
        <f t="shared" ca="1" si="159"/>
        <v>0.87460964796745677</v>
      </c>
      <c r="P140" s="68">
        <f ca="1">OFFSET(Vectors!$L$6,A140+_Age1,MATCH(pdrPrepay1,lstPrepayCurve,0))*pdrPrepayStress1</f>
        <v>5.1430128318229462E-3</v>
      </c>
      <c r="Q140" s="62">
        <f t="shared" ca="1" si="160"/>
        <v>243064.61714839496</v>
      </c>
      <c r="R140" s="62">
        <f t="shared" ca="1" si="161"/>
        <v>79731.361729643759</v>
      </c>
      <c r="S140" s="69">
        <f t="shared" ca="1" si="162"/>
        <v>0.09</v>
      </c>
      <c r="T140" s="62">
        <f t="shared" ca="1" si="163"/>
        <v>355035.6898398794</v>
      </c>
      <c r="U140" s="62">
        <f t="shared" ca="1" si="145"/>
        <v>1111.1111111111111</v>
      </c>
      <c r="V140" s="62">
        <f t="shared" ca="1" si="139"/>
        <v>47015295.999772549</v>
      </c>
      <c r="W140" s="55"/>
      <c r="X140" s="62">
        <f t="shared" ca="1" si="164"/>
        <v>678942.77982902923</v>
      </c>
      <c r="Y140" s="55"/>
      <c r="Z140" s="118" t="b">
        <v>0</v>
      </c>
      <c r="AA140" s="120" t="b">
        <f t="shared" si="146"/>
        <v>0</v>
      </c>
      <c r="AB140" s="120" t="b">
        <f t="shared" si="147"/>
        <v>1</v>
      </c>
      <c r="AC140" s="120" t="b">
        <f t="shared" ca="1" si="148"/>
        <v>0</v>
      </c>
      <c r="AD140" s="121"/>
      <c r="AE140" s="129">
        <v>17187301.01562902</v>
      </c>
      <c r="AF140" s="69">
        <f ca="1">IF(Swap_Active="No",0,OFFSET(Vectors!$D$6,Vectors!A140,MATCH(Swap_In,lstInterestRates,0)))</f>
        <v>6.9369000000000056E-2</v>
      </c>
      <c r="AG140" s="62">
        <f t="shared" ca="1" si="165"/>
        <v>99355.490346097533</v>
      </c>
      <c r="AH140" s="69">
        <f ca="1">IF(Swap_Active="No",0,OFFSET(Vectors!$D$6,Vectors!A140,MATCH(Swap_Out,lstInterestRates,0)))</f>
        <v>0.04</v>
      </c>
      <c r="AI140" s="62">
        <f t="shared" ca="1" si="166"/>
        <v>57291.003385430064</v>
      </c>
      <c r="AJ140" s="62">
        <f t="shared" ca="1" si="167"/>
        <v>42064.486960667469</v>
      </c>
      <c r="AK140" s="62">
        <f t="shared" ca="1" si="168"/>
        <v>721007.26678969664</v>
      </c>
      <c r="AL140" s="121"/>
      <c r="AM140" s="123">
        <f t="shared" ca="1" si="149"/>
        <v>84704.758049503667</v>
      </c>
      <c r="AN140" s="124">
        <f t="shared" ca="1" si="169"/>
        <v>84704.758049503667</v>
      </c>
      <c r="AO140" s="125">
        <f t="shared" ca="1" si="170"/>
        <v>0</v>
      </c>
      <c r="AP140" s="123">
        <f t="shared" ca="1" si="171"/>
        <v>636302.50874019298</v>
      </c>
      <c r="AQ140" s="121"/>
      <c r="AR140" s="126">
        <f ca="1">IF(LiabIntType1="Fixed",LiabFxdRate1,OFFSET(Vectors!$D$6,Vectors!A140,MATCH(LiabLoanIndex1,lstInterestRates,0))+LiabMarg1)</f>
        <v>7.9369000000000051E-2</v>
      </c>
      <c r="AS140" s="122">
        <f t="shared" ca="1" si="172"/>
        <v>92120.557760223935</v>
      </c>
      <c r="AT140" s="124">
        <f t="shared" ca="1" si="173"/>
        <v>92120.557760223935</v>
      </c>
      <c r="AU140" s="123">
        <f t="shared" ca="1" si="174"/>
        <v>0</v>
      </c>
      <c r="AV140" s="123">
        <f t="shared" ca="1" si="150"/>
        <v>0</v>
      </c>
      <c r="AW140" s="123">
        <f t="shared" ca="1" si="175"/>
        <v>0</v>
      </c>
      <c r="AX140" s="124">
        <f t="shared" ca="1" si="176"/>
        <v>544181.950979969</v>
      </c>
      <c r="AY140" s="121"/>
      <c r="AZ140" s="122">
        <f t="shared" ca="1" si="151"/>
        <v>544181.950979969</v>
      </c>
      <c r="BA140" s="124">
        <f t="shared" ca="1" si="177"/>
        <v>544181.950979969</v>
      </c>
      <c r="BB140" s="123">
        <f t="shared" ca="1" si="178"/>
        <v>0</v>
      </c>
      <c r="BC140" s="123">
        <f t="shared" ca="1" si="152"/>
        <v>0</v>
      </c>
      <c r="BD140" s="123">
        <f t="shared" ca="1" si="179"/>
        <v>0</v>
      </c>
      <c r="BE140" s="124">
        <f t="shared" ca="1" si="180"/>
        <v>0</v>
      </c>
      <c r="BF140" s="121"/>
      <c r="BG140" s="123">
        <f t="shared" si="153"/>
        <v>1000000</v>
      </c>
      <c r="BH140" s="123">
        <f t="shared" ca="1" si="181"/>
        <v>1000000</v>
      </c>
      <c r="BI140" s="123">
        <f t="shared" ca="1" si="182"/>
        <v>0</v>
      </c>
      <c r="BJ140" s="123">
        <f t="shared" ca="1" si="183"/>
        <v>0</v>
      </c>
      <c r="BK140" s="123">
        <f t="shared" ca="1" si="140"/>
        <v>1000000</v>
      </c>
      <c r="BL140" s="123">
        <f t="shared" ca="1" si="184"/>
        <v>0</v>
      </c>
      <c r="BM140" s="121"/>
      <c r="BN140" s="126">
        <f ca="1">IF(LiabIntType2="Fixed",LiabFxdRate2,OFFSET(Vectors!$D$6,Vectors!A140,MATCH(LiabLoanIndex2,lstInterestRates,0))+LiabMarg2)</f>
        <v>0.04</v>
      </c>
      <c r="BO140" s="122">
        <f t="shared" ca="1" si="185"/>
        <v>34119.905847872607</v>
      </c>
      <c r="BP140" s="124">
        <f t="shared" ca="1" si="186"/>
        <v>0</v>
      </c>
      <c r="BQ140" s="123">
        <f t="shared" ca="1" si="187"/>
        <v>34119.905847872607</v>
      </c>
      <c r="BR140" s="123">
        <f t="shared" ca="1" si="188"/>
        <v>0</v>
      </c>
      <c r="BS140" s="121"/>
      <c r="BT140" s="123">
        <f t="shared" ca="1" si="154"/>
        <v>33380.7898610337</v>
      </c>
      <c r="BU140" s="123">
        <f t="shared" ca="1" si="189"/>
        <v>0</v>
      </c>
      <c r="BV140" s="123">
        <f t="shared" ca="1" si="190"/>
        <v>33380.7898610337</v>
      </c>
      <c r="BW140" s="123">
        <f t="shared" ca="1" si="191"/>
        <v>0</v>
      </c>
      <c r="BX140" s="121"/>
      <c r="BY140" s="123">
        <f t="shared" si="192"/>
        <v>0</v>
      </c>
      <c r="BZ140" s="123">
        <f t="shared" ca="1" si="193"/>
        <v>0</v>
      </c>
      <c r="CA140" s="121"/>
      <c r="CB140" s="122">
        <f t="shared" ca="1" si="141"/>
        <v>13383758.342115404</v>
      </c>
      <c r="CC140" s="122">
        <f t="shared" ca="1" si="194"/>
        <v>92120.557760223935</v>
      </c>
      <c r="CD140" s="124">
        <f t="shared" ca="1" si="195"/>
        <v>544181.950979969</v>
      </c>
      <c r="CE140" s="121"/>
      <c r="CF140" s="122">
        <f t="shared" ca="1" si="142"/>
        <v>10235971.754361782</v>
      </c>
      <c r="CG140" s="124">
        <f t="shared" ca="1" si="196"/>
        <v>0</v>
      </c>
      <c r="CH140" s="123">
        <f t="shared" ca="1" si="197"/>
        <v>0</v>
      </c>
      <c r="CI140" s="121"/>
      <c r="CJ140" s="123">
        <f t="shared" ca="1" si="198"/>
        <v>778298.27017512673</v>
      </c>
      <c r="CK140" s="123">
        <f t="shared" ca="1" si="199"/>
        <v>778298.27017512661</v>
      </c>
      <c r="CL140" s="123">
        <f t="shared" ca="1" si="200"/>
        <v>0</v>
      </c>
      <c r="CM140" s="121"/>
      <c r="CN140" s="62">
        <f t="shared" ca="1" si="201"/>
        <v>325573.75665581651</v>
      </c>
      <c r="CO140" s="62" t="b">
        <f t="shared" si="202"/>
        <v>1</v>
      </c>
      <c r="CP140" s="126">
        <f t="shared" ca="1" si="203"/>
        <v>3.722222222222214E-3</v>
      </c>
      <c r="CQ140" s="120"/>
      <c r="CR140" s="120"/>
      <c r="CS140" s="120"/>
      <c r="CT140" s="120"/>
      <c r="CU140" s="120"/>
      <c r="CV140" s="120"/>
      <c r="CW140" s="120"/>
      <c r="CX140" s="120"/>
      <c r="CY140" s="120"/>
      <c r="CZ140" s="120"/>
      <c r="DA140" s="120"/>
      <c r="DB140" s="120"/>
      <c r="DC140" s="120"/>
      <c r="DD140" s="120"/>
      <c r="DE140" s="116"/>
      <c r="DF140" s="116"/>
      <c r="DG140" s="116"/>
      <c r="DH140" s="116"/>
      <c r="DI140" s="116"/>
      <c r="DJ140" s="116"/>
      <c r="DK140" s="116"/>
      <c r="DL140" s="116"/>
      <c r="DM140" s="116"/>
      <c r="DN140" s="116"/>
    </row>
    <row r="141" spans="1:118" x14ac:dyDescent="0.2">
      <c r="A141" s="27">
        <v>135</v>
      </c>
      <c r="B141" s="29">
        <f t="shared" si="136"/>
        <v>43221</v>
      </c>
      <c r="C141" s="30">
        <f t="shared" si="137"/>
        <v>8.3333333333333329E-2</v>
      </c>
      <c r="D141" s="55"/>
      <c r="E141" s="62">
        <f t="shared" ca="1" si="155"/>
        <v>87460964.796745673</v>
      </c>
      <c r="F141" s="63">
        <f ca="1">IF(AssetIntType1="Fixed",AssetFxdRate1,IF(A141=1,OFFSET(Vectors!$D$6,A141,MATCH(AssetFltIndx1,lstInterestRates,0)),IF(MOD($A141,AssetRateReset1)=0,MAX(MIN(OFFSET(Vectors!$D$6,A141,MATCH(AssetFltIndx1,lstInterestRates,0)),(F140-AssetMarg1)+AssetPdCapFl1,AssetLifeCap1-AssetMarg1),(F140-AssetMarg1)-AssetPdCapFl1,AssetLifeFloor1-AssetMarg1),F140)))+AssetMarg1</f>
        <v>0.09</v>
      </c>
      <c r="G141" s="62">
        <f t="shared" ca="1" si="143"/>
        <v>804622.61694478267</v>
      </c>
      <c r="H141" s="62">
        <f t="shared" ca="1" si="156"/>
        <v>655957.23597559251</v>
      </c>
      <c r="I141" s="62">
        <f t="shared" ca="1" si="157"/>
        <v>148665.38096919016</v>
      </c>
      <c r="J141" s="62">
        <f t="shared" ca="1" si="138"/>
        <v>87312299.415776476</v>
      </c>
      <c r="K141" s="55"/>
      <c r="L141" s="62">
        <f t="shared" ca="1" si="158"/>
        <v>47015295.999772549</v>
      </c>
      <c r="M141" s="68">
        <f ca="1">IF(pdrLossTime1="",OFFSET(Vectors!$AE$6,A141+_Age1,MATCH(SDA_Loss,lstSDA,0)),OFFSET(Vectors!$X$6,A141+_Age1,MATCH(pdrLossTime1,lstDefaultCurve,0)))</f>
        <v>2.7777777777777779E-5</v>
      </c>
      <c r="N141" s="62">
        <f t="shared" ca="1" si="144"/>
        <v>2777.7777777777778</v>
      </c>
      <c r="O141" s="67">
        <f t="shared" ca="1" si="159"/>
        <v>0.87312299415776473</v>
      </c>
      <c r="P141" s="68">
        <f ca="1">OFFSET(Vectors!$L$6,A141+_Age1,MATCH(pdrPrepay1,lstPrepayCurve,0))*pdrPrepayStress1</f>
        <v>5.1430128318229462E-3</v>
      </c>
      <c r="Q141" s="62">
        <f t="shared" ca="1" si="160"/>
        <v>241389.26063926326</v>
      </c>
      <c r="R141" s="62">
        <f t="shared" ca="1" si="161"/>
        <v>79911.466195652465</v>
      </c>
      <c r="S141" s="69">
        <f t="shared" ca="1" si="162"/>
        <v>0.09</v>
      </c>
      <c r="T141" s="62">
        <f t="shared" ca="1" si="163"/>
        <v>352593.88666496077</v>
      </c>
      <c r="U141" s="62">
        <f t="shared" ca="1" si="145"/>
        <v>1111.1111111111111</v>
      </c>
      <c r="V141" s="62">
        <f t="shared" ca="1" si="139"/>
        <v>46691217.495159857</v>
      </c>
      <c r="W141" s="55"/>
      <c r="X141" s="62">
        <f t="shared" ca="1" si="164"/>
        <v>675005.72461098759</v>
      </c>
      <c r="Y141" s="55"/>
      <c r="Z141" s="118" t="b">
        <v>0</v>
      </c>
      <c r="AA141" s="120" t="b">
        <f t="shared" si="146"/>
        <v>0</v>
      </c>
      <c r="AB141" s="120" t="b">
        <f t="shared" si="147"/>
        <v>1</v>
      </c>
      <c r="AC141" s="120" t="b">
        <f t="shared" ca="1" si="148"/>
        <v>0</v>
      </c>
      <c r="AD141" s="121"/>
      <c r="AE141" s="129">
        <v>16918764.526749231</v>
      </c>
      <c r="AF141" s="69">
        <f ca="1">IF(Swap_Active="No",0,OFFSET(Vectors!$D$6,Vectors!A141,MATCH(Swap_In,lstInterestRates,0)))</f>
        <v>6.9369000000000056E-2</v>
      </c>
      <c r="AG141" s="62">
        <f t="shared" ca="1" si="165"/>
        <v>97803.148038005689</v>
      </c>
      <c r="AH141" s="69">
        <f ca="1">IF(Swap_Active="No",0,OFFSET(Vectors!$D$6,Vectors!A141,MATCH(Swap_Out,lstInterestRates,0)))</f>
        <v>0.04</v>
      </c>
      <c r="AI141" s="62">
        <f t="shared" ca="1" si="166"/>
        <v>56395.881755830764</v>
      </c>
      <c r="AJ141" s="62">
        <f t="shared" ca="1" si="167"/>
        <v>41407.266282174925</v>
      </c>
      <c r="AK141" s="62">
        <f t="shared" ca="1" si="168"/>
        <v>716412.99089316255</v>
      </c>
      <c r="AL141" s="121"/>
      <c r="AM141" s="123">
        <f t="shared" ca="1" si="149"/>
        <v>83935.392642168998</v>
      </c>
      <c r="AN141" s="124">
        <f t="shared" ca="1" si="169"/>
        <v>83935.392642168998</v>
      </c>
      <c r="AO141" s="125">
        <f t="shared" ca="1" si="170"/>
        <v>0</v>
      </c>
      <c r="AP141" s="123">
        <f t="shared" ca="1" si="171"/>
        <v>632477.59825099353</v>
      </c>
      <c r="AQ141" s="121"/>
      <c r="AR141" s="126">
        <f ca="1">IF(LiabIntType1="Fixed",LiabFxdRate1,OFFSET(Vectors!$D$6,Vectors!A141,MATCH(LiabLoanIndex1,lstInterestRates,0))+LiabMarg1)</f>
        <v>7.9369000000000051E-2</v>
      </c>
      <c r="AS141" s="122">
        <f t="shared" ca="1" si="172"/>
        <v>88521.292987946508</v>
      </c>
      <c r="AT141" s="124">
        <f t="shared" ca="1" si="173"/>
        <v>88521.292987946508</v>
      </c>
      <c r="AU141" s="123">
        <f t="shared" ca="1" si="174"/>
        <v>0</v>
      </c>
      <c r="AV141" s="123">
        <f t="shared" ca="1" si="150"/>
        <v>0</v>
      </c>
      <c r="AW141" s="123">
        <f t="shared" ca="1" si="175"/>
        <v>0</v>
      </c>
      <c r="AX141" s="124">
        <f t="shared" ca="1" si="176"/>
        <v>543956.30526304699</v>
      </c>
      <c r="AY141" s="121"/>
      <c r="AZ141" s="122">
        <f t="shared" ca="1" si="151"/>
        <v>543956.30526304699</v>
      </c>
      <c r="BA141" s="124">
        <f t="shared" ca="1" si="177"/>
        <v>543956.30526304699</v>
      </c>
      <c r="BB141" s="123">
        <f t="shared" ca="1" si="178"/>
        <v>0</v>
      </c>
      <c r="BC141" s="123">
        <f t="shared" ca="1" si="152"/>
        <v>0</v>
      </c>
      <c r="BD141" s="123">
        <f t="shared" ca="1" si="179"/>
        <v>0</v>
      </c>
      <c r="BE141" s="124">
        <f t="shared" ca="1" si="180"/>
        <v>0</v>
      </c>
      <c r="BF141" s="121"/>
      <c r="BG141" s="123">
        <f t="shared" si="153"/>
        <v>1000000</v>
      </c>
      <c r="BH141" s="123">
        <f t="shared" ca="1" si="181"/>
        <v>1000000</v>
      </c>
      <c r="BI141" s="123">
        <f t="shared" ca="1" si="182"/>
        <v>0</v>
      </c>
      <c r="BJ141" s="123">
        <f t="shared" ca="1" si="183"/>
        <v>0</v>
      </c>
      <c r="BK141" s="123">
        <f t="shared" ca="1" si="140"/>
        <v>1000000</v>
      </c>
      <c r="BL141" s="123">
        <f t="shared" ca="1" si="184"/>
        <v>0</v>
      </c>
      <c r="BM141" s="121"/>
      <c r="BN141" s="126">
        <f ca="1">IF(LiabIntType2="Fixed",LiabFxdRate2,OFFSET(Vectors!$D$6,Vectors!A141,MATCH(LiabLoanIndex2,lstInterestRates,0))+LiabMarg2)</f>
        <v>0.04</v>
      </c>
      <c r="BO141" s="122">
        <f t="shared" ca="1" si="185"/>
        <v>34119.905847872607</v>
      </c>
      <c r="BP141" s="124">
        <f t="shared" ca="1" si="186"/>
        <v>0</v>
      </c>
      <c r="BQ141" s="123">
        <f t="shared" ca="1" si="187"/>
        <v>34119.905847872607</v>
      </c>
      <c r="BR141" s="123">
        <f t="shared" ca="1" si="188"/>
        <v>0</v>
      </c>
      <c r="BS141" s="121"/>
      <c r="BT141" s="123">
        <f t="shared" ca="1" si="154"/>
        <v>33227.482989025782</v>
      </c>
      <c r="BU141" s="123">
        <f t="shared" ca="1" si="189"/>
        <v>0</v>
      </c>
      <c r="BV141" s="123">
        <f t="shared" ca="1" si="190"/>
        <v>33227.482989025782</v>
      </c>
      <c r="BW141" s="123">
        <f t="shared" ca="1" si="191"/>
        <v>0</v>
      </c>
      <c r="BX141" s="121"/>
      <c r="BY141" s="123">
        <f t="shared" si="192"/>
        <v>0</v>
      </c>
      <c r="BZ141" s="123">
        <f t="shared" ca="1" si="193"/>
        <v>0</v>
      </c>
      <c r="CA141" s="121"/>
      <c r="CB141" s="122">
        <f t="shared" ca="1" si="141"/>
        <v>12839802.036852358</v>
      </c>
      <c r="CC141" s="122">
        <f t="shared" ca="1" si="194"/>
        <v>88521.292987946508</v>
      </c>
      <c r="CD141" s="124">
        <f t="shared" ca="1" si="195"/>
        <v>543956.30526304699</v>
      </c>
      <c r="CE141" s="121"/>
      <c r="CF141" s="122">
        <f t="shared" ca="1" si="142"/>
        <v>10235971.754361782</v>
      </c>
      <c r="CG141" s="124">
        <f t="shared" ca="1" si="196"/>
        <v>0</v>
      </c>
      <c r="CH141" s="123">
        <f t="shared" ca="1" si="197"/>
        <v>0</v>
      </c>
      <c r="CI141" s="121"/>
      <c r="CJ141" s="123">
        <f t="shared" ca="1" si="198"/>
        <v>772808.87264899327</v>
      </c>
      <c r="CK141" s="123">
        <f t="shared" ca="1" si="199"/>
        <v>772808.87264899327</v>
      </c>
      <c r="CL141" s="123">
        <f t="shared" ca="1" si="200"/>
        <v>0</v>
      </c>
      <c r="CM141" s="121"/>
      <c r="CN141" s="62">
        <f t="shared" ca="1" si="201"/>
        <v>324078.5046126935</v>
      </c>
      <c r="CO141" s="62" t="b">
        <f t="shared" si="202"/>
        <v>1</v>
      </c>
      <c r="CP141" s="126">
        <f t="shared" ca="1" si="203"/>
        <v>3.7499999999999916E-3</v>
      </c>
      <c r="CQ141" s="120"/>
      <c r="CR141" s="120"/>
      <c r="CS141" s="120"/>
      <c r="CT141" s="120"/>
      <c r="CU141" s="120"/>
      <c r="CV141" s="120"/>
      <c r="CW141" s="120"/>
      <c r="CX141" s="120"/>
      <c r="CY141" s="120"/>
      <c r="CZ141" s="120"/>
      <c r="DA141" s="120"/>
      <c r="DB141" s="120"/>
      <c r="DC141" s="120"/>
      <c r="DD141" s="120"/>
      <c r="DE141" s="116"/>
      <c r="DF141" s="116"/>
      <c r="DG141" s="116"/>
      <c r="DH141" s="116"/>
      <c r="DI141" s="116"/>
      <c r="DJ141" s="116"/>
      <c r="DK141" s="116"/>
      <c r="DL141" s="116"/>
      <c r="DM141" s="116"/>
      <c r="DN141" s="116"/>
    </row>
    <row r="142" spans="1:118" x14ac:dyDescent="0.2">
      <c r="A142" s="27">
        <v>136</v>
      </c>
      <c r="B142" s="29">
        <f t="shared" si="136"/>
        <v>43252</v>
      </c>
      <c r="C142" s="30">
        <f t="shared" si="137"/>
        <v>8.3333333333333329E-2</v>
      </c>
      <c r="D142" s="55"/>
      <c r="E142" s="62">
        <f t="shared" ca="1" si="155"/>
        <v>87312299.415776476</v>
      </c>
      <c r="F142" s="63">
        <f ca="1">IF(AssetIntType1="Fixed",AssetFxdRate1,IF(A142=1,OFFSET(Vectors!$D$6,A142,MATCH(AssetFltIndx1,lstInterestRates,0)),IF(MOD($A142,AssetRateReset1)=0,MAX(MIN(OFFSET(Vectors!$D$6,A142,MATCH(AssetFltIndx1,lstInterestRates,0)),(F141-AssetMarg1)+AssetPdCapFl1,AssetLifeCap1-AssetMarg1),(F141-AssetMarg1)-AssetPdCapFl1,AssetLifeFloor1-AssetMarg1),F141)))+AssetMarg1</f>
        <v>0.09</v>
      </c>
      <c r="G142" s="62">
        <f t="shared" ca="1" si="143"/>
        <v>804622.61694478267</v>
      </c>
      <c r="H142" s="62">
        <f t="shared" ca="1" si="156"/>
        <v>654842.24561832356</v>
      </c>
      <c r="I142" s="62">
        <f t="shared" ca="1" si="157"/>
        <v>149780.37132645911</v>
      </c>
      <c r="J142" s="62">
        <f t="shared" ca="1" si="138"/>
        <v>87162519.044450015</v>
      </c>
      <c r="K142" s="55"/>
      <c r="L142" s="62">
        <f t="shared" ca="1" si="158"/>
        <v>46691217.495159857</v>
      </c>
      <c r="M142" s="68">
        <f ca="1">IF(pdrLossTime1="",OFFSET(Vectors!$AE$6,A142+_Age1,MATCH(SDA_Loss,lstSDA,0)),OFFSET(Vectors!$X$6,A142+_Age1,MATCH(pdrLossTime1,lstDefaultCurve,0)))</f>
        <v>2.7777777777777779E-5</v>
      </c>
      <c r="N142" s="62">
        <f t="shared" ca="1" si="144"/>
        <v>2777.7777777777778</v>
      </c>
      <c r="O142" s="67">
        <f t="shared" ca="1" si="159"/>
        <v>0.87162519044450015</v>
      </c>
      <c r="P142" s="68">
        <f ca="1">OFFSET(Vectors!$L$6,A142+_Age1,MATCH(pdrPrepay1,lstPrepayCurve,0))*pdrPrepayStress1</f>
        <v>5.1430128318229462E-3</v>
      </c>
      <c r="Q142" s="62">
        <f t="shared" ca="1" si="160"/>
        <v>239721.59230558947</v>
      </c>
      <c r="R142" s="62">
        <f t="shared" ca="1" si="161"/>
        <v>80091.944483353131</v>
      </c>
      <c r="S142" s="69">
        <f t="shared" ca="1" si="162"/>
        <v>0.09</v>
      </c>
      <c r="T142" s="62">
        <f t="shared" ca="1" si="163"/>
        <v>350163.29788036557</v>
      </c>
      <c r="U142" s="62">
        <f t="shared" ca="1" si="145"/>
        <v>1111.1111111111111</v>
      </c>
      <c r="V142" s="62">
        <f t="shared" ca="1" si="139"/>
        <v>46368626.180593133</v>
      </c>
      <c r="W142" s="55"/>
      <c r="X142" s="62">
        <f t="shared" ca="1" si="164"/>
        <v>671087.94578041928</v>
      </c>
      <c r="Y142" s="55"/>
      <c r="Z142" s="118" t="b">
        <v>0</v>
      </c>
      <c r="AA142" s="120" t="b">
        <f t="shared" si="146"/>
        <v>0</v>
      </c>
      <c r="AB142" s="120" t="b">
        <f t="shared" si="147"/>
        <v>1</v>
      </c>
      <c r="AC142" s="120" t="b">
        <f t="shared" ca="1" si="148"/>
        <v>0</v>
      </c>
      <c r="AD142" s="121"/>
      <c r="AE142" s="129">
        <v>16653012.225773942</v>
      </c>
      <c r="AF142" s="69">
        <f ca="1">IF(Swap_Active="No",0,OFFSET(Vectors!$D$6,Vectors!A142,MATCH(Swap_In,lstInterestRates,0)))</f>
        <v>6.9369000000000056E-2</v>
      </c>
      <c r="AG142" s="62">
        <f t="shared" ca="1" si="165"/>
        <v>96266.90042414279</v>
      </c>
      <c r="AH142" s="69">
        <f ca="1">IF(Swap_Active="No",0,OFFSET(Vectors!$D$6,Vectors!A142,MATCH(Swap_Out,lstInterestRates,0)))</f>
        <v>0.04</v>
      </c>
      <c r="AI142" s="62">
        <f t="shared" ca="1" si="166"/>
        <v>55510.040752579807</v>
      </c>
      <c r="AJ142" s="62">
        <f t="shared" ca="1" si="167"/>
        <v>40756.859671562983</v>
      </c>
      <c r="AK142" s="62">
        <f t="shared" ca="1" si="168"/>
        <v>711844.80545198231</v>
      </c>
      <c r="AL142" s="121"/>
      <c r="AM142" s="123">
        <f t="shared" ca="1" si="149"/>
        <v>83168.613340621567</v>
      </c>
      <c r="AN142" s="124">
        <f t="shared" ca="1" si="169"/>
        <v>83168.613340621567</v>
      </c>
      <c r="AO142" s="125">
        <f t="shared" ca="1" si="170"/>
        <v>0</v>
      </c>
      <c r="AP142" s="123">
        <f t="shared" ca="1" si="171"/>
        <v>628676.19211136072</v>
      </c>
      <c r="AQ142" s="121"/>
      <c r="AR142" s="126">
        <f ca="1">IF(LiabIntType1="Fixed",LiabFxdRate1,OFFSET(Vectors!$D$6,Vectors!A142,MATCH(LiabLoanIndex1,lstInterestRates,0))+LiabMarg1)</f>
        <v>7.9369000000000051E-2</v>
      </c>
      <c r="AS142" s="122">
        <f t="shared" ca="1" si="172"/>
        <v>84923.520655244618</v>
      </c>
      <c r="AT142" s="124">
        <f t="shared" ca="1" si="173"/>
        <v>84923.520655244618</v>
      </c>
      <c r="AU142" s="123">
        <f t="shared" ca="1" si="174"/>
        <v>0</v>
      </c>
      <c r="AV142" s="123">
        <f t="shared" ca="1" si="150"/>
        <v>0</v>
      </c>
      <c r="AW142" s="123">
        <f t="shared" ca="1" si="175"/>
        <v>0</v>
      </c>
      <c r="AX142" s="124">
        <f t="shared" ca="1" si="176"/>
        <v>543752.67145611614</v>
      </c>
      <c r="AY142" s="121"/>
      <c r="AZ142" s="122">
        <f t="shared" ca="1" si="151"/>
        <v>543752.67145611614</v>
      </c>
      <c r="BA142" s="124">
        <f t="shared" ca="1" si="177"/>
        <v>543752.67145611614</v>
      </c>
      <c r="BB142" s="123">
        <f t="shared" ca="1" si="178"/>
        <v>0</v>
      </c>
      <c r="BC142" s="123">
        <f t="shared" ca="1" si="152"/>
        <v>0</v>
      </c>
      <c r="BD142" s="123">
        <f t="shared" ca="1" si="179"/>
        <v>0</v>
      </c>
      <c r="BE142" s="124">
        <f t="shared" ca="1" si="180"/>
        <v>0</v>
      </c>
      <c r="BF142" s="121"/>
      <c r="BG142" s="123">
        <f t="shared" si="153"/>
        <v>1000000</v>
      </c>
      <c r="BH142" s="123">
        <f t="shared" ca="1" si="181"/>
        <v>1000000</v>
      </c>
      <c r="BI142" s="123">
        <f t="shared" ca="1" si="182"/>
        <v>0</v>
      </c>
      <c r="BJ142" s="123">
        <f t="shared" ca="1" si="183"/>
        <v>0</v>
      </c>
      <c r="BK142" s="123">
        <f t="shared" ca="1" si="140"/>
        <v>1000000</v>
      </c>
      <c r="BL142" s="123">
        <f t="shared" ca="1" si="184"/>
        <v>0</v>
      </c>
      <c r="BM142" s="121"/>
      <c r="BN142" s="126">
        <f ca="1">IF(LiabIntType2="Fixed",LiabFxdRate2,OFFSET(Vectors!$D$6,Vectors!A142,MATCH(LiabLoanIndex2,lstInterestRates,0))+LiabMarg2)</f>
        <v>0.04</v>
      </c>
      <c r="BO142" s="122">
        <f t="shared" ca="1" si="185"/>
        <v>34119.905847872607</v>
      </c>
      <c r="BP142" s="124">
        <f t="shared" ca="1" si="186"/>
        <v>0</v>
      </c>
      <c r="BQ142" s="123">
        <f t="shared" ca="1" si="187"/>
        <v>34119.905847872607</v>
      </c>
      <c r="BR142" s="123">
        <f t="shared" ca="1" si="188"/>
        <v>0</v>
      </c>
      <c r="BS142" s="121"/>
      <c r="BT142" s="123">
        <f t="shared" ca="1" si="154"/>
        <v>33075.002706468702</v>
      </c>
      <c r="BU142" s="123">
        <f t="shared" ca="1" si="189"/>
        <v>0</v>
      </c>
      <c r="BV142" s="123">
        <f t="shared" ca="1" si="190"/>
        <v>33075.002706468702</v>
      </c>
      <c r="BW142" s="123">
        <f t="shared" ca="1" si="191"/>
        <v>0</v>
      </c>
      <c r="BX142" s="121"/>
      <c r="BY142" s="123">
        <f t="shared" si="192"/>
        <v>0</v>
      </c>
      <c r="BZ142" s="123">
        <f t="shared" ca="1" si="193"/>
        <v>0</v>
      </c>
      <c r="CA142" s="121"/>
      <c r="CB142" s="122">
        <f t="shared" ca="1" si="141"/>
        <v>12296049.365396243</v>
      </c>
      <c r="CC142" s="122">
        <f t="shared" ca="1" si="194"/>
        <v>84923.520655244618</v>
      </c>
      <c r="CD142" s="124">
        <f t="shared" ca="1" si="195"/>
        <v>543752.67145611614</v>
      </c>
      <c r="CE142" s="121"/>
      <c r="CF142" s="122">
        <f t="shared" ca="1" si="142"/>
        <v>10235971.754361782</v>
      </c>
      <c r="CG142" s="124">
        <f t="shared" ca="1" si="196"/>
        <v>0</v>
      </c>
      <c r="CH142" s="123">
        <f t="shared" ca="1" si="197"/>
        <v>0</v>
      </c>
      <c r="CI142" s="121"/>
      <c r="CJ142" s="123">
        <f t="shared" ca="1" si="198"/>
        <v>767354.84620456211</v>
      </c>
      <c r="CK142" s="123">
        <f t="shared" ca="1" si="199"/>
        <v>767354.84620456211</v>
      </c>
      <c r="CL142" s="123">
        <f t="shared" ca="1" si="200"/>
        <v>0</v>
      </c>
      <c r="CM142" s="121"/>
      <c r="CN142" s="62">
        <f t="shared" ca="1" si="201"/>
        <v>322591.31456672039</v>
      </c>
      <c r="CO142" s="62" t="b">
        <f t="shared" si="202"/>
        <v>1</v>
      </c>
      <c r="CP142" s="126">
        <f t="shared" ca="1" si="203"/>
        <v>3.7777777777777692E-3</v>
      </c>
      <c r="CQ142" s="120"/>
      <c r="CR142" s="120"/>
      <c r="CS142" s="120"/>
      <c r="CT142" s="120"/>
      <c r="CU142" s="120"/>
      <c r="CV142" s="120"/>
      <c r="CW142" s="120"/>
      <c r="CX142" s="120"/>
      <c r="CY142" s="120"/>
      <c r="CZ142" s="120"/>
      <c r="DA142" s="120"/>
      <c r="DB142" s="120"/>
      <c r="DC142" s="120"/>
      <c r="DD142" s="120"/>
      <c r="DE142" s="116"/>
      <c r="DF142" s="116"/>
      <c r="DG142" s="116"/>
      <c r="DH142" s="116"/>
      <c r="DI142" s="116"/>
      <c r="DJ142" s="116"/>
      <c r="DK142" s="116"/>
      <c r="DL142" s="116"/>
      <c r="DM142" s="116"/>
      <c r="DN142" s="116"/>
    </row>
    <row r="143" spans="1:118" x14ac:dyDescent="0.2">
      <c r="A143" s="27">
        <v>137</v>
      </c>
      <c r="B143" s="29">
        <f t="shared" si="136"/>
        <v>43282</v>
      </c>
      <c r="C143" s="30">
        <f t="shared" si="137"/>
        <v>8.3333333333333329E-2</v>
      </c>
      <c r="D143" s="55"/>
      <c r="E143" s="62">
        <f t="shared" ca="1" si="155"/>
        <v>87162519.044450015</v>
      </c>
      <c r="F143" s="63">
        <f ca="1">IF(AssetIntType1="Fixed",AssetFxdRate1,IF(A143=1,OFFSET(Vectors!$D$6,A143,MATCH(AssetFltIndx1,lstInterestRates,0)),IF(MOD($A143,AssetRateReset1)=0,MAX(MIN(OFFSET(Vectors!$D$6,A143,MATCH(AssetFltIndx1,lstInterestRates,0)),(F142-AssetMarg1)+AssetPdCapFl1,AssetLifeCap1-AssetMarg1),(F142-AssetMarg1)-AssetPdCapFl1,AssetLifeFloor1-AssetMarg1),F142)))+AssetMarg1</f>
        <v>0.09</v>
      </c>
      <c r="G143" s="62">
        <f t="shared" ca="1" si="143"/>
        <v>804622.61694478267</v>
      </c>
      <c r="H143" s="62">
        <f t="shared" ca="1" si="156"/>
        <v>653718.89283337514</v>
      </c>
      <c r="I143" s="62">
        <f t="shared" ca="1" si="157"/>
        <v>150903.72411140753</v>
      </c>
      <c r="J143" s="62">
        <f t="shared" ca="1" si="138"/>
        <v>87011615.320338607</v>
      </c>
      <c r="K143" s="55"/>
      <c r="L143" s="62">
        <f t="shared" ca="1" si="158"/>
        <v>46368626.180593133</v>
      </c>
      <c r="M143" s="68">
        <f ca="1">IF(pdrLossTime1="",OFFSET(Vectors!$AE$6,A143+_Age1,MATCH(SDA_Loss,lstSDA,0)),OFFSET(Vectors!$X$6,A143+_Age1,MATCH(pdrLossTime1,lstDefaultCurve,0)))</f>
        <v>2.7777777777777779E-5</v>
      </c>
      <c r="N143" s="62">
        <f t="shared" ca="1" si="144"/>
        <v>2777.7777777777778</v>
      </c>
      <c r="O143" s="67">
        <f t="shared" ca="1" si="159"/>
        <v>0.87011615320338609</v>
      </c>
      <c r="P143" s="68">
        <f ca="1">OFFSET(Vectors!$L$6,A143+_Age1,MATCH(pdrPrepay1,lstPrepayCurve,0))*pdrPrepayStress1</f>
        <v>5.1430128318229462E-3</v>
      </c>
      <c r="Q143" s="62">
        <f t="shared" ca="1" si="160"/>
        <v>238061.57068239077</v>
      </c>
      <c r="R143" s="62">
        <f t="shared" ca="1" si="161"/>
        <v>80272.796980565719</v>
      </c>
      <c r="S143" s="69">
        <f t="shared" ca="1" si="162"/>
        <v>0.09</v>
      </c>
      <c r="T143" s="62">
        <f t="shared" ca="1" si="163"/>
        <v>347743.86302111519</v>
      </c>
      <c r="U143" s="62">
        <f t="shared" ca="1" si="145"/>
        <v>1111.1111111111111</v>
      </c>
      <c r="V143" s="62">
        <f t="shared" ca="1" si="139"/>
        <v>46047514.035152398</v>
      </c>
      <c r="W143" s="55"/>
      <c r="X143" s="62">
        <f t="shared" ca="1" si="164"/>
        <v>667189.34179518279</v>
      </c>
      <c r="Y143" s="55"/>
      <c r="Z143" s="118" t="b">
        <v>0</v>
      </c>
      <c r="AA143" s="120" t="b">
        <f t="shared" si="146"/>
        <v>0</v>
      </c>
      <c r="AB143" s="120" t="b">
        <f t="shared" si="147"/>
        <v>1</v>
      </c>
      <c r="AC143" s="120" t="b">
        <f t="shared" ca="1" si="148"/>
        <v>0</v>
      </c>
      <c r="AD143" s="121"/>
      <c r="AE143" s="129">
        <v>16390016.016354837</v>
      </c>
      <c r="AF143" s="69">
        <f ca="1">IF(Swap_Active="No",0,OFFSET(Vectors!$D$6,Vectors!A143,MATCH(Swap_In,lstInterestRates,0)))</f>
        <v>6.9369000000000056E-2</v>
      </c>
      <c r="AG143" s="62">
        <f t="shared" ca="1" si="165"/>
        <v>94746.585086543288</v>
      </c>
      <c r="AH143" s="69">
        <f ca="1">IF(Swap_Active="No",0,OFFSET(Vectors!$D$6,Vectors!A143,MATCH(Swap_Out,lstInterestRates,0)))</f>
        <v>0.04</v>
      </c>
      <c r="AI143" s="62">
        <f t="shared" ca="1" si="166"/>
        <v>54633.386721182789</v>
      </c>
      <c r="AJ143" s="62">
        <f t="shared" ca="1" si="167"/>
        <v>40113.198365360498</v>
      </c>
      <c r="AK143" s="62">
        <f t="shared" ca="1" si="168"/>
        <v>707302.54016054329</v>
      </c>
      <c r="AL143" s="121"/>
      <c r="AM143" s="123">
        <f t="shared" ca="1" si="149"/>
        <v>82404.397536570323</v>
      </c>
      <c r="AN143" s="124">
        <f t="shared" ca="1" si="169"/>
        <v>82404.397536570323</v>
      </c>
      <c r="AO143" s="125">
        <f t="shared" ca="1" si="170"/>
        <v>0</v>
      </c>
      <c r="AP143" s="123">
        <f t="shared" ca="1" si="171"/>
        <v>624898.14262397296</v>
      </c>
      <c r="AQ143" s="121"/>
      <c r="AR143" s="126">
        <f ca="1">IF(LiabIntType1="Fixed",LiabFxdRate1,OFFSET(Vectors!$D$6,Vectors!A143,MATCH(LiabLoanIndex1,lstInterestRates,0))+LiabMarg1)</f>
        <v>7.9369000000000051E-2</v>
      </c>
      <c r="AS143" s="122">
        <f t="shared" ca="1" si="172"/>
        <v>81327.095173511247</v>
      </c>
      <c r="AT143" s="124">
        <f t="shared" ca="1" si="173"/>
        <v>81327.095173511247</v>
      </c>
      <c r="AU143" s="123">
        <f t="shared" ca="1" si="174"/>
        <v>0</v>
      </c>
      <c r="AV143" s="123">
        <f t="shared" ca="1" si="150"/>
        <v>0</v>
      </c>
      <c r="AW143" s="123">
        <f t="shared" ca="1" si="175"/>
        <v>0</v>
      </c>
      <c r="AX143" s="124">
        <f t="shared" ca="1" si="176"/>
        <v>543571.04745046166</v>
      </c>
      <c r="AY143" s="121"/>
      <c r="AZ143" s="122">
        <f t="shared" ca="1" si="151"/>
        <v>543571.04745046166</v>
      </c>
      <c r="BA143" s="124">
        <f t="shared" ca="1" si="177"/>
        <v>543571.04745046166</v>
      </c>
      <c r="BB143" s="123">
        <f t="shared" ca="1" si="178"/>
        <v>0</v>
      </c>
      <c r="BC143" s="123">
        <f t="shared" ca="1" si="152"/>
        <v>0</v>
      </c>
      <c r="BD143" s="123">
        <f t="shared" ca="1" si="179"/>
        <v>0</v>
      </c>
      <c r="BE143" s="124">
        <f t="shared" ca="1" si="180"/>
        <v>0</v>
      </c>
      <c r="BF143" s="121"/>
      <c r="BG143" s="123">
        <f t="shared" si="153"/>
        <v>1000000</v>
      </c>
      <c r="BH143" s="123">
        <f t="shared" ca="1" si="181"/>
        <v>1000000</v>
      </c>
      <c r="BI143" s="123">
        <f t="shared" ca="1" si="182"/>
        <v>0</v>
      </c>
      <c r="BJ143" s="123">
        <f t="shared" ca="1" si="183"/>
        <v>0</v>
      </c>
      <c r="BK143" s="123">
        <f t="shared" ca="1" si="140"/>
        <v>1000000</v>
      </c>
      <c r="BL143" s="123">
        <f t="shared" ca="1" si="184"/>
        <v>0</v>
      </c>
      <c r="BM143" s="121"/>
      <c r="BN143" s="126">
        <f ca="1">IF(LiabIntType2="Fixed",LiabFxdRate2,OFFSET(Vectors!$D$6,Vectors!A143,MATCH(LiabLoanIndex2,lstInterestRates,0))+LiabMarg2)</f>
        <v>0.04</v>
      </c>
      <c r="BO143" s="122">
        <f t="shared" ca="1" si="185"/>
        <v>34119.905847872607</v>
      </c>
      <c r="BP143" s="124">
        <f t="shared" ca="1" si="186"/>
        <v>0</v>
      </c>
      <c r="BQ143" s="123">
        <f t="shared" ca="1" si="187"/>
        <v>34119.905847872607</v>
      </c>
      <c r="BR143" s="123">
        <f t="shared" ca="1" si="188"/>
        <v>0</v>
      </c>
      <c r="BS143" s="121"/>
      <c r="BT143" s="123">
        <f t="shared" ca="1" si="154"/>
        <v>32923.344801757208</v>
      </c>
      <c r="BU143" s="123">
        <f t="shared" ca="1" si="189"/>
        <v>0</v>
      </c>
      <c r="BV143" s="123">
        <f t="shared" ca="1" si="190"/>
        <v>32923.344801757208</v>
      </c>
      <c r="BW143" s="123">
        <f t="shared" ca="1" si="191"/>
        <v>0</v>
      </c>
      <c r="BX143" s="121"/>
      <c r="BY143" s="123">
        <f t="shared" si="192"/>
        <v>0</v>
      </c>
      <c r="BZ143" s="123">
        <f t="shared" ca="1" si="193"/>
        <v>0</v>
      </c>
      <c r="CA143" s="121"/>
      <c r="CB143" s="122">
        <f t="shared" ca="1" si="141"/>
        <v>11752478.31794578</v>
      </c>
      <c r="CC143" s="122">
        <f t="shared" ca="1" si="194"/>
        <v>81327.095173511247</v>
      </c>
      <c r="CD143" s="124">
        <f t="shared" ca="1" si="195"/>
        <v>543571.04745046166</v>
      </c>
      <c r="CE143" s="121"/>
      <c r="CF143" s="122">
        <f t="shared" ca="1" si="142"/>
        <v>10235971.754361782</v>
      </c>
      <c r="CG143" s="124">
        <f t="shared" ca="1" si="196"/>
        <v>0</v>
      </c>
      <c r="CH143" s="123">
        <f t="shared" ca="1" si="197"/>
        <v>0</v>
      </c>
      <c r="CI143" s="121"/>
      <c r="CJ143" s="123">
        <f t="shared" ca="1" si="198"/>
        <v>761935.92688172613</v>
      </c>
      <c r="CK143" s="123">
        <f t="shared" ca="1" si="199"/>
        <v>761935.92688172602</v>
      </c>
      <c r="CL143" s="123">
        <f t="shared" ca="1" si="200"/>
        <v>0</v>
      </c>
      <c r="CM143" s="121"/>
      <c r="CN143" s="62">
        <f t="shared" ca="1" si="201"/>
        <v>321112.14544073428</v>
      </c>
      <c r="CO143" s="62" t="b">
        <f t="shared" si="202"/>
        <v>1</v>
      </c>
      <c r="CP143" s="126">
        <f t="shared" ca="1" si="203"/>
        <v>3.8055555555555468E-3</v>
      </c>
      <c r="CQ143" s="120"/>
      <c r="CR143" s="120"/>
      <c r="CS143" s="120"/>
      <c r="CT143" s="120"/>
      <c r="CU143" s="120"/>
      <c r="CV143" s="120"/>
      <c r="CW143" s="120"/>
      <c r="CX143" s="120"/>
      <c r="CY143" s="120"/>
      <c r="CZ143" s="120"/>
      <c r="DA143" s="120"/>
      <c r="DB143" s="120"/>
      <c r="DC143" s="120"/>
      <c r="DD143" s="120"/>
      <c r="DE143" s="116"/>
      <c r="DF143" s="116"/>
      <c r="DG143" s="116"/>
      <c r="DH143" s="116"/>
      <c r="DI143" s="116"/>
      <c r="DJ143" s="116"/>
      <c r="DK143" s="116"/>
      <c r="DL143" s="116"/>
      <c r="DM143" s="116"/>
      <c r="DN143" s="116"/>
    </row>
    <row r="144" spans="1:118" x14ac:dyDescent="0.2">
      <c r="A144" s="27">
        <v>138</v>
      </c>
      <c r="B144" s="29">
        <f t="shared" si="136"/>
        <v>43313</v>
      </c>
      <c r="C144" s="30">
        <f t="shared" si="137"/>
        <v>8.3333333333333329E-2</v>
      </c>
      <c r="D144" s="55"/>
      <c r="E144" s="62">
        <f t="shared" ca="1" si="155"/>
        <v>87011615.320338607</v>
      </c>
      <c r="F144" s="63">
        <f ca="1">IF(AssetIntType1="Fixed",AssetFxdRate1,IF(A144=1,OFFSET(Vectors!$D$6,A144,MATCH(AssetFltIndx1,lstInterestRates,0)),IF(MOD($A144,AssetRateReset1)=0,MAX(MIN(OFFSET(Vectors!$D$6,A144,MATCH(AssetFltIndx1,lstInterestRates,0)),(F143-AssetMarg1)+AssetPdCapFl1,AssetLifeCap1-AssetMarg1),(F143-AssetMarg1)-AssetPdCapFl1,AssetLifeFloor1-AssetMarg1),F143)))+AssetMarg1</f>
        <v>0.09</v>
      </c>
      <c r="G144" s="62">
        <f t="shared" ca="1" si="143"/>
        <v>804622.61694478267</v>
      </c>
      <c r="H144" s="62">
        <f t="shared" ca="1" si="156"/>
        <v>652587.11490253953</v>
      </c>
      <c r="I144" s="62">
        <f t="shared" ca="1" si="157"/>
        <v>152035.50204224314</v>
      </c>
      <c r="J144" s="62">
        <f t="shared" ca="1" si="138"/>
        <v>86859579.818296358</v>
      </c>
      <c r="K144" s="55"/>
      <c r="L144" s="62">
        <f t="shared" ca="1" si="158"/>
        <v>46047514.035152398</v>
      </c>
      <c r="M144" s="68">
        <f ca="1">IF(pdrLossTime1="",OFFSET(Vectors!$AE$6,A144+_Age1,MATCH(SDA_Loss,lstSDA,0)),OFFSET(Vectors!$X$6,A144+_Age1,MATCH(pdrLossTime1,lstDefaultCurve,0)))</f>
        <v>2.7777777777777779E-5</v>
      </c>
      <c r="N144" s="62">
        <f t="shared" ca="1" si="144"/>
        <v>2777.7777777777778</v>
      </c>
      <c r="O144" s="67">
        <f t="shared" ca="1" si="159"/>
        <v>0.86859579818296362</v>
      </c>
      <c r="P144" s="68">
        <f ca="1">OFFSET(Vectors!$L$6,A144+_Age1,MATCH(pdrPrepay1,lstPrepayCurve,0))*pdrPrepayStress1</f>
        <v>5.1430128318229462E-3</v>
      </c>
      <c r="Q144" s="62">
        <f t="shared" ca="1" si="160"/>
        <v>236409.15451597396</v>
      </c>
      <c r="R144" s="62">
        <f t="shared" ca="1" si="161"/>
        <v>80454.02406931638</v>
      </c>
      <c r="S144" s="69">
        <f t="shared" ca="1" si="162"/>
        <v>0.09</v>
      </c>
      <c r="T144" s="62">
        <f t="shared" ca="1" si="163"/>
        <v>345335.52193030965</v>
      </c>
      <c r="U144" s="62">
        <f t="shared" ca="1" si="145"/>
        <v>1111.1111111111111</v>
      </c>
      <c r="V144" s="62">
        <f t="shared" ca="1" si="139"/>
        <v>45727873.078789331</v>
      </c>
      <c r="W144" s="55"/>
      <c r="X144" s="62">
        <f t="shared" ca="1" si="164"/>
        <v>663309.81162671105</v>
      </c>
      <c r="Y144" s="55"/>
      <c r="Z144" s="118" t="b">
        <v>0</v>
      </c>
      <c r="AA144" s="120" t="b">
        <f t="shared" si="146"/>
        <v>0</v>
      </c>
      <c r="AB144" s="120" t="b">
        <f t="shared" si="147"/>
        <v>1</v>
      </c>
      <c r="AC144" s="120" t="b">
        <f t="shared" ca="1" si="148"/>
        <v>0</v>
      </c>
      <c r="AD144" s="121"/>
      <c r="AE144" s="129">
        <v>16129748.083762346</v>
      </c>
      <c r="AF144" s="69">
        <f ca="1">IF(Swap_Active="No",0,OFFSET(Vectors!$D$6,Vectors!A144,MATCH(Swap_In,lstInterestRates,0)))</f>
        <v>6.9369000000000056E-2</v>
      </c>
      <c r="AG144" s="62">
        <f t="shared" ca="1" si="165"/>
        <v>93242.041235209239</v>
      </c>
      <c r="AH144" s="69">
        <f ca="1">IF(Swap_Active="No",0,OFFSET(Vectors!$D$6,Vectors!A144,MATCH(Swap_Out,lstInterestRates,0)))</f>
        <v>0.04</v>
      </c>
      <c r="AI144" s="62">
        <f t="shared" ca="1" si="166"/>
        <v>53765.826945874491</v>
      </c>
      <c r="AJ144" s="62">
        <f t="shared" ca="1" si="167"/>
        <v>39476.214289334748</v>
      </c>
      <c r="AK144" s="62">
        <f t="shared" ca="1" si="168"/>
        <v>702786.02591604576</v>
      </c>
      <c r="AL144" s="121"/>
      <c r="AM144" s="123">
        <f t="shared" ca="1" si="149"/>
        <v>81642.72269106473</v>
      </c>
      <c r="AN144" s="124">
        <f t="shared" ca="1" si="169"/>
        <v>81642.72269106473</v>
      </c>
      <c r="AO144" s="125">
        <f t="shared" ca="1" si="170"/>
        <v>0</v>
      </c>
      <c r="AP144" s="123">
        <f t="shared" ca="1" si="171"/>
        <v>621143.30322498106</v>
      </c>
      <c r="AQ144" s="121"/>
      <c r="AR144" s="126">
        <f ca="1">IF(LiabIntType1="Fixed",LiabFxdRate1,OFFSET(Vectors!$D$6,Vectors!A144,MATCH(LiabLoanIndex1,lstInterestRates,0))+LiabMarg1)</f>
        <v>7.9369000000000051E-2</v>
      </c>
      <c r="AS144" s="122">
        <f t="shared" ca="1" si="172"/>
        <v>77731.870968086601</v>
      </c>
      <c r="AT144" s="124">
        <f t="shared" ca="1" si="173"/>
        <v>77731.870968086601</v>
      </c>
      <c r="AU144" s="123">
        <f t="shared" ca="1" si="174"/>
        <v>0</v>
      </c>
      <c r="AV144" s="123">
        <f t="shared" ca="1" si="150"/>
        <v>0</v>
      </c>
      <c r="AW144" s="123">
        <f t="shared" ca="1" si="175"/>
        <v>0</v>
      </c>
      <c r="AX144" s="124">
        <f t="shared" ca="1" si="176"/>
        <v>543411.43225689442</v>
      </c>
      <c r="AY144" s="121"/>
      <c r="AZ144" s="122">
        <f t="shared" ca="1" si="151"/>
        <v>543411.43225689442</v>
      </c>
      <c r="BA144" s="124">
        <f t="shared" ca="1" si="177"/>
        <v>543411.43225689442</v>
      </c>
      <c r="BB144" s="123">
        <f t="shared" ca="1" si="178"/>
        <v>0</v>
      </c>
      <c r="BC144" s="123">
        <f t="shared" ca="1" si="152"/>
        <v>0</v>
      </c>
      <c r="BD144" s="123">
        <f t="shared" ca="1" si="179"/>
        <v>0</v>
      </c>
      <c r="BE144" s="124">
        <f t="shared" ca="1" si="180"/>
        <v>0</v>
      </c>
      <c r="BF144" s="121"/>
      <c r="BG144" s="123">
        <f t="shared" si="153"/>
        <v>1000000</v>
      </c>
      <c r="BH144" s="123">
        <f t="shared" ca="1" si="181"/>
        <v>1000000</v>
      </c>
      <c r="BI144" s="123">
        <f t="shared" ca="1" si="182"/>
        <v>0</v>
      </c>
      <c r="BJ144" s="123">
        <f t="shared" ca="1" si="183"/>
        <v>0</v>
      </c>
      <c r="BK144" s="123">
        <f t="shared" ca="1" si="140"/>
        <v>1000000</v>
      </c>
      <c r="BL144" s="123">
        <f t="shared" ca="1" si="184"/>
        <v>0</v>
      </c>
      <c r="BM144" s="121"/>
      <c r="BN144" s="126">
        <f ca="1">IF(LiabIntType2="Fixed",LiabFxdRate2,OFFSET(Vectors!$D$6,Vectors!A144,MATCH(LiabLoanIndex2,lstInterestRates,0))+LiabMarg2)</f>
        <v>0.04</v>
      </c>
      <c r="BO144" s="122">
        <f t="shared" ca="1" si="185"/>
        <v>34119.905847872607</v>
      </c>
      <c r="BP144" s="124">
        <f t="shared" ca="1" si="186"/>
        <v>0</v>
      </c>
      <c r="BQ144" s="123">
        <f t="shared" ca="1" si="187"/>
        <v>34119.905847872607</v>
      </c>
      <c r="BR144" s="123">
        <f t="shared" ca="1" si="188"/>
        <v>0</v>
      </c>
      <c r="BS144" s="121"/>
      <c r="BT144" s="123">
        <f t="shared" ca="1" si="154"/>
        <v>32772.505084355362</v>
      </c>
      <c r="BU144" s="123">
        <f t="shared" ca="1" si="189"/>
        <v>0</v>
      </c>
      <c r="BV144" s="123">
        <f t="shared" ca="1" si="190"/>
        <v>32772.505084355362</v>
      </c>
      <c r="BW144" s="123">
        <f t="shared" ca="1" si="191"/>
        <v>0</v>
      </c>
      <c r="BX144" s="121"/>
      <c r="BY144" s="123">
        <f t="shared" si="192"/>
        <v>0</v>
      </c>
      <c r="BZ144" s="123">
        <f t="shared" ca="1" si="193"/>
        <v>0</v>
      </c>
      <c r="CA144" s="121"/>
      <c r="CB144" s="122">
        <f t="shared" ca="1" si="141"/>
        <v>11209066.885688886</v>
      </c>
      <c r="CC144" s="122">
        <f t="shared" ca="1" si="194"/>
        <v>77731.870968086601</v>
      </c>
      <c r="CD144" s="124">
        <f t="shared" ca="1" si="195"/>
        <v>543411.43225689442</v>
      </c>
      <c r="CE144" s="121"/>
      <c r="CF144" s="122">
        <f t="shared" ca="1" si="142"/>
        <v>10235971.754361782</v>
      </c>
      <c r="CG144" s="124">
        <f t="shared" ca="1" si="196"/>
        <v>0</v>
      </c>
      <c r="CH144" s="123">
        <f t="shared" ca="1" si="197"/>
        <v>0</v>
      </c>
      <c r="CI144" s="121"/>
      <c r="CJ144" s="123">
        <f t="shared" ca="1" si="198"/>
        <v>756551.85286192026</v>
      </c>
      <c r="CK144" s="123">
        <f t="shared" ca="1" si="199"/>
        <v>756551.85286192026</v>
      </c>
      <c r="CL144" s="123">
        <f t="shared" ca="1" si="200"/>
        <v>0</v>
      </c>
      <c r="CM144" s="121"/>
      <c r="CN144" s="62">
        <f t="shared" ca="1" si="201"/>
        <v>319640.95636306814</v>
      </c>
      <c r="CO144" s="62" t="b">
        <f t="shared" si="202"/>
        <v>1</v>
      </c>
      <c r="CP144" s="126">
        <f t="shared" ca="1" si="203"/>
        <v>3.8333333333333245E-3</v>
      </c>
      <c r="CQ144" s="120"/>
      <c r="CR144" s="120"/>
      <c r="CS144" s="120"/>
      <c r="CT144" s="120"/>
      <c r="CU144" s="120"/>
      <c r="CV144" s="120"/>
      <c r="CW144" s="120"/>
      <c r="CX144" s="120"/>
      <c r="CY144" s="120"/>
      <c r="CZ144" s="120"/>
      <c r="DA144" s="120"/>
      <c r="DB144" s="120"/>
      <c r="DC144" s="120"/>
      <c r="DD144" s="120"/>
      <c r="DE144" s="116"/>
      <c r="DF144" s="116"/>
      <c r="DG144" s="116"/>
      <c r="DH144" s="116"/>
      <c r="DI144" s="116"/>
      <c r="DJ144" s="116"/>
      <c r="DK144" s="116"/>
      <c r="DL144" s="116"/>
      <c r="DM144" s="116"/>
      <c r="DN144" s="116"/>
    </row>
    <row r="145" spans="1:118" x14ac:dyDescent="0.2">
      <c r="A145" s="27">
        <v>139</v>
      </c>
      <c r="B145" s="29">
        <f t="shared" si="136"/>
        <v>43344</v>
      </c>
      <c r="C145" s="30">
        <f t="shared" si="137"/>
        <v>8.3333333333333329E-2</v>
      </c>
      <c r="D145" s="55"/>
      <c r="E145" s="62">
        <f t="shared" ca="1" si="155"/>
        <v>86859579.818296358</v>
      </c>
      <c r="F145" s="63">
        <f ca="1">IF(AssetIntType1="Fixed",AssetFxdRate1,IF(A145=1,OFFSET(Vectors!$D$6,A145,MATCH(AssetFltIndx1,lstInterestRates,0)),IF(MOD($A145,AssetRateReset1)=0,MAX(MIN(OFFSET(Vectors!$D$6,A145,MATCH(AssetFltIndx1,lstInterestRates,0)),(F144-AssetMarg1)+AssetPdCapFl1,AssetLifeCap1-AssetMarg1),(F144-AssetMarg1)-AssetPdCapFl1,AssetLifeFloor1-AssetMarg1),F144)))+AssetMarg1</f>
        <v>0.09</v>
      </c>
      <c r="G145" s="62">
        <f t="shared" ca="1" si="143"/>
        <v>804622.61694478267</v>
      </c>
      <c r="H145" s="62">
        <f t="shared" ca="1" si="156"/>
        <v>651446.84863722266</v>
      </c>
      <c r="I145" s="62">
        <f t="shared" ca="1" si="157"/>
        <v>153175.76830756001</v>
      </c>
      <c r="J145" s="62">
        <f t="shared" ca="1" si="138"/>
        <v>86706404.049988791</v>
      </c>
      <c r="K145" s="55"/>
      <c r="L145" s="62">
        <f t="shared" ca="1" si="158"/>
        <v>45727873.078789331</v>
      </c>
      <c r="M145" s="68">
        <f ca="1">IF(pdrLossTime1="",OFFSET(Vectors!$AE$6,A145+_Age1,MATCH(SDA_Loss,lstSDA,0)),OFFSET(Vectors!$X$6,A145+_Age1,MATCH(pdrLossTime1,lstDefaultCurve,0)))</f>
        <v>2.7777777777777779E-5</v>
      </c>
      <c r="N145" s="62">
        <f t="shared" ca="1" si="144"/>
        <v>2777.7777777777778</v>
      </c>
      <c r="O145" s="67">
        <f t="shared" ca="1" si="159"/>
        <v>0.86706404049988794</v>
      </c>
      <c r="P145" s="68">
        <f ca="1">OFFSET(Vectors!$L$6,A145+_Age1,MATCH(pdrPrepay1,lstPrepayCurve,0))*pdrPrepayStress1</f>
        <v>5.1430128318229462E-3</v>
      </c>
      <c r="Q145" s="62">
        <f t="shared" ca="1" si="160"/>
        <v>234764.30276287891</v>
      </c>
      <c r="R145" s="62">
        <f t="shared" ca="1" si="161"/>
        <v>80635.626125764233</v>
      </c>
      <c r="S145" s="69">
        <f t="shared" ca="1" si="162"/>
        <v>0.09</v>
      </c>
      <c r="T145" s="62">
        <f t="shared" ca="1" si="163"/>
        <v>342938.21475758665</v>
      </c>
      <c r="U145" s="62">
        <f t="shared" ca="1" si="145"/>
        <v>1111.1111111111111</v>
      </c>
      <c r="V145" s="62">
        <f t="shared" ca="1" si="139"/>
        <v>45409695.372122906</v>
      </c>
      <c r="W145" s="55"/>
      <c r="X145" s="62">
        <f t="shared" ca="1" si="164"/>
        <v>659449.25475734088</v>
      </c>
      <c r="Y145" s="55"/>
      <c r="Z145" s="118" t="b">
        <v>0</v>
      </c>
      <c r="AA145" s="120" t="b">
        <f t="shared" si="146"/>
        <v>0</v>
      </c>
      <c r="AB145" s="120" t="b">
        <f t="shared" si="147"/>
        <v>1</v>
      </c>
      <c r="AC145" s="120" t="b">
        <f t="shared" ca="1" si="148"/>
        <v>0</v>
      </c>
      <c r="AD145" s="121"/>
      <c r="AE145" s="129">
        <v>15872180.892067771</v>
      </c>
      <c r="AF145" s="69">
        <f ca="1">IF(Swap_Active="No",0,OFFSET(Vectors!$D$6,Vectors!A145,MATCH(Swap_In,lstInterestRates,0)))</f>
        <v>6.9369000000000056E-2</v>
      </c>
      <c r="AG145" s="62">
        <f t="shared" ca="1" si="165"/>
        <v>91753.109691820835</v>
      </c>
      <c r="AH145" s="69">
        <f ca="1">IF(Swap_Active="No",0,OFFSET(Vectors!$D$6,Vectors!A145,MATCH(Swap_Out,lstInterestRates,0)))</f>
        <v>0.04</v>
      </c>
      <c r="AI145" s="62">
        <f t="shared" ca="1" si="166"/>
        <v>52907.269640225903</v>
      </c>
      <c r="AJ145" s="62">
        <f t="shared" ca="1" si="167"/>
        <v>38845.840051594932</v>
      </c>
      <c r="AK145" s="62">
        <f t="shared" ca="1" si="168"/>
        <v>698295.09480893577</v>
      </c>
      <c r="AL145" s="121"/>
      <c r="AM145" s="123">
        <f t="shared" ca="1" si="149"/>
        <v>80883.566333685914</v>
      </c>
      <c r="AN145" s="124">
        <f t="shared" ca="1" si="169"/>
        <v>80883.566333685914</v>
      </c>
      <c r="AO145" s="125">
        <f t="shared" ca="1" si="170"/>
        <v>0</v>
      </c>
      <c r="AP145" s="123">
        <f t="shared" ca="1" si="171"/>
        <v>617411.52847524988</v>
      </c>
      <c r="AQ145" s="121"/>
      <c r="AR145" s="126">
        <f ca="1">IF(LiabIntType1="Fixed",LiabFxdRate1,OFFSET(Vectors!$D$6,Vectors!A145,MATCH(LiabLoanIndex1,lstInterestRates,0))+LiabMarg1)</f>
        <v>7.9369000000000051E-2</v>
      </c>
      <c r="AS145" s="122">
        <f t="shared" ca="1" si="172"/>
        <v>74137.702470853474</v>
      </c>
      <c r="AT145" s="124">
        <f t="shared" ca="1" si="173"/>
        <v>74137.702470853474</v>
      </c>
      <c r="AU145" s="123">
        <f t="shared" ca="1" si="174"/>
        <v>0</v>
      </c>
      <c r="AV145" s="123">
        <f t="shared" ca="1" si="150"/>
        <v>0</v>
      </c>
      <c r="AW145" s="123">
        <f t="shared" ca="1" si="175"/>
        <v>0</v>
      </c>
      <c r="AX145" s="124">
        <f t="shared" ca="1" si="176"/>
        <v>543273.82600439643</v>
      </c>
      <c r="AY145" s="121"/>
      <c r="AZ145" s="122">
        <f t="shared" ca="1" si="151"/>
        <v>543273.82600439643</v>
      </c>
      <c r="BA145" s="124">
        <f t="shared" ca="1" si="177"/>
        <v>543273.82600439643</v>
      </c>
      <c r="BB145" s="123">
        <f t="shared" ca="1" si="178"/>
        <v>0</v>
      </c>
      <c r="BC145" s="123">
        <f t="shared" ca="1" si="152"/>
        <v>0</v>
      </c>
      <c r="BD145" s="123">
        <f t="shared" ca="1" si="179"/>
        <v>0</v>
      </c>
      <c r="BE145" s="124">
        <f t="shared" ca="1" si="180"/>
        <v>0</v>
      </c>
      <c r="BF145" s="121"/>
      <c r="BG145" s="123">
        <f t="shared" si="153"/>
        <v>1000000</v>
      </c>
      <c r="BH145" s="123">
        <f t="shared" ca="1" si="181"/>
        <v>1000000</v>
      </c>
      <c r="BI145" s="123">
        <f t="shared" ca="1" si="182"/>
        <v>0</v>
      </c>
      <c r="BJ145" s="123">
        <f t="shared" ca="1" si="183"/>
        <v>0</v>
      </c>
      <c r="BK145" s="123">
        <f t="shared" ca="1" si="140"/>
        <v>1000000</v>
      </c>
      <c r="BL145" s="123">
        <f t="shared" ca="1" si="184"/>
        <v>0</v>
      </c>
      <c r="BM145" s="121"/>
      <c r="BN145" s="126">
        <f ca="1">IF(LiabIntType2="Fixed",LiabFxdRate2,OFFSET(Vectors!$D$6,Vectors!A145,MATCH(LiabLoanIndex2,lstInterestRates,0))+LiabMarg2)</f>
        <v>0.04</v>
      </c>
      <c r="BO145" s="122">
        <f t="shared" ca="1" si="185"/>
        <v>34119.905847872607</v>
      </c>
      <c r="BP145" s="124">
        <f t="shared" ca="1" si="186"/>
        <v>0</v>
      </c>
      <c r="BQ145" s="123">
        <f t="shared" ca="1" si="187"/>
        <v>34119.905847872607</v>
      </c>
      <c r="BR145" s="123">
        <f t="shared" ca="1" si="188"/>
        <v>0</v>
      </c>
      <c r="BS145" s="121"/>
      <c r="BT145" s="123">
        <f t="shared" ca="1" si="154"/>
        <v>32622.479384680679</v>
      </c>
      <c r="BU145" s="123">
        <f t="shared" ca="1" si="189"/>
        <v>0</v>
      </c>
      <c r="BV145" s="123">
        <f t="shared" ca="1" si="190"/>
        <v>32622.479384680679</v>
      </c>
      <c r="BW145" s="123">
        <f t="shared" ca="1" si="191"/>
        <v>0</v>
      </c>
      <c r="BX145" s="121"/>
      <c r="BY145" s="123">
        <f t="shared" si="192"/>
        <v>0</v>
      </c>
      <c r="BZ145" s="123">
        <f t="shared" ca="1" si="193"/>
        <v>0</v>
      </c>
      <c r="CA145" s="121"/>
      <c r="CB145" s="122">
        <f t="shared" ca="1" si="141"/>
        <v>10665793.059684489</v>
      </c>
      <c r="CC145" s="122">
        <f t="shared" ca="1" si="194"/>
        <v>74137.702470853474</v>
      </c>
      <c r="CD145" s="124">
        <f t="shared" ca="1" si="195"/>
        <v>543273.82600439643</v>
      </c>
      <c r="CE145" s="121"/>
      <c r="CF145" s="122">
        <f t="shared" ca="1" si="142"/>
        <v>10235971.754361782</v>
      </c>
      <c r="CG145" s="124">
        <f t="shared" ca="1" si="196"/>
        <v>0</v>
      </c>
      <c r="CH145" s="123">
        <f t="shared" ca="1" si="197"/>
        <v>0</v>
      </c>
      <c r="CI145" s="121"/>
      <c r="CJ145" s="123">
        <f t="shared" ca="1" si="198"/>
        <v>751202.36444916169</v>
      </c>
      <c r="CK145" s="123">
        <f t="shared" ca="1" si="199"/>
        <v>751202.36444916169</v>
      </c>
      <c r="CL145" s="123">
        <f t="shared" ca="1" si="200"/>
        <v>0</v>
      </c>
      <c r="CM145" s="121"/>
      <c r="CN145" s="62">
        <f t="shared" ca="1" si="201"/>
        <v>318177.70666642091</v>
      </c>
      <c r="CO145" s="62" t="b">
        <f t="shared" si="202"/>
        <v>1</v>
      </c>
      <c r="CP145" s="126">
        <f t="shared" ca="1" si="203"/>
        <v>3.8611111111111021E-3</v>
      </c>
      <c r="CQ145" s="120"/>
      <c r="CR145" s="120"/>
      <c r="CS145" s="120"/>
      <c r="CT145" s="120"/>
      <c r="CU145" s="120"/>
      <c r="CV145" s="120"/>
      <c r="CW145" s="120"/>
      <c r="CX145" s="120"/>
      <c r="CY145" s="120"/>
      <c r="CZ145" s="120"/>
      <c r="DA145" s="120"/>
      <c r="DB145" s="120"/>
      <c r="DC145" s="120"/>
      <c r="DD145" s="120"/>
      <c r="DE145" s="116"/>
      <c r="DF145" s="116"/>
      <c r="DG145" s="116"/>
      <c r="DH145" s="116"/>
      <c r="DI145" s="116"/>
      <c r="DJ145" s="116"/>
      <c r="DK145" s="116"/>
      <c r="DL145" s="116"/>
      <c r="DM145" s="116"/>
      <c r="DN145" s="116"/>
    </row>
    <row r="146" spans="1:118" x14ac:dyDescent="0.2">
      <c r="A146" s="27">
        <v>140</v>
      </c>
      <c r="B146" s="29">
        <f t="shared" si="136"/>
        <v>43374</v>
      </c>
      <c r="C146" s="30">
        <f t="shared" si="137"/>
        <v>8.3333333333333329E-2</v>
      </c>
      <c r="D146" s="55"/>
      <c r="E146" s="62">
        <f t="shared" ca="1" si="155"/>
        <v>86706404.049988791</v>
      </c>
      <c r="F146" s="63">
        <f ca="1">IF(AssetIntType1="Fixed",AssetFxdRate1,IF(A146=1,OFFSET(Vectors!$D$6,A146,MATCH(AssetFltIndx1,lstInterestRates,0)),IF(MOD($A146,AssetRateReset1)=0,MAX(MIN(OFFSET(Vectors!$D$6,A146,MATCH(AssetFltIndx1,lstInterestRates,0)),(F145-AssetMarg1)+AssetPdCapFl1,AssetLifeCap1-AssetMarg1),(F145-AssetMarg1)-AssetPdCapFl1,AssetLifeFloor1-AssetMarg1),F145)))+AssetMarg1</f>
        <v>0.09</v>
      </c>
      <c r="G146" s="62">
        <f t="shared" ca="1" si="143"/>
        <v>804622.61694478267</v>
      </c>
      <c r="H146" s="62">
        <f t="shared" ca="1" si="156"/>
        <v>650298.03037491592</v>
      </c>
      <c r="I146" s="62">
        <f t="shared" ca="1" si="157"/>
        <v>154324.58656986675</v>
      </c>
      <c r="J146" s="62">
        <f t="shared" ca="1" si="138"/>
        <v>86552079.463418931</v>
      </c>
      <c r="K146" s="55"/>
      <c r="L146" s="62">
        <f t="shared" ca="1" si="158"/>
        <v>45409695.372122906</v>
      </c>
      <c r="M146" s="68">
        <f ca="1">IF(pdrLossTime1="",OFFSET(Vectors!$AE$6,A146+_Age1,MATCH(SDA_Loss,lstSDA,0)),OFFSET(Vectors!$X$6,A146+_Age1,MATCH(pdrLossTime1,lstDefaultCurve,0)))</f>
        <v>2.7777777777777779E-5</v>
      </c>
      <c r="N146" s="62">
        <f t="shared" ca="1" si="144"/>
        <v>2777.7777777777778</v>
      </c>
      <c r="O146" s="67">
        <f t="shared" ca="1" si="159"/>
        <v>0.86552079463418929</v>
      </c>
      <c r="P146" s="68">
        <f ca="1">OFFSET(Vectors!$L$6,A146+_Age1,MATCH(pdrPrepay1,lstPrepayCurve,0))*pdrPrepayStress1</f>
        <v>5.1430128318229462E-3</v>
      </c>
      <c r="Q146" s="62">
        <f t="shared" ca="1" si="160"/>
        <v>233126.97458882837</v>
      </c>
      <c r="R146" s="62">
        <f t="shared" ca="1" si="161"/>
        <v>80817.603520026401</v>
      </c>
      <c r="S146" s="69">
        <f t="shared" ca="1" si="162"/>
        <v>0.09</v>
      </c>
      <c r="T146" s="62">
        <f t="shared" ca="1" si="163"/>
        <v>340551.88195758848</v>
      </c>
      <c r="U146" s="62">
        <f t="shared" ca="1" si="145"/>
        <v>1111.1111111111111</v>
      </c>
      <c r="V146" s="62">
        <f t="shared" ca="1" si="139"/>
        <v>45092973.016236275</v>
      </c>
      <c r="W146" s="55"/>
      <c r="X146" s="62">
        <f t="shared" ca="1" si="164"/>
        <v>655607.57117755443</v>
      </c>
      <c r="Y146" s="55"/>
      <c r="Z146" s="118" t="b">
        <v>0</v>
      </c>
      <c r="AA146" s="120" t="b">
        <f t="shared" si="146"/>
        <v>0</v>
      </c>
      <c r="AB146" s="120" t="b">
        <f t="shared" si="147"/>
        <v>1</v>
      </c>
      <c r="AC146" s="120" t="b">
        <f t="shared" ca="1" si="148"/>
        <v>0</v>
      </c>
      <c r="AD146" s="121"/>
      <c r="AE146" s="129">
        <v>15617287.181353586</v>
      </c>
      <c r="AF146" s="69">
        <f ca="1">IF(Swap_Active="No",0,OFFSET(Vectors!$D$6,Vectors!A146,MATCH(Swap_In,lstInterestRates,0)))</f>
        <v>6.9369000000000056E-2</v>
      </c>
      <c r="AG146" s="62">
        <f t="shared" ca="1" si="165"/>
        <v>90279.632873609808</v>
      </c>
      <c r="AH146" s="69">
        <f ca="1">IF(Swap_Active="No",0,OFFSET(Vectors!$D$6,Vectors!A146,MATCH(Swap_Out,lstInterestRates,0)))</f>
        <v>0.04</v>
      </c>
      <c r="AI146" s="62">
        <f t="shared" ca="1" si="166"/>
        <v>52057.623937845288</v>
      </c>
      <c r="AJ146" s="62">
        <f t="shared" ca="1" si="167"/>
        <v>38222.008935764519</v>
      </c>
      <c r="AK146" s="62">
        <f t="shared" ca="1" si="168"/>
        <v>693829.58011331898</v>
      </c>
      <c r="AL146" s="121"/>
      <c r="AM146" s="123">
        <f t="shared" ca="1" si="149"/>
        <v>80126.906061740039</v>
      </c>
      <c r="AN146" s="124">
        <f t="shared" ca="1" si="169"/>
        <v>80126.906061740039</v>
      </c>
      <c r="AO146" s="125">
        <f t="shared" ca="1" si="170"/>
        <v>0</v>
      </c>
      <c r="AP146" s="123">
        <f t="shared" ca="1" si="171"/>
        <v>613702.67405157897</v>
      </c>
      <c r="AQ146" s="121"/>
      <c r="AR146" s="126">
        <f ca="1">IF(LiabIntType1="Fixed",LiabFxdRate1,OFFSET(Vectors!$D$6,Vectors!A146,MATCH(LiabLoanIndex1,lstInterestRates,0))+LiabMarg1)</f>
        <v>7.9369000000000051E-2</v>
      </c>
      <c r="AS146" s="122">
        <f t="shared" ca="1" si="172"/>
        <v>70544.444112841564</v>
      </c>
      <c r="AT146" s="124">
        <f t="shared" ca="1" si="173"/>
        <v>70544.444112841564</v>
      </c>
      <c r="AU146" s="123">
        <f t="shared" ca="1" si="174"/>
        <v>0</v>
      </c>
      <c r="AV146" s="123">
        <f t="shared" ca="1" si="150"/>
        <v>0</v>
      </c>
      <c r="AW146" s="123">
        <f t="shared" ca="1" si="175"/>
        <v>0</v>
      </c>
      <c r="AX146" s="124">
        <f t="shared" ca="1" si="176"/>
        <v>543158.22993873735</v>
      </c>
      <c r="AY146" s="121"/>
      <c r="AZ146" s="122">
        <f t="shared" ca="1" si="151"/>
        <v>543158.22993873735</v>
      </c>
      <c r="BA146" s="124">
        <f t="shared" ca="1" si="177"/>
        <v>543158.22993873735</v>
      </c>
      <c r="BB146" s="123">
        <f t="shared" ca="1" si="178"/>
        <v>0</v>
      </c>
      <c r="BC146" s="123">
        <f t="shared" ca="1" si="152"/>
        <v>0</v>
      </c>
      <c r="BD146" s="123">
        <f t="shared" ca="1" si="179"/>
        <v>0</v>
      </c>
      <c r="BE146" s="124">
        <f t="shared" ca="1" si="180"/>
        <v>0</v>
      </c>
      <c r="BF146" s="121"/>
      <c r="BG146" s="123">
        <f t="shared" si="153"/>
        <v>1000000</v>
      </c>
      <c r="BH146" s="123">
        <f t="shared" ca="1" si="181"/>
        <v>1000000</v>
      </c>
      <c r="BI146" s="123">
        <f t="shared" ca="1" si="182"/>
        <v>0</v>
      </c>
      <c r="BJ146" s="123">
        <f t="shared" ca="1" si="183"/>
        <v>0</v>
      </c>
      <c r="BK146" s="123">
        <f t="shared" ca="1" si="140"/>
        <v>1000000</v>
      </c>
      <c r="BL146" s="123">
        <f t="shared" ca="1" si="184"/>
        <v>0</v>
      </c>
      <c r="BM146" s="121"/>
      <c r="BN146" s="126">
        <f ca="1">IF(LiabIntType2="Fixed",LiabFxdRate2,OFFSET(Vectors!$D$6,Vectors!A146,MATCH(LiabLoanIndex2,lstInterestRates,0))+LiabMarg2)</f>
        <v>0.04</v>
      </c>
      <c r="BO146" s="122">
        <f t="shared" ca="1" si="185"/>
        <v>34119.905847872607</v>
      </c>
      <c r="BP146" s="124">
        <f t="shared" ca="1" si="186"/>
        <v>0</v>
      </c>
      <c r="BQ146" s="123">
        <f t="shared" ca="1" si="187"/>
        <v>34119.905847872607</v>
      </c>
      <c r="BR146" s="123">
        <f t="shared" ca="1" si="188"/>
        <v>0</v>
      </c>
      <c r="BS146" s="121"/>
      <c r="BT146" s="123">
        <f t="shared" ca="1" si="154"/>
        <v>32473.263553978566</v>
      </c>
      <c r="BU146" s="123">
        <f t="shared" ca="1" si="189"/>
        <v>0</v>
      </c>
      <c r="BV146" s="123">
        <f t="shared" ca="1" si="190"/>
        <v>32473.263553978566</v>
      </c>
      <c r="BW146" s="123">
        <f t="shared" ca="1" si="191"/>
        <v>0</v>
      </c>
      <c r="BX146" s="121"/>
      <c r="BY146" s="123">
        <f t="shared" si="192"/>
        <v>0</v>
      </c>
      <c r="BZ146" s="123">
        <f t="shared" ca="1" si="193"/>
        <v>0</v>
      </c>
      <c r="CA146" s="121"/>
      <c r="CB146" s="122">
        <f t="shared" ca="1" si="141"/>
        <v>10122634.829745751</v>
      </c>
      <c r="CC146" s="122">
        <f t="shared" ca="1" si="194"/>
        <v>70544.444112841564</v>
      </c>
      <c r="CD146" s="124">
        <f t="shared" ca="1" si="195"/>
        <v>543158.22993873735</v>
      </c>
      <c r="CE146" s="121"/>
      <c r="CF146" s="122">
        <f t="shared" ca="1" si="142"/>
        <v>10235971.754361782</v>
      </c>
      <c r="CG146" s="124">
        <f t="shared" ca="1" si="196"/>
        <v>0</v>
      </c>
      <c r="CH146" s="123">
        <f t="shared" ca="1" si="197"/>
        <v>0</v>
      </c>
      <c r="CI146" s="121"/>
      <c r="CJ146" s="123">
        <f t="shared" ca="1" si="198"/>
        <v>745887.20405116421</v>
      </c>
      <c r="CK146" s="123">
        <f t="shared" ca="1" si="199"/>
        <v>745887.20405116421</v>
      </c>
      <c r="CL146" s="123">
        <f t="shared" ca="1" si="200"/>
        <v>0</v>
      </c>
      <c r="CM146" s="121"/>
      <c r="CN146" s="62">
        <f t="shared" ca="1" si="201"/>
        <v>316722.35588663258</v>
      </c>
      <c r="CO146" s="62" t="b">
        <f t="shared" si="202"/>
        <v>1</v>
      </c>
      <c r="CP146" s="126">
        <f t="shared" ca="1" si="203"/>
        <v>3.8888888888888797E-3</v>
      </c>
      <c r="CQ146" s="120"/>
      <c r="CR146" s="120"/>
      <c r="CS146" s="120"/>
      <c r="CT146" s="120"/>
      <c r="CU146" s="120"/>
      <c r="CV146" s="120"/>
      <c r="CW146" s="120"/>
      <c r="CX146" s="120"/>
      <c r="CY146" s="120"/>
      <c r="CZ146" s="120"/>
      <c r="DA146" s="120"/>
      <c r="DB146" s="120"/>
      <c r="DC146" s="120"/>
      <c r="DD146" s="120"/>
      <c r="DE146" s="116"/>
      <c r="DF146" s="116"/>
      <c r="DG146" s="116"/>
      <c r="DH146" s="116"/>
      <c r="DI146" s="116"/>
      <c r="DJ146" s="116"/>
      <c r="DK146" s="116"/>
      <c r="DL146" s="116"/>
      <c r="DM146" s="116"/>
      <c r="DN146" s="116"/>
    </row>
    <row r="147" spans="1:118" x14ac:dyDescent="0.2">
      <c r="A147" s="27">
        <v>141</v>
      </c>
      <c r="B147" s="29">
        <f t="shared" si="136"/>
        <v>43405</v>
      </c>
      <c r="C147" s="30">
        <f t="shared" si="137"/>
        <v>8.3333333333333329E-2</v>
      </c>
      <c r="D147" s="55"/>
      <c r="E147" s="62">
        <f t="shared" ca="1" si="155"/>
        <v>86552079.463418931</v>
      </c>
      <c r="F147" s="63">
        <f ca="1">IF(AssetIntType1="Fixed",AssetFxdRate1,IF(A147=1,OFFSET(Vectors!$D$6,A147,MATCH(AssetFltIndx1,lstInterestRates,0)),IF(MOD($A147,AssetRateReset1)=0,MAX(MIN(OFFSET(Vectors!$D$6,A147,MATCH(AssetFltIndx1,lstInterestRates,0)),(F146-AssetMarg1)+AssetPdCapFl1,AssetLifeCap1-AssetMarg1),(F146-AssetMarg1)-AssetPdCapFl1,AssetLifeFloor1-AssetMarg1),F146)))+AssetMarg1</f>
        <v>0.09</v>
      </c>
      <c r="G147" s="62">
        <f t="shared" ca="1" si="143"/>
        <v>804622.61694478267</v>
      </c>
      <c r="H147" s="62">
        <f t="shared" ca="1" si="156"/>
        <v>649140.59597564198</v>
      </c>
      <c r="I147" s="62">
        <f t="shared" ca="1" si="157"/>
        <v>155482.02096914069</v>
      </c>
      <c r="J147" s="62">
        <f t="shared" ca="1" si="138"/>
        <v>86396597.442449793</v>
      </c>
      <c r="K147" s="55"/>
      <c r="L147" s="62">
        <f t="shared" ca="1" si="158"/>
        <v>45092973.016236275</v>
      </c>
      <c r="M147" s="68">
        <f ca="1">IF(pdrLossTime1="",OFFSET(Vectors!$AE$6,A147+_Age1,MATCH(SDA_Loss,lstSDA,0)),OFFSET(Vectors!$X$6,A147+_Age1,MATCH(pdrLossTime1,lstDefaultCurve,0)))</f>
        <v>2.7777777777777779E-5</v>
      </c>
      <c r="N147" s="62">
        <f t="shared" ca="1" si="144"/>
        <v>2777.7777777777778</v>
      </c>
      <c r="O147" s="67">
        <f t="shared" ca="1" si="159"/>
        <v>0.86396597442449796</v>
      </c>
      <c r="P147" s="68">
        <f ca="1">OFFSET(Vectors!$L$6,A147+_Age1,MATCH(pdrPrepay1,lstPrepayCurve,0))*pdrPrepayStress1</f>
        <v>5.1430128318229462E-3</v>
      </c>
      <c r="Q147" s="62">
        <f t="shared" ca="1" si="160"/>
        <v>231497.12936768361</v>
      </c>
      <c r="R147" s="62">
        <f t="shared" ca="1" si="161"/>
        <v>80999.956616079842</v>
      </c>
      <c r="S147" s="69">
        <f t="shared" ca="1" si="162"/>
        <v>0.09</v>
      </c>
      <c r="T147" s="62">
        <f t="shared" ca="1" si="163"/>
        <v>338176.46428843873</v>
      </c>
      <c r="U147" s="62">
        <f t="shared" ca="1" si="145"/>
        <v>1111.1111111111111</v>
      </c>
      <c r="V147" s="62">
        <f t="shared" ca="1" si="139"/>
        <v>44777698.152474731</v>
      </c>
      <c r="W147" s="55"/>
      <c r="X147" s="62">
        <f t="shared" ca="1" si="164"/>
        <v>651784.66138331324</v>
      </c>
      <c r="Y147" s="55"/>
      <c r="Z147" s="118" t="b">
        <v>0</v>
      </c>
      <c r="AA147" s="120" t="b">
        <f t="shared" si="146"/>
        <v>0</v>
      </c>
      <c r="AB147" s="120" t="b">
        <f t="shared" si="147"/>
        <v>1</v>
      </c>
      <c r="AC147" s="120" t="b">
        <f t="shared" ca="1" si="148"/>
        <v>0</v>
      </c>
      <c r="AD147" s="121"/>
      <c r="AE147" s="129">
        <v>15365039.964951642</v>
      </c>
      <c r="AF147" s="69">
        <f ca="1">IF(Swap_Active="No",0,OFFSET(Vectors!$D$6,Vectors!A147,MATCH(Swap_In,lstInterestRates,0)))</f>
        <v>6.9369000000000056E-2</v>
      </c>
      <c r="AG147" s="62">
        <f t="shared" ca="1" si="165"/>
        <v>88821.454777394261</v>
      </c>
      <c r="AH147" s="69">
        <f ca="1">IF(Swap_Active="No",0,OFFSET(Vectors!$D$6,Vectors!A147,MATCH(Swap_Out,lstInterestRates,0)))</f>
        <v>0.04</v>
      </c>
      <c r="AI147" s="62">
        <f t="shared" ca="1" si="166"/>
        <v>51216.799883172134</v>
      </c>
      <c r="AJ147" s="62">
        <f t="shared" ca="1" si="167"/>
        <v>37604.654894222127</v>
      </c>
      <c r="AK147" s="62">
        <f t="shared" ca="1" si="168"/>
        <v>689389.3162775354</v>
      </c>
      <c r="AL147" s="121"/>
      <c r="AM147" s="123">
        <f t="shared" ca="1" si="149"/>
        <v>79372.719539454512</v>
      </c>
      <c r="AN147" s="124">
        <f t="shared" ca="1" si="169"/>
        <v>79372.719539454512</v>
      </c>
      <c r="AO147" s="125">
        <f t="shared" ca="1" si="170"/>
        <v>0</v>
      </c>
      <c r="AP147" s="123">
        <f t="shared" ca="1" si="171"/>
        <v>610016.59673808084</v>
      </c>
      <c r="AQ147" s="121"/>
      <c r="AR147" s="126">
        <f ca="1">IF(LiabIntType1="Fixed",LiabFxdRate1,OFFSET(Vectors!$D$6,Vectors!A147,MATCH(LiabLoanIndex1,lstInterestRates,0))+LiabMarg1)</f>
        <v>7.9369000000000051E-2</v>
      </c>
      <c r="AS147" s="122">
        <f t="shared" ca="1" si="172"/>
        <v>66951.950316840914</v>
      </c>
      <c r="AT147" s="124">
        <f t="shared" ca="1" si="173"/>
        <v>66951.950316840914</v>
      </c>
      <c r="AU147" s="123">
        <f t="shared" ca="1" si="174"/>
        <v>0</v>
      </c>
      <c r="AV147" s="123">
        <f t="shared" ca="1" si="150"/>
        <v>0</v>
      </c>
      <c r="AW147" s="123">
        <f t="shared" ca="1" si="175"/>
        <v>0</v>
      </c>
      <c r="AX147" s="124">
        <f t="shared" ca="1" si="176"/>
        <v>543064.64642123994</v>
      </c>
      <c r="AY147" s="121"/>
      <c r="AZ147" s="122">
        <f t="shared" ca="1" si="151"/>
        <v>543064.64642123994</v>
      </c>
      <c r="BA147" s="124">
        <f t="shared" ca="1" si="177"/>
        <v>543064.64642123994</v>
      </c>
      <c r="BB147" s="123">
        <f t="shared" ca="1" si="178"/>
        <v>0</v>
      </c>
      <c r="BC147" s="123">
        <f t="shared" ca="1" si="152"/>
        <v>0</v>
      </c>
      <c r="BD147" s="123">
        <f t="shared" ca="1" si="179"/>
        <v>0</v>
      </c>
      <c r="BE147" s="124">
        <f t="shared" ca="1" si="180"/>
        <v>0</v>
      </c>
      <c r="BF147" s="121"/>
      <c r="BG147" s="123">
        <f t="shared" si="153"/>
        <v>1000000</v>
      </c>
      <c r="BH147" s="123">
        <f t="shared" ca="1" si="181"/>
        <v>1000000</v>
      </c>
      <c r="BI147" s="123">
        <f t="shared" ca="1" si="182"/>
        <v>0</v>
      </c>
      <c r="BJ147" s="123">
        <f t="shared" ca="1" si="183"/>
        <v>0</v>
      </c>
      <c r="BK147" s="123">
        <f t="shared" ca="1" si="140"/>
        <v>1000000</v>
      </c>
      <c r="BL147" s="123">
        <f t="shared" ca="1" si="184"/>
        <v>0</v>
      </c>
      <c r="BM147" s="121"/>
      <c r="BN147" s="126">
        <f ca="1">IF(LiabIntType2="Fixed",LiabFxdRate2,OFFSET(Vectors!$D$6,Vectors!A147,MATCH(LiabLoanIndex2,lstInterestRates,0))+LiabMarg2)</f>
        <v>0.04</v>
      </c>
      <c r="BO147" s="122">
        <f t="shared" ca="1" si="185"/>
        <v>34119.905847872607</v>
      </c>
      <c r="BP147" s="124">
        <f t="shared" ca="1" si="186"/>
        <v>0</v>
      </c>
      <c r="BQ147" s="123">
        <f t="shared" ca="1" si="187"/>
        <v>34119.905847872607</v>
      </c>
      <c r="BR147" s="123">
        <f t="shared" ca="1" si="188"/>
        <v>0</v>
      </c>
      <c r="BS147" s="121"/>
      <c r="BT147" s="123">
        <f t="shared" ca="1" si="154"/>
        <v>32324.853464205094</v>
      </c>
      <c r="BU147" s="123">
        <f t="shared" ca="1" si="189"/>
        <v>0</v>
      </c>
      <c r="BV147" s="123">
        <f t="shared" ca="1" si="190"/>
        <v>32324.853464205094</v>
      </c>
      <c r="BW147" s="123">
        <f t="shared" ca="1" si="191"/>
        <v>0</v>
      </c>
      <c r="BX147" s="121"/>
      <c r="BY147" s="123">
        <f t="shared" si="192"/>
        <v>0</v>
      </c>
      <c r="BZ147" s="123">
        <f t="shared" ca="1" si="193"/>
        <v>0</v>
      </c>
      <c r="CA147" s="121"/>
      <c r="CB147" s="122">
        <f t="shared" ca="1" si="141"/>
        <v>9579570.1833245102</v>
      </c>
      <c r="CC147" s="122">
        <f t="shared" ca="1" si="194"/>
        <v>66951.950316840914</v>
      </c>
      <c r="CD147" s="124">
        <f t="shared" ca="1" si="195"/>
        <v>543064.64642123994</v>
      </c>
      <c r="CE147" s="121"/>
      <c r="CF147" s="122">
        <f t="shared" ca="1" si="142"/>
        <v>10235971.754361782</v>
      </c>
      <c r="CG147" s="124">
        <f t="shared" ca="1" si="196"/>
        <v>0</v>
      </c>
      <c r="CH147" s="123">
        <f t="shared" ca="1" si="197"/>
        <v>0</v>
      </c>
      <c r="CI147" s="121"/>
      <c r="CJ147" s="123">
        <f t="shared" ca="1" si="198"/>
        <v>740606.11616070755</v>
      </c>
      <c r="CK147" s="123">
        <f t="shared" ca="1" si="199"/>
        <v>740606.11616070755</v>
      </c>
      <c r="CL147" s="123">
        <f t="shared" ca="1" si="200"/>
        <v>0</v>
      </c>
      <c r="CM147" s="121"/>
      <c r="CN147" s="62">
        <f t="shared" ca="1" si="201"/>
        <v>315274.8637615412</v>
      </c>
      <c r="CO147" s="62" t="b">
        <f t="shared" si="202"/>
        <v>1</v>
      </c>
      <c r="CP147" s="126">
        <f t="shared" ca="1" si="203"/>
        <v>3.9166666666666577E-3</v>
      </c>
      <c r="CQ147" s="120"/>
      <c r="CR147" s="120"/>
      <c r="CS147" s="120"/>
      <c r="CT147" s="120"/>
      <c r="CU147" s="120"/>
      <c r="CV147" s="120"/>
      <c r="CW147" s="120"/>
      <c r="CX147" s="120"/>
      <c r="CY147" s="120"/>
      <c r="CZ147" s="120"/>
      <c r="DA147" s="120"/>
      <c r="DB147" s="120"/>
      <c r="DC147" s="120"/>
      <c r="DD147" s="120"/>
      <c r="DE147" s="116"/>
      <c r="DF147" s="116"/>
      <c r="DG147" s="116"/>
      <c r="DH147" s="116"/>
      <c r="DI147" s="116"/>
      <c r="DJ147" s="116"/>
      <c r="DK147" s="116"/>
      <c r="DL147" s="116"/>
      <c r="DM147" s="116"/>
      <c r="DN147" s="116"/>
    </row>
    <row r="148" spans="1:118" x14ac:dyDescent="0.2">
      <c r="A148" s="27">
        <v>142</v>
      </c>
      <c r="B148" s="29">
        <f t="shared" si="136"/>
        <v>43435</v>
      </c>
      <c r="C148" s="30">
        <f t="shared" si="137"/>
        <v>8.3333333333333329E-2</v>
      </c>
      <c r="D148" s="55"/>
      <c r="E148" s="62">
        <f t="shared" ca="1" si="155"/>
        <v>86396597.442449793</v>
      </c>
      <c r="F148" s="63">
        <f ca="1">IF(AssetIntType1="Fixed",AssetFxdRate1,IF(A148=1,OFFSET(Vectors!$D$6,A148,MATCH(AssetFltIndx1,lstInterestRates,0)),IF(MOD($A148,AssetRateReset1)=0,MAX(MIN(OFFSET(Vectors!$D$6,A148,MATCH(AssetFltIndx1,lstInterestRates,0)),(F147-AssetMarg1)+AssetPdCapFl1,AssetLifeCap1-AssetMarg1),(F147-AssetMarg1)-AssetPdCapFl1,AssetLifeFloor1-AssetMarg1),F147)))+AssetMarg1</f>
        <v>0.09</v>
      </c>
      <c r="G148" s="62">
        <f t="shared" ca="1" si="143"/>
        <v>804622.61694478267</v>
      </c>
      <c r="H148" s="62">
        <f t="shared" ca="1" si="156"/>
        <v>647974.48081837338</v>
      </c>
      <c r="I148" s="62">
        <f t="shared" ca="1" si="157"/>
        <v>156648.13612640928</v>
      </c>
      <c r="J148" s="62">
        <f t="shared" ca="1" si="138"/>
        <v>86239949.306323379</v>
      </c>
      <c r="K148" s="55"/>
      <c r="L148" s="62">
        <f t="shared" ca="1" si="158"/>
        <v>44777698.152474731</v>
      </c>
      <c r="M148" s="68">
        <f ca="1">IF(pdrLossTime1="",OFFSET(Vectors!$AE$6,A148+_Age1,MATCH(SDA_Loss,lstSDA,0)),OFFSET(Vectors!$X$6,A148+_Age1,MATCH(pdrLossTime1,lstDefaultCurve,0)))</f>
        <v>2.7777777777777779E-5</v>
      </c>
      <c r="N148" s="62">
        <f t="shared" ca="1" si="144"/>
        <v>2777.7777777777778</v>
      </c>
      <c r="O148" s="67">
        <f t="shared" ca="1" si="159"/>
        <v>0.86239949306323382</v>
      </c>
      <c r="P148" s="68">
        <f ca="1">OFFSET(Vectors!$L$6,A148+_Age1,MATCH(pdrPrepay1,lstPrepayCurve,0))*pdrPrepayStress1</f>
        <v>5.1430128318229462E-3</v>
      </c>
      <c r="Q148" s="62">
        <f t="shared" ca="1" si="160"/>
        <v>229874.72668040672</v>
      </c>
      <c r="R148" s="62">
        <f t="shared" ca="1" si="161"/>
        <v>81182.685771588527</v>
      </c>
      <c r="S148" s="69">
        <f t="shared" ca="1" si="162"/>
        <v>0.09</v>
      </c>
      <c r="T148" s="62">
        <f t="shared" ca="1" si="163"/>
        <v>335811.90281022713</v>
      </c>
      <c r="U148" s="62">
        <f t="shared" ca="1" si="145"/>
        <v>1111.1111111111111</v>
      </c>
      <c r="V148" s="62">
        <f t="shared" ca="1" si="139"/>
        <v>44463862.962244958</v>
      </c>
      <c r="W148" s="55"/>
      <c r="X148" s="62">
        <f t="shared" ca="1" si="164"/>
        <v>647980.42637333355</v>
      </c>
      <c r="Y148" s="55"/>
      <c r="Z148" s="118" t="b">
        <v>0</v>
      </c>
      <c r="AA148" s="120" t="b">
        <f t="shared" si="146"/>
        <v>0</v>
      </c>
      <c r="AB148" s="120" t="b">
        <f t="shared" si="147"/>
        <v>1</v>
      </c>
      <c r="AC148" s="120" t="b">
        <f t="shared" ca="1" si="148"/>
        <v>0</v>
      </c>
      <c r="AD148" s="121"/>
      <c r="AE148" s="129">
        <v>15115412.526709018</v>
      </c>
      <c r="AF148" s="69">
        <f ca="1">IF(Swap_Active="No",0,OFFSET(Vectors!$D$6,Vectors!A148,MATCH(Swap_In,lstInterestRates,0)))</f>
        <v>6.9369000000000056E-2</v>
      </c>
      <c r="AG148" s="62">
        <f t="shared" ca="1" si="165"/>
        <v>87378.420963773227</v>
      </c>
      <c r="AH148" s="69">
        <f ca="1">IF(Swap_Active="No",0,OFFSET(Vectors!$D$6,Vectors!A148,MATCH(Swap_Out,lstInterestRates,0)))</f>
        <v>0.04</v>
      </c>
      <c r="AI148" s="62">
        <f t="shared" ca="1" si="166"/>
        <v>50384.708422363394</v>
      </c>
      <c r="AJ148" s="62">
        <f t="shared" ca="1" si="167"/>
        <v>36993.712541409834</v>
      </c>
      <c r="AK148" s="62">
        <f t="shared" ca="1" si="168"/>
        <v>684974.13891474344</v>
      </c>
      <c r="AL148" s="121"/>
      <c r="AM148" s="123">
        <f t="shared" ca="1" si="149"/>
        <v>78620.984497176425</v>
      </c>
      <c r="AN148" s="124">
        <f t="shared" ca="1" si="169"/>
        <v>78620.984497176425</v>
      </c>
      <c r="AO148" s="125">
        <f t="shared" ca="1" si="170"/>
        <v>0</v>
      </c>
      <c r="AP148" s="123">
        <f t="shared" ca="1" si="171"/>
        <v>606353.15441756696</v>
      </c>
      <c r="AQ148" s="121"/>
      <c r="AR148" s="126">
        <f ca="1">IF(LiabIntType1="Fixed",LiabFxdRate1,OFFSET(Vectors!$D$6,Vectors!A148,MATCH(LiabLoanIndex1,lstInterestRates,0))+LiabMarg1)</f>
        <v>7.9369000000000051E-2</v>
      </c>
      <c r="AS148" s="122">
        <f t="shared" ca="1" si="172"/>
        <v>63360.075490023628</v>
      </c>
      <c r="AT148" s="124">
        <f t="shared" ca="1" si="173"/>
        <v>63360.075490023628</v>
      </c>
      <c r="AU148" s="123">
        <f t="shared" ca="1" si="174"/>
        <v>0</v>
      </c>
      <c r="AV148" s="123">
        <f t="shared" ca="1" si="150"/>
        <v>0</v>
      </c>
      <c r="AW148" s="123">
        <f t="shared" ca="1" si="175"/>
        <v>0</v>
      </c>
      <c r="AX148" s="124">
        <f t="shared" ca="1" si="176"/>
        <v>542993.07892754336</v>
      </c>
      <c r="AY148" s="121"/>
      <c r="AZ148" s="122">
        <f t="shared" ca="1" si="151"/>
        <v>542993.07892754336</v>
      </c>
      <c r="BA148" s="124">
        <f t="shared" ca="1" si="177"/>
        <v>542993.07892754336</v>
      </c>
      <c r="BB148" s="123">
        <f t="shared" ca="1" si="178"/>
        <v>0</v>
      </c>
      <c r="BC148" s="123">
        <f t="shared" ca="1" si="152"/>
        <v>0</v>
      </c>
      <c r="BD148" s="123">
        <f t="shared" ca="1" si="179"/>
        <v>0</v>
      </c>
      <c r="BE148" s="124">
        <f t="shared" ca="1" si="180"/>
        <v>0</v>
      </c>
      <c r="BF148" s="121"/>
      <c r="BG148" s="123">
        <f t="shared" si="153"/>
        <v>1000000</v>
      </c>
      <c r="BH148" s="123">
        <f t="shared" ca="1" si="181"/>
        <v>1000000</v>
      </c>
      <c r="BI148" s="123">
        <f t="shared" ca="1" si="182"/>
        <v>0</v>
      </c>
      <c r="BJ148" s="123">
        <f t="shared" ca="1" si="183"/>
        <v>0</v>
      </c>
      <c r="BK148" s="123">
        <f t="shared" ca="1" si="140"/>
        <v>1000000</v>
      </c>
      <c r="BL148" s="123">
        <f t="shared" ca="1" si="184"/>
        <v>0</v>
      </c>
      <c r="BM148" s="121"/>
      <c r="BN148" s="126">
        <f ca="1">IF(LiabIntType2="Fixed",LiabFxdRate2,OFFSET(Vectors!$D$6,Vectors!A148,MATCH(LiabLoanIndex2,lstInterestRates,0))+LiabMarg2)</f>
        <v>0.04</v>
      </c>
      <c r="BO148" s="122">
        <f t="shared" ca="1" si="185"/>
        <v>34119.905847872607</v>
      </c>
      <c r="BP148" s="124">
        <f t="shared" ca="1" si="186"/>
        <v>0</v>
      </c>
      <c r="BQ148" s="123">
        <f t="shared" ca="1" si="187"/>
        <v>34119.905847872607</v>
      </c>
      <c r="BR148" s="123">
        <f t="shared" ca="1" si="188"/>
        <v>0</v>
      </c>
      <c r="BS148" s="121"/>
      <c r="BT148" s="123">
        <f t="shared" ca="1" si="154"/>
        <v>32177.24500790298</v>
      </c>
      <c r="BU148" s="123">
        <f t="shared" ca="1" si="189"/>
        <v>0</v>
      </c>
      <c r="BV148" s="123">
        <f t="shared" ca="1" si="190"/>
        <v>32177.24500790298</v>
      </c>
      <c r="BW148" s="123">
        <f t="shared" ca="1" si="191"/>
        <v>0</v>
      </c>
      <c r="BX148" s="121"/>
      <c r="BY148" s="123">
        <f t="shared" si="192"/>
        <v>0</v>
      </c>
      <c r="BZ148" s="123">
        <f t="shared" ca="1" si="193"/>
        <v>0</v>
      </c>
      <c r="CA148" s="121"/>
      <c r="CB148" s="122">
        <f t="shared" ca="1" si="141"/>
        <v>9036577.1043969672</v>
      </c>
      <c r="CC148" s="122">
        <f t="shared" ca="1" si="194"/>
        <v>63360.075490023628</v>
      </c>
      <c r="CD148" s="124">
        <f t="shared" ca="1" si="195"/>
        <v>542993.07892754336</v>
      </c>
      <c r="CE148" s="121"/>
      <c r="CF148" s="122">
        <f t="shared" ca="1" si="142"/>
        <v>10235971.754361782</v>
      </c>
      <c r="CG148" s="124">
        <f t="shared" ca="1" si="196"/>
        <v>0</v>
      </c>
      <c r="CH148" s="123">
        <f t="shared" ca="1" si="197"/>
        <v>0</v>
      </c>
      <c r="CI148" s="121"/>
      <c r="CJ148" s="123">
        <f t="shared" ca="1" si="198"/>
        <v>735358.84733710682</v>
      </c>
      <c r="CK148" s="123">
        <f t="shared" ca="1" si="199"/>
        <v>735358.84733710682</v>
      </c>
      <c r="CL148" s="123">
        <f t="shared" ca="1" si="200"/>
        <v>0</v>
      </c>
      <c r="CM148" s="121"/>
      <c r="CN148" s="62">
        <f t="shared" ca="1" si="201"/>
        <v>313835.19022977306</v>
      </c>
      <c r="CO148" s="62" t="b">
        <f t="shared" si="202"/>
        <v>1</v>
      </c>
      <c r="CP148" s="126">
        <f t="shared" ca="1" si="203"/>
        <v>3.9444444444444353E-3</v>
      </c>
      <c r="CQ148" s="120"/>
      <c r="CR148" s="120"/>
      <c r="CS148" s="120"/>
      <c r="CT148" s="120"/>
      <c r="CU148" s="120"/>
      <c r="CV148" s="120"/>
      <c r="CW148" s="120"/>
      <c r="CX148" s="120"/>
      <c r="CY148" s="120"/>
      <c r="CZ148" s="120"/>
      <c r="DA148" s="120"/>
      <c r="DB148" s="120"/>
      <c r="DC148" s="120"/>
      <c r="DD148" s="120"/>
      <c r="DE148" s="116"/>
      <c r="DF148" s="116"/>
      <c r="DG148" s="116"/>
      <c r="DH148" s="116"/>
      <c r="DI148" s="116"/>
      <c r="DJ148" s="116"/>
      <c r="DK148" s="116"/>
      <c r="DL148" s="116"/>
      <c r="DM148" s="116"/>
      <c r="DN148" s="116"/>
    </row>
    <row r="149" spans="1:118" x14ac:dyDescent="0.2">
      <c r="A149" s="27">
        <v>143</v>
      </c>
      <c r="B149" s="29">
        <f t="shared" si="136"/>
        <v>43466</v>
      </c>
      <c r="C149" s="30">
        <f t="shared" si="137"/>
        <v>8.3333333333333329E-2</v>
      </c>
      <c r="D149" s="55"/>
      <c r="E149" s="62">
        <f t="shared" ca="1" si="155"/>
        <v>86239949.306323379</v>
      </c>
      <c r="F149" s="63">
        <f ca="1">IF(AssetIntType1="Fixed",AssetFxdRate1,IF(A149=1,OFFSET(Vectors!$D$6,A149,MATCH(AssetFltIndx1,lstInterestRates,0)),IF(MOD($A149,AssetRateReset1)=0,MAX(MIN(OFFSET(Vectors!$D$6,A149,MATCH(AssetFltIndx1,lstInterestRates,0)),(F148-AssetMarg1)+AssetPdCapFl1,AssetLifeCap1-AssetMarg1),(F148-AssetMarg1)-AssetPdCapFl1,AssetLifeFloor1-AssetMarg1),F148)))+AssetMarg1</f>
        <v>0.09</v>
      </c>
      <c r="G149" s="62">
        <f t="shared" ca="1" si="143"/>
        <v>804622.61694478267</v>
      </c>
      <c r="H149" s="62">
        <f t="shared" ca="1" si="156"/>
        <v>646799.61979742534</v>
      </c>
      <c r="I149" s="62">
        <f t="shared" ca="1" si="157"/>
        <v>157822.99714735732</v>
      </c>
      <c r="J149" s="62">
        <f t="shared" ca="1" si="138"/>
        <v>86082126.309176028</v>
      </c>
      <c r="K149" s="55"/>
      <c r="L149" s="62">
        <f t="shared" ca="1" si="158"/>
        <v>44463862.962244958</v>
      </c>
      <c r="M149" s="68">
        <f ca="1">IF(pdrLossTime1="",OFFSET(Vectors!$AE$6,A149+_Age1,MATCH(SDA_Loss,lstSDA,0)),OFFSET(Vectors!$X$6,A149+_Age1,MATCH(pdrLossTime1,lstDefaultCurve,0)))</f>
        <v>2.7777777777777779E-5</v>
      </c>
      <c r="N149" s="62">
        <f t="shared" ca="1" si="144"/>
        <v>2777.7777777777778</v>
      </c>
      <c r="O149" s="67">
        <f t="shared" ca="1" si="159"/>
        <v>0.86082126309176032</v>
      </c>
      <c r="P149" s="68">
        <f ca="1">OFFSET(Vectors!$L$6,A149+_Age1,MATCH(pdrPrepay1,lstPrepayCurve,0))*pdrPrepayStress1</f>
        <v>5.1430128318229462E-3</v>
      </c>
      <c r="Q149" s="62">
        <f t="shared" ca="1" si="160"/>
        <v>228259.72631402846</v>
      </c>
      <c r="R149" s="62">
        <f t="shared" ca="1" si="161"/>
        <v>81365.791337749411</v>
      </c>
      <c r="S149" s="69">
        <f t="shared" ca="1" si="162"/>
        <v>0.09</v>
      </c>
      <c r="T149" s="62">
        <f t="shared" ca="1" si="163"/>
        <v>333458.13888350385</v>
      </c>
      <c r="U149" s="62">
        <f t="shared" ca="1" si="145"/>
        <v>1111.1111111111111</v>
      </c>
      <c r="V149" s="62">
        <f t="shared" ca="1" si="139"/>
        <v>44151459.6668154</v>
      </c>
      <c r="W149" s="55"/>
      <c r="X149" s="62">
        <f t="shared" ca="1" si="164"/>
        <v>644194.76764639292</v>
      </c>
      <c r="Y149" s="55"/>
      <c r="Z149" s="118" t="b">
        <v>0</v>
      </c>
      <c r="AA149" s="120" t="b">
        <f t="shared" si="146"/>
        <v>0</v>
      </c>
      <c r="AB149" s="120" t="b">
        <f t="shared" si="147"/>
        <v>1</v>
      </c>
      <c r="AC149" s="120" t="b">
        <f t="shared" ca="1" si="148"/>
        <v>0</v>
      </c>
      <c r="AD149" s="121"/>
      <c r="AE149" s="129">
        <v>14868378.418281185</v>
      </c>
      <c r="AF149" s="69">
        <f ca="1">IF(Swap_Active="No",0,OFFSET(Vectors!$D$6,Vectors!A149,MATCH(Swap_In,lstInterestRates,0)))</f>
        <v>6.9369000000000056E-2</v>
      </c>
      <c r="AG149" s="62">
        <f t="shared" ca="1" si="165"/>
        <v>85950.378541479018</v>
      </c>
      <c r="AH149" s="69">
        <f ca="1">IF(Swap_Active="No",0,OFFSET(Vectors!$D$6,Vectors!A149,MATCH(Swap_Out,lstInterestRates,0)))</f>
        <v>0.04</v>
      </c>
      <c r="AI149" s="62">
        <f t="shared" ca="1" si="166"/>
        <v>49561.261394270616</v>
      </c>
      <c r="AJ149" s="62">
        <f t="shared" ca="1" si="167"/>
        <v>36389.117147208402</v>
      </c>
      <c r="AK149" s="62">
        <f t="shared" ca="1" si="168"/>
        <v>680583.88479360135</v>
      </c>
      <c r="AL149" s="121"/>
      <c r="AM149" s="123">
        <f t="shared" ca="1" si="149"/>
        <v>77871.678730573651</v>
      </c>
      <c r="AN149" s="124">
        <f t="shared" ca="1" si="169"/>
        <v>77871.678730573651</v>
      </c>
      <c r="AO149" s="125">
        <f t="shared" ca="1" si="170"/>
        <v>0</v>
      </c>
      <c r="AP149" s="123">
        <f t="shared" ca="1" si="171"/>
        <v>602712.20606302773</v>
      </c>
      <c r="AQ149" s="121"/>
      <c r="AR149" s="126">
        <f ca="1">IF(LiabIntType1="Fixed",LiabFxdRate1,OFFSET(Vectors!$D$6,Vectors!A149,MATCH(LiabLoanIndex1,lstInterestRates,0))+LiabMarg1)</f>
        <v>7.9369000000000051E-2</v>
      </c>
      <c r="AS149" s="122">
        <f t="shared" ca="1" si="172"/>
        <v>59768.674016573612</v>
      </c>
      <c r="AT149" s="124">
        <f t="shared" ca="1" si="173"/>
        <v>59768.674016573612</v>
      </c>
      <c r="AU149" s="123">
        <f t="shared" ca="1" si="174"/>
        <v>0</v>
      </c>
      <c r="AV149" s="123">
        <f t="shared" ca="1" si="150"/>
        <v>0</v>
      </c>
      <c r="AW149" s="123">
        <f t="shared" ca="1" si="175"/>
        <v>0</v>
      </c>
      <c r="AX149" s="124">
        <f t="shared" ca="1" si="176"/>
        <v>542943.53204645414</v>
      </c>
      <c r="AY149" s="121"/>
      <c r="AZ149" s="122">
        <f t="shared" ca="1" si="151"/>
        <v>542943.53204645414</v>
      </c>
      <c r="BA149" s="124">
        <f t="shared" ca="1" si="177"/>
        <v>542943.53204645414</v>
      </c>
      <c r="BB149" s="123">
        <f t="shared" ca="1" si="178"/>
        <v>0</v>
      </c>
      <c r="BC149" s="123">
        <f t="shared" ca="1" si="152"/>
        <v>0</v>
      </c>
      <c r="BD149" s="123">
        <f t="shared" ca="1" si="179"/>
        <v>0</v>
      </c>
      <c r="BE149" s="124">
        <f t="shared" ca="1" si="180"/>
        <v>0</v>
      </c>
      <c r="BF149" s="121"/>
      <c r="BG149" s="123">
        <f t="shared" si="153"/>
        <v>1000000</v>
      </c>
      <c r="BH149" s="123">
        <f t="shared" ca="1" si="181"/>
        <v>1000000</v>
      </c>
      <c r="BI149" s="123">
        <f t="shared" ca="1" si="182"/>
        <v>0</v>
      </c>
      <c r="BJ149" s="123">
        <f t="shared" ca="1" si="183"/>
        <v>0</v>
      </c>
      <c r="BK149" s="123">
        <f t="shared" ca="1" si="140"/>
        <v>1000000</v>
      </c>
      <c r="BL149" s="123">
        <f t="shared" ca="1" si="184"/>
        <v>0</v>
      </c>
      <c r="BM149" s="121"/>
      <c r="BN149" s="126">
        <f ca="1">IF(LiabIntType2="Fixed",LiabFxdRate2,OFFSET(Vectors!$D$6,Vectors!A149,MATCH(LiabLoanIndex2,lstInterestRates,0))+LiabMarg2)</f>
        <v>0.04</v>
      </c>
      <c r="BO149" s="122">
        <f t="shared" ca="1" si="185"/>
        <v>34119.905847872607</v>
      </c>
      <c r="BP149" s="124">
        <f t="shared" ca="1" si="186"/>
        <v>0</v>
      </c>
      <c r="BQ149" s="123">
        <f t="shared" ca="1" si="187"/>
        <v>34119.905847872607</v>
      </c>
      <c r="BR149" s="123">
        <f t="shared" ca="1" si="188"/>
        <v>0</v>
      </c>
      <c r="BS149" s="121"/>
      <c r="BT149" s="123">
        <f t="shared" ca="1" si="154"/>
        <v>32030.434098079881</v>
      </c>
      <c r="BU149" s="123">
        <f t="shared" ca="1" si="189"/>
        <v>0</v>
      </c>
      <c r="BV149" s="123">
        <f t="shared" ca="1" si="190"/>
        <v>32030.434098079881</v>
      </c>
      <c r="BW149" s="123">
        <f t="shared" ca="1" si="191"/>
        <v>0</v>
      </c>
      <c r="BX149" s="121"/>
      <c r="BY149" s="123">
        <f t="shared" si="192"/>
        <v>0</v>
      </c>
      <c r="BZ149" s="123">
        <f t="shared" ca="1" si="193"/>
        <v>0</v>
      </c>
      <c r="CA149" s="121"/>
      <c r="CB149" s="122">
        <f t="shared" ca="1" si="141"/>
        <v>8493633.5723505132</v>
      </c>
      <c r="CC149" s="122">
        <f t="shared" ca="1" si="194"/>
        <v>59768.674016573612</v>
      </c>
      <c r="CD149" s="124">
        <f t="shared" ca="1" si="195"/>
        <v>542943.53204645414</v>
      </c>
      <c r="CE149" s="121"/>
      <c r="CF149" s="122">
        <f t="shared" ca="1" si="142"/>
        <v>10235971.754361782</v>
      </c>
      <c r="CG149" s="124">
        <f t="shared" ca="1" si="196"/>
        <v>0</v>
      </c>
      <c r="CH149" s="123">
        <f t="shared" ca="1" si="197"/>
        <v>0</v>
      </c>
      <c r="CI149" s="121"/>
      <c r="CJ149" s="123">
        <f t="shared" ca="1" si="198"/>
        <v>730145.14618787193</v>
      </c>
      <c r="CK149" s="123">
        <f t="shared" ca="1" si="199"/>
        <v>730145.14618787204</v>
      </c>
      <c r="CL149" s="123">
        <f t="shared" ca="1" si="200"/>
        <v>0</v>
      </c>
      <c r="CM149" s="121"/>
      <c r="CN149" s="62">
        <f t="shared" ca="1" si="201"/>
        <v>312403.29542955564</v>
      </c>
      <c r="CO149" s="62" t="b">
        <f t="shared" si="202"/>
        <v>1</v>
      </c>
      <c r="CP149" s="126">
        <f t="shared" ca="1" si="203"/>
        <v>3.9722222222222129E-3</v>
      </c>
      <c r="CQ149" s="120"/>
      <c r="CR149" s="120"/>
      <c r="CS149" s="120"/>
      <c r="CT149" s="120"/>
      <c r="CU149" s="120"/>
      <c r="CV149" s="120"/>
      <c r="CW149" s="120"/>
      <c r="CX149" s="120"/>
      <c r="CY149" s="120"/>
      <c r="CZ149" s="120"/>
      <c r="DA149" s="120"/>
      <c r="DB149" s="120"/>
      <c r="DC149" s="120"/>
      <c r="DD149" s="120"/>
      <c r="DE149" s="116"/>
      <c r="DF149" s="116"/>
      <c r="DG149" s="116"/>
      <c r="DH149" s="116"/>
      <c r="DI149" s="116"/>
      <c r="DJ149" s="116"/>
      <c r="DK149" s="116"/>
      <c r="DL149" s="116"/>
      <c r="DM149" s="116"/>
      <c r="DN149" s="116"/>
    </row>
    <row r="150" spans="1:118" x14ac:dyDescent="0.2">
      <c r="A150" s="27">
        <v>144</v>
      </c>
      <c r="B150" s="29">
        <f t="shared" si="136"/>
        <v>43497</v>
      </c>
      <c r="C150" s="30">
        <f t="shared" si="137"/>
        <v>8.3333333333333329E-2</v>
      </c>
      <c r="D150" s="55"/>
      <c r="E150" s="62">
        <f t="shared" ca="1" si="155"/>
        <v>86082126.309176028</v>
      </c>
      <c r="F150" s="63">
        <f ca="1">IF(AssetIntType1="Fixed",AssetFxdRate1,IF(A150=1,OFFSET(Vectors!$D$6,A150,MATCH(AssetFltIndx1,lstInterestRates,0)),IF(MOD($A150,AssetRateReset1)=0,MAX(MIN(OFFSET(Vectors!$D$6,A150,MATCH(AssetFltIndx1,lstInterestRates,0)),(F149-AssetMarg1)+AssetPdCapFl1,AssetLifeCap1-AssetMarg1),(F149-AssetMarg1)-AssetPdCapFl1,AssetLifeFloor1-AssetMarg1),F149)))+AssetMarg1</f>
        <v>0.09</v>
      </c>
      <c r="G150" s="62">
        <f t="shared" ca="1" si="143"/>
        <v>804622.61694478267</v>
      </c>
      <c r="H150" s="62">
        <f t="shared" ca="1" si="156"/>
        <v>645615.94731882017</v>
      </c>
      <c r="I150" s="62">
        <f t="shared" ca="1" si="157"/>
        <v>159006.6696259625</v>
      </c>
      <c r="J150" s="62">
        <f t="shared" ca="1" si="138"/>
        <v>85923119.63955006</v>
      </c>
      <c r="K150" s="55"/>
      <c r="L150" s="62">
        <f t="shared" ca="1" si="158"/>
        <v>44151459.6668154</v>
      </c>
      <c r="M150" s="68">
        <f ca="1">IF(pdrLossTime1="",OFFSET(Vectors!$AE$6,A150+_Age1,MATCH(SDA_Loss,lstSDA,0)),OFFSET(Vectors!$X$6,A150+_Age1,MATCH(pdrLossTime1,lstDefaultCurve,0)))</f>
        <v>2.7777777777777779E-5</v>
      </c>
      <c r="N150" s="62">
        <f t="shared" ca="1" si="144"/>
        <v>2777.7777777777778</v>
      </c>
      <c r="O150" s="67">
        <f t="shared" ca="1" si="159"/>
        <v>0.85923119639550061</v>
      </c>
      <c r="P150" s="68">
        <f ca="1">OFFSET(Vectors!$L$6,A150+_Age1,MATCH(pdrPrepay1,lstPrepayCurve,0))*pdrPrepayStress1</f>
        <v>5.1430128318229462E-3</v>
      </c>
      <c r="Q150" s="62">
        <f t="shared" ca="1" si="160"/>
        <v>226652.08826062217</v>
      </c>
      <c r="R150" s="62">
        <f t="shared" ca="1" si="161"/>
        <v>81549.273659194063</v>
      </c>
      <c r="S150" s="69">
        <f t="shared" ca="1" si="162"/>
        <v>0.09</v>
      </c>
      <c r="T150" s="62">
        <f t="shared" ca="1" si="163"/>
        <v>331115.11416778219</v>
      </c>
      <c r="U150" s="62">
        <f t="shared" ca="1" si="145"/>
        <v>1111.1111111111111</v>
      </c>
      <c r="V150" s="62">
        <f t="shared" ca="1" si="139"/>
        <v>43840480.527117811</v>
      </c>
      <c r="W150" s="55"/>
      <c r="X150" s="62">
        <f t="shared" ca="1" si="164"/>
        <v>640427.58719870949</v>
      </c>
      <c r="Y150" s="55"/>
      <c r="Z150" s="118" t="b">
        <v>0</v>
      </c>
      <c r="AA150" s="120" t="b">
        <f t="shared" si="146"/>
        <v>0</v>
      </c>
      <c r="AB150" s="120" t="b">
        <f t="shared" si="147"/>
        <v>1</v>
      </c>
      <c r="AC150" s="120" t="b">
        <f t="shared" ca="1" si="148"/>
        <v>0</v>
      </c>
      <c r="AD150" s="121"/>
      <c r="AE150" s="129">
        <v>14623911.456452252</v>
      </c>
      <c r="AF150" s="69">
        <f ca="1">IF(Swap_Active="No",0,OFFSET(Vectors!$D$6,Vectors!A150,MATCH(Swap_In,lstInterestRates,0)))</f>
        <v>6.9369000000000056E-2</v>
      </c>
      <c r="AG150" s="62">
        <f t="shared" ca="1" si="165"/>
        <v>84537.176151886422</v>
      </c>
      <c r="AH150" s="69">
        <f ca="1">IF(Swap_Active="No",0,OFFSET(Vectors!$D$6,Vectors!A150,MATCH(Swap_Out,lstInterestRates,0)))</f>
        <v>0.04</v>
      </c>
      <c r="AI150" s="62">
        <f t="shared" ca="1" si="166"/>
        <v>48746.371521507506</v>
      </c>
      <c r="AJ150" s="62">
        <f t="shared" ca="1" si="167"/>
        <v>35790.804630378916</v>
      </c>
      <c r="AK150" s="62">
        <f t="shared" ca="1" si="168"/>
        <v>676218.39182908845</v>
      </c>
      <c r="AL150" s="121"/>
      <c r="AM150" s="123">
        <f t="shared" ca="1" si="149"/>
        <v>77124.780099838375</v>
      </c>
      <c r="AN150" s="124">
        <f t="shared" ca="1" si="169"/>
        <v>77124.780099838375</v>
      </c>
      <c r="AO150" s="125">
        <f t="shared" ca="1" si="170"/>
        <v>0</v>
      </c>
      <c r="AP150" s="123">
        <f t="shared" ca="1" si="171"/>
        <v>599093.61172925006</v>
      </c>
      <c r="AQ150" s="121"/>
      <c r="AR150" s="126">
        <f ca="1">IF(LiabIntType1="Fixed",LiabFxdRate1,OFFSET(Vectors!$D$6,Vectors!A150,MATCH(LiabLoanIndex1,lstInterestRates,0))+LiabMarg1)</f>
        <v>7.9369000000000051E-2</v>
      </c>
      <c r="AS150" s="122">
        <f t="shared" ca="1" si="172"/>
        <v>56177.600250324023</v>
      </c>
      <c r="AT150" s="124">
        <f t="shared" ca="1" si="173"/>
        <v>56177.600250324023</v>
      </c>
      <c r="AU150" s="123">
        <f t="shared" ca="1" si="174"/>
        <v>0</v>
      </c>
      <c r="AV150" s="123">
        <f t="shared" ca="1" si="150"/>
        <v>0</v>
      </c>
      <c r="AW150" s="123">
        <f t="shared" ca="1" si="175"/>
        <v>0</v>
      </c>
      <c r="AX150" s="124">
        <f t="shared" ca="1" si="176"/>
        <v>542916.01147892606</v>
      </c>
      <c r="AY150" s="121"/>
      <c r="AZ150" s="122">
        <f t="shared" ca="1" si="151"/>
        <v>542916.01147892606</v>
      </c>
      <c r="BA150" s="124">
        <f t="shared" ca="1" si="177"/>
        <v>542916.01147892606</v>
      </c>
      <c r="BB150" s="123">
        <f t="shared" ca="1" si="178"/>
        <v>0</v>
      </c>
      <c r="BC150" s="123">
        <f t="shared" ca="1" si="152"/>
        <v>0</v>
      </c>
      <c r="BD150" s="123">
        <f t="shared" ca="1" si="179"/>
        <v>0</v>
      </c>
      <c r="BE150" s="124">
        <f t="shared" ca="1" si="180"/>
        <v>0</v>
      </c>
      <c r="BF150" s="121"/>
      <c r="BG150" s="123">
        <f t="shared" si="153"/>
        <v>1000000</v>
      </c>
      <c r="BH150" s="123">
        <f t="shared" ca="1" si="181"/>
        <v>1000000</v>
      </c>
      <c r="BI150" s="123">
        <f t="shared" ca="1" si="182"/>
        <v>0</v>
      </c>
      <c r="BJ150" s="123">
        <f t="shared" ca="1" si="183"/>
        <v>0</v>
      </c>
      <c r="BK150" s="123">
        <f t="shared" ca="1" si="140"/>
        <v>1000000</v>
      </c>
      <c r="BL150" s="123">
        <f t="shared" ca="1" si="184"/>
        <v>0</v>
      </c>
      <c r="BM150" s="121"/>
      <c r="BN150" s="126">
        <f ca="1">IF(LiabIntType2="Fixed",LiabFxdRate2,OFFSET(Vectors!$D$6,Vectors!A150,MATCH(LiabLoanIndex2,lstInterestRates,0))+LiabMarg2)</f>
        <v>0.04</v>
      </c>
      <c r="BO150" s="122">
        <f t="shared" ca="1" si="185"/>
        <v>34119.905847872607</v>
      </c>
      <c r="BP150" s="124">
        <f t="shared" ca="1" si="186"/>
        <v>0</v>
      </c>
      <c r="BQ150" s="123">
        <f t="shared" ca="1" si="187"/>
        <v>34119.905847872607</v>
      </c>
      <c r="BR150" s="123">
        <f t="shared" ca="1" si="188"/>
        <v>0</v>
      </c>
      <c r="BS150" s="121"/>
      <c r="BT150" s="123">
        <f t="shared" ca="1" si="154"/>
        <v>31884.416668093178</v>
      </c>
      <c r="BU150" s="123">
        <f t="shared" ca="1" si="189"/>
        <v>0</v>
      </c>
      <c r="BV150" s="123">
        <f t="shared" ca="1" si="190"/>
        <v>31884.416668093178</v>
      </c>
      <c r="BW150" s="123">
        <f t="shared" ca="1" si="191"/>
        <v>0</v>
      </c>
      <c r="BX150" s="121"/>
      <c r="BY150" s="123">
        <f t="shared" si="192"/>
        <v>0</v>
      </c>
      <c r="BZ150" s="123">
        <f t="shared" ca="1" si="193"/>
        <v>0</v>
      </c>
      <c r="CA150" s="121"/>
      <c r="CB150" s="122">
        <f t="shared" ca="1" si="141"/>
        <v>7950717.5608715871</v>
      </c>
      <c r="CC150" s="122">
        <f t="shared" ca="1" si="194"/>
        <v>56177.600250324023</v>
      </c>
      <c r="CD150" s="124">
        <f t="shared" ca="1" si="195"/>
        <v>542916.01147892606</v>
      </c>
      <c r="CE150" s="121"/>
      <c r="CF150" s="122">
        <f t="shared" ca="1" si="142"/>
        <v>10235971.754361782</v>
      </c>
      <c r="CG150" s="124">
        <f t="shared" ca="1" si="196"/>
        <v>0</v>
      </c>
      <c r="CH150" s="123">
        <f t="shared" ca="1" si="197"/>
        <v>0</v>
      </c>
      <c r="CI150" s="121"/>
      <c r="CJ150" s="123">
        <f t="shared" ca="1" si="198"/>
        <v>724964.76335059595</v>
      </c>
      <c r="CK150" s="123">
        <f t="shared" ca="1" si="199"/>
        <v>724964.76335059595</v>
      </c>
      <c r="CL150" s="123">
        <f t="shared" ca="1" si="200"/>
        <v>0</v>
      </c>
      <c r="CM150" s="121"/>
      <c r="CN150" s="62">
        <f t="shared" ca="1" si="201"/>
        <v>310979.13969759399</v>
      </c>
      <c r="CO150" s="62" t="b">
        <f t="shared" si="202"/>
        <v>1</v>
      </c>
      <c r="CP150" s="126">
        <f t="shared" ca="1" si="203"/>
        <v>3.9999999999999905E-3</v>
      </c>
      <c r="CQ150" s="120"/>
      <c r="CR150" s="120"/>
      <c r="CS150" s="120"/>
      <c r="CT150" s="120"/>
      <c r="CU150" s="120"/>
      <c r="CV150" s="120"/>
      <c r="CW150" s="120"/>
      <c r="CX150" s="120"/>
      <c r="CY150" s="120"/>
      <c r="CZ150" s="120"/>
      <c r="DA150" s="120"/>
      <c r="DB150" s="120"/>
      <c r="DC150" s="120"/>
      <c r="DD150" s="120"/>
      <c r="DE150" s="116"/>
      <c r="DF150" s="116"/>
      <c r="DG150" s="116"/>
      <c r="DH150" s="116"/>
      <c r="DI150" s="116"/>
      <c r="DJ150" s="116"/>
      <c r="DK150" s="116"/>
      <c r="DL150" s="116"/>
      <c r="DM150" s="116"/>
      <c r="DN150" s="116"/>
    </row>
    <row r="151" spans="1:118" x14ac:dyDescent="0.2">
      <c r="A151" s="27">
        <v>145</v>
      </c>
      <c r="B151" s="29">
        <f t="shared" si="136"/>
        <v>43525</v>
      </c>
      <c r="C151" s="30">
        <f t="shared" si="137"/>
        <v>8.3333333333333329E-2</v>
      </c>
      <c r="D151" s="55"/>
      <c r="E151" s="62">
        <f t="shared" ca="1" si="155"/>
        <v>85923119.63955006</v>
      </c>
      <c r="F151" s="63">
        <f ca="1">IF(AssetIntType1="Fixed",AssetFxdRate1,IF(A151=1,OFFSET(Vectors!$D$6,A151,MATCH(AssetFltIndx1,lstInterestRates,0)),IF(MOD($A151,AssetRateReset1)=0,MAX(MIN(OFFSET(Vectors!$D$6,A151,MATCH(AssetFltIndx1,lstInterestRates,0)),(F150-AssetMarg1)+AssetPdCapFl1,AssetLifeCap1-AssetMarg1),(F150-AssetMarg1)-AssetPdCapFl1,AssetLifeFloor1-AssetMarg1),F150)))+AssetMarg1</f>
        <v>0.09</v>
      </c>
      <c r="G151" s="62">
        <f t="shared" ca="1" si="143"/>
        <v>804622.61694478267</v>
      </c>
      <c r="H151" s="62">
        <f t="shared" ca="1" si="156"/>
        <v>644423.39729662542</v>
      </c>
      <c r="I151" s="62">
        <f t="shared" ca="1" si="157"/>
        <v>160199.21964815725</v>
      </c>
      <c r="J151" s="62">
        <f t="shared" ca="1" si="138"/>
        <v>85762920.419901907</v>
      </c>
      <c r="K151" s="55"/>
      <c r="L151" s="62">
        <f t="shared" ca="1" si="158"/>
        <v>43840480.527117811</v>
      </c>
      <c r="M151" s="68">
        <f ca="1">IF(pdrLossTime1="",OFFSET(Vectors!$AE$6,A151+_Age1,MATCH(SDA_Loss,lstSDA,0)),OFFSET(Vectors!$X$6,A151+_Age1,MATCH(pdrLossTime1,lstDefaultCurve,0)))</f>
        <v>2.7777777777777779E-5</v>
      </c>
      <c r="N151" s="62">
        <f t="shared" ca="1" si="144"/>
        <v>2777.7777777777778</v>
      </c>
      <c r="O151" s="67">
        <f t="shared" ca="1" si="159"/>
        <v>0.85762920419901911</v>
      </c>
      <c r="P151" s="68">
        <f ca="1">OFFSET(Vectors!$L$6,A151+_Age1,MATCH(pdrPrepay1,lstPrepayCurve,0))*pdrPrepayStress1</f>
        <v>5.1430128318229462E-3</v>
      </c>
      <c r="Q151" s="62">
        <f t="shared" ca="1" si="160"/>
        <v>225051.77271628453</v>
      </c>
      <c r="R151" s="62">
        <f t="shared" ca="1" si="161"/>
        <v>81733.133073760735</v>
      </c>
      <c r="S151" s="69">
        <f t="shared" ca="1" si="162"/>
        <v>0.09</v>
      </c>
      <c r="T151" s="62">
        <f t="shared" ca="1" si="163"/>
        <v>328782.77062005026</v>
      </c>
      <c r="U151" s="62">
        <f t="shared" ca="1" si="145"/>
        <v>1111.1111111111111</v>
      </c>
      <c r="V151" s="62">
        <f t="shared" ca="1" si="139"/>
        <v>43530917.843549989</v>
      </c>
      <c r="W151" s="55"/>
      <c r="X151" s="62">
        <f t="shared" ca="1" si="164"/>
        <v>636678.78752120666</v>
      </c>
      <c r="Y151" s="55"/>
      <c r="Z151" s="118" t="b">
        <v>0</v>
      </c>
      <c r="AA151" s="120" t="b">
        <f t="shared" si="146"/>
        <v>0</v>
      </c>
      <c r="AB151" s="120" t="b">
        <f t="shared" si="147"/>
        <v>1</v>
      </c>
      <c r="AC151" s="120" t="b">
        <f t="shared" ca="1" si="148"/>
        <v>0</v>
      </c>
      <c r="AD151" s="121"/>
      <c r="AE151" s="129">
        <v>14381985.720482035</v>
      </c>
      <c r="AF151" s="69">
        <f ca="1">IF(Swap_Active="No",0,OFFSET(Vectors!$D$6,Vectors!A151,MATCH(Swap_In,lstInterestRates,0)))</f>
        <v>6.9369000000000056E-2</v>
      </c>
      <c r="AG151" s="62">
        <f t="shared" ca="1" si="165"/>
        <v>83138.663953676587</v>
      </c>
      <c r="AH151" s="69">
        <f ca="1">IF(Swap_Active="No",0,OFFSET(Vectors!$D$6,Vectors!A151,MATCH(Swap_Out,lstInterestRates,0)))</f>
        <v>0.04</v>
      </c>
      <c r="AI151" s="62">
        <f t="shared" ca="1" si="166"/>
        <v>47939.952401606781</v>
      </c>
      <c r="AJ151" s="62">
        <f t="shared" ca="1" si="167"/>
        <v>35198.711552069806</v>
      </c>
      <c r="AK151" s="62">
        <f t="shared" ca="1" si="168"/>
        <v>671877.49907327641</v>
      </c>
      <c r="AL151" s="121"/>
      <c r="AM151" s="123">
        <f t="shared" ca="1" si="149"/>
        <v>76380.26652889284</v>
      </c>
      <c r="AN151" s="124">
        <f t="shared" ca="1" si="169"/>
        <v>76380.26652889284</v>
      </c>
      <c r="AO151" s="125">
        <f t="shared" ca="1" si="170"/>
        <v>0</v>
      </c>
      <c r="AP151" s="123">
        <f t="shared" ca="1" si="171"/>
        <v>595497.23254438362</v>
      </c>
      <c r="AQ151" s="121"/>
      <c r="AR151" s="126">
        <f ca="1">IF(LiabIntType1="Fixed",LiabFxdRate1,OFFSET(Vectors!$D$6,Vectors!A151,MATCH(LiabLoanIndex1,lstInterestRates,0))+LiabMarg1)</f>
        <v>7.9369000000000051E-2</v>
      </c>
      <c r="AS151" s="122">
        <f t="shared" ca="1" si="172"/>
        <v>52586.708507401447</v>
      </c>
      <c r="AT151" s="124">
        <f t="shared" ca="1" si="173"/>
        <v>52586.708507401447</v>
      </c>
      <c r="AU151" s="123">
        <f t="shared" ca="1" si="174"/>
        <v>0</v>
      </c>
      <c r="AV151" s="123">
        <f t="shared" ca="1" si="150"/>
        <v>0</v>
      </c>
      <c r="AW151" s="123">
        <f t="shared" ca="1" si="175"/>
        <v>0</v>
      </c>
      <c r="AX151" s="124">
        <f t="shared" ca="1" si="176"/>
        <v>542910.52403698221</v>
      </c>
      <c r="AY151" s="121"/>
      <c r="AZ151" s="122">
        <f t="shared" ca="1" si="151"/>
        <v>542910.52403698221</v>
      </c>
      <c r="BA151" s="124">
        <f t="shared" ca="1" si="177"/>
        <v>542910.52403698221</v>
      </c>
      <c r="BB151" s="123">
        <f t="shared" ca="1" si="178"/>
        <v>0</v>
      </c>
      <c r="BC151" s="123">
        <f t="shared" ca="1" si="152"/>
        <v>0</v>
      </c>
      <c r="BD151" s="123">
        <f t="shared" ca="1" si="179"/>
        <v>0</v>
      </c>
      <c r="BE151" s="124">
        <f t="shared" ca="1" si="180"/>
        <v>0</v>
      </c>
      <c r="BF151" s="121"/>
      <c r="BG151" s="123">
        <f t="shared" si="153"/>
        <v>1000000</v>
      </c>
      <c r="BH151" s="123">
        <f t="shared" ca="1" si="181"/>
        <v>1000000</v>
      </c>
      <c r="BI151" s="123">
        <f t="shared" ca="1" si="182"/>
        <v>0</v>
      </c>
      <c r="BJ151" s="123">
        <f t="shared" ca="1" si="183"/>
        <v>0</v>
      </c>
      <c r="BK151" s="123">
        <f t="shared" ca="1" si="140"/>
        <v>1000000</v>
      </c>
      <c r="BL151" s="123">
        <f t="shared" ca="1" si="184"/>
        <v>0</v>
      </c>
      <c r="BM151" s="121"/>
      <c r="BN151" s="126">
        <f ca="1">IF(LiabIntType2="Fixed",LiabFxdRate2,OFFSET(Vectors!$D$6,Vectors!A151,MATCH(LiabLoanIndex2,lstInterestRates,0))+LiabMarg2)</f>
        <v>0.04</v>
      </c>
      <c r="BO151" s="122">
        <f t="shared" ca="1" si="185"/>
        <v>34119.905847872607</v>
      </c>
      <c r="BP151" s="124">
        <f t="shared" ca="1" si="186"/>
        <v>0</v>
      </c>
      <c r="BQ151" s="123">
        <f t="shared" ca="1" si="187"/>
        <v>34119.905847872607</v>
      </c>
      <c r="BR151" s="123">
        <f t="shared" ca="1" si="188"/>
        <v>0</v>
      </c>
      <c r="BS151" s="121"/>
      <c r="BT151" s="123">
        <f t="shared" ca="1" si="154"/>
        <v>31739.188671522061</v>
      </c>
      <c r="BU151" s="123">
        <f t="shared" ca="1" si="189"/>
        <v>0</v>
      </c>
      <c r="BV151" s="123">
        <f t="shared" ca="1" si="190"/>
        <v>31739.188671522061</v>
      </c>
      <c r="BW151" s="123">
        <f t="shared" ca="1" si="191"/>
        <v>0</v>
      </c>
      <c r="BX151" s="121"/>
      <c r="BY151" s="123">
        <f t="shared" si="192"/>
        <v>0</v>
      </c>
      <c r="BZ151" s="123">
        <f t="shared" ca="1" si="193"/>
        <v>0</v>
      </c>
      <c r="CA151" s="121"/>
      <c r="CB151" s="122">
        <f t="shared" ca="1" si="141"/>
        <v>7407807.036834605</v>
      </c>
      <c r="CC151" s="122">
        <f t="shared" ca="1" si="194"/>
        <v>52586.708507401447</v>
      </c>
      <c r="CD151" s="124">
        <f t="shared" ca="1" si="195"/>
        <v>542910.52403698221</v>
      </c>
      <c r="CE151" s="121"/>
      <c r="CF151" s="122">
        <f t="shared" ca="1" si="142"/>
        <v>10235971.754361782</v>
      </c>
      <c r="CG151" s="124">
        <f t="shared" ca="1" si="196"/>
        <v>0</v>
      </c>
      <c r="CH151" s="123">
        <f t="shared" ca="1" si="197"/>
        <v>0</v>
      </c>
      <c r="CI151" s="121"/>
      <c r="CJ151" s="123">
        <f t="shared" ca="1" si="198"/>
        <v>719817.45147488324</v>
      </c>
      <c r="CK151" s="123">
        <f t="shared" ca="1" si="199"/>
        <v>719817.45147488336</v>
      </c>
      <c r="CL151" s="123">
        <f t="shared" ca="1" si="200"/>
        <v>0</v>
      </c>
      <c r="CM151" s="121"/>
      <c r="CN151" s="62">
        <f t="shared" ca="1" si="201"/>
        <v>309562.68356782303</v>
      </c>
      <c r="CO151" s="62" t="b">
        <f t="shared" si="202"/>
        <v>1</v>
      </c>
      <c r="CP151" s="126">
        <f t="shared" ca="1" si="203"/>
        <v>4.0277777777777682E-3</v>
      </c>
      <c r="CQ151" s="120"/>
      <c r="CR151" s="120"/>
      <c r="CS151" s="120"/>
      <c r="CT151" s="120"/>
      <c r="CU151" s="120"/>
      <c r="CV151" s="120"/>
      <c r="CW151" s="120"/>
      <c r="CX151" s="120"/>
      <c r="CY151" s="120"/>
      <c r="CZ151" s="120"/>
      <c r="DA151" s="120"/>
      <c r="DB151" s="120"/>
      <c r="DC151" s="120"/>
      <c r="DD151" s="120"/>
      <c r="DE151" s="116"/>
      <c r="DF151" s="116"/>
      <c r="DG151" s="116"/>
      <c r="DH151" s="116"/>
      <c r="DI151" s="116"/>
      <c r="DJ151" s="116"/>
      <c r="DK151" s="116"/>
      <c r="DL151" s="116"/>
      <c r="DM151" s="116"/>
      <c r="DN151" s="116"/>
    </row>
    <row r="152" spans="1:118" x14ac:dyDescent="0.2">
      <c r="A152" s="27">
        <v>146</v>
      </c>
      <c r="B152" s="29">
        <f t="shared" si="136"/>
        <v>43556</v>
      </c>
      <c r="C152" s="30">
        <f t="shared" si="137"/>
        <v>8.3333333333333329E-2</v>
      </c>
      <c r="D152" s="55"/>
      <c r="E152" s="62">
        <f t="shared" ca="1" si="155"/>
        <v>85762920.419901907</v>
      </c>
      <c r="F152" s="63">
        <f ca="1">IF(AssetIntType1="Fixed",AssetFxdRate1,IF(A152=1,OFFSET(Vectors!$D$6,A152,MATCH(AssetFltIndx1,lstInterestRates,0)),IF(MOD($A152,AssetRateReset1)=0,MAX(MIN(OFFSET(Vectors!$D$6,A152,MATCH(AssetFltIndx1,lstInterestRates,0)),(F151-AssetMarg1)+AssetPdCapFl1,AssetLifeCap1-AssetMarg1),(F151-AssetMarg1)-AssetPdCapFl1,AssetLifeFloor1-AssetMarg1),F151)))+AssetMarg1</f>
        <v>0.09</v>
      </c>
      <c r="G152" s="62">
        <f t="shared" ca="1" si="143"/>
        <v>804622.61694478267</v>
      </c>
      <c r="H152" s="62">
        <f t="shared" ca="1" si="156"/>
        <v>643221.90314926428</v>
      </c>
      <c r="I152" s="62">
        <f t="shared" ca="1" si="157"/>
        <v>161400.71379551839</v>
      </c>
      <c r="J152" s="62">
        <f t="shared" ca="1" si="138"/>
        <v>85601519.706106395</v>
      </c>
      <c r="K152" s="55"/>
      <c r="L152" s="62">
        <f t="shared" ca="1" si="158"/>
        <v>43530917.843549989</v>
      </c>
      <c r="M152" s="68">
        <f ca="1">IF(pdrLossTime1="",OFFSET(Vectors!$AE$6,A152+_Age1,MATCH(SDA_Loss,lstSDA,0)),OFFSET(Vectors!$X$6,A152+_Age1,MATCH(pdrLossTime1,lstDefaultCurve,0)))</f>
        <v>2.7777777777777779E-5</v>
      </c>
      <c r="N152" s="62">
        <f t="shared" ca="1" si="144"/>
        <v>2777.7777777777778</v>
      </c>
      <c r="O152" s="67">
        <f t="shared" ca="1" si="159"/>
        <v>0.85601519706106399</v>
      </c>
      <c r="P152" s="68">
        <f ca="1">OFFSET(Vectors!$L$6,A152+_Age1,MATCH(pdrPrepay1,lstPrepayCurve,0))*pdrPrepayStress1</f>
        <v>5.1430128318229462E-3</v>
      </c>
      <c r="Q152" s="62">
        <f t="shared" ca="1" si="160"/>
        <v>223458.74008012106</v>
      </c>
      <c r="R152" s="62">
        <f t="shared" ca="1" si="161"/>
        <v>81917.369912419628</v>
      </c>
      <c r="S152" s="69">
        <f t="shared" ca="1" si="162"/>
        <v>0.09</v>
      </c>
      <c r="T152" s="62">
        <f t="shared" ca="1" si="163"/>
        <v>326461.05049329158</v>
      </c>
      <c r="U152" s="62">
        <f t="shared" ca="1" si="145"/>
        <v>1111.1111111111111</v>
      </c>
      <c r="V152" s="62">
        <f t="shared" ca="1" si="139"/>
        <v>43222763.955779672</v>
      </c>
      <c r="W152" s="55"/>
      <c r="X152" s="62">
        <f t="shared" ca="1" si="164"/>
        <v>632948.27159694338</v>
      </c>
      <c r="Y152" s="55"/>
      <c r="Z152" s="118" t="b">
        <v>0</v>
      </c>
      <c r="AA152" s="120" t="b">
        <f t="shared" si="146"/>
        <v>0</v>
      </c>
      <c r="AB152" s="120" t="b">
        <f t="shared" si="147"/>
        <v>1</v>
      </c>
      <c r="AC152" s="120" t="b">
        <f t="shared" ca="1" si="148"/>
        <v>0</v>
      </c>
      <c r="AD152" s="121"/>
      <c r="AE152" s="129">
        <v>14142575.549479619</v>
      </c>
      <c r="AF152" s="69">
        <f ca="1">IF(Swap_Active="No",0,OFFSET(Vectors!$D$6,Vectors!A152,MATCH(Swap_In,lstInterestRates,0)))</f>
        <v>6.9369000000000056E-2</v>
      </c>
      <c r="AG152" s="62">
        <f t="shared" ca="1" si="165"/>
        <v>81754.693607654364</v>
      </c>
      <c r="AH152" s="69">
        <f ca="1">IF(Swap_Active="No",0,OFFSET(Vectors!$D$6,Vectors!A152,MATCH(Swap_Out,lstInterestRates,0)))</f>
        <v>0.04</v>
      </c>
      <c r="AI152" s="62">
        <f t="shared" ca="1" si="166"/>
        <v>47141.91849826539</v>
      </c>
      <c r="AJ152" s="62">
        <f t="shared" ca="1" si="167"/>
        <v>34612.775109388975</v>
      </c>
      <c r="AK152" s="62">
        <f t="shared" ca="1" si="168"/>
        <v>667561.04670633236</v>
      </c>
      <c r="AL152" s="121"/>
      <c r="AM152" s="123">
        <f t="shared" ca="1" si="149"/>
        <v>75638.11600459773</v>
      </c>
      <c r="AN152" s="124">
        <f t="shared" ca="1" si="169"/>
        <v>75638.11600459773</v>
      </c>
      <c r="AO152" s="125">
        <f t="shared" ca="1" si="170"/>
        <v>0</v>
      </c>
      <c r="AP152" s="123">
        <f t="shared" ca="1" si="171"/>
        <v>591922.93070173461</v>
      </c>
      <c r="AQ152" s="121"/>
      <c r="AR152" s="126">
        <f ca="1">IF(LiabIntType1="Fixed",LiabFxdRate1,OFFSET(Vectors!$D$6,Vectors!A152,MATCH(LiabLoanIndex1,lstInterestRates,0))+LiabMarg1)</f>
        <v>7.9369000000000051E-2</v>
      </c>
      <c r="AS152" s="122">
        <f t="shared" ca="1" si="172"/>
        <v>48995.853058877175</v>
      </c>
      <c r="AT152" s="124">
        <f t="shared" ca="1" si="173"/>
        <v>48995.853058877175</v>
      </c>
      <c r="AU152" s="123">
        <f t="shared" ca="1" si="174"/>
        <v>0</v>
      </c>
      <c r="AV152" s="123">
        <f t="shared" ca="1" si="150"/>
        <v>0</v>
      </c>
      <c r="AW152" s="123">
        <f t="shared" ca="1" si="175"/>
        <v>0</v>
      </c>
      <c r="AX152" s="124">
        <f t="shared" ca="1" si="176"/>
        <v>542927.07764285745</v>
      </c>
      <c r="AY152" s="121"/>
      <c r="AZ152" s="122">
        <f t="shared" ca="1" si="151"/>
        <v>542927.07764285745</v>
      </c>
      <c r="BA152" s="124">
        <f t="shared" ca="1" si="177"/>
        <v>542927.07764285745</v>
      </c>
      <c r="BB152" s="123">
        <f t="shared" ca="1" si="178"/>
        <v>0</v>
      </c>
      <c r="BC152" s="123">
        <f t="shared" ca="1" si="152"/>
        <v>0</v>
      </c>
      <c r="BD152" s="123">
        <f t="shared" ca="1" si="179"/>
        <v>0</v>
      </c>
      <c r="BE152" s="124">
        <f t="shared" ca="1" si="180"/>
        <v>0</v>
      </c>
      <c r="BF152" s="121"/>
      <c r="BG152" s="123">
        <f t="shared" si="153"/>
        <v>1000000</v>
      </c>
      <c r="BH152" s="123">
        <f t="shared" ca="1" si="181"/>
        <v>1000000</v>
      </c>
      <c r="BI152" s="123">
        <f t="shared" ca="1" si="182"/>
        <v>0</v>
      </c>
      <c r="BJ152" s="123">
        <f t="shared" ca="1" si="183"/>
        <v>0</v>
      </c>
      <c r="BK152" s="123">
        <f t="shared" ca="1" si="140"/>
        <v>1000000</v>
      </c>
      <c r="BL152" s="123">
        <f t="shared" ca="1" si="184"/>
        <v>0</v>
      </c>
      <c r="BM152" s="121"/>
      <c r="BN152" s="126">
        <f ca="1">IF(LiabIntType2="Fixed",LiabFxdRate2,OFFSET(Vectors!$D$6,Vectors!A152,MATCH(LiabLoanIndex2,lstInterestRates,0))+LiabMarg2)</f>
        <v>0.04</v>
      </c>
      <c r="BO152" s="122">
        <f t="shared" ca="1" si="185"/>
        <v>34119.905847872607</v>
      </c>
      <c r="BP152" s="124">
        <f t="shared" ca="1" si="186"/>
        <v>0</v>
      </c>
      <c r="BQ152" s="123">
        <f t="shared" ca="1" si="187"/>
        <v>34119.905847872607</v>
      </c>
      <c r="BR152" s="123">
        <f t="shared" ca="1" si="188"/>
        <v>0</v>
      </c>
      <c r="BS152" s="121"/>
      <c r="BT152" s="123">
        <f t="shared" ca="1" si="154"/>
        <v>31594.746082055855</v>
      </c>
      <c r="BU152" s="123">
        <f t="shared" ca="1" si="189"/>
        <v>0</v>
      </c>
      <c r="BV152" s="123">
        <f t="shared" ca="1" si="190"/>
        <v>31594.746082055855</v>
      </c>
      <c r="BW152" s="123">
        <f t="shared" ca="1" si="191"/>
        <v>0</v>
      </c>
      <c r="BX152" s="121"/>
      <c r="BY152" s="123">
        <f t="shared" si="192"/>
        <v>0</v>
      </c>
      <c r="BZ152" s="123">
        <f t="shared" ca="1" si="193"/>
        <v>0</v>
      </c>
      <c r="CA152" s="121"/>
      <c r="CB152" s="122">
        <f t="shared" ca="1" si="141"/>
        <v>6864879.9591917479</v>
      </c>
      <c r="CC152" s="122">
        <f t="shared" ca="1" si="194"/>
        <v>48995.853058877175</v>
      </c>
      <c r="CD152" s="124">
        <f t="shared" ca="1" si="195"/>
        <v>542927.07764285745</v>
      </c>
      <c r="CE152" s="121"/>
      <c r="CF152" s="122">
        <f t="shared" ca="1" si="142"/>
        <v>10235971.754361782</v>
      </c>
      <c r="CG152" s="124">
        <f t="shared" ca="1" si="196"/>
        <v>0</v>
      </c>
      <c r="CH152" s="123">
        <f t="shared" ca="1" si="197"/>
        <v>0</v>
      </c>
      <c r="CI152" s="121"/>
      <c r="CJ152" s="123">
        <f t="shared" ca="1" si="198"/>
        <v>714702.96520459768</v>
      </c>
      <c r="CK152" s="123">
        <f t="shared" ca="1" si="199"/>
        <v>714702.96520459768</v>
      </c>
      <c r="CL152" s="123">
        <f t="shared" ca="1" si="200"/>
        <v>0</v>
      </c>
      <c r="CM152" s="121"/>
      <c r="CN152" s="62">
        <f t="shared" ca="1" si="201"/>
        <v>308153.88777031848</v>
      </c>
      <c r="CO152" s="62" t="b">
        <f t="shared" si="202"/>
        <v>1</v>
      </c>
      <c r="CP152" s="126">
        <f t="shared" ca="1" si="203"/>
        <v>4.0555555555555458E-3</v>
      </c>
      <c r="CQ152" s="120"/>
      <c r="CR152" s="120"/>
      <c r="CS152" s="120"/>
      <c r="CT152" s="120"/>
      <c r="CU152" s="120"/>
      <c r="CV152" s="120"/>
      <c r="CW152" s="120"/>
      <c r="CX152" s="120"/>
      <c r="CY152" s="120"/>
      <c r="CZ152" s="120"/>
      <c r="DA152" s="120"/>
      <c r="DB152" s="120"/>
      <c r="DC152" s="120"/>
      <c r="DD152" s="120"/>
      <c r="DE152" s="116"/>
      <c r="DF152" s="116"/>
      <c r="DG152" s="116"/>
      <c r="DH152" s="116"/>
      <c r="DI152" s="116"/>
      <c r="DJ152" s="116"/>
      <c r="DK152" s="116"/>
      <c r="DL152" s="116"/>
      <c r="DM152" s="116"/>
      <c r="DN152" s="116"/>
    </row>
    <row r="153" spans="1:118" x14ac:dyDescent="0.2">
      <c r="A153" s="27">
        <v>147</v>
      </c>
      <c r="B153" s="29">
        <f t="shared" si="136"/>
        <v>43586</v>
      </c>
      <c r="C153" s="30">
        <f t="shared" si="137"/>
        <v>8.3333333333333329E-2</v>
      </c>
      <c r="D153" s="55"/>
      <c r="E153" s="62">
        <f t="shared" ca="1" si="155"/>
        <v>85601519.706106395</v>
      </c>
      <c r="F153" s="63">
        <f ca="1">IF(AssetIntType1="Fixed",AssetFxdRate1,IF(A153=1,OFFSET(Vectors!$D$6,A153,MATCH(AssetFltIndx1,lstInterestRates,0)),IF(MOD($A153,AssetRateReset1)=0,MAX(MIN(OFFSET(Vectors!$D$6,A153,MATCH(AssetFltIndx1,lstInterestRates,0)),(F152-AssetMarg1)+AssetPdCapFl1,AssetLifeCap1-AssetMarg1),(F152-AssetMarg1)-AssetPdCapFl1,AssetLifeFloor1-AssetMarg1),F152)))+AssetMarg1</f>
        <v>0.09</v>
      </c>
      <c r="G153" s="62">
        <f t="shared" ca="1" si="143"/>
        <v>804622.61694478267</v>
      </c>
      <c r="H153" s="62">
        <f t="shared" ca="1" si="156"/>
        <v>642011.39779579791</v>
      </c>
      <c r="I153" s="62">
        <f t="shared" ca="1" si="157"/>
        <v>162611.21914898476</v>
      </c>
      <c r="J153" s="62">
        <f t="shared" ca="1" si="138"/>
        <v>85438908.486957416</v>
      </c>
      <c r="K153" s="55"/>
      <c r="L153" s="62">
        <f t="shared" ca="1" si="158"/>
        <v>43222763.955779672</v>
      </c>
      <c r="M153" s="68">
        <f ca="1">IF(pdrLossTime1="",OFFSET(Vectors!$AE$6,A153+_Age1,MATCH(SDA_Loss,lstSDA,0)),OFFSET(Vectors!$X$6,A153+_Age1,MATCH(pdrLossTime1,lstDefaultCurve,0)))</f>
        <v>2.7777777777777779E-5</v>
      </c>
      <c r="N153" s="62">
        <f t="shared" ca="1" si="144"/>
        <v>2777.7777777777778</v>
      </c>
      <c r="O153" s="67">
        <f t="shared" ca="1" si="159"/>
        <v>0.85438908486957421</v>
      </c>
      <c r="P153" s="68">
        <f ca="1">OFFSET(Vectors!$L$6,A153+_Age1,MATCH(pdrPrepay1,lstPrepayCurve,0))*pdrPrepayStress1</f>
        <v>5.1430128318229462E-3</v>
      </c>
      <c r="Q153" s="62">
        <f t="shared" ca="1" si="160"/>
        <v>221872.9509532387</v>
      </c>
      <c r="R153" s="62">
        <f t="shared" ca="1" si="161"/>
        <v>82101.984499059967</v>
      </c>
      <c r="S153" s="69">
        <f t="shared" ca="1" si="162"/>
        <v>0.09</v>
      </c>
      <c r="T153" s="62">
        <f t="shared" ca="1" si="163"/>
        <v>324149.8963350142</v>
      </c>
      <c r="U153" s="62">
        <f t="shared" ca="1" si="145"/>
        <v>1111.1111111111111</v>
      </c>
      <c r="V153" s="62">
        <f t="shared" ca="1" si="139"/>
        <v>42916011.242549598</v>
      </c>
      <c r="W153" s="55"/>
      <c r="X153" s="62">
        <f t="shared" ca="1" si="164"/>
        <v>629235.94289842399</v>
      </c>
      <c r="Y153" s="55"/>
      <c r="Z153" s="118" t="b">
        <v>0</v>
      </c>
      <c r="AA153" s="120" t="b">
        <f t="shared" si="146"/>
        <v>0</v>
      </c>
      <c r="AB153" s="120" t="b">
        <f t="shared" si="147"/>
        <v>1</v>
      </c>
      <c r="AC153" s="120" t="b">
        <f t="shared" ca="1" si="148"/>
        <v>0</v>
      </c>
      <c r="AD153" s="121"/>
      <c r="AE153" s="129">
        <v>13905655.539803246</v>
      </c>
      <c r="AF153" s="69">
        <f ca="1">IF(Swap_Active="No",0,OFFSET(Vectors!$D$6,Vectors!A153,MATCH(Swap_In,lstInterestRates,0)))</f>
        <v>6.9369000000000056E-2</v>
      </c>
      <c r="AG153" s="62">
        <f t="shared" ca="1" si="165"/>
        <v>80385.118261717667</v>
      </c>
      <c r="AH153" s="69">
        <f ca="1">IF(Swap_Active="No",0,OFFSET(Vectors!$D$6,Vectors!A153,MATCH(Swap_Out,lstInterestRates,0)))</f>
        <v>0.04</v>
      </c>
      <c r="AI153" s="62">
        <f t="shared" ca="1" si="166"/>
        <v>46352.185132677492</v>
      </c>
      <c r="AJ153" s="62">
        <f t="shared" ca="1" si="167"/>
        <v>34032.933129040175</v>
      </c>
      <c r="AK153" s="62">
        <f t="shared" ca="1" si="168"/>
        <v>663268.87602746417</v>
      </c>
      <c r="AL153" s="121"/>
      <c r="AM153" s="123">
        <f t="shared" ca="1" si="149"/>
        <v>74898.306575962662</v>
      </c>
      <c r="AN153" s="124">
        <f t="shared" ca="1" si="169"/>
        <v>74898.306575962662</v>
      </c>
      <c r="AO153" s="125">
        <f t="shared" ca="1" si="170"/>
        <v>0</v>
      </c>
      <c r="AP153" s="123">
        <f t="shared" ca="1" si="171"/>
        <v>588370.56945150148</v>
      </c>
      <c r="AQ153" s="121"/>
      <c r="AR153" s="126">
        <f ca="1">IF(LiabIntType1="Fixed",LiabFxdRate1,OFFSET(Vectors!$D$6,Vectors!A153,MATCH(LiabLoanIndex1,lstInterestRates,0))+LiabMarg1)</f>
        <v>7.9369000000000051E-2</v>
      </c>
      <c r="AS153" s="122">
        <f t="shared" ca="1" si="172"/>
        <v>45404.888123424178</v>
      </c>
      <c r="AT153" s="124">
        <f t="shared" ca="1" si="173"/>
        <v>45404.888123424178</v>
      </c>
      <c r="AU153" s="123">
        <f t="shared" ca="1" si="174"/>
        <v>0</v>
      </c>
      <c r="AV153" s="123">
        <f t="shared" ca="1" si="150"/>
        <v>0</v>
      </c>
      <c r="AW153" s="123">
        <f t="shared" ca="1" si="175"/>
        <v>0</v>
      </c>
      <c r="AX153" s="124">
        <f t="shared" ca="1" si="176"/>
        <v>542965.68132807733</v>
      </c>
      <c r="AY153" s="121"/>
      <c r="AZ153" s="122">
        <f t="shared" ca="1" si="151"/>
        <v>542965.68132807733</v>
      </c>
      <c r="BA153" s="124">
        <f t="shared" ca="1" si="177"/>
        <v>542965.68132807733</v>
      </c>
      <c r="BB153" s="123">
        <f t="shared" ca="1" si="178"/>
        <v>0</v>
      </c>
      <c r="BC153" s="123">
        <f t="shared" ca="1" si="152"/>
        <v>0</v>
      </c>
      <c r="BD153" s="123">
        <f t="shared" ca="1" si="179"/>
        <v>0</v>
      </c>
      <c r="BE153" s="124">
        <f t="shared" ca="1" si="180"/>
        <v>0</v>
      </c>
      <c r="BF153" s="121"/>
      <c r="BG153" s="123">
        <f t="shared" si="153"/>
        <v>1000000</v>
      </c>
      <c r="BH153" s="123">
        <f t="shared" ca="1" si="181"/>
        <v>1000000</v>
      </c>
      <c r="BI153" s="123">
        <f t="shared" ca="1" si="182"/>
        <v>0</v>
      </c>
      <c r="BJ153" s="123">
        <f t="shared" ca="1" si="183"/>
        <v>0</v>
      </c>
      <c r="BK153" s="123">
        <f t="shared" ca="1" si="140"/>
        <v>1000000</v>
      </c>
      <c r="BL153" s="123">
        <f t="shared" ca="1" si="184"/>
        <v>0</v>
      </c>
      <c r="BM153" s="121"/>
      <c r="BN153" s="126">
        <f ca="1">IF(LiabIntType2="Fixed",LiabFxdRate2,OFFSET(Vectors!$D$6,Vectors!A153,MATCH(LiabLoanIndex2,lstInterestRates,0))+LiabMarg2)</f>
        <v>0.04</v>
      </c>
      <c r="BO153" s="122">
        <f t="shared" ca="1" si="185"/>
        <v>34119.905847872607</v>
      </c>
      <c r="BP153" s="124">
        <f t="shared" ca="1" si="186"/>
        <v>0</v>
      </c>
      <c r="BQ153" s="123">
        <f t="shared" ca="1" si="187"/>
        <v>34119.905847872607</v>
      </c>
      <c r="BR153" s="123">
        <f t="shared" ca="1" si="188"/>
        <v>0</v>
      </c>
      <c r="BS153" s="121"/>
      <c r="BT153" s="123">
        <f t="shared" ca="1" si="154"/>
        <v>31451.084893368909</v>
      </c>
      <c r="BU153" s="123">
        <f t="shared" ca="1" si="189"/>
        <v>0</v>
      </c>
      <c r="BV153" s="123">
        <f t="shared" ca="1" si="190"/>
        <v>31451.084893368909</v>
      </c>
      <c r="BW153" s="123">
        <f t="shared" ca="1" si="191"/>
        <v>0</v>
      </c>
      <c r="BX153" s="121"/>
      <c r="BY153" s="123">
        <f t="shared" si="192"/>
        <v>0</v>
      </c>
      <c r="BZ153" s="123">
        <f t="shared" ca="1" si="193"/>
        <v>0</v>
      </c>
      <c r="CA153" s="121"/>
      <c r="CB153" s="122">
        <f t="shared" ca="1" si="141"/>
        <v>6321914.2778636701</v>
      </c>
      <c r="CC153" s="122">
        <f t="shared" ca="1" si="194"/>
        <v>45404.888123424178</v>
      </c>
      <c r="CD153" s="124">
        <f t="shared" ca="1" si="195"/>
        <v>542965.68132807733</v>
      </c>
      <c r="CE153" s="121"/>
      <c r="CF153" s="122">
        <f t="shared" ca="1" si="142"/>
        <v>10235971.754361782</v>
      </c>
      <c r="CG153" s="124">
        <f t="shared" ca="1" si="196"/>
        <v>0</v>
      </c>
      <c r="CH153" s="123">
        <f t="shared" ca="1" si="197"/>
        <v>0</v>
      </c>
      <c r="CI153" s="121"/>
      <c r="CJ153" s="123">
        <f t="shared" ca="1" si="198"/>
        <v>709621.0611601416</v>
      </c>
      <c r="CK153" s="123">
        <f t="shared" ca="1" si="199"/>
        <v>709621.0611601416</v>
      </c>
      <c r="CL153" s="123">
        <f t="shared" ca="1" si="200"/>
        <v>0</v>
      </c>
      <c r="CM153" s="121"/>
      <c r="CN153" s="62">
        <f t="shared" ca="1" si="201"/>
        <v>306752.71323007648</v>
      </c>
      <c r="CO153" s="62" t="b">
        <f t="shared" si="202"/>
        <v>1</v>
      </c>
      <c r="CP153" s="126">
        <f t="shared" ca="1" si="203"/>
        <v>4.0833333333333234E-3</v>
      </c>
      <c r="CQ153" s="120"/>
      <c r="CR153" s="120"/>
      <c r="CS153" s="120"/>
      <c r="CT153" s="120"/>
      <c r="CU153" s="120"/>
      <c r="CV153" s="120"/>
      <c r="CW153" s="120"/>
      <c r="CX153" s="120"/>
      <c r="CY153" s="120"/>
      <c r="CZ153" s="120"/>
      <c r="DA153" s="120"/>
      <c r="DB153" s="120"/>
      <c r="DC153" s="120"/>
      <c r="DD153" s="120"/>
      <c r="DE153" s="116"/>
      <c r="DF153" s="116"/>
      <c r="DG153" s="116"/>
      <c r="DH153" s="116"/>
      <c r="DI153" s="116"/>
      <c r="DJ153" s="116"/>
      <c r="DK153" s="116"/>
      <c r="DL153" s="116"/>
      <c r="DM153" s="116"/>
      <c r="DN153" s="116"/>
    </row>
    <row r="154" spans="1:118" x14ac:dyDescent="0.2">
      <c r="A154" s="27">
        <v>148</v>
      </c>
      <c r="B154" s="29">
        <f t="shared" si="136"/>
        <v>43617</v>
      </c>
      <c r="C154" s="30">
        <f t="shared" si="137"/>
        <v>8.3333333333333329E-2</v>
      </c>
      <c r="D154" s="55"/>
      <c r="E154" s="62">
        <f t="shared" ca="1" si="155"/>
        <v>85438908.486957416</v>
      </c>
      <c r="F154" s="63">
        <f ca="1">IF(AssetIntType1="Fixed",AssetFxdRate1,IF(A154=1,OFFSET(Vectors!$D$6,A154,MATCH(AssetFltIndx1,lstInterestRates,0)),IF(MOD($A154,AssetRateReset1)=0,MAX(MIN(OFFSET(Vectors!$D$6,A154,MATCH(AssetFltIndx1,lstInterestRates,0)),(F153-AssetMarg1)+AssetPdCapFl1,AssetLifeCap1-AssetMarg1),(F153-AssetMarg1)-AssetPdCapFl1,AssetLifeFloor1-AssetMarg1),F153)))+AssetMarg1</f>
        <v>0.09</v>
      </c>
      <c r="G154" s="62">
        <f t="shared" ca="1" si="143"/>
        <v>804622.61694478267</v>
      </c>
      <c r="H154" s="62">
        <f t="shared" ca="1" si="156"/>
        <v>640791.8136521806</v>
      </c>
      <c r="I154" s="62">
        <f t="shared" ca="1" si="157"/>
        <v>163830.80329260207</v>
      </c>
      <c r="J154" s="62">
        <f t="shared" ca="1" si="138"/>
        <v>85275077.683664814</v>
      </c>
      <c r="K154" s="55"/>
      <c r="L154" s="62">
        <f t="shared" ca="1" si="158"/>
        <v>42916011.242549598</v>
      </c>
      <c r="M154" s="68">
        <f ca="1">IF(pdrLossTime1="",OFFSET(Vectors!$AE$6,A154+_Age1,MATCH(SDA_Loss,lstSDA,0)),OFFSET(Vectors!$X$6,A154+_Age1,MATCH(pdrLossTime1,lstDefaultCurve,0)))</f>
        <v>2.7777777777777779E-5</v>
      </c>
      <c r="N154" s="62">
        <f t="shared" ca="1" si="144"/>
        <v>2777.7777777777778</v>
      </c>
      <c r="O154" s="67">
        <f t="shared" ca="1" si="159"/>
        <v>0.85275077683664813</v>
      </c>
      <c r="P154" s="68">
        <f ca="1">OFFSET(Vectors!$L$6,A154+_Age1,MATCH(pdrPrepay1,lstPrepayCurve,0))*pdrPrepayStress1</f>
        <v>5.1430128318229462E-3</v>
      </c>
      <c r="Q154" s="62">
        <f t="shared" ca="1" si="160"/>
        <v>220294.36613774425</v>
      </c>
      <c r="R154" s="62">
        <f t="shared" ca="1" si="161"/>
        <v>82286.977150347928</v>
      </c>
      <c r="S154" s="69">
        <f t="shared" ca="1" si="162"/>
        <v>0.09</v>
      </c>
      <c r="T154" s="62">
        <f t="shared" ca="1" si="163"/>
        <v>321849.25098578865</v>
      </c>
      <c r="U154" s="62">
        <f t="shared" ca="1" si="145"/>
        <v>1111.1111111111111</v>
      </c>
      <c r="V154" s="62">
        <f t="shared" ca="1" si="139"/>
        <v>42610652.121483728</v>
      </c>
      <c r="W154" s="55"/>
      <c r="X154" s="62">
        <f t="shared" ca="1" si="164"/>
        <v>625541.70538499195</v>
      </c>
      <c r="Y154" s="55"/>
      <c r="Z154" s="118" t="b">
        <v>0</v>
      </c>
      <c r="AA154" s="120" t="b">
        <f t="shared" si="146"/>
        <v>0</v>
      </c>
      <c r="AB154" s="120" t="b">
        <f t="shared" si="147"/>
        <v>1</v>
      </c>
      <c r="AC154" s="120" t="b">
        <f t="shared" ca="1" si="148"/>
        <v>0</v>
      </c>
      <c r="AD154" s="121"/>
      <c r="AE154" s="129">
        <v>13671200.542486139</v>
      </c>
      <c r="AF154" s="69">
        <f ca="1">IF(Swap_Active="No",0,OFFSET(Vectors!$D$6,Vectors!A154,MATCH(Swap_In,lstInterestRates,0)))</f>
        <v>6.9369000000000056E-2</v>
      </c>
      <c r="AG154" s="62">
        <f t="shared" ca="1" si="165"/>
        <v>79029.792535976798</v>
      </c>
      <c r="AH154" s="69">
        <f ca="1">IF(Swap_Active="No",0,OFFSET(Vectors!$D$6,Vectors!A154,MATCH(Swap_Out,lstInterestRates,0)))</f>
        <v>0.04</v>
      </c>
      <c r="AI154" s="62">
        <f t="shared" ca="1" si="166"/>
        <v>45570.668474953796</v>
      </c>
      <c r="AJ154" s="62">
        <f t="shared" ca="1" si="167"/>
        <v>33459.124061023002</v>
      </c>
      <c r="AK154" s="62">
        <f t="shared" ca="1" si="168"/>
        <v>659000.82944601495</v>
      </c>
      <c r="AL154" s="121"/>
      <c r="AM154" s="123">
        <f t="shared" ca="1" si="149"/>
        <v>74160.816353359187</v>
      </c>
      <c r="AN154" s="124">
        <f t="shared" ca="1" si="169"/>
        <v>74160.816353359187</v>
      </c>
      <c r="AO154" s="125">
        <f t="shared" ca="1" si="170"/>
        <v>0</v>
      </c>
      <c r="AP154" s="123">
        <f t="shared" ca="1" si="171"/>
        <v>584840.0130926558</v>
      </c>
      <c r="AQ154" s="121"/>
      <c r="AR154" s="126">
        <f ca="1">IF(LiabIntType1="Fixed",LiabFxdRate1,OFFSET(Vectors!$D$6,Vectors!A154,MATCH(LiabLoanIndex1,lstInterestRates,0))+LiabMarg1)</f>
        <v>7.9369000000000051E-2</v>
      </c>
      <c r="AS154" s="122">
        <f t="shared" ca="1" si="172"/>
        <v>41813.66785998016</v>
      </c>
      <c r="AT154" s="124">
        <f t="shared" ca="1" si="173"/>
        <v>41813.66785998016</v>
      </c>
      <c r="AU154" s="123">
        <f t="shared" ca="1" si="174"/>
        <v>0</v>
      </c>
      <c r="AV154" s="123">
        <f t="shared" ca="1" si="150"/>
        <v>0</v>
      </c>
      <c r="AW154" s="123">
        <f t="shared" ca="1" si="175"/>
        <v>0</v>
      </c>
      <c r="AX154" s="124">
        <f t="shared" ca="1" si="176"/>
        <v>543026.34523267567</v>
      </c>
      <c r="AY154" s="121"/>
      <c r="AZ154" s="122">
        <f t="shared" ca="1" si="151"/>
        <v>543026.34523267567</v>
      </c>
      <c r="BA154" s="124">
        <f t="shared" ca="1" si="177"/>
        <v>543026.34523267567</v>
      </c>
      <c r="BB154" s="123">
        <f t="shared" ca="1" si="178"/>
        <v>0</v>
      </c>
      <c r="BC154" s="123">
        <f t="shared" ca="1" si="152"/>
        <v>0</v>
      </c>
      <c r="BD154" s="123">
        <f t="shared" ca="1" si="179"/>
        <v>0</v>
      </c>
      <c r="BE154" s="124">
        <f t="shared" ca="1" si="180"/>
        <v>0</v>
      </c>
      <c r="BF154" s="121"/>
      <c r="BG154" s="123">
        <f t="shared" si="153"/>
        <v>1000000</v>
      </c>
      <c r="BH154" s="123">
        <f t="shared" ca="1" si="181"/>
        <v>1000000</v>
      </c>
      <c r="BI154" s="123">
        <f t="shared" ca="1" si="182"/>
        <v>0</v>
      </c>
      <c r="BJ154" s="123">
        <f t="shared" ca="1" si="183"/>
        <v>0</v>
      </c>
      <c r="BK154" s="123">
        <f t="shared" ca="1" si="140"/>
        <v>1000000</v>
      </c>
      <c r="BL154" s="123">
        <f t="shared" ca="1" si="184"/>
        <v>0</v>
      </c>
      <c r="BM154" s="121"/>
      <c r="BN154" s="126">
        <f ca="1">IF(LiabIntType2="Fixed",LiabFxdRate2,OFFSET(Vectors!$D$6,Vectors!A154,MATCH(LiabLoanIndex2,lstInterestRates,0))+LiabMarg2)</f>
        <v>0.04</v>
      </c>
      <c r="BO154" s="122">
        <f t="shared" ca="1" si="185"/>
        <v>34119.905847872607</v>
      </c>
      <c r="BP154" s="124">
        <f t="shared" ca="1" si="186"/>
        <v>0</v>
      </c>
      <c r="BQ154" s="123">
        <f t="shared" ca="1" si="187"/>
        <v>34119.905847872607</v>
      </c>
      <c r="BR154" s="123">
        <f t="shared" ca="1" si="188"/>
        <v>0</v>
      </c>
      <c r="BS154" s="121"/>
      <c r="BT154" s="123">
        <f t="shared" ca="1" si="154"/>
        <v>31308.201119003334</v>
      </c>
      <c r="BU154" s="123">
        <f t="shared" ca="1" si="189"/>
        <v>0</v>
      </c>
      <c r="BV154" s="123">
        <f t="shared" ca="1" si="190"/>
        <v>31308.201119003334</v>
      </c>
      <c r="BW154" s="123">
        <f t="shared" ca="1" si="191"/>
        <v>0</v>
      </c>
      <c r="BX154" s="121"/>
      <c r="BY154" s="123">
        <f t="shared" si="192"/>
        <v>0</v>
      </c>
      <c r="BZ154" s="123">
        <f t="shared" ca="1" si="193"/>
        <v>0</v>
      </c>
      <c r="CA154" s="121"/>
      <c r="CB154" s="122">
        <f t="shared" ca="1" si="141"/>
        <v>5778887.9326309944</v>
      </c>
      <c r="CC154" s="122">
        <f t="shared" ca="1" si="194"/>
        <v>41813.66785998016</v>
      </c>
      <c r="CD154" s="124">
        <f t="shared" ca="1" si="195"/>
        <v>543026.34523267567</v>
      </c>
      <c r="CE154" s="121"/>
      <c r="CF154" s="122">
        <f t="shared" ca="1" si="142"/>
        <v>10235971.754361782</v>
      </c>
      <c r="CG154" s="124">
        <f t="shared" ca="1" si="196"/>
        <v>0</v>
      </c>
      <c r="CH154" s="123">
        <f t="shared" ca="1" si="197"/>
        <v>0</v>
      </c>
      <c r="CI154" s="121"/>
      <c r="CJ154" s="123">
        <f t="shared" ca="1" si="198"/>
        <v>704571.4979209688</v>
      </c>
      <c r="CK154" s="123">
        <f t="shared" ca="1" si="199"/>
        <v>704571.4979209688</v>
      </c>
      <c r="CL154" s="123">
        <f t="shared" ca="1" si="200"/>
        <v>0</v>
      </c>
      <c r="CM154" s="121"/>
      <c r="CN154" s="62">
        <f t="shared" ca="1" si="201"/>
        <v>305359.12106586993</v>
      </c>
      <c r="CO154" s="62" t="b">
        <f t="shared" si="202"/>
        <v>1</v>
      </c>
      <c r="CP154" s="126">
        <f t="shared" ca="1" si="203"/>
        <v>4.111111111111101E-3</v>
      </c>
      <c r="CQ154" s="120"/>
      <c r="CR154" s="120"/>
      <c r="CS154" s="120"/>
      <c r="CT154" s="120"/>
      <c r="CU154" s="120"/>
      <c r="CV154" s="120"/>
      <c r="CW154" s="120"/>
      <c r="CX154" s="120"/>
      <c r="CY154" s="120"/>
      <c r="CZ154" s="120"/>
      <c r="DA154" s="120"/>
      <c r="DB154" s="120"/>
      <c r="DC154" s="120"/>
      <c r="DD154" s="120"/>
      <c r="DE154" s="116"/>
      <c r="DF154" s="116"/>
      <c r="DG154" s="116"/>
      <c r="DH154" s="116"/>
      <c r="DI154" s="116"/>
      <c r="DJ154" s="116"/>
      <c r="DK154" s="116"/>
      <c r="DL154" s="116"/>
      <c r="DM154" s="116"/>
      <c r="DN154" s="116"/>
    </row>
    <row r="155" spans="1:118" x14ac:dyDescent="0.2">
      <c r="A155" s="27">
        <v>149</v>
      </c>
      <c r="B155" s="29">
        <f t="shared" si="136"/>
        <v>43647</v>
      </c>
      <c r="C155" s="30">
        <f t="shared" si="137"/>
        <v>8.3333333333333329E-2</v>
      </c>
      <c r="D155" s="55"/>
      <c r="E155" s="62">
        <f t="shared" ca="1" si="155"/>
        <v>85275077.683664814</v>
      </c>
      <c r="F155" s="63">
        <f ca="1">IF(AssetIntType1="Fixed",AssetFxdRate1,IF(A155=1,OFFSET(Vectors!$D$6,A155,MATCH(AssetFltIndx1,lstInterestRates,0)),IF(MOD($A155,AssetRateReset1)=0,MAX(MIN(OFFSET(Vectors!$D$6,A155,MATCH(AssetFltIndx1,lstInterestRates,0)),(F154-AssetMarg1)+AssetPdCapFl1,AssetLifeCap1-AssetMarg1),(F154-AssetMarg1)-AssetPdCapFl1,AssetLifeFloor1-AssetMarg1),F154)))+AssetMarg1</f>
        <v>0.09</v>
      </c>
      <c r="G155" s="62">
        <f t="shared" ca="1" si="143"/>
        <v>804622.61694478267</v>
      </c>
      <c r="H155" s="62">
        <f t="shared" ca="1" si="156"/>
        <v>639563.08262748609</v>
      </c>
      <c r="I155" s="62">
        <f t="shared" ca="1" si="157"/>
        <v>165059.53431729658</v>
      </c>
      <c r="J155" s="62">
        <f t="shared" ca="1" si="138"/>
        <v>85110018.149347514</v>
      </c>
      <c r="K155" s="55"/>
      <c r="L155" s="62">
        <f t="shared" ca="1" si="158"/>
        <v>42610652.121483728</v>
      </c>
      <c r="M155" s="68">
        <f ca="1">IF(pdrLossTime1="",OFFSET(Vectors!$AE$6,A155+_Age1,MATCH(SDA_Loss,lstSDA,0)),OFFSET(Vectors!$X$6,A155+_Age1,MATCH(pdrLossTime1,lstDefaultCurve,0)))</f>
        <v>2.7777777777777779E-5</v>
      </c>
      <c r="N155" s="62">
        <f t="shared" ca="1" si="144"/>
        <v>2777.7777777777778</v>
      </c>
      <c r="O155" s="67">
        <f t="shared" ca="1" si="159"/>
        <v>0.85110018149347511</v>
      </c>
      <c r="P155" s="68">
        <f ca="1">OFFSET(Vectors!$L$6,A155+_Age1,MATCH(pdrPrepay1,lstPrepayCurve,0))*pdrPrepayStress1</f>
        <v>5.1430128318229462E-3</v>
      </c>
      <c r="Q155" s="62">
        <f t="shared" ca="1" si="160"/>
        <v>218722.94663574823</v>
      </c>
      <c r="R155" s="62">
        <f t="shared" ca="1" si="161"/>
        <v>82472.34817552504</v>
      </c>
      <c r="S155" s="69">
        <f t="shared" ca="1" si="162"/>
        <v>0.09</v>
      </c>
      <c r="T155" s="62">
        <f t="shared" ca="1" si="163"/>
        <v>319559.05757779465</v>
      </c>
      <c r="U155" s="62">
        <f t="shared" ca="1" si="145"/>
        <v>1111.1111111111111</v>
      </c>
      <c r="V155" s="62">
        <f t="shared" ca="1" si="139"/>
        <v>42306679.048894681</v>
      </c>
      <c r="W155" s="55"/>
      <c r="X155" s="62">
        <f t="shared" ca="1" si="164"/>
        <v>621865.463500179</v>
      </c>
      <c r="Y155" s="55"/>
      <c r="Z155" s="118" t="b">
        <v>0</v>
      </c>
      <c r="AA155" s="120" t="b">
        <f t="shared" si="146"/>
        <v>0</v>
      </c>
      <c r="AB155" s="120" t="b">
        <f t="shared" si="147"/>
        <v>1</v>
      </c>
      <c r="AC155" s="120" t="b">
        <f t="shared" ca="1" si="148"/>
        <v>0</v>
      </c>
      <c r="AD155" s="121"/>
      <c r="AE155" s="129">
        <v>13439185.660688128</v>
      </c>
      <c r="AF155" s="69">
        <f ca="1">IF(Swap_Active="No",0,OFFSET(Vectors!$D$6,Vectors!A155,MATCH(Swap_In,lstInterestRates,0)))</f>
        <v>6.9369000000000056E-2</v>
      </c>
      <c r="AG155" s="62">
        <f t="shared" ca="1" si="165"/>
        <v>77688.572508022946</v>
      </c>
      <c r="AH155" s="69">
        <f ca="1">IF(Swap_Active="No",0,OFFSET(Vectors!$D$6,Vectors!A155,MATCH(Swap_Out,lstInterestRates,0)))</f>
        <v>0.04</v>
      </c>
      <c r="AI155" s="62">
        <f t="shared" ca="1" si="166"/>
        <v>44797.285535627088</v>
      </c>
      <c r="AJ155" s="62">
        <f t="shared" ca="1" si="167"/>
        <v>32891.286972395857</v>
      </c>
      <c r="AK155" s="62">
        <f t="shared" ca="1" si="168"/>
        <v>654756.75047257484</v>
      </c>
      <c r="AL155" s="121"/>
      <c r="AM155" s="123">
        <f t="shared" ca="1" si="149"/>
        <v>73425.6235077358</v>
      </c>
      <c r="AN155" s="124">
        <f t="shared" ca="1" si="169"/>
        <v>73425.6235077358</v>
      </c>
      <c r="AO155" s="125">
        <f t="shared" ca="1" si="170"/>
        <v>0</v>
      </c>
      <c r="AP155" s="123">
        <f t="shared" ca="1" si="171"/>
        <v>581331.12696483906</v>
      </c>
      <c r="AQ155" s="121"/>
      <c r="AR155" s="126">
        <f ca="1">IF(LiabIntType1="Fixed",LiabFxdRate1,OFFSET(Vectors!$D$6,Vectors!A155,MATCH(LiabLoanIndex1,lstInterestRates,0))+LiabMarg1)</f>
        <v>7.9369000000000051E-2</v>
      </c>
      <c r="AS155" s="122">
        <f t="shared" ca="1" si="172"/>
        <v>38222.046360415807</v>
      </c>
      <c r="AT155" s="124">
        <f t="shared" ca="1" si="173"/>
        <v>38222.046360415807</v>
      </c>
      <c r="AU155" s="123">
        <f t="shared" ca="1" si="174"/>
        <v>0</v>
      </c>
      <c r="AV155" s="123">
        <f t="shared" ca="1" si="150"/>
        <v>0</v>
      </c>
      <c r="AW155" s="123">
        <f t="shared" ca="1" si="175"/>
        <v>0</v>
      </c>
      <c r="AX155" s="124">
        <f t="shared" ca="1" si="176"/>
        <v>543109.0806044233</v>
      </c>
      <c r="AY155" s="121"/>
      <c r="AZ155" s="122">
        <f t="shared" ca="1" si="151"/>
        <v>543109.0806044233</v>
      </c>
      <c r="BA155" s="124">
        <f t="shared" ca="1" si="177"/>
        <v>543109.0806044233</v>
      </c>
      <c r="BB155" s="123">
        <f t="shared" ca="1" si="178"/>
        <v>0</v>
      </c>
      <c r="BC155" s="123">
        <f t="shared" ca="1" si="152"/>
        <v>0</v>
      </c>
      <c r="BD155" s="123">
        <f t="shared" ca="1" si="179"/>
        <v>0</v>
      </c>
      <c r="BE155" s="124">
        <f t="shared" ca="1" si="180"/>
        <v>0</v>
      </c>
      <c r="BF155" s="121"/>
      <c r="BG155" s="123">
        <f t="shared" si="153"/>
        <v>1000000</v>
      </c>
      <c r="BH155" s="123">
        <f t="shared" ca="1" si="181"/>
        <v>1000000</v>
      </c>
      <c r="BI155" s="123">
        <f t="shared" ca="1" si="182"/>
        <v>0</v>
      </c>
      <c r="BJ155" s="123">
        <f t="shared" ca="1" si="183"/>
        <v>0</v>
      </c>
      <c r="BK155" s="123">
        <f t="shared" ca="1" si="140"/>
        <v>1000000</v>
      </c>
      <c r="BL155" s="123">
        <f t="shared" ca="1" si="184"/>
        <v>0</v>
      </c>
      <c r="BM155" s="121"/>
      <c r="BN155" s="126">
        <f ca="1">IF(LiabIntType2="Fixed",LiabFxdRate2,OFFSET(Vectors!$D$6,Vectors!A155,MATCH(LiabLoanIndex2,lstInterestRates,0))+LiabMarg2)</f>
        <v>0.04</v>
      </c>
      <c r="BO155" s="122">
        <f t="shared" ca="1" si="185"/>
        <v>34119.905847872607</v>
      </c>
      <c r="BP155" s="124">
        <f t="shared" ca="1" si="186"/>
        <v>0</v>
      </c>
      <c r="BQ155" s="123">
        <f t="shared" ca="1" si="187"/>
        <v>34119.905847872607</v>
      </c>
      <c r="BR155" s="123">
        <f t="shared" ca="1" si="188"/>
        <v>0</v>
      </c>
      <c r="BS155" s="121"/>
      <c r="BT155" s="123">
        <f t="shared" ca="1" si="154"/>
        <v>31166.090792246225</v>
      </c>
      <c r="BU155" s="123">
        <f t="shared" ca="1" si="189"/>
        <v>0</v>
      </c>
      <c r="BV155" s="123">
        <f t="shared" ca="1" si="190"/>
        <v>31166.090792246225</v>
      </c>
      <c r="BW155" s="123">
        <f t="shared" ca="1" si="191"/>
        <v>0</v>
      </c>
      <c r="BX155" s="121"/>
      <c r="BY155" s="123">
        <f t="shared" si="192"/>
        <v>0</v>
      </c>
      <c r="BZ155" s="123">
        <f t="shared" ca="1" si="193"/>
        <v>0</v>
      </c>
      <c r="CA155" s="121"/>
      <c r="CB155" s="122">
        <f t="shared" ca="1" si="141"/>
        <v>5235778.8520265706</v>
      </c>
      <c r="CC155" s="122">
        <f t="shared" ca="1" si="194"/>
        <v>38222.046360415807</v>
      </c>
      <c r="CD155" s="124">
        <f t="shared" ca="1" si="195"/>
        <v>543109.0806044233</v>
      </c>
      <c r="CE155" s="121"/>
      <c r="CF155" s="122">
        <f t="shared" ca="1" si="142"/>
        <v>10235971.754361782</v>
      </c>
      <c r="CG155" s="124">
        <f t="shared" ca="1" si="196"/>
        <v>0</v>
      </c>
      <c r="CH155" s="123">
        <f t="shared" ca="1" si="197"/>
        <v>0</v>
      </c>
      <c r="CI155" s="121"/>
      <c r="CJ155" s="123">
        <f t="shared" ca="1" si="198"/>
        <v>699554.03600820201</v>
      </c>
      <c r="CK155" s="123">
        <f t="shared" ca="1" si="199"/>
        <v>699554.03600820201</v>
      </c>
      <c r="CL155" s="123">
        <f t="shared" ca="1" si="200"/>
        <v>0</v>
      </c>
      <c r="CM155" s="121"/>
      <c r="CN155" s="62">
        <f t="shared" ca="1" si="201"/>
        <v>303973.07258905104</v>
      </c>
      <c r="CO155" s="62" t="b">
        <f t="shared" si="202"/>
        <v>1</v>
      </c>
      <c r="CP155" s="126">
        <f t="shared" ca="1" si="203"/>
        <v>4.1388888888888786E-3</v>
      </c>
      <c r="CQ155" s="120"/>
      <c r="CR155" s="120"/>
      <c r="CS155" s="120"/>
      <c r="CT155" s="120"/>
      <c r="CU155" s="120"/>
      <c r="CV155" s="120"/>
      <c r="CW155" s="120"/>
      <c r="CX155" s="120"/>
      <c r="CY155" s="120"/>
      <c r="CZ155" s="120"/>
      <c r="DA155" s="120"/>
      <c r="DB155" s="120"/>
      <c r="DC155" s="120"/>
      <c r="DD155" s="120"/>
      <c r="DE155" s="116"/>
      <c r="DF155" s="116"/>
      <c r="DG155" s="116"/>
      <c r="DH155" s="116"/>
      <c r="DI155" s="116"/>
      <c r="DJ155" s="116"/>
      <c r="DK155" s="116"/>
      <c r="DL155" s="116"/>
      <c r="DM155" s="116"/>
      <c r="DN155" s="116"/>
    </row>
    <row r="156" spans="1:118" x14ac:dyDescent="0.2">
      <c r="A156" s="27">
        <v>150</v>
      </c>
      <c r="B156" s="29">
        <f t="shared" si="136"/>
        <v>43678</v>
      </c>
      <c r="C156" s="30">
        <f t="shared" si="137"/>
        <v>8.3333333333333329E-2</v>
      </c>
      <c r="D156" s="55"/>
      <c r="E156" s="62">
        <f t="shared" ca="1" si="155"/>
        <v>85110018.149347514</v>
      </c>
      <c r="F156" s="63">
        <f ca="1">IF(AssetIntType1="Fixed",AssetFxdRate1,IF(A156=1,OFFSET(Vectors!$D$6,A156,MATCH(AssetFltIndx1,lstInterestRates,0)),IF(MOD($A156,AssetRateReset1)=0,MAX(MIN(OFFSET(Vectors!$D$6,A156,MATCH(AssetFltIndx1,lstInterestRates,0)),(F155-AssetMarg1)+AssetPdCapFl1,AssetLifeCap1-AssetMarg1),(F155-AssetMarg1)-AssetPdCapFl1,AssetLifeFloor1-AssetMarg1),F155)))+AssetMarg1</f>
        <v>0.09</v>
      </c>
      <c r="G156" s="62">
        <f t="shared" ca="1" si="143"/>
        <v>804622.61694478267</v>
      </c>
      <c r="H156" s="62">
        <f t="shared" ca="1" si="156"/>
        <v>638325.13612010633</v>
      </c>
      <c r="I156" s="62">
        <f t="shared" ca="1" si="157"/>
        <v>166297.48082467634</v>
      </c>
      <c r="J156" s="62">
        <f t="shared" ca="1" si="138"/>
        <v>84943720.668522835</v>
      </c>
      <c r="K156" s="55"/>
      <c r="L156" s="62">
        <f t="shared" ca="1" si="158"/>
        <v>42306679.048894681</v>
      </c>
      <c r="M156" s="68">
        <f ca="1">IF(pdrLossTime1="",OFFSET(Vectors!$AE$6,A156+_Age1,MATCH(SDA_Loss,lstSDA,0)),OFFSET(Vectors!$X$6,A156+_Age1,MATCH(pdrLossTime1,lstDefaultCurve,0)))</f>
        <v>2.7777777777777779E-5</v>
      </c>
      <c r="N156" s="62">
        <f t="shared" ca="1" si="144"/>
        <v>2777.7777777777778</v>
      </c>
      <c r="O156" s="67">
        <f t="shared" ca="1" si="159"/>
        <v>0.84943720668522837</v>
      </c>
      <c r="P156" s="68">
        <f ca="1">OFFSET(Vectors!$L$6,A156+_Age1,MATCH(pdrPrepay1,lstPrepayCurve,0))*pdrPrepayStress1</f>
        <v>5.1430128318229462E-3</v>
      </c>
      <c r="Q156" s="62">
        <f t="shared" ca="1" si="160"/>
        <v>217158.65364837574</v>
      </c>
      <c r="R156" s="62">
        <f t="shared" ca="1" si="161"/>
        <v>82658.097876299405</v>
      </c>
      <c r="S156" s="69">
        <f t="shared" ca="1" si="162"/>
        <v>0.09</v>
      </c>
      <c r="T156" s="62">
        <f t="shared" ca="1" si="163"/>
        <v>317279.25953337678</v>
      </c>
      <c r="U156" s="62">
        <f t="shared" ca="1" si="145"/>
        <v>1111.1111111111111</v>
      </c>
      <c r="V156" s="62">
        <f t="shared" ca="1" si="139"/>
        <v>42004084.519592226</v>
      </c>
      <c r="W156" s="55"/>
      <c r="X156" s="62">
        <f t="shared" ca="1" si="164"/>
        <v>618207.12216916308</v>
      </c>
      <c r="Y156" s="55"/>
      <c r="Z156" s="118" t="b">
        <v>0</v>
      </c>
      <c r="AA156" s="120" t="b">
        <f t="shared" si="146"/>
        <v>0</v>
      </c>
      <c r="AB156" s="120" t="b">
        <f t="shared" si="147"/>
        <v>1</v>
      </c>
      <c r="AC156" s="120" t="b">
        <f t="shared" ca="1" si="148"/>
        <v>0</v>
      </c>
      <c r="AD156" s="121"/>
      <c r="AE156" s="129">
        <v>13209586.247172743</v>
      </c>
      <c r="AF156" s="69">
        <f ca="1">IF(Swap_Active="No",0,OFFSET(Vectors!$D$6,Vectors!A156,MATCH(Swap_In,lstInterestRates,0)))</f>
        <v>6.9369000000000056E-2</v>
      </c>
      <c r="AG156" s="62">
        <f t="shared" ca="1" si="165"/>
        <v>76361.315698343882</v>
      </c>
      <c r="AH156" s="69">
        <f ca="1">IF(Swap_Active="No",0,OFFSET(Vectors!$D$6,Vectors!A156,MATCH(Swap_Out,lstInterestRates,0)))</f>
        <v>0.04</v>
      </c>
      <c r="AI156" s="62">
        <f t="shared" ca="1" si="166"/>
        <v>44031.954157242471</v>
      </c>
      <c r="AJ156" s="62">
        <f t="shared" ca="1" si="167"/>
        <v>32329.361541101411</v>
      </c>
      <c r="AK156" s="62">
        <f t="shared" ca="1" si="168"/>
        <v>650536.48371026444</v>
      </c>
      <c r="AL156" s="121"/>
      <c r="AM156" s="123">
        <f t="shared" ca="1" si="149"/>
        <v>72692.706269835544</v>
      </c>
      <c r="AN156" s="124">
        <f t="shared" ca="1" si="169"/>
        <v>72692.706269835544</v>
      </c>
      <c r="AO156" s="125">
        <f t="shared" ca="1" si="170"/>
        <v>0</v>
      </c>
      <c r="AP156" s="123">
        <f t="shared" ca="1" si="171"/>
        <v>577843.77744042885</v>
      </c>
      <c r="AQ156" s="121"/>
      <c r="AR156" s="126">
        <f ca="1">IF(LiabIntType1="Fixed",LiabFxdRate1,OFFSET(Vectors!$D$6,Vectors!A156,MATCH(LiabLoanIndex1,lstInterestRates,0))+LiabMarg1)</f>
        <v>7.9369000000000051E-2</v>
      </c>
      <c r="AS156" s="122">
        <f t="shared" ca="1" si="172"/>
        <v>34629.877642208092</v>
      </c>
      <c r="AT156" s="124">
        <f t="shared" ca="1" si="173"/>
        <v>34629.877642208092</v>
      </c>
      <c r="AU156" s="123">
        <f t="shared" ca="1" si="174"/>
        <v>0</v>
      </c>
      <c r="AV156" s="123">
        <f t="shared" ca="1" si="150"/>
        <v>0</v>
      </c>
      <c r="AW156" s="123">
        <f t="shared" ca="1" si="175"/>
        <v>0</v>
      </c>
      <c r="AX156" s="124">
        <f t="shared" ca="1" si="176"/>
        <v>543213.89979822072</v>
      </c>
      <c r="AY156" s="121"/>
      <c r="AZ156" s="122">
        <f t="shared" ca="1" si="151"/>
        <v>543213.89979822072</v>
      </c>
      <c r="BA156" s="124">
        <f t="shared" ca="1" si="177"/>
        <v>543213.89979822072</v>
      </c>
      <c r="BB156" s="123">
        <f t="shared" ca="1" si="178"/>
        <v>0</v>
      </c>
      <c r="BC156" s="123">
        <f t="shared" ca="1" si="152"/>
        <v>0</v>
      </c>
      <c r="BD156" s="123">
        <f t="shared" ca="1" si="179"/>
        <v>0</v>
      </c>
      <c r="BE156" s="124">
        <f t="shared" ca="1" si="180"/>
        <v>0</v>
      </c>
      <c r="BF156" s="121"/>
      <c r="BG156" s="123">
        <f t="shared" si="153"/>
        <v>1000000</v>
      </c>
      <c r="BH156" s="123">
        <f t="shared" ca="1" si="181"/>
        <v>1000000</v>
      </c>
      <c r="BI156" s="123">
        <f t="shared" ca="1" si="182"/>
        <v>0</v>
      </c>
      <c r="BJ156" s="123">
        <f t="shared" ca="1" si="183"/>
        <v>0</v>
      </c>
      <c r="BK156" s="123">
        <f t="shared" ca="1" si="140"/>
        <v>1000000</v>
      </c>
      <c r="BL156" s="123">
        <f t="shared" ca="1" si="184"/>
        <v>0</v>
      </c>
      <c r="BM156" s="121"/>
      <c r="BN156" s="126">
        <f ca="1">IF(LiabIntType2="Fixed",LiabFxdRate2,OFFSET(Vectors!$D$6,Vectors!A156,MATCH(LiabLoanIndex2,lstInterestRates,0))+LiabMarg2)</f>
        <v>0.04</v>
      </c>
      <c r="BO156" s="122">
        <f t="shared" ca="1" si="185"/>
        <v>34119.905847872607</v>
      </c>
      <c r="BP156" s="124">
        <f t="shared" ca="1" si="186"/>
        <v>0</v>
      </c>
      <c r="BQ156" s="123">
        <f t="shared" ca="1" si="187"/>
        <v>34119.905847872607</v>
      </c>
      <c r="BR156" s="123">
        <f t="shared" ca="1" si="188"/>
        <v>0</v>
      </c>
      <c r="BS156" s="121"/>
      <c r="BT156" s="123">
        <f t="shared" ca="1" si="154"/>
        <v>31024.749966017047</v>
      </c>
      <c r="BU156" s="123">
        <f t="shared" ca="1" si="189"/>
        <v>0</v>
      </c>
      <c r="BV156" s="123">
        <f t="shared" ca="1" si="190"/>
        <v>31024.749966017047</v>
      </c>
      <c r="BW156" s="123">
        <f t="shared" ca="1" si="191"/>
        <v>0</v>
      </c>
      <c r="BX156" s="121"/>
      <c r="BY156" s="123">
        <f t="shared" si="192"/>
        <v>0</v>
      </c>
      <c r="BZ156" s="123">
        <f t="shared" ca="1" si="193"/>
        <v>0</v>
      </c>
      <c r="CA156" s="121"/>
      <c r="CB156" s="122">
        <f t="shared" ca="1" si="141"/>
        <v>4692564.9522283496</v>
      </c>
      <c r="CC156" s="122">
        <f t="shared" ca="1" si="194"/>
        <v>34629.877642208092</v>
      </c>
      <c r="CD156" s="124">
        <f t="shared" ca="1" si="195"/>
        <v>543213.89979822072</v>
      </c>
      <c r="CE156" s="121"/>
      <c r="CF156" s="122">
        <f t="shared" ca="1" si="142"/>
        <v>10235971.754361782</v>
      </c>
      <c r="CG156" s="124">
        <f t="shared" ca="1" si="196"/>
        <v>0</v>
      </c>
      <c r="CH156" s="123">
        <f t="shared" ca="1" si="197"/>
        <v>0</v>
      </c>
      <c r="CI156" s="121"/>
      <c r="CJ156" s="123">
        <f t="shared" ca="1" si="198"/>
        <v>694568.43786750699</v>
      </c>
      <c r="CK156" s="123">
        <f t="shared" ca="1" si="199"/>
        <v>694568.43786750687</v>
      </c>
      <c r="CL156" s="123">
        <f t="shared" ca="1" si="200"/>
        <v>0</v>
      </c>
      <c r="CM156" s="121"/>
      <c r="CN156" s="62">
        <f t="shared" ca="1" si="201"/>
        <v>302594.52930245292</v>
      </c>
      <c r="CO156" s="62" t="b">
        <f t="shared" si="202"/>
        <v>1</v>
      </c>
      <c r="CP156" s="126">
        <f t="shared" ca="1" si="203"/>
        <v>4.1666666666666562E-3</v>
      </c>
      <c r="CQ156" s="120"/>
      <c r="CR156" s="120"/>
      <c r="CS156" s="120"/>
      <c r="CT156" s="120"/>
      <c r="CU156" s="120"/>
      <c r="CV156" s="120"/>
      <c r="CW156" s="120"/>
      <c r="CX156" s="120"/>
      <c r="CY156" s="120"/>
      <c r="CZ156" s="120"/>
      <c r="DA156" s="120"/>
      <c r="DB156" s="120"/>
      <c r="DC156" s="120"/>
      <c r="DD156" s="120"/>
      <c r="DE156" s="116"/>
      <c r="DF156" s="116"/>
      <c r="DG156" s="116"/>
      <c r="DH156" s="116"/>
      <c r="DI156" s="116"/>
      <c r="DJ156" s="116"/>
      <c r="DK156" s="116"/>
      <c r="DL156" s="116"/>
      <c r="DM156" s="116"/>
      <c r="DN156" s="116"/>
    </row>
    <row r="157" spans="1:118" x14ac:dyDescent="0.2">
      <c r="A157" s="27">
        <v>151</v>
      </c>
      <c r="B157" s="29">
        <f t="shared" si="136"/>
        <v>43709</v>
      </c>
      <c r="C157" s="30">
        <f t="shared" si="137"/>
        <v>8.3333333333333329E-2</v>
      </c>
      <c r="D157" s="55"/>
      <c r="E157" s="62">
        <f t="shared" ca="1" si="155"/>
        <v>84943720.668522835</v>
      </c>
      <c r="F157" s="63">
        <f ca="1">IF(AssetIntType1="Fixed",AssetFxdRate1,IF(A157=1,OFFSET(Vectors!$D$6,A157,MATCH(AssetFltIndx1,lstInterestRates,0)),IF(MOD($A157,AssetRateReset1)=0,MAX(MIN(OFFSET(Vectors!$D$6,A157,MATCH(AssetFltIndx1,lstInterestRates,0)),(F156-AssetMarg1)+AssetPdCapFl1,AssetLifeCap1-AssetMarg1),(F156-AssetMarg1)-AssetPdCapFl1,AssetLifeFloor1-AssetMarg1),F156)))+AssetMarg1</f>
        <v>0.09</v>
      </c>
      <c r="G157" s="62">
        <f t="shared" ca="1" si="143"/>
        <v>804622.61694478267</v>
      </c>
      <c r="H157" s="62">
        <f t="shared" ca="1" si="156"/>
        <v>637077.9050139212</v>
      </c>
      <c r="I157" s="62">
        <f t="shared" ca="1" si="157"/>
        <v>167544.71193086146</v>
      </c>
      <c r="J157" s="62">
        <f t="shared" ca="1" si="138"/>
        <v>84776175.956591979</v>
      </c>
      <c r="K157" s="55"/>
      <c r="L157" s="62">
        <f t="shared" ca="1" si="158"/>
        <v>42004084.519592226</v>
      </c>
      <c r="M157" s="68">
        <f ca="1">IF(pdrLossTime1="",OFFSET(Vectors!$AE$6,A157+_Age1,MATCH(SDA_Loss,lstSDA,0)),OFFSET(Vectors!$X$6,A157+_Age1,MATCH(pdrLossTime1,lstDefaultCurve,0)))</f>
        <v>2.7777777777777779E-5</v>
      </c>
      <c r="N157" s="62">
        <f t="shared" ca="1" si="144"/>
        <v>2777.7777777777778</v>
      </c>
      <c r="O157" s="67">
        <f t="shared" ca="1" si="159"/>
        <v>0.84776175956591981</v>
      </c>
      <c r="P157" s="68">
        <f ca="1">OFFSET(Vectors!$L$6,A157+_Age1,MATCH(pdrPrepay1,lstPrepayCurve,0))*pdrPrepayStress1</f>
        <v>5.1430128318229462E-3</v>
      </c>
      <c r="Q157" s="62">
        <f t="shared" ca="1" si="160"/>
        <v>215601.44857478197</v>
      </c>
      <c r="R157" s="62">
        <f t="shared" ca="1" si="161"/>
        <v>82844.226546630438</v>
      </c>
      <c r="S157" s="69">
        <f t="shared" ca="1" si="162"/>
        <v>0.09</v>
      </c>
      <c r="T157" s="62">
        <f t="shared" ca="1" si="163"/>
        <v>315009.80056360835</v>
      </c>
      <c r="U157" s="62">
        <f t="shared" ca="1" si="145"/>
        <v>1111.1111111111111</v>
      </c>
      <c r="V157" s="62">
        <f t="shared" ca="1" si="139"/>
        <v>41702861.066693038</v>
      </c>
      <c r="W157" s="55"/>
      <c r="X157" s="62">
        <f t="shared" ca="1" si="164"/>
        <v>614566.5867961318</v>
      </c>
      <c r="Y157" s="55"/>
      <c r="Z157" s="118" t="b">
        <v>0</v>
      </c>
      <c r="AA157" s="120" t="b">
        <f t="shared" si="146"/>
        <v>0</v>
      </c>
      <c r="AB157" s="120" t="b">
        <f t="shared" si="147"/>
        <v>1</v>
      </c>
      <c r="AC157" s="120" t="b">
        <f t="shared" ca="1" si="148"/>
        <v>0</v>
      </c>
      <c r="AD157" s="121"/>
      <c r="AE157" s="129">
        <v>12982377.901809538</v>
      </c>
      <c r="AF157" s="69">
        <f ca="1">IF(Swap_Active="No",0,OFFSET(Vectors!$D$6,Vectors!A157,MATCH(Swap_In,lstInterestRates,0)))</f>
        <v>6.9369000000000056E-2</v>
      </c>
      <c r="AG157" s="62">
        <f t="shared" ca="1" si="165"/>
        <v>75047.881055885548</v>
      </c>
      <c r="AH157" s="69">
        <f ca="1">IF(Swap_Active="No",0,OFFSET(Vectors!$D$6,Vectors!A157,MATCH(Swap_Out,lstInterestRates,0)))</f>
        <v>0.04</v>
      </c>
      <c r="AI157" s="62">
        <f t="shared" ca="1" si="166"/>
        <v>43274.593006031791</v>
      </c>
      <c r="AJ157" s="62">
        <f t="shared" ca="1" si="167"/>
        <v>31773.288049853756</v>
      </c>
      <c r="AK157" s="62">
        <f t="shared" ca="1" si="168"/>
        <v>646339.87484598556</v>
      </c>
      <c r="AL157" s="121"/>
      <c r="AM157" s="123">
        <f t="shared" ca="1" si="149"/>
        <v>71962.042929415518</v>
      </c>
      <c r="AN157" s="124">
        <f t="shared" ca="1" si="169"/>
        <v>71962.042929415518</v>
      </c>
      <c r="AO157" s="125">
        <f t="shared" ca="1" si="170"/>
        <v>0</v>
      </c>
      <c r="AP157" s="123">
        <f t="shared" ca="1" si="171"/>
        <v>574377.83191657008</v>
      </c>
      <c r="AQ157" s="121"/>
      <c r="AR157" s="126">
        <f ca="1">IF(LiabIntType1="Fixed",LiabFxdRate1,OFFSET(Vectors!$D$6,Vectors!A157,MATCH(LiabLoanIndex1,lstInterestRates,0))+LiabMarg1)</f>
        <v>7.9369000000000051E-2</v>
      </c>
      <c r="AS157" s="122">
        <f t="shared" ca="1" si="172"/>
        <v>31037.015641117676</v>
      </c>
      <c r="AT157" s="124">
        <f t="shared" ca="1" si="173"/>
        <v>31037.015641117676</v>
      </c>
      <c r="AU157" s="123">
        <f t="shared" ca="1" si="174"/>
        <v>0</v>
      </c>
      <c r="AV157" s="123">
        <f t="shared" ca="1" si="150"/>
        <v>0</v>
      </c>
      <c r="AW157" s="123">
        <f t="shared" ca="1" si="175"/>
        <v>0</v>
      </c>
      <c r="AX157" s="124">
        <f t="shared" ca="1" si="176"/>
        <v>543340.81627545238</v>
      </c>
      <c r="AY157" s="121"/>
      <c r="AZ157" s="122">
        <f t="shared" ca="1" si="151"/>
        <v>543340.81627545238</v>
      </c>
      <c r="BA157" s="124">
        <f t="shared" ca="1" si="177"/>
        <v>543340.81627545238</v>
      </c>
      <c r="BB157" s="123">
        <f t="shared" ca="1" si="178"/>
        <v>0</v>
      </c>
      <c r="BC157" s="123">
        <f t="shared" ca="1" si="152"/>
        <v>0</v>
      </c>
      <c r="BD157" s="123">
        <f t="shared" ca="1" si="179"/>
        <v>0</v>
      </c>
      <c r="BE157" s="124">
        <f t="shared" ca="1" si="180"/>
        <v>0</v>
      </c>
      <c r="BF157" s="121"/>
      <c r="BG157" s="123">
        <f t="shared" si="153"/>
        <v>1000000</v>
      </c>
      <c r="BH157" s="123">
        <f t="shared" ca="1" si="181"/>
        <v>1000000</v>
      </c>
      <c r="BI157" s="123">
        <f t="shared" ca="1" si="182"/>
        <v>0</v>
      </c>
      <c r="BJ157" s="123">
        <f t="shared" ca="1" si="183"/>
        <v>0</v>
      </c>
      <c r="BK157" s="123">
        <f t="shared" ca="1" si="140"/>
        <v>1000000</v>
      </c>
      <c r="BL157" s="123">
        <f t="shared" ca="1" si="184"/>
        <v>0</v>
      </c>
      <c r="BM157" s="121"/>
      <c r="BN157" s="126">
        <f ca="1">IF(LiabIntType2="Fixed",LiabFxdRate2,OFFSET(Vectors!$D$6,Vectors!A157,MATCH(LiabLoanIndex2,lstInterestRates,0))+LiabMarg2)</f>
        <v>0.04</v>
      </c>
      <c r="BO157" s="122">
        <f t="shared" ca="1" si="185"/>
        <v>34119.905847872607</v>
      </c>
      <c r="BP157" s="124">
        <f t="shared" ca="1" si="186"/>
        <v>0</v>
      </c>
      <c r="BQ157" s="123">
        <f t="shared" ca="1" si="187"/>
        <v>34119.905847872607</v>
      </c>
      <c r="BR157" s="123">
        <f t="shared" ca="1" si="188"/>
        <v>0</v>
      </c>
      <c r="BS157" s="121"/>
      <c r="BT157" s="123">
        <f t="shared" ca="1" si="154"/>
        <v>30884.174712744658</v>
      </c>
      <c r="BU157" s="123">
        <f t="shared" ca="1" si="189"/>
        <v>0</v>
      </c>
      <c r="BV157" s="123">
        <f t="shared" ca="1" si="190"/>
        <v>30884.174712744658</v>
      </c>
      <c r="BW157" s="123">
        <f t="shared" ca="1" si="191"/>
        <v>0</v>
      </c>
      <c r="BX157" s="121"/>
      <c r="BY157" s="123">
        <f t="shared" si="192"/>
        <v>0</v>
      </c>
      <c r="BZ157" s="123">
        <f t="shared" ca="1" si="193"/>
        <v>0</v>
      </c>
      <c r="CA157" s="121"/>
      <c r="CB157" s="122">
        <f t="shared" ca="1" si="141"/>
        <v>4149224.1359528974</v>
      </c>
      <c r="CC157" s="122">
        <f t="shared" ca="1" si="194"/>
        <v>31037.015641117676</v>
      </c>
      <c r="CD157" s="124">
        <f t="shared" ca="1" si="195"/>
        <v>543340.81627545238</v>
      </c>
      <c r="CE157" s="121"/>
      <c r="CF157" s="122">
        <f t="shared" ca="1" si="142"/>
        <v>10235971.754361782</v>
      </c>
      <c r="CG157" s="124">
        <f t="shared" ca="1" si="196"/>
        <v>0</v>
      </c>
      <c r="CH157" s="123">
        <f t="shared" ca="1" si="197"/>
        <v>0</v>
      </c>
      <c r="CI157" s="121"/>
      <c r="CJ157" s="123">
        <f t="shared" ca="1" si="198"/>
        <v>689614.46785201738</v>
      </c>
      <c r="CK157" s="123">
        <f t="shared" ca="1" si="199"/>
        <v>689614.46785201738</v>
      </c>
      <c r="CL157" s="123">
        <f t="shared" ca="1" si="200"/>
        <v>0</v>
      </c>
      <c r="CM157" s="121"/>
      <c r="CN157" s="62">
        <f t="shared" ca="1" si="201"/>
        <v>301223.45289919019</v>
      </c>
      <c r="CO157" s="62" t="b">
        <f t="shared" si="202"/>
        <v>1</v>
      </c>
      <c r="CP157" s="126">
        <f t="shared" ca="1" si="203"/>
        <v>4.1944444444444338E-3</v>
      </c>
      <c r="CQ157" s="120"/>
      <c r="CR157" s="120"/>
      <c r="CS157" s="120"/>
      <c r="CT157" s="120"/>
      <c r="CU157" s="120"/>
      <c r="CV157" s="120"/>
      <c r="CW157" s="120"/>
      <c r="CX157" s="120"/>
      <c r="CY157" s="120"/>
      <c r="CZ157" s="120"/>
      <c r="DA157" s="120"/>
      <c r="DB157" s="120"/>
      <c r="DC157" s="120"/>
      <c r="DD157" s="120"/>
      <c r="DE157" s="116"/>
      <c r="DF157" s="116"/>
      <c r="DG157" s="116"/>
      <c r="DH157" s="116"/>
      <c r="DI157" s="116"/>
      <c r="DJ157" s="116"/>
      <c r="DK157" s="116"/>
      <c r="DL157" s="116"/>
      <c r="DM157" s="116"/>
      <c r="DN157" s="116"/>
    </row>
    <row r="158" spans="1:118" x14ac:dyDescent="0.2">
      <c r="A158" s="27">
        <v>152</v>
      </c>
      <c r="B158" s="29">
        <f t="shared" si="136"/>
        <v>43739</v>
      </c>
      <c r="C158" s="30">
        <f t="shared" si="137"/>
        <v>8.3333333333333329E-2</v>
      </c>
      <c r="D158" s="55"/>
      <c r="E158" s="62">
        <f t="shared" ca="1" si="155"/>
        <v>84776175.956591979</v>
      </c>
      <c r="F158" s="63">
        <f ca="1">IF(AssetIntType1="Fixed",AssetFxdRate1,IF(A158=1,OFFSET(Vectors!$D$6,A158,MATCH(AssetFltIndx1,lstInterestRates,0)),IF(MOD($A158,AssetRateReset1)=0,MAX(MIN(OFFSET(Vectors!$D$6,A158,MATCH(AssetFltIndx1,lstInterestRates,0)),(F157-AssetMarg1)+AssetPdCapFl1,AssetLifeCap1-AssetMarg1),(F157-AssetMarg1)-AssetPdCapFl1,AssetLifeFloor1-AssetMarg1),F157)))+AssetMarg1</f>
        <v>0.09</v>
      </c>
      <c r="G158" s="62">
        <f t="shared" ca="1" si="143"/>
        <v>804622.61694478267</v>
      </c>
      <c r="H158" s="62">
        <f t="shared" ca="1" si="156"/>
        <v>635821.31967443984</v>
      </c>
      <c r="I158" s="62">
        <f t="shared" ca="1" si="157"/>
        <v>168801.29727034282</v>
      </c>
      <c r="J158" s="62">
        <f t="shared" ca="1" si="138"/>
        <v>84607374.659321636</v>
      </c>
      <c r="K158" s="55"/>
      <c r="L158" s="62">
        <f t="shared" ca="1" si="158"/>
        <v>41702861.066693038</v>
      </c>
      <c r="M158" s="68">
        <f ca="1">IF(pdrLossTime1="",OFFSET(Vectors!$AE$6,A158+_Age1,MATCH(SDA_Loss,lstSDA,0)),OFFSET(Vectors!$X$6,A158+_Age1,MATCH(pdrLossTime1,lstDefaultCurve,0)))</f>
        <v>2.7777777777777779E-5</v>
      </c>
      <c r="N158" s="62">
        <f t="shared" ca="1" si="144"/>
        <v>2777.7777777777778</v>
      </c>
      <c r="O158" s="67">
        <f t="shared" ca="1" si="159"/>
        <v>0.84607374659321632</v>
      </c>
      <c r="P158" s="68">
        <f ca="1">OFFSET(Vectors!$L$6,A158+_Age1,MATCH(pdrPrepay1,lstPrepayCurve,0))*pdrPrepayStress1</f>
        <v>5.1430128318229462E-3</v>
      </c>
      <c r="Q158" s="62">
        <f t="shared" ca="1" si="160"/>
        <v>214051.29301117509</v>
      </c>
      <c r="R158" s="62">
        <f t="shared" ca="1" si="161"/>
        <v>83030.734472556403</v>
      </c>
      <c r="S158" s="69">
        <f t="shared" ca="1" si="162"/>
        <v>0.09</v>
      </c>
      <c r="T158" s="62">
        <f t="shared" ca="1" si="163"/>
        <v>312750.62466686446</v>
      </c>
      <c r="U158" s="62">
        <f t="shared" ca="1" si="145"/>
        <v>1111.1111111111111</v>
      </c>
      <c r="V158" s="62">
        <f t="shared" ca="1" si="139"/>
        <v>41403001.26143153</v>
      </c>
      <c r="W158" s="55"/>
      <c r="X158" s="62">
        <f t="shared" ca="1" si="164"/>
        <v>610943.76326170715</v>
      </c>
      <c r="Y158" s="55"/>
      <c r="Z158" s="118" t="b">
        <v>0</v>
      </c>
      <c r="AA158" s="120" t="b">
        <f t="shared" si="146"/>
        <v>0</v>
      </c>
      <c r="AB158" s="120" t="b">
        <f t="shared" si="147"/>
        <v>1</v>
      </c>
      <c r="AC158" s="120" t="b">
        <f t="shared" ca="1" si="148"/>
        <v>0</v>
      </c>
      <c r="AD158" s="121"/>
      <c r="AE158" s="129">
        <v>12757536.469101394</v>
      </c>
      <c r="AF158" s="69">
        <f ca="1">IF(Swap_Active="No",0,OFFSET(Vectors!$D$6,Vectors!A158,MATCH(Swap_In,lstInterestRates,0)))</f>
        <v>6.9369000000000056E-2</v>
      </c>
      <c r="AG158" s="62">
        <f t="shared" ca="1" si="165"/>
        <v>73748.12894375794</v>
      </c>
      <c r="AH158" s="69">
        <f ca="1">IF(Swap_Active="No",0,OFFSET(Vectors!$D$6,Vectors!A158,MATCH(Swap_Out,lstInterestRates,0)))</f>
        <v>0.04</v>
      </c>
      <c r="AI158" s="62">
        <f t="shared" ca="1" si="166"/>
        <v>42525.12156367131</v>
      </c>
      <c r="AJ158" s="62">
        <f t="shared" ca="1" si="167"/>
        <v>31223.00738008663</v>
      </c>
      <c r="AK158" s="62">
        <f t="shared" ca="1" si="168"/>
        <v>642166.77064179373</v>
      </c>
      <c r="AL158" s="121"/>
      <c r="AM158" s="123">
        <f t="shared" ca="1" si="149"/>
        <v>71233.611834468771</v>
      </c>
      <c r="AN158" s="124">
        <f t="shared" ca="1" si="169"/>
        <v>71233.611834468771</v>
      </c>
      <c r="AO158" s="125">
        <f t="shared" ca="1" si="170"/>
        <v>0</v>
      </c>
      <c r="AP158" s="123">
        <f t="shared" ca="1" si="171"/>
        <v>570933.15880732494</v>
      </c>
      <c r="AQ158" s="121"/>
      <c r="AR158" s="126">
        <f ca="1">IF(LiabIntType1="Fixed",LiabFxdRate1,OFFSET(Vectors!$D$6,Vectors!A158,MATCH(LiabLoanIndex1,lstInterestRates,0))+LiabMarg1)</f>
        <v>7.9369000000000051E-2</v>
      </c>
      <c r="AS158" s="122">
        <f t="shared" ca="1" si="172"/>
        <v>27443.314203870475</v>
      </c>
      <c r="AT158" s="124">
        <f t="shared" ca="1" si="173"/>
        <v>27443.314203870475</v>
      </c>
      <c r="AU158" s="123">
        <f t="shared" ca="1" si="174"/>
        <v>0</v>
      </c>
      <c r="AV158" s="123">
        <f t="shared" ca="1" si="150"/>
        <v>0</v>
      </c>
      <c r="AW158" s="123">
        <f t="shared" ca="1" si="175"/>
        <v>0</v>
      </c>
      <c r="AX158" s="124">
        <f t="shared" ca="1" si="176"/>
        <v>543489.84460345446</v>
      </c>
      <c r="AY158" s="121"/>
      <c r="AZ158" s="122">
        <f t="shared" ca="1" si="151"/>
        <v>543489.84460345446</v>
      </c>
      <c r="BA158" s="124">
        <f t="shared" ca="1" si="177"/>
        <v>543489.84460345446</v>
      </c>
      <c r="BB158" s="123">
        <f t="shared" ca="1" si="178"/>
        <v>0</v>
      </c>
      <c r="BC158" s="123">
        <f t="shared" ca="1" si="152"/>
        <v>0</v>
      </c>
      <c r="BD158" s="123">
        <f t="shared" ca="1" si="179"/>
        <v>0</v>
      </c>
      <c r="BE158" s="124">
        <f t="shared" ca="1" si="180"/>
        <v>0</v>
      </c>
      <c r="BF158" s="121"/>
      <c r="BG158" s="123">
        <f t="shared" si="153"/>
        <v>1000000</v>
      </c>
      <c r="BH158" s="123">
        <f t="shared" ca="1" si="181"/>
        <v>1000000</v>
      </c>
      <c r="BI158" s="123">
        <f t="shared" ca="1" si="182"/>
        <v>0</v>
      </c>
      <c r="BJ158" s="123">
        <f t="shared" ca="1" si="183"/>
        <v>0</v>
      </c>
      <c r="BK158" s="123">
        <f t="shared" ca="1" si="140"/>
        <v>1000000</v>
      </c>
      <c r="BL158" s="123">
        <f t="shared" ca="1" si="184"/>
        <v>0</v>
      </c>
      <c r="BM158" s="121"/>
      <c r="BN158" s="126">
        <f ca="1">IF(LiabIntType2="Fixed",LiabFxdRate2,OFFSET(Vectors!$D$6,Vectors!A158,MATCH(LiabLoanIndex2,lstInterestRates,0))+LiabMarg2)</f>
        <v>0.04</v>
      </c>
      <c r="BO158" s="122">
        <f t="shared" ca="1" si="185"/>
        <v>34119.905847872607</v>
      </c>
      <c r="BP158" s="124">
        <f t="shared" ca="1" si="186"/>
        <v>0</v>
      </c>
      <c r="BQ158" s="123">
        <f t="shared" ca="1" si="187"/>
        <v>34119.905847872607</v>
      </c>
      <c r="BR158" s="123">
        <f t="shared" ca="1" si="188"/>
        <v>0</v>
      </c>
      <c r="BS158" s="121"/>
      <c r="BT158" s="123">
        <f t="shared" ca="1" si="154"/>
        <v>30744.36112424943</v>
      </c>
      <c r="BU158" s="123">
        <f t="shared" ca="1" si="189"/>
        <v>0</v>
      </c>
      <c r="BV158" s="123">
        <f t="shared" ca="1" si="190"/>
        <v>30744.36112424943</v>
      </c>
      <c r="BW158" s="123">
        <f t="shared" ca="1" si="191"/>
        <v>0</v>
      </c>
      <c r="BX158" s="121"/>
      <c r="BY158" s="123">
        <f t="shared" si="192"/>
        <v>0</v>
      </c>
      <c r="BZ158" s="123">
        <f t="shared" ca="1" si="193"/>
        <v>0</v>
      </c>
      <c r="CA158" s="121"/>
      <c r="CB158" s="122">
        <f t="shared" ca="1" si="141"/>
        <v>3605734.2913494427</v>
      </c>
      <c r="CC158" s="122">
        <f t="shared" ca="1" si="194"/>
        <v>27443.314203870475</v>
      </c>
      <c r="CD158" s="124">
        <f t="shared" ca="1" si="195"/>
        <v>543489.84460345446</v>
      </c>
      <c r="CE158" s="121"/>
      <c r="CF158" s="122">
        <f t="shared" ca="1" si="142"/>
        <v>10235971.754361782</v>
      </c>
      <c r="CG158" s="124">
        <f t="shared" ca="1" si="196"/>
        <v>0</v>
      </c>
      <c r="CH158" s="123">
        <f t="shared" ca="1" si="197"/>
        <v>0</v>
      </c>
      <c r="CI158" s="121"/>
      <c r="CJ158" s="123">
        <f t="shared" ca="1" si="198"/>
        <v>684691.89220546512</v>
      </c>
      <c r="CK158" s="123">
        <f t="shared" ca="1" si="199"/>
        <v>684691.892205465</v>
      </c>
      <c r="CL158" s="123">
        <f t="shared" ca="1" si="200"/>
        <v>0</v>
      </c>
      <c r="CM158" s="121"/>
      <c r="CN158" s="62">
        <f t="shared" ca="1" si="201"/>
        <v>299859.80526150926</v>
      </c>
      <c r="CO158" s="62" t="b">
        <f t="shared" si="202"/>
        <v>1</v>
      </c>
      <c r="CP158" s="126">
        <f t="shared" ca="1" si="203"/>
        <v>4.2222222222222114E-3</v>
      </c>
      <c r="CQ158" s="120"/>
      <c r="CR158" s="120"/>
      <c r="CS158" s="120"/>
      <c r="CT158" s="120"/>
      <c r="CU158" s="120"/>
      <c r="CV158" s="120"/>
      <c r="CW158" s="120"/>
      <c r="CX158" s="120"/>
      <c r="CY158" s="120"/>
      <c r="CZ158" s="120"/>
      <c r="DA158" s="120"/>
      <c r="DB158" s="120"/>
      <c r="DC158" s="120"/>
      <c r="DD158" s="120"/>
      <c r="DE158" s="116"/>
      <c r="DF158" s="116"/>
      <c r="DG158" s="116"/>
      <c r="DH158" s="116"/>
      <c r="DI158" s="116"/>
      <c r="DJ158" s="116"/>
      <c r="DK158" s="116"/>
      <c r="DL158" s="116"/>
      <c r="DM158" s="116"/>
      <c r="DN158" s="116"/>
    </row>
    <row r="159" spans="1:118" x14ac:dyDescent="0.2">
      <c r="A159" s="27">
        <v>153</v>
      </c>
      <c r="B159" s="29">
        <f t="shared" si="136"/>
        <v>43770</v>
      </c>
      <c r="C159" s="30">
        <f t="shared" si="137"/>
        <v>8.3333333333333329E-2</v>
      </c>
      <c r="D159" s="55"/>
      <c r="E159" s="62">
        <f t="shared" ca="1" si="155"/>
        <v>84607374.659321636</v>
      </c>
      <c r="F159" s="63">
        <f ca="1">IF(AssetIntType1="Fixed",AssetFxdRate1,IF(A159=1,OFFSET(Vectors!$D$6,A159,MATCH(AssetFltIndx1,lstInterestRates,0)),IF(MOD($A159,AssetRateReset1)=0,MAX(MIN(OFFSET(Vectors!$D$6,A159,MATCH(AssetFltIndx1,lstInterestRates,0)),(F158-AssetMarg1)+AssetPdCapFl1,AssetLifeCap1-AssetMarg1),(F158-AssetMarg1)-AssetPdCapFl1,AssetLifeFloor1-AssetMarg1),F158)))+AssetMarg1</f>
        <v>0.09</v>
      </c>
      <c r="G159" s="62">
        <f t="shared" ca="1" si="143"/>
        <v>804622.61694478267</v>
      </c>
      <c r="H159" s="62">
        <f t="shared" ca="1" si="156"/>
        <v>634555.30994491221</v>
      </c>
      <c r="I159" s="62">
        <f t="shared" ca="1" si="157"/>
        <v>170067.30699987046</v>
      </c>
      <c r="J159" s="62">
        <f t="shared" ca="1" si="138"/>
        <v>84437307.352321759</v>
      </c>
      <c r="K159" s="55"/>
      <c r="L159" s="62">
        <f t="shared" ca="1" si="158"/>
        <v>41403001.26143153</v>
      </c>
      <c r="M159" s="68">
        <f ca="1">IF(pdrLossTime1="",OFFSET(Vectors!$AE$6,A159+_Age1,MATCH(SDA_Loss,lstSDA,0)),OFFSET(Vectors!$X$6,A159+_Age1,MATCH(pdrLossTime1,lstDefaultCurve,0)))</f>
        <v>2.7777777777777779E-5</v>
      </c>
      <c r="N159" s="62">
        <f t="shared" ca="1" si="144"/>
        <v>2777.7777777777778</v>
      </c>
      <c r="O159" s="67">
        <f t="shared" ca="1" si="159"/>
        <v>0.84437307352321755</v>
      </c>
      <c r="P159" s="68">
        <f ca="1">OFFSET(Vectors!$L$6,A159+_Age1,MATCH(pdrPrepay1,lstPrepayCurve,0))*pdrPrepayStress1</f>
        <v>5.1430128318229462E-3</v>
      </c>
      <c r="Q159" s="62">
        <f t="shared" ca="1" si="160"/>
        <v>212508.14874984414</v>
      </c>
      <c r="R159" s="62">
        <f t="shared" ca="1" si="161"/>
        <v>83217.621931995775</v>
      </c>
      <c r="S159" s="69">
        <f t="shared" ca="1" si="162"/>
        <v>0.09</v>
      </c>
      <c r="T159" s="62">
        <f t="shared" ca="1" si="163"/>
        <v>310501.67612740316</v>
      </c>
      <c r="U159" s="62">
        <f t="shared" ca="1" si="145"/>
        <v>1111.1111111111111</v>
      </c>
      <c r="V159" s="62">
        <f t="shared" ca="1" si="139"/>
        <v>41104497.712971918</v>
      </c>
      <c r="W159" s="55"/>
      <c r="X159" s="62">
        <f t="shared" ca="1" si="164"/>
        <v>607338.55792035419</v>
      </c>
      <c r="Y159" s="55"/>
      <c r="Z159" s="118" t="b">
        <v>0</v>
      </c>
      <c r="AA159" s="120" t="b">
        <f t="shared" si="146"/>
        <v>0</v>
      </c>
      <c r="AB159" s="120" t="b">
        <f t="shared" si="147"/>
        <v>1</v>
      </c>
      <c r="AC159" s="120" t="b">
        <f t="shared" ca="1" si="148"/>
        <v>0</v>
      </c>
      <c r="AD159" s="121"/>
      <c r="AE159" s="129">
        <v>12535038.035736568</v>
      </c>
      <c r="AF159" s="69">
        <f ca="1">IF(Swap_Active="No",0,OFFSET(Vectors!$D$6,Vectors!A159,MATCH(Swap_In,lstInterestRates,0)))</f>
        <v>6.9369000000000056E-2</v>
      </c>
      <c r="AG159" s="62">
        <f t="shared" ca="1" si="165"/>
        <v>72461.92112508422</v>
      </c>
      <c r="AH159" s="69">
        <f ca="1">IF(Swap_Active="No",0,OFFSET(Vectors!$D$6,Vectors!A159,MATCH(Swap_Out,lstInterestRates,0)))</f>
        <v>0.04</v>
      </c>
      <c r="AI159" s="62">
        <f t="shared" ca="1" si="166"/>
        <v>41783.460119121897</v>
      </c>
      <c r="AJ159" s="62">
        <f t="shared" ca="1" si="167"/>
        <v>30678.461005962323</v>
      </c>
      <c r="AK159" s="62">
        <f t="shared" ca="1" si="168"/>
        <v>638017.01892631652</v>
      </c>
      <c r="AL159" s="121"/>
      <c r="AM159" s="123">
        <f t="shared" ca="1" si="149"/>
        <v>70507.39139044816</v>
      </c>
      <c r="AN159" s="124">
        <f t="shared" ca="1" si="169"/>
        <v>70507.39139044816</v>
      </c>
      <c r="AO159" s="125">
        <f t="shared" ca="1" si="170"/>
        <v>0</v>
      </c>
      <c r="AP159" s="123">
        <f t="shared" ca="1" si="171"/>
        <v>567509.62753586832</v>
      </c>
      <c r="AQ159" s="121"/>
      <c r="AR159" s="126">
        <f ca="1">IF(LiabIntType1="Fixed",LiabFxdRate1,OFFSET(Vectors!$D$6,Vectors!A159,MATCH(LiabLoanIndex1,lstInterestRates,0))+LiabMarg1)</f>
        <v>7.9369000000000051E-2</v>
      </c>
      <c r="AS159" s="122">
        <f t="shared" ca="1" si="172"/>
        <v>23848.627080842842</v>
      </c>
      <c r="AT159" s="124">
        <f t="shared" ca="1" si="173"/>
        <v>23848.627080842842</v>
      </c>
      <c r="AU159" s="123">
        <f t="shared" ca="1" si="174"/>
        <v>0</v>
      </c>
      <c r="AV159" s="123">
        <f t="shared" ca="1" si="150"/>
        <v>0</v>
      </c>
      <c r="AW159" s="123">
        <f t="shared" ca="1" si="175"/>
        <v>0</v>
      </c>
      <c r="AX159" s="124">
        <f t="shared" ca="1" si="176"/>
        <v>543661.00045502547</v>
      </c>
      <c r="AY159" s="121"/>
      <c r="AZ159" s="122">
        <f t="shared" ca="1" si="151"/>
        <v>543661.00045502547</v>
      </c>
      <c r="BA159" s="124">
        <f t="shared" ca="1" si="177"/>
        <v>543661.00045502547</v>
      </c>
      <c r="BB159" s="123">
        <f t="shared" ca="1" si="178"/>
        <v>0</v>
      </c>
      <c r="BC159" s="123">
        <f t="shared" ca="1" si="152"/>
        <v>0</v>
      </c>
      <c r="BD159" s="123">
        <f t="shared" ca="1" si="179"/>
        <v>0</v>
      </c>
      <c r="BE159" s="124">
        <f t="shared" ca="1" si="180"/>
        <v>0</v>
      </c>
      <c r="BF159" s="121"/>
      <c r="BG159" s="123">
        <f t="shared" si="153"/>
        <v>1000000</v>
      </c>
      <c r="BH159" s="123">
        <f t="shared" ca="1" si="181"/>
        <v>1000000</v>
      </c>
      <c r="BI159" s="123">
        <f t="shared" ca="1" si="182"/>
        <v>0</v>
      </c>
      <c r="BJ159" s="123">
        <f t="shared" ca="1" si="183"/>
        <v>0</v>
      </c>
      <c r="BK159" s="123">
        <f t="shared" ca="1" si="140"/>
        <v>1000000</v>
      </c>
      <c r="BL159" s="123">
        <f t="shared" ca="1" si="184"/>
        <v>0</v>
      </c>
      <c r="BM159" s="121"/>
      <c r="BN159" s="126">
        <f ca="1">IF(LiabIntType2="Fixed",LiabFxdRate2,OFFSET(Vectors!$D$6,Vectors!A159,MATCH(LiabLoanIndex2,lstInterestRates,0))+LiabMarg2)</f>
        <v>0.04</v>
      </c>
      <c r="BO159" s="122">
        <f t="shared" ca="1" si="185"/>
        <v>34119.905847872607</v>
      </c>
      <c r="BP159" s="124">
        <f t="shared" ca="1" si="186"/>
        <v>0</v>
      </c>
      <c r="BQ159" s="123">
        <f t="shared" ca="1" si="187"/>
        <v>34119.905847872607</v>
      </c>
      <c r="BR159" s="123">
        <f t="shared" ca="1" si="188"/>
        <v>0</v>
      </c>
      <c r="BS159" s="121"/>
      <c r="BT159" s="123">
        <f t="shared" ca="1" si="154"/>
        <v>30605.305311623229</v>
      </c>
      <c r="BU159" s="123">
        <f t="shared" ca="1" si="189"/>
        <v>0</v>
      </c>
      <c r="BV159" s="123">
        <f t="shared" ca="1" si="190"/>
        <v>30605.305311623229</v>
      </c>
      <c r="BW159" s="123">
        <f t="shared" ca="1" si="191"/>
        <v>0</v>
      </c>
      <c r="BX159" s="121"/>
      <c r="BY159" s="123">
        <f t="shared" si="192"/>
        <v>0</v>
      </c>
      <c r="BZ159" s="123">
        <f t="shared" ca="1" si="193"/>
        <v>0</v>
      </c>
      <c r="CA159" s="121"/>
      <c r="CB159" s="122">
        <f t="shared" ca="1" si="141"/>
        <v>3062073.2908944171</v>
      </c>
      <c r="CC159" s="122">
        <f t="shared" ca="1" si="194"/>
        <v>23848.627080842842</v>
      </c>
      <c r="CD159" s="124">
        <f t="shared" ca="1" si="195"/>
        <v>543661.00045502547</v>
      </c>
      <c r="CE159" s="121"/>
      <c r="CF159" s="122">
        <f t="shared" ca="1" si="142"/>
        <v>10235971.754361782</v>
      </c>
      <c r="CG159" s="124">
        <f t="shared" ca="1" si="196"/>
        <v>0</v>
      </c>
      <c r="CH159" s="123">
        <f t="shared" ca="1" si="197"/>
        <v>0</v>
      </c>
      <c r="CI159" s="121"/>
      <c r="CJ159" s="123">
        <f t="shared" ca="1" si="198"/>
        <v>679800.47904543835</v>
      </c>
      <c r="CK159" s="123">
        <f t="shared" ca="1" si="199"/>
        <v>679800.47904543835</v>
      </c>
      <c r="CL159" s="123">
        <f t="shared" ca="1" si="200"/>
        <v>0</v>
      </c>
      <c r="CM159" s="121"/>
      <c r="CN159" s="62">
        <f t="shared" ca="1" si="201"/>
        <v>298503.54845961771</v>
      </c>
      <c r="CO159" s="62" t="b">
        <f t="shared" si="202"/>
        <v>1</v>
      </c>
      <c r="CP159" s="126">
        <f t="shared" ca="1" si="203"/>
        <v>4.249999999999989E-3</v>
      </c>
      <c r="CQ159" s="120"/>
      <c r="CR159" s="120"/>
      <c r="CS159" s="120"/>
      <c r="CT159" s="120"/>
      <c r="CU159" s="120"/>
      <c r="CV159" s="120"/>
      <c r="CW159" s="120"/>
      <c r="CX159" s="120"/>
      <c r="CY159" s="120"/>
      <c r="CZ159" s="120"/>
      <c r="DA159" s="120"/>
      <c r="DB159" s="120"/>
      <c r="DC159" s="120"/>
      <c r="DD159" s="120"/>
      <c r="DE159" s="116"/>
      <c r="DF159" s="116"/>
      <c r="DG159" s="116"/>
      <c r="DH159" s="116"/>
      <c r="DI159" s="116"/>
      <c r="DJ159" s="116"/>
      <c r="DK159" s="116"/>
      <c r="DL159" s="116"/>
      <c r="DM159" s="116"/>
      <c r="DN159" s="116"/>
    </row>
    <row r="160" spans="1:118" x14ac:dyDescent="0.2">
      <c r="A160" s="27">
        <v>154</v>
      </c>
      <c r="B160" s="29">
        <f t="shared" si="136"/>
        <v>43800</v>
      </c>
      <c r="C160" s="30">
        <f t="shared" si="137"/>
        <v>8.3333333333333329E-2</v>
      </c>
      <c r="D160" s="55"/>
      <c r="E160" s="62">
        <f t="shared" ca="1" si="155"/>
        <v>84437307.352321759</v>
      </c>
      <c r="F160" s="63">
        <f ca="1">IF(AssetIntType1="Fixed",AssetFxdRate1,IF(A160=1,OFFSET(Vectors!$D$6,A160,MATCH(AssetFltIndx1,lstInterestRates,0)),IF(MOD($A160,AssetRateReset1)=0,MAX(MIN(OFFSET(Vectors!$D$6,A160,MATCH(AssetFltIndx1,lstInterestRates,0)),(F159-AssetMarg1)+AssetPdCapFl1,AssetLifeCap1-AssetMarg1),(F159-AssetMarg1)-AssetPdCapFl1,AssetLifeFloor1-AssetMarg1),F159)))+AssetMarg1</f>
        <v>0.09</v>
      </c>
      <c r="G160" s="62">
        <f t="shared" ca="1" si="143"/>
        <v>804622.61694478267</v>
      </c>
      <c r="H160" s="62">
        <f t="shared" ca="1" si="156"/>
        <v>633279.80514241313</v>
      </c>
      <c r="I160" s="62">
        <f t="shared" ca="1" si="157"/>
        <v>171342.81180236954</v>
      </c>
      <c r="J160" s="62">
        <f t="shared" ca="1" si="138"/>
        <v>84265964.540519387</v>
      </c>
      <c r="K160" s="55"/>
      <c r="L160" s="62">
        <f t="shared" ca="1" si="158"/>
        <v>41104497.712971918</v>
      </c>
      <c r="M160" s="68">
        <f ca="1">IF(pdrLossTime1="",OFFSET(Vectors!$AE$6,A160+_Age1,MATCH(SDA_Loss,lstSDA,0)),OFFSET(Vectors!$X$6,A160+_Age1,MATCH(pdrLossTime1,lstDefaultCurve,0)))</f>
        <v>2.7777777777777779E-5</v>
      </c>
      <c r="N160" s="62">
        <f t="shared" ca="1" si="144"/>
        <v>2777.7777777777778</v>
      </c>
      <c r="O160" s="67">
        <f t="shared" ca="1" si="159"/>
        <v>0.84265964540519389</v>
      </c>
      <c r="P160" s="68">
        <f ca="1">OFFSET(Vectors!$L$6,A160+_Age1,MATCH(pdrPrepay1,lstPrepayCurve,0))*pdrPrepayStress1</f>
        <v>5.1430128318229462E-3</v>
      </c>
      <c r="Q160" s="62">
        <f t="shared" ca="1" si="160"/>
        <v>210971.97777819345</v>
      </c>
      <c r="R160" s="62">
        <f t="shared" ca="1" si="161"/>
        <v>83404.889194583739</v>
      </c>
      <c r="S160" s="69">
        <f t="shared" ca="1" si="162"/>
        <v>0.09</v>
      </c>
      <c r="T160" s="62">
        <f t="shared" ca="1" si="163"/>
        <v>308262.89951395604</v>
      </c>
      <c r="U160" s="62">
        <f t="shared" ca="1" si="145"/>
        <v>1111.1111111111111</v>
      </c>
      <c r="V160" s="62">
        <f t="shared" ca="1" si="139"/>
        <v>40807343.06822136</v>
      </c>
      <c r="W160" s="55"/>
      <c r="X160" s="62">
        <f t="shared" ca="1" si="164"/>
        <v>603750.87759784434</v>
      </c>
      <c r="Y160" s="55"/>
      <c r="Z160" s="118" t="b">
        <v>0</v>
      </c>
      <c r="AA160" s="120" t="b">
        <f t="shared" si="146"/>
        <v>0</v>
      </c>
      <c r="AB160" s="120" t="b">
        <f t="shared" si="147"/>
        <v>1</v>
      </c>
      <c r="AC160" s="120" t="b">
        <f t="shared" ca="1" si="148"/>
        <v>0</v>
      </c>
      <c r="AD160" s="121"/>
      <c r="AE160" s="129">
        <v>12314858.92816521</v>
      </c>
      <c r="AF160" s="69">
        <f ca="1">IF(Swap_Active="No",0,OFFSET(Vectors!$D$6,Vectors!A160,MATCH(Swap_In,lstInterestRates,0)))</f>
        <v>6.9369000000000056E-2</v>
      </c>
      <c r="AG160" s="62">
        <f t="shared" ca="1" si="165"/>
        <v>71189.120748991088</v>
      </c>
      <c r="AH160" s="69">
        <f ca="1">IF(Swap_Active="No",0,OFFSET(Vectors!$D$6,Vectors!A160,MATCH(Swap_Out,lstInterestRates,0)))</f>
        <v>0.04</v>
      </c>
      <c r="AI160" s="62">
        <f t="shared" ca="1" si="166"/>
        <v>41049.5297605507</v>
      </c>
      <c r="AJ160" s="62">
        <f t="shared" ca="1" si="167"/>
        <v>30139.590988440388</v>
      </c>
      <c r="AK160" s="62">
        <f t="shared" ca="1" si="168"/>
        <v>633890.46858628478</v>
      </c>
      <c r="AL160" s="121"/>
      <c r="AM160" s="123">
        <f t="shared" ca="1" si="149"/>
        <v>69783.360059492537</v>
      </c>
      <c r="AN160" s="124">
        <f t="shared" ca="1" si="169"/>
        <v>69783.360059492537</v>
      </c>
      <c r="AO160" s="125">
        <f t="shared" ca="1" si="170"/>
        <v>0</v>
      </c>
      <c r="AP160" s="123">
        <f t="shared" ca="1" si="171"/>
        <v>564107.10852679226</v>
      </c>
      <c r="AQ160" s="121"/>
      <c r="AR160" s="126">
        <f ca="1">IF(LiabIntType1="Fixed",LiabFxdRate1,OFFSET(Vectors!$D$6,Vectors!A160,MATCH(LiabLoanIndex1,lstInterestRates,0))+LiabMarg1)</f>
        <v>7.9369000000000051E-2</v>
      </c>
      <c r="AS160" s="122">
        <f t="shared" ca="1" si="172"/>
        <v>20252.807918749928</v>
      </c>
      <c r="AT160" s="124">
        <f t="shared" ca="1" si="173"/>
        <v>20252.807918749928</v>
      </c>
      <c r="AU160" s="123">
        <f t="shared" ca="1" si="174"/>
        <v>0</v>
      </c>
      <c r="AV160" s="123">
        <f t="shared" ca="1" si="150"/>
        <v>0</v>
      </c>
      <c r="AW160" s="123">
        <f t="shared" ca="1" si="175"/>
        <v>0</v>
      </c>
      <c r="AX160" s="124">
        <f t="shared" ca="1" si="176"/>
        <v>543854.30060804228</v>
      </c>
      <c r="AY160" s="121"/>
      <c r="AZ160" s="122">
        <f t="shared" ca="1" si="151"/>
        <v>543854.30060804228</v>
      </c>
      <c r="BA160" s="124">
        <f t="shared" ca="1" si="177"/>
        <v>543854.30060804228</v>
      </c>
      <c r="BB160" s="123">
        <f t="shared" ca="1" si="178"/>
        <v>0</v>
      </c>
      <c r="BC160" s="123">
        <f t="shared" ca="1" si="152"/>
        <v>0</v>
      </c>
      <c r="BD160" s="123">
        <f t="shared" ca="1" si="179"/>
        <v>0</v>
      </c>
      <c r="BE160" s="124">
        <f t="shared" ca="1" si="180"/>
        <v>0</v>
      </c>
      <c r="BF160" s="121"/>
      <c r="BG160" s="123">
        <f t="shared" si="153"/>
        <v>1000000</v>
      </c>
      <c r="BH160" s="123">
        <f t="shared" ca="1" si="181"/>
        <v>1000000</v>
      </c>
      <c r="BI160" s="123">
        <f t="shared" ca="1" si="182"/>
        <v>0</v>
      </c>
      <c r="BJ160" s="123">
        <f t="shared" ca="1" si="183"/>
        <v>0</v>
      </c>
      <c r="BK160" s="123">
        <f t="shared" ca="1" si="140"/>
        <v>1000000</v>
      </c>
      <c r="BL160" s="123">
        <f t="shared" ca="1" si="184"/>
        <v>0</v>
      </c>
      <c r="BM160" s="121"/>
      <c r="BN160" s="126">
        <f ca="1">IF(LiabIntType2="Fixed",LiabFxdRate2,OFFSET(Vectors!$D$6,Vectors!A160,MATCH(LiabLoanIndex2,lstInterestRates,0))+LiabMarg2)</f>
        <v>0.04</v>
      </c>
      <c r="BO160" s="122">
        <f t="shared" ca="1" si="185"/>
        <v>34119.905847872607</v>
      </c>
      <c r="BP160" s="124">
        <f t="shared" ca="1" si="186"/>
        <v>0</v>
      </c>
      <c r="BQ160" s="123">
        <f t="shared" ca="1" si="187"/>
        <v>34119.905847872607</v>
      </c>
      <c r="BR160" s="123">
        <f t="shared" ca="1" si="188"/>
        <v>0</v>
      </c>
      <c r="BS160" s="121"/>
      <c r="BT160" s="123">
        <f t="shared" ca="1" si="154"/>
        <v>30467.003405113628</v>
      </c>
      <c r="BU160" s="123">
        <f t="shared" ca="1" si="189"/>
        <v>0</v>
      </c>
      <c r="BV160" s="123">
        <f t="shared" ca="1" si="190"/>
        <v>30467.003405113628</v>
      </c>
      <c r="BW160" s="123">
        <f t="shared" ca="1" si="191"/>
        <v>0</v>
      </c>
      <c r="BX160" s="121"/>
      <c r="BY160" s="123">
        <f t="shared" si="192"/>
        <v>0</v>
      </c>
      <c r="BZ160" s="123">
        <f t="shared" ca="1" si="193"/>
        <v>0</v>
      </c>
      <c r="CA160" s="121"/>
      <c r="CB160" s="122">
        <f t="shared" ca="1" si="141"/>
        <v>2518218.9902863749</v>
      </c>
      <c r="CC160" s="122">
        <f t="shared" ca="1" si="194"/>
        <v>20252.807918749928</v>
      </c>
      <c r="CD160" s="124">
        <f t="shared" ca="1" si="195"/>
        <v>543854.30060804228</v>
      </c>
      <c r="CE160" s="121"/>
      <c r="CF160" s="122">
        <f t="shared" ca="1" si="142"/>
        <v>10235971.754361782</v>
      </c>
      <c r="CG160" s="124">
        <f t="shared" ca="1" si="196"/>
        <v>0</v>
      </c>
      <c r="CH160" s="123">
        <f t="shared" ca="1" si="197"/>
        <v>0</v>
      </c>
      <c r="CI160" s="121"/>
      <c r="CJ160" s="123">
        <f t="shared" ca="1" si="198"/>
        <v>674939.99834683537</v>
      </c>
      <c r="CK160" s="123">
        <f t="shared" ca="1" si="199"/>
        <v>674939.99834683537</v>
      </c>
      <c r="CL160" s="123">
        <f t="shared" ca="1" si="200"/>
        <v>0</v>
      </c>
      <c r="CM160" s="121"/>
      <c r="CN160" s="62">
        <f t="shared" ca="1" si="201"/>
        <v>297154.64475055499</v>
      </c>
      <c r="CO160" s="62" t="b">
        <f t="shared" si="202"/>
        <v>1</v>
      </c>
      <c r="CP160" s="126">
        <f t="shared" ca="1" si="203"/>
        <v>4.2777777777777666E-3</v>
      </c>
      <c r="CQ160" s="120"/>
      <c r="CR160" s="120"/>
      <c r="CS160" s="120"/>
      <c r="CT160" s="120"/>
      <c r="CU160" s="120"/>
      <c r="CV160" s="120"/>
      <c r="CW160" s="120"/>
      <c r="CX160" s="120"/>
      <c r="CY160" s="120"/>
      <c r="CZ160" s="120"/>
      <c r="DA160" s="120"/>
      <c r="DB160" s="120"/>
      <c r="DC160" s="120"/>
      <c r="DD160" s="120"/>
      <c r="DE160" s="116"/>
      <c r="DF160" s="116"/>
      <c r="DG160" s="116"/>
      <c r="DH160" s="116"/>
      <c r="DI160" s="116"/>
      <c r="DJ160" s="116"/>
      <c r="DK160" s="116"/>
      <c r="DL160" s="116"/>
      <c r="DM160" s="116"/>
      <c r="DN160" s="116"/>
    </row>
    <row r="161" spans="1:118" x14ac:dyDescent="0.2">
      <c r="A161" s="27">
        <v>155</v>
      </c>
      <c r="B161" s="29">
        <f t="shared" si="136"/>
        <v>43831</v>
      </c>
      <c r="C161" s="30">
        <f t="shared" si="137"/>
        <v>8.3333333333333329E-2</v>
      </c>
      <c r="D161" s="55"/>
      <c r="E161" s="62">
        <f t="shared" ca="1" si="155"/>
        <v>84265964.540519387</v>
      </c>
      <c r="F161" s="63">
        <f ca="1">IF(AssetIntType1="Fixed",AssetFxdRate1,IF(A161=1,OFFSET(Vectors!$D$6,A161,MATCH(AssetFltIndx1,lstInterestRates,0)),IF(MOD($A161,AssetRateReset1)=0,MAX(MIN(OFFSET(Vectors!$D$6,A161,MATCH(AssetFltIndx1,lstInterestRates,0)),(F160-AssetMarg1)+AssetPdCapFl1,AssetLifeCap1-AssetMarg1),(F160-AssetMarg1)-AssetPdCapFl1,AssetLifeFloor1-AssetMarg1),F160)))+AssetMarg1</f>
        <v>0.09</v>
      </c>
      <c r="G161" s="62">
        <f t="shared" ca="1" si="143"/>
        <v>804622.61694478267</v>
      </c>
      <c r="H161" s="62">
        <f t="shared" ca="1" si="156"/>
        <v>631994.73405389534</v>
      </c>
      <c r="I161" s="62">
        <f t="shared" ca="1" si="157"/>
        <v>172627.88289088733</v>
      </c>
      <c r="J161" s="62">
        <f t="shared" ca="1" si="138"/>
        <v>84093336.657628506</v>
      </c>
      <c r="K161" s="55"/>
      <c r="L161" s="62">
        <f t="shared" ca="1" si="158"/>
        <v>40807343.06822136</v>
      </c>
      <c r="M161" s="68">
        <f ca="1">IF(pdrLossTime1="",OFFSET(Vectors!$AE$6,A161+_Age1,MATCH(SDA_Loss,lstSDA,0)),OFFSET(Vectors!$X$6,A161+_Age1,MATCH(pdrLossTime1,lstDefaultCurve,0)))</f>
        <v>2.7777777777777779E-5</v>
      </c>
      <c r="N161" s="62">
        <f t="shared" ca="1" si="144"/>
        <v>2777.7777777777778</v>
      </c>
      <c r="O161" s="67">
        <f t="shared" ca="1" si="159"/>
        <v>0.84093336657628504</v>
      </c>
      <c r="P161" s="68">
        <f ca="1">OFFSET(Vectors!$L$6,A161+_Age1,MATCH(pdrPrepay1,lstPrepayCurve,0))*pdrPrepayStress1</f>
        <v>5.1430128318229462E-3</v>
      </c>
      <c r="Q161" s="62">
        <f t="shared" ca="1" si="160"/>
        <v>209442.74227778224</v>
      </c>
      <c r="R161" s="62">
        <f t="shared" ca="1" si="161"/>
        <v>83592.536521494971</v>
      </c>
      <c r="S161" s="69">
        <f t="shared" ca="1" si="162"/>
        <v>0.09</v>
      </c>
      <c r="T161" s="62">
        <f t="shared" ca="1" si="163"/>
        <v>306034.23967832688</v>
      </c>
      <c r="U161" s="62">
        <f t="shared" ca="1" si="145"/>
        <v>1111.1111111111111</v>
      </c>
      <c r="V161" s="62">
        <f t="shared" ca="1" si="139"/>
        <v>40511530.011644311</v>
      </c>
      <c r="W161" s="55"/>
      <c r="X161" s="62">
        <f t="shared" ca="1" si="164"/>
        <v>600180.62958871515</v>
      </c>
      <c r="Y161" s="55"/>
      <c r="Z161" s="118" t="b">
        <v>0</v>
      </c>
      <c r="AA161" s="120" t="b">
        <f t="shared" si="146"/>
        <v>0</v>
      </c>
      <c r="AB161" s="120" t="b">
        <f t="shared" si="147"/>
        <v>1</v>
      </c>
      <c r="AC161" s="120" t="b">
        <f t="shared" ca="1" si="148"/>
        <v>0</v>
      </c>
      <c r="AD161" s="121"/>
      <c r="AE161" s="129">
        <v>12096975.710200129</v>
      </c>
      <c r="AF161" s="69">
        <f ca="1">IF(Swap_Active="No",0,OFFSET(Vectors!$D$6,Vectors!A161,MATCH(Swap_In,lstInterestRates,0)))</f>
        <v>6.9369000000000056E-2</v>
      </c>
      <c r="AG161" s="62">
        <f t="shared" ca="1" si="165"/>
        <v>69929.592336739443</v>
      </c>
      <c r="AH161" s="69">
        <f ca="1">IF(Swap_Active="No",0,OFFSET(Vectors!$D$6,Vectors!A161,MATCH(Swap_Out,lstInterestRates,0)))</f>
        <v>0.04</v>
      </c>
      <c r="AI161" s="62">
        <f t="shared" ca="1" si="166"/>
        <v>40323.252367333764</v>
      </c>
      <c r="AJ161" s="62">
        <f t="shared" ca="1" si="167"/>
        <v>29606.339969405679</v>
      </c>
      <c r="AK161" s="62">
        <f t="shared" ca="1" si="168"/>
        <v>629786.96955812082</v>
      </c>
      <c r="AL161" s="121"/>
      <c r="AM161" s="123">
        <f t="shared" ca="1" si="149"/>
        <v>69061.496359654906</v>
      </c>
      <c r="AN161" s="124">
        <f t="shared" ca="1" si="169"/>
        <v>69061.496359654906</v>
      </c>
      <c r="AO161" s="125">
        <f t="shared" ca="1" si="170"/>
        <v>0</v>
      </c>
      <c r="AP161" s="123">
        <f t="shared" ca="1" si="171"/>
        <v>560725.47319846589</v>
      </c>
      <c r="AQ161" s="121"/>
      <c r="AR161" s="126">
        <f ca="1">IF(LiabIntType1="Fixed",LiabFxdRate1,OFFSET(Vectors!$D$6,Vectors!A161,MATCH(LiabLoanIndex1,lstInterestRates,0))+LiabMarg1)</f>
        <v>7.9369000000000051E-2</v>
      </c>
      <c r="AS161" s="122">
        <f t="shared" ca="1" si="172"/>
        <v>16655.710253336616</v>
      </c>
      <c r="AT161" s="124">
        <f t="shared" ca="1" si="173"/>
        <v>16655.710253336616</v>
      </c>
      <c r="AU161" s="123">
        <f t="shared" ca="1" si="174"/>
        <v>0</v>
      </c>
      <c r="AV161" s="123">
        <f t="shared" ca="1" si="150"/>
        <v>0</v>
      </c>
      <c r="AW161" s="123">
        <f t="shared" ca="1" si="175"/>
        <v>0</v>
      </c>
      <c r="AX161" s="124">
        <f t="shared" ca="1" si="176"/>
        <v>544069.7629451293</v>
      </c>
      <c r="AY161" s="121"/>
      <c r="AZ161" s="122">
        <f t="shared" ca="1" si="151"/>
        <v>544069.7629451293</v>
      </c>
      <c r="BA161" s="124">
        <f t="shared" ca="1" si="177"/>
        <v>544069.7629451293</v>
      </c>
      <c r="BB161" s="123">
        <f t="shared" ca="1" si="178"/>
        <v>0</v>
      </c>
      <c r="BC161" s="123">
        <f t="shared" ca="1" si="152"/>
        <v>0</v>
      </c>
      <c r="BD161" s="123">
        <f t="shared" ca="1" si="179"/>
        <v>0</v>
      </c>
      <c r="BE161" s="124">
        <f t="shared" ca="1" si="180"/>
        <v>0</v>
      </c>
      <c r="BF161" s="121"/>
      <c r="BG161" s="123">
        <f t="shared" si="153"/>
        <v>1000000</v>
      </c>
      <c r="BH161" s="123">
        <f t="shared" ca="1" si="181"/>
        <v>1000000</v>
      </c>
      <c r="BI161" s="123">
        <f t="shared" ca="1" si="182"/>
        <v>0</v>
      </c>
      <c r="BJ161" s="123">
        <f t="shared" ca="1" si="183"/>
        <v>0</v>
      </c>
      <c r="BK161" s="123">
        <f t="shared" ca="1" si="140"/>
        <v>1000000</v>
      </c>
      <c r="BL161" s="123">
        <f t="shared" ca="1" si="184"/>
        <v>0</v>
      </c>
      <c r="BM161" s="121"/>
      <c r="BN161" s="126">
        <f ca="1">IF(LiabIntType2="Fixed",LiabFxdRate2,OFFSET(Vectors!$D$6,Vectors!A161,MATCH(LiabLoanIndex2,lstInterestRates,0))+LiabMarg2)</f>
        <v>0.04</v>
      </c>
      <c r="BO161" s="122">
        <f t="shared" ca="1" si="185"/>
        <v>34119.905847872607</v>
      </c>
      <c r="BP161" s="124">
        <f t="shared" ca="1" si="186"/>
        <v>0</v>
      </c>
      <c r="BQ161" s="123">
        <f t="shared" ca="1" si="187"/>
        <v>34119.905847872607</v>
      </c>
      <c r="BR161" s="123">
        <f t="shared" ca="1" si="188"/>
        <v>0</v>
      </c>
      <c r="BS161" s="121"/>
      <c r="BT161" s="123">
        <f t="shared" ca="1" si="154"/>
        <v>30329.451554007293</v>
      </c>
      <c r="BU161" s="123">
        <f t="shared" ca="1" si="189"/>
        <v>0</v>
      </c>
      <c r="BV161" s="123">
        <f t="shared" ca="1" si="190"/>
        <v>30329.451554007293</v>
      </c>
      <c r="BW161" s="123">
        <f t="shared" ca="1" si="191"/>
        <v>0</v>
      </c>
      <c r="BX161" s="121"/>
      <c r="BY161" s="123">
        <f t="shared" si="192"/>
        <v>0</v>
      </c>
      <c r="BZ161" s="123">
        <f t="shared" ca="1" si="193"/>
        <v>0</v>
      </c>
      <c r="CA161" s="121"/>
      <c r="CB161" s="122">
        <f t="shared" ca="1" si="141"/>
        <v>1974149.2273412456</v>
      </c>
      <c r="CC161" s="122">
        <f t="shared" ca="1" si="194"/>
        <v>16655.710253336616</v>
      </c>
      <c r="CD161" s="124">
        <f t="shared" ca="1" si="195"/>
        <v>544069.7629451293</v>
      </c>
      <c r="CE161" s="121"/>
      <c r="CF161" s="122">
        <f t="shared" ca="1" si="142"/>
        <v>10235971.754361782</v>
      </c>
      <c r="CG161" s="124">
        <f t="shared" ca="1" si="196"/>
        <v>0</v>
      </c>
      <c r="CH161" s="123">
        <f t="shared" ca="1" si="197"/>
        <v>0</v>
      </c>
      <c r="CI161" s="121"/>
      <c r="CJ161" s="123">
        <f t="shared" ca="1" si="198"/>
        <v>670110.22192545456</v>
      </c>
      <c r="CK161" s="123">
        <f t="shared" ca="1" si="199"/>
        <v>670110.22192545456</v>
      </c>
      <c r="CL161" s="123">
        <f t="shared" ca="1" si="200"/>
        <v>0</v>
      </c>
      <c r="CM161" s="121"/>
      <c r="CN161" s="62">
        <f t="shared" ca="1" si="201"/>
        <v>295813.05657705502</v>
      </c>
      <c r="CO161" s="62" t="b">
        <f t="shared" si="202"/>
        <v>1</v>
      </c>
      <c r="CP161" s="126">
        <f t="shared" ca="1" si="203"/>
        <v>4.3055555555555442E-3</v>
      </c>
      <c r="CQ161" s="120"/>
      <c r="CR161" s="120"/>
      <c r="CS161" s="120"/>
      <c r="CT161" s="120"/>
      <c r="CU161" s="120"/>
      <c r="CV161" s="120"/>
      <c r="CW161" s="120"/>
      <c r="CX161" s="120"/>
      <c r="CY161" s="120"/>
      <c r="CZ161" s="120"/>
      <c r="DA161" s="120"/>
      <c r="DB161" s="120"/>
      <c r="DC161" s="120"/>
      <c r="DD161" s="120"/>
      <c r="DE161" s="116"/>
      <c r="DF161" s="116"/>
      <c r="DG161" s="116"/>
      <c r="DH161" s="116"/>
      <c r="DI161" s="116"/>
      <c r="DJ161" s="116"/>
      <c r="DK161" s="116"/>
      <c r="DL161" s="116"/>
      <c r="DM161" s="116"/>
      <c r="DN161" s="116"/>
    </row>
    <row r="162" spans="1:118" x14ac:dyDescent="0.2">
      <c r="A162" s="27">
        <v>156</v>
      </c>
      <c r="B162" s="29">
        <f t="shared" si="136"/>
        <v>43862</v>
      </c>
      <c r="C162" s="30">
        <f t="shared" si="137"/>
        <v>8.3333333333333329E-2</v>
      </c>
      <c r="D162" s="55"/>
      <c r="E162" s="62">
        <f t="shared" ca="1" si="155"/>
        <v>84093336.657628506</v>
      </c>
      <c r="F162" s="63">
        <f ca="1">IF(AssetIntType1="Fixed",AssetFxdRate1,IF(A162=1,OFFSET(Vectors!$D$6,A162,MATCH(AssetFltIndx1,lstInterestRates,0)),IF(MOD($A162,AssetRateReset1)=0,MAX(MIN(OFFSET(Vectors!$D$6,A162,MATCH(AssetFltIndx1,lstInterestRates,0)),(F161-AssetMarg1)+AssetPdCapFl1,AssetLifeCap1-AssetMarg1),(F161-AssetMarg1)-AssetPdCapFl1,AssetLifeFloor1-AssetMarg1),F161)))+AssetMarg1</f>
        <v>0.09</v>
      </c>
      <c r="G162" s="62">
        <f t="shared" ca="1" si="143"/>
        <v>804622.61694478267</v>
      </c>
      <c r="H162" s="62">
        <f t="shared" ca="1" si="156"/>
        <v>630700.02493221383</v>
      </c>
      <c r="I162" s="62">
        <f t="shared" ca="1" si="157"/>
        <v>173922.59201256884</v>
      </c>
      <c r="J162" s="62">
        <f t="shared" ca="1" si="138"/>
        <v>83919414.065615937</v>
      </c>
      <c r="K162" s="55"/>
      <c r="L162" s="62">
        <f t="shared" ca="1" si="158"/>
        <v>40511530.011644311</v>
      </c>
      <c r="M162" s="68">
        <f ca="1">IF(pdrLossTime1="",OFFSET(Vectors!$AE$6,A162+_Age1,MATCH(SDA_Loss,lstSDA,0)),OFFSET(Vectors!$X$6,A162+_Age1,MATCH(pdrLossTime1,lstDefaultCurve,0)))</f>
        <v>2.7777777777777779E-5</v>
      </c>
      <c r="N162" s="62">
        <f t="shared" ca="1" si="144"/>
        <v>2777.7777777777778</v>
      </c>
      <c r="O162" s="67">
        <f t="shared" ca="1" si="159"/>
        <v>0.83919414065615938</v>
      </c>
      <c r="P162" s="68">
        <f ca="1">OFFSET(Vectors!$L$6,A162+_Age1,MATCH(pdrPrepay1,lstPrepayCurve,0))*pdrPrepayStress1</f>
        <v>5.1430128318229462E-3</v>
      </c>
      <c r="Q162" s="62">
        <f t="shared" ca="1" si="160"/>
        <v>207920.40462337149</v>
      </c>
      <c r="R162" s="62">
        <f t="shared" ca="1" si="161"/>
        <v>83780.564165182222</v>
      </c>
      <c r="S162" s="69">
        <f t="shared" ca="1" si="162"/>
        <v>0.09</v>
      </c>
      <c r="T162" s="62">
        <f t="shared" ca="1" si="163"/>
        <v>303815.64175399899</v>
      </c>
      <c r="U162" s="62">
        <f t="shared" ca="1" si="145"/>
        <v>1111.1111111111111</v>
      </c>
      <c r="V162" s="62">
        <f t="shared" ca="1" si="139"/>
        <v>40217051.265077978</v>
      </c>
      <c r="W162" s="55"/>
      <c r="X162" s="62">
        <f t="shared" ca="1" si="164"/>
        <v>596627.7216536639</v>
      </c>
      <c r="Y162" s="55"/>
      <c r="Z162" s="118" t="b">
        <v>0</v>
      </c>
      <c r="AA162" s="120" t="b">
        <f t="shared" si="146"/>
        <v>0</v>
      </c>
      <c r="AB162" s="120" t="b">
        <f t="shared" si="147"/>
        <v>1</v>
      </c>
      <c r="AC162" s="120" t="b">
        <f t="shared" ca="1" si="148"/>
        <v>0</v>
      </c>
      <c r="AD162" s="121"/>
      <c r="AE162" s="129">
        <v>11881365.180641541</v>
      </c>
      <c r="AF162" s="69">
        <f ca="1">IF(Swap_Active="No",0,OFFSET(Vectors!$D$6,Vectors!A162,MATCH(Swap_In,lstInterestRates,0)))</f>
        <v>6.9369000000000056E-2</v>
      </c>
      <c r="AG162" s="62">
        <f t="shared" ca="1" si="165"/>
        <v>68683.20176799364</v>
      </c>
      <c r="AH162" s="69">
        <f ca="1">IF(Swap_Active="No",0,OFFSET(Vectors!$D$6,Vectors!A162,MATCH(Swap_Out,lstInterestRates,0)))</f>
        <v>0.04</v>
      </c>
      <c r="AI162" s="62">
        <f t="shared" ca="1" si="166"/>
        <v>39604.550602138464</v>
      </c>
      <c r="AJ162" s="62">
        <f t="shared" ca="1" si="167"/>
        <v>29078.651165855175</v>
      </c>
      <c r="AK162" s="62">
        <f t="shared" ca="1" si="168"/>
        <v>625706.37281951914</v>
      </c>
      <c r="AL162" s="121"/>
      <c r="AM162" s="123">
        <f t="shared" ca="1" si="149"/>
        <v>68341.778864132706</v>
      </c>
      <c r="AN162" s="124">
        <f t="shared" ca="1" si="169"/>
        <v>68341.778864132706</v>
      </c>
      <c r="AO162" s="125">
        <f t="shared" ca="1" si="170"/>
        <v>0</v>
      </c>
      <c r="AP162" s="123">
        <f t="shared" ca="1" si="171"/>
        <v>557364.59395538643</v>
      </c>
      <c r="AQ162" s="121"/>
      <c r="AR162" s="126">
        <f ca="1">IF(LiabIntType1="Fixed",LiabFxdRate1,OFFSET(Vectors!$D$6,Vectors!A162,MATCH(LiabLoanIndex1,lstInterestRates,0))+LiabMarg1)</f>
        <v>7.9369000000000051E-2</v>
      </c>
      <c r="AS162" s="122">
        <f t="shared" ca="1" si="172"/>
        <v>13057.187502070617</v>
      </c>
      <c r="AT162" s="124">
        <f t="shared" ca="1" si="173"/>
        <v>13057.187502070617</v>
      </c>
      <c r="AU162" s="123">
        <f t="shared" ca="1" si="174"/>
        <v>0</v>
      </c>
      <c r="AV162" s="123">
        <f t="shared" ca="1" si="150"/>
        <v>0</v>
      </c>
      <c r="AW162" s="123">
        <f t="shared" ca="1" si="175"/>
        <v>0</v>
      </c>
      <c r="AX162" s="124">
        <f t="shared" ca="1" si="176"/>
        <v>544307.40645331587</v>
      </c>
      <c r="AY162" s="121"/>
      <c r="AZ162" s="122">
        <f t="shared" ca="1" si="151"/>
        <v>544307.40645331587</v>
      </c>
      <c r="BA162" s="124">
        <f t="shared" ca="1" si="177"/>
        <v>544307.40645331587</v>
      </c>
      <c r="BB162" s="123">
        <f t="shared" ca="1" si="178"/>
        <v>0</v>
      </c>
      <c r="BC162" s="123">
        <f t="shared" ca="1" si="152"/>
        <v>0</v>
      </c>
      <c r="BD162" s="123">
        <f t="shared" ca="1" si="179"/>
        <v>0</v>
      </c>
      <c r="BE162" s="124">
        <f t="shared" ca="1" si="180"/>
        <v>0</v>
      </c>
      <c r="BF162" s="121"/>
      <c r="BG162" s="123">
        <f t="shared" si="153"/>
        <v>1000000</v>
      </c>
      <c r="BH162" s="123">
        <f t="shared" ca="1" si="181"/>
        <v>1000000</v>
      </c>
      <c r="BI162" s="123">
        <f t="shared" ca="1" si="182"/>
        <v>0</v>
      </c>
      <c r="BJ162" s="123">
        <f t="shared" ca="1" si="183"/>
        <v>0</v>
      </c>
      <c r="BK162" s="123">
        <f t="shared" ca="1" si="140"/>
        <v>1000000</v>
      </c>
      <c r="BL162" s="123">
        <f t="shared" ca="1" si="184"/>
        <v>0</v>
      </c>
      <c r="BM162" s="121"/>
      <c r="BN162" s="126">
        <f ca="1">IF(LiabIntType2="Fixed",LiabFxdRate2,OFFSET(Vectors!$D$6,Vectors!A162,MATCH(LiabLoanIndex2,lstInterestRates,0))+LiabMarg2)</f>
        <v>0.04</v>
      </c>
      <c r="BO162" s="122">
        <f t="shared" ca="1" si="185"/>
        <v>34119.905847872607</v>
      </c>
      <c r="BP162" s="124">
        <f t="shared" ca="1" si="186"/>
        <v>0</v>
      </c>
      <c r="BQ162" s="123">
        <f t="shared" ca="1" si="187"/>
        <v>34119.905847872607</v>
      </c>
      <c r="BR162" s="123">
        <f t="shared" ca="1" si="188"/>
        <v>0</v>
      </c>
      <c r="BS162" s="121"/>
      <c r="BT162" s="123">
        <f t="shared" ca="1" si="154"/>
        <v>30192.645926505436</v>
      </c>
      <c r="BU162" s="123">
        <f t="shared" ca="1" si="189"/>
        <v>0</v>
      </c>
      <c r="BV162" s="123">
        <f t="shared" ca="1" si="190"/>
        <v>30192.645926505436</v>
      </c>
      <c r="BW162" s="123">
        <f t="shared" ca="1" si="191"/>
        <v>0</v>
      </c>
      <c r="BX162" s="121"/>
      <c r="BY162" s="123">
        <f t="shared" si="192"/>
        <v>0</v>
      </c>
      <c r="BZ162" s="123">
        <f t="shared" ca="1" si="193"/>
        <v>0</v>
      </c>
      <c r="CA162" s="121"/>
      <c r="CB162" s="122">
        <f t="shared" ca="1" si="141"/>
        <v>1429841.8208879298</v>
      </c>
      <c r="CC162" s="122">
        <f t="shared" ca="1" si="194"/>
        <v>13057.187502070617</v>
      </c>
      <c r="CD162" s="124">
        <f t="shared" ca="1" si="195"/>
        <v>544307.40645331587</v>
      </c>
      <c r="CE162" s="121"/>
      <c r="CF162" s="122">
        <f t="shared" ca="1" si="142"/>
        <v>10235971.754361782</v>
      </c>
      <c r="CG162" s="124">
        <f t="shared" ca="1" si="196"/>
        <v>0</v>
      </c>
      <c r="CH162" s="123">
        <f t="shared" ca="1" si="197"/>
        <v>0</v>
      </c>
      <c r="CI162" s="121"/>
      <c r="CJ162" s="123">
        <f t="shared" ca="1" si="198"/>
        <v>665310.92342165753</v>
      </c>
      <c r="CK162" s="123">
        <f t="shared" ca="1" si="199"/>
        <v>665310.92342165764</v>
      </c>
      <c r="CL162" s="123">
        <f t="shared" ca="1" si="200"/>
        <v>0</v>
      </c>
      <c r="CM162" s="121"/>
      <c r="CN162" s="62">
        <f t="shared" ca="1" si="201"/>
        <v>294478.74656633148</v>
      </c>
      <c r="CO162" s="62" t="b">
        <f t="shared" si="202"/>
        <v>1</v>
      </c>
      <c r="CP162" s="126">
        <f t="shared" ca="1" si="203"/>
        <v>4.3333333333333219E-3</v>
      </c>
      <c r="CQ162" s="120"/>
      <c r="CR162" s="120"/>
      <c r="CS162" s="120"/>
      <c r="CT162" s="120"/>
      <c r="CU162" s="120"/>
      <c r="CV162" s="120"/>
      <c r="CW162" s="120"/>
      <c r="CX162" s="120"/>
      <c r="CY162" s="120"/>
      <c r="CZ162" s="120"/>
      <c r="DA162" s="120"/>
      <c r="DB162" s="120"/>
      <c r="DC162" s="120"/>
      <c r="DD162" s="120"/>
      <c r="DE162" s="116"/>
      <c r="DF162" s="116"/>
      <c r="DG162" s="116"/>
      <c r="DH162" s="116"/>
      <c r="DI162" s="116"/>
      <c r="DJ162" s="116"/>
      <c r="DK162" s="116"/>
      <c r="DL162" s="116"/>
      <c r="DM162" s="116"/>
      <c r="DN162" s="116"/>
    </row>
    <row r="163" spans="1:118" x14ac:dyDescent="0.2">
      <c r="A163" s="27">
        <v>157</v>
      </c>
      <c r="B163" s="29">
        <f t="shared" si="136"/>
        <v>43891</v>
      </c>
      <c r="C163" s="30">
        <f t="shared" si="137"/>
        <v>8.3333333333333329E-2</v>
      </c>
      <c r="D163" s="55"/>
      <c r="E163" s="62">
        <f t="shared" ca="1" si="155"/>
        <v>83919414.065615937</v>
      </c>
      <c r="F163" s="63">
        <f ca="1">IF(AssetIntType1="Fixed",AssetFxdRate1,IF(A163=1,OFFSET(Vectors!$D$6,A163,MATCH(AssetFltIndx1,lstInterestRates,0)),IF(MOD($A163,AssetRateReset1)=0,MAX(MIN(OFFSET(Vectors!$D$6,A163,MATCH(AssetFltIndx1,lstInterestRates,0)),(F162-AssetMarg1)+AssetPdCapFl1,AssetLifeCap1-AssetMarg1),(F162-AssetMarg1)-AssetPdCapFl1,AssetLifeFloor1-AssetMarg1),F162)))+AssetMarg1</f>
        <v>0.09</v>
      </c>
      <c r="G163" s="62">
        <f t="shared" ca="1" si="143"/>
        <v>804622.61694478267</v>
      </c>
      <c r="H163" s="62">
        <f t="shared" ca="1" si="156"/>
        <v>629395.60549211956</v>
      </c>
      <c r="I163" s="62">
        <f t="shared" ca="1" si="157"/>
        <v>175227.01145266311</v>
      </c>
      <c r="J163" s="62">
        <f t="shared" ca="1" si="138"/>
        <v>83744187.054163277</v>
      </c>
      <c r="K163" s="55"/>
      <c r="L163" s="62">
        <f t="shared" ca="1" si="158"/>
        <v>40217051.265077978</v>
      </c>
      <c r="M163" s="68">
        <f ca="1">IF(pdrLossTime1="",OFFSET(Vectors!$AE$6,A163+_Age1,MATCH(SDA_Loss,lstSDA,0)),OFFSET(Vectors!$X$6,A163+_Age1,MATCH(pdrLossTime1,lstDefaultCurve,0)))</f>
        <v>2.7777777777777779E-5</v>
      </c>
      <c r="N163" s="62">
        <f t="shared" ca="1" si="144"/>
        <v>2777.7777777777778</v>
      </c>
      <c r="O163" s="67">
        <f t="shared" ca="1" si="159"/>
        <v>0.83744187054163277</v>
      </c>
      <c r="P163" s="68">
        <f ca="1">OFFSET(Vectors!$L$6,A163+_Age1,MATCH(pdrPrepay1,lstPrepayCurve,0))*pdrPrepayStress1</f>
        <v>5.1430128318229462E-3</v>
      </c>
      <c r="Q163" s="62">
        <f t="shared" ca="1" si="160"/>
        <v>206404.92738197534</v>
      </c>
      <c r="R163" s="62">
        <f t="shared" ca="1" si="161"/>
        <v>83968.972369252151</v>
      </c>
      <c r="S163" s="69">
        <f t="shared" ca="1" si="162"/>
        <v>0.09</v>
      </c>
      <c r="T163" s="62">
        <f t="shared" ca="1" si="163"/>
        <v>301607.05115475151</v>
      </c>
      <c r="U163" s="62">
        <f t="shared" ca="1" si="145"/>
        <v>1111.1111111111111</v>
      </c>
      <c r="V163" s="62">
        <f t="shared" ca="1" si="139"/>
        <v>39923899.587548971</v>
      </c>
      <c r="W163" s="55"/>
      <c r="X163" s="62">
        <f t="shared" ca="1" si="164"/>
        <v>593092.06201709004</v>
      </c>
      <c r="Y163" s="55"/>
      <c r="Z163" s="118" t="b">
        <v>0</v>
      </c>
      <c r="AA163" s="120" t="b">
        <f t="shared" si="146"/>
        <v>0</v>
      </c>
      <c r="AB163" s="120" t="b">
        <f t="shared" si="147"/>
        <v>1</v>
      </c>
      <c r="AC163" s="120" t="b">
        <f t="shared" ca="1" si="148"/>
        <v>0</v>
      </c>
      <c r="AD163" s="121"/>
      <c r="AE163" s="129">
        <v>11668004.370925602</v>
      </c>
      <c r="AF163" s="69">
        <f ca="1">IF(Swap_Active="No",0,OFFSET(Vectors!$D$6,Vectors!A163,MATCH(Swap_In,lstInterestRates,0)))</f>
        <v>6.9369000000000056E-2</v>
      </c>
      <c r="AG163" s="62">
        <f t="shared" ca="1" si="165"/>
        <v>67449.81626722822</v>
      </c>
      <c r="AH163" s="69">
        <f ca="1">IF(Swap_Active="No",0,OFFSET(Vectors!$D$6,Vectors!A163,MATCH(Swap_Out,lstInterestRates,0)))</f>
        <v>0.04</v>
      </c>
      <c r="AI163" s="62">
        <f t="shared" ca="1" si="166"/>
        <v>38893.347903085334</v>
      </c>
      <c r="AJ163" s="62">
        <f t="shared" ca="1" si="167"/>
        <v>28556.468364142886</v>
      </c>
      <c r="AK163" s="62">
        <f t="shared" ca="1" si="168"/>
        <v>621648.53038123297</v>
      </c>
      <c r="AL163" s="121"/>
      <c r="AM163" s="123">
        <f t="shared" ca="1" si="149"/>
        <v>67624.186200499928</v>
      </c>
      <c r="AN163" s="124">
        <f t="shared" ca="1" si="169"/>
        <v>67624.186200499928</v>
      </c>
      <c r="AO163" s="125">
        <f t="shared" ca="1" si="170"/>
        <v>0</v>
      </c>
      <c r="AP163" s="123">
        <f t="shared" ca="1" si="171"/>
        <v>554024.34418073308</v>
      </c>
      <c r="AQ163" s="121"/>
      <c r="AR163" s="126">
        <f ca="1">IF(LiabIntType1="Fixed",LiabFxdRate1,OFFSET(Vectors!$D$6,Vectors!A163,MATCH(LiabLoanIndex1,lstInterestRates,0))+LiabMarg1)</f>
        <v>7.9369000000000051E-2</v>
      </c>
      <c r="AS163" s="122">
        <f t="shared" ca="1" si="172"/>
        <v>9457.0929568378469</v>
      </c>
      <c r="AT163" s="124">
        <f t="shared" ca="1" si="173"/>
        <v>9457.0929568378469</v>
      </c>
      <c r="AU163" s="123">
        <f t="shared" ca="1" si="174"/>
        <v>0</v>
      </c>
      <c r="AV163" s="123">
        <f t="shared" ca="1" si="150"/>
        <v>0</v>
      </c>
      <c r="AW163" s="123">
        <f t="shared" ca="1" si="175"/>
        <v>0</v>
      </c>
      <c r="AX163" s="124">
        <f t="shared" ca="1" si="176"/>
        <v>544567.25122389523</v>
      </c>
      <c r="AY163" s="121"/>
      <c r="AZ163" s="122">
        <f t="shared" ca="1" si="151"/>
        <v>544567.25122389523</v>
      </c>
      <c r="BA163" s="124">
        <f t="shared" ca="1" si="177"/>
        <v>544567.25122389523</v>
      </c>
      <c r="BB163" s="123">
        <f t="shared" ca="1" si="178"/>
        <v>0</v>
      </c>
      <c r="BC163" s="123">
        <f t="shared" ca="1" si="152"/>
        <v>0</v>
      </c>
      <c r="BD163" s="123">
        <f t="shared" ca="1" si="179"/>
        <v>0</v>
      </c>
      <c r="BE163" s="124">
        <f t="shared" ca="1" si="180"/>
        <v>0</v>
      </c>
      <c r="BF163" s="121"/>
      <c r="BG163" s="123">
        <f t="shared" si="153"/>
        <v>1000000</v>
      </c>
      <c r="BH163" s="123">
        <f t="shared" ca="1" si="181"/>
        <v>1000000</v>
      </c>
      <c r="BI163" s="123">
        <f t="shared" ca="1" si="182"/>
        <v>0</v>
      </c>
      <c r="BJ163" s="123">
        <f t="shared" ca="1" si="183"/>
        <v>0</v>
      </c>
      <c r="BK163" s="123">
        <f t="shared" ca="1" si="140"/>
        <v>1000000</v>
      </c>
      <c r="BL163" s="123">
        <f t="shared" ca="1" si="184"/>
        <v>0</v>
      </c>
      <c r="BM163" s="121"/>
      <c r="BN163" s="126">
        <f ca="1">IF(LiabIntType2="Fixed",LiabFxdRate2,OFFSET(Vectors!$D$6,Vectors!A163,MATCH(LiabLoanIndex2,lstInterestRates,0))+LiabMarg2)</f>
        <v>0.04</v>
      </c>
      <c r="BO163" s="122">
        <f t="shared" ca="1" si="185"/>
        <v>34119.905847872607</v>
      </c>
      <c r="BP163" s="124">
        <f t="shared" ca="1" si="186"/>
        <v>0</v>
      </c>
      <c r="BQ163" s="123">
        <f t="shared" ca="1" si="187"/>
        <v>34119.905847872607</v>
      </c>
      <c r="BR163" s="123">
        <f t="shared" ca="1" si="188"/>
        <v>0</v>
      </c>
      <c r="BS163" s="121"/>
      <c r="BT163" s="123">
        <f t="shared" ca="1" si="154"/>
        <v>30056.582709613846</v>
      </c>
      <c r="BU163" s="123">
        <f t="shared" ca="1" si="189"/>
        <v>0</v>
      </c>
      <c r="BV163" s="123">
        <f t="shared" ca="1" si="190"/>
        <v>30056.582709613846</v>
      </c>
      <c r="BW163" s="123">
        <f t="shared" ca="1" si="191"/>
        <v>0</v>
      </c>
      <c r="BX163" s="121"/>
      <c r="BY163" s="123">
        <f t="shared" si="192"/>
        <v>0</v>
      </c>
      <c r="BZ163" s="123">
        <f t="shared" ca="1" si="193"/>
        <v>0</v>
      </c>
      <c r="CA163" s="121"/>
      <c r="CB163" s="122">
        <f t="shared" ca="1" si="141"/>
        <v>885274.56966403453</v>
      </c>
      <c r="CC163" s="122">
        <f t="shared" ca="1" si="194"/>
        <v>9457.0929568378469</v>
      </c>
      <c r="CD163" s="124">
        <f t="shared" ca="1" si="195"/>
        <v>544567.25122389523</v>
      </c>
      <c r="CE163" s="121"/>
      <c r="CF163" s="122">
        <f t="shared" ca="1" si="142"/>
        <v>10235971.754361782</v>
      </c>
      <c r="CG163" s="124">
        <f t="shared" ca="1" si="196"/>
        <v>0</v>
      </c>
      <c r="CH163" s="123">
        <f t="shared" ca="1" si="197"/>
        <v>0</v>
      </c>
      <c r="CI163" s="121"/>
      <c r="CJ163" s="123">
        <f t="shared" ca="1" si="198"/>
        <v>660541.87828431826</v>
      </c>
      <c r="CK163" s="123">
        <f t="shared" ca="1" si="199"/>
        <v>660541.87828431837</v>
      </c>
      <c r="CL163" s="123">
        <f t="shared" ca="1" si="200"/>
        <v>0</v>
      </c>
      <c r="CM163" s="121"/>
      <c r="CN163" s="62">
        <f t="shared" ca="1" si="201"/>
        <v>293151.67752900528</v>
      </c>
      <c r="CO163" s="62" t="b">
        <f t="shared" si="202"/>
        <v>1</v>
      </c>
      <c r="CP163" s="126">
        <f t="shared" ca="1" si="203"/>
        <v>4.3611111111110995E-3</v>
      </c>
      <c r="CQ163" s="120"/>
      <c r="CR163" s="120"/>
      <c r="CS163" s="120"/>
      <c r="CT163" s="120"/>
      <c r="CU163" s="120"/>
      <c r="CV163" s="120"/>
      <c r="CW163" s="120"/>
      <c r="CX163" s="120"/>
      <c r="CY163" s="120"/>
      <c r="CZ163" s="120"/>
      <c r="DA163" s="120"/>
      <c r="DB163" s="120"/>
      <c r="DC163" s="120"/>
      <c r="DD163" s="120"/>
      <c r="DE163" s="116"/>
      <c r="DF163" s="116"/>
      <c r="DG163" s="116"/>
      <c r="DH163" s="116"/>
      <c r="DI163" s="116"/>
      <c r="DJ163" s="116"/>
      <c r="DK163" s="116"/>
      <c r="DL163" s="116"/>
      <c r="DM163" s="116"/>
      <c r="DN163" s="116"/>
    </row>
    <row r="164" spans="1:118" x14ac:dyDescent="0.2">
      <c r="A164" s="27">
        <v>158</v>
      </c>
      <c r="B164" s="29">
        <f t="shared" si="136"/>
        <v>43922</v>
      </c>
      <c r="C164" s="30">
        <f t="shared" si="137"/>
        <v>8.3333333333333329E-2</v>
      </c>
      <c r="D164" s="55"/>
      <c r="E164" s="62">
        <f t="shared" ca="1" si="155"/>
        <v>83744187.054163277</v>
      </c>
      <c r="F164" s="63">
        <f ca="1">IF(AssetIntType1="Fixed",AssetFxdRate1,IF(A164=1,OFFSET(Vectors!$D$6,A164,MATCH(AssetFltIndx1,lstInterestRates,0)),IF(MOD($A164,AssetRateReset1)=0,MAX(MIN(OFFSET(Vectors!$D$6,A164,MATCH(AssetFltIndx1,lstInterestRates,0)),(F163-AssetMarg1)+AssetPdCapFl1,AssetLifeCap1-AssetMarg1),(F163-AssetMarg1)-AssetPdCapFl1,AssetLifeFloor1-AssetMarg1),F163)))+AssetMarg1</f>
        <v>0.09</v>
      </c>
      <c r="G164" s="62">
        <f t="shared" ca="1" si="143"/>
        <v>804622.61694478267</v>
      </c>
      <c r="H164" s="62">
        <f t="shared" ca="1" si="156"/>
        <v>628081.4029062246</v>
      </c>
      <c r="I164" s="62">
        <f t="shared" ca="1" si="157"/>
        <v>176541.21403855807</v>
      </c>
      <c r="J164" s="62">
        <f t="shared" ca="1" si="138"/>
        <v>83567645.840124726</v>
      </c>
      <c r="K164" s="55"/>
      <c r="L164" s="62">
        <f t="shared" ca="1" si="158"/>
        <v>39923899.587548971</v>
      </c>
      <c r="M164" s="68">
        <f ca="1">IF(pdrLossTime1="",OFFSET(Vectors!$AE$6,A164+_Age1,MATCH(SDA_Loss,lstSDA,0)),OFFSET(Vectors!$X$6,A164+_Age1,MATCH(pdrLossTime1,lstDefaultCurve,0)))</f>
        <v>2.7777777777777779E-5</v>
      </c>
      <c r="N164" s="62">
        <f t="shared" ca="1" si="144"/>
        <v>2777.7777777777778</v>
      </c>
      <c r="O164" s="67">
        <f t="shared" ca="1" si="159"/>
        <v>0.83567645840124727</v>
      </c>
      <c r="P164" s="68">
        <f ca="1">OFFSET(Vectors!$L$6,A164+_Age1,MATCH(pdrPrepay1,lstPrepayCurve,0))*pdrPrepayStress1</f>
        <v>5.1430128318229462E-3</v>
      </c>
      <c r="Q164" s="62">
        <f t="shared" ca="1" si="160"/>
        <v>204896.27331191918</v>
      </c>
      <c r="R164" s="62">
        <f t="shared" ca="1" si="161"/>
        <v>84157.7613681972</v>
      </c>
      <c r="S164" s="69">
        <f t="shared" ca="1" si="162"/>
        <v>0.09</v>
      </c>
      <c r="T164" s="62">
        <f t="shared" ca="1" si="163"/>
        <v>299408.41357328393</v>
      </c>
      <c r="U164" s="62">
        <f t="shared" ca="1" si="145"/>
        <v>1111.1111111111111</v>
      </c>
      <c r="V164" s="62">
        <f t="shared" ca="1" si="139"/>
        <v>39632067.775091074</v>
      </c>
      <c r="W164" s="55"/>
      <c r="X164" s="62">
        <f t="shared" ca="1" si="164"/>
        <v>589573.55936451152</v>
      </c>
      <c r="Y164" s="55"/>
      <c r="Z164" s="118" t="b">
        <v>0</v>
      </c>
      <c r="AA164" s="120" t="b">
        <f t="shared" si="146"/>
        <v>0</v>
      </c>
      <c r="AB164" s="120" t="b">
        <f t="shared" si="147"/>
        <v>1</v>
      </c>
      <c r="AC164" s="120" t="b">
        <f t="shared" ca="1" si="148"/>
        <v>0</v>
      </c>
      <c r="AD164" s="121"/>
      <c r="AE164" s="129">
        <v>11456870.542796422</v>
      </c>
      <c r="AF164" s="69">
        <f ca="1">IF(Swap_Active="No",0,OFFSET(Vectors!$D$6,Vectors!A164,MATCH(Swap_In,lstInterestRates,0)))</f>
        <v>6.9369000000000056E-2</v>
      </c>
      <c r="AG164" s="62">
        <f t="shared" ca="1" si="165"/>
        <v>66229.304390270467</v>
      </c>
      <c r="AH164" s="69">
        <f ca="1">IF(Swap_Active="No",0,OFFSET(Vectors!$D$6,Vectors!A164,MATCH(Swap_Out,lstInterestRates,0)))</f>
        <v>0.04</v>
      </c>
      <c r="AI164" s="62">
        <f t="shared" ca="1" si="166"/>
        <v>38189.568475988068</v>
      </c>
      <c r="AJ164" s="62">
        <f t="shared" ca="1" si="167"/>
        <v>28039.735914282399</v>
      </c>
      <c r="AK164" s="62">
        <f t="shared" ca="1" si="168"/>
        <v>617613.2952787939</v>
      </c>
      <c r="AL164" s="121"/>
      <c r="AM164" s="123">
        <f t="shared" ca="1" si="149"/>
        <v>66908.697049941635</v>
      </c>
      <c r="AN164" s="124">
        <f t="shared" ca="1" si="169"/>
        <v>66908.697049941635</v>
      </c>
      <c r="AO164" s="125">
        <f t="shared" ca="1" si="170"/>
        <v>0</v>
      </c>
      <c r="AP164" s="123">
        <f t="shared" ca="1" si="171"/>
        <v>550704.59822885226</v>
      </c>
      <c r="AQ164" s="121"/>
      <c r="AR164" s="126">
        <f ca="1">IF(LiabIntType1="Fixed",LiabFxdRate1,OFFSET(Vectors!$D$6,Vectors!A164,MATCH(LiabLoanIndex1,lstInterestRates,0))+LiabMarg1)</f>
        <v>7.9369000000000051E-2</v>
      </c>
      <c r="AS164" s="122">
        <f t="shared" ca="1" si="172"/>
        <v>5855.279776638733</v>
      </c>
      <c r="AT164" s="124">
        <f t="shared" ca="1" si="173"/>
        <v>5855.279776638733</v>
      </c>
      <c r="AU164" s="123">
        <f t="shared" ca="1" si="174"/>
        <v>0</v>
      </c>
      <c r="AV164" s="123">
        <f t="shared" ca="1" si="150"/>
        <v>0</v>
      </c>
      <c r="AW164" s="123">
        <f t="shared" ca="1" si="175"/>
        <v>0</v>
      </c>
      <c r="AX164" s="124">
        <f t="shared" ca="1" si="176"/>
        <v>544849.31845221354</v>
      </c>
      <c r="AY164" s="121"/>
      <c r="AZ164" s="122">
        <f t="shared" ca="1" si="151"/>
        <v>544849.31845221354</v>
      </c>
      <c r="BA164" s="124">
        <f t="shared" ca="1" si="177"/>
        <v>544849.31845221354</v>
      </c>
      <c r="BB164" s="123">
        <f t="shared" ca="1" si="178"/>
        <v>0</v>
      </c>
      <c r="BC164" s="123">
        <f t="shared" ca="1" si="152"/>
        <v>0</v>
      </c>
      <c r="BD164" s="123">
        <f t="shared" ca="1" si="179"/>
        <v>0</v>
      </c>
      <c r="BE164" s="124">
        <f t="shared" ca="1" si="180"/>
        <v>0</v>
      </c>
      <c r="BF164" s="121"/>
      <c r="BG164" s="123">
        <f t="shared" si="153"/>
        <v>1000000</v>
      </c>
      <c r="BH164" s="123">
        <f t="shared" ca="1" si="181"/>
        <v>1000000</v>
      </c>
      <c r="BI164" s="123">
        <f t="shared" ca="1" si="182"/>
        <v>0</v>
      </c>
      <c r="BJ164" s="123">
        <f t="shared" ca="1" si="183"/>
        <v>0</v>
      </c>
      <c r="BK164" s="123">
        <f t="shared" ca="1" si="140"/>
        <v>1000000</v>
      </c>
      <c r="BL164" s="123">
        <f t="shared" ca="1" si="184"/>
        <v>0</v>
      </c>
      <c r="BM164" s="121"/>
      <c r="BN164" s="126">
        <f ca="1">IF(LiabIntType2="Fixed",LiabFxdRate2,OFFSET(Vectors!$D$6,Vectors!A164,MATCH(LiabLoanIndex2,lstInterestRates,0))+LiabMarg2)</f>
        <v>0.04</v>
      </c>
      <c r="BO164" s="122">
        <f t="shared" ca="1" si="185"/>
        <v>34119.905847872607</v>
      </c>
      <c r="BP164" s="124">
        <f t="shared" ca="1" si="186"/>
        <v>0</v>
      </c>
      <c r="BQ164" s="123">
        <f t="shared" ca="1" si="187"/>
        <v>34119.905847872607</v>
      </c>
      <c r="BR164" s="123">
        <f t="shared" ca="1" si="188"/>
        <v>0</v>
      </c>
      <c r="BS164" s="121"/>
      <c r="BT164" s="123">
        <f t="shared" ca="1" si="154"/>
        <v>29921.258109018796</v>
      </c>
      <c r="BU164" s="123">
        <f t="shared" ca="1" si="189"/>
        <v>0</v>
      </c>
      <c r="BV164" s="123">
        <f t="shared" ca="1" si="190"/>
        <v>29921.258109018796</v>
      </c>
      <c r="BW164" s="123">
        <f t="shared" ca="1" si="191"/>
        <v>0</v>
      </c>
      <c r="BX164" s="121"/>
      <c r="BY164" s="123">
        <f t="shared" si="192"/>
        <v>0</v>
      </c>
      <c r="BZ164" s="123">
        <f t="shared" ca="1" si="193"/>
        <v>0</v>
      </c>
      <c r="CA164" s="121"/>
      <c r="CB164" s="122">
        <f t="shared" ca="1" si="141"/>
        <v>340425.25121182099</v>
      </c>
      <c r="CC164" s="122">
        <f t="shared" ca="1" si="194"/>
        <v>5855.279776638733</v>
      </c>
      <c r="CD164" s="124">
        <f t="shared" ca="1" si="195"/>
        <v>544849.31845221354</v>
      </c>
      <c r="CE164" s="121"/>
      <c r="CF164" s="122">
        <f t="shared" ca="1" si="142"/>
        <v>10235971.754361782</v>
      </c>
      <c r="CG164" s="124">
        <f t="shared" ca="1" si="196"/>
        <v>0</v>
      </c>
      <c r="CH164" s="123">
        <f t="shared" ca="1" si="197"/>
        <v>0</v>
      </c>
      <c r="CI164" s="121"/>
      <c r="CJ164" s="123">
        <f t="shared" ca="1" si="198"/>
        <v>655802.86375478201</v>
      </c>
      <c r="CK164" s="123">
        <f t="shared" ca="1" si="199"/>
        <v>655802.86375478201</v>
      </c>
      <c r="CL164" s="123">
        <f t="shared" ca="1" si="200"/>
        <v>0</v>
      </c>
      <c r="CM164" s="121"/>
      <c r="CN164" s="62">
        <f t="shared" ca="1" si="201"/>
        <v>291831.81245789415</v>
      </c>
      <c r="CO164" s="62" t="b">
        <f t="shared" si="202"/>
        <v>1</v>
      </c>
      <c r="CP164" s="126">
        <f t="shared" ca="1" si="203"/>
        <v>4.3888888888888771E-3</v>
      </c>
      <c r="CQ164" s="120"/>
      <c r="CR164" s="120"/>
      <c r="CS164" s="120"/>
      <c r="CT164" s="120"/>
      <c r="CU164" s="120"/>
      <c r="CV164" s="120"/>
      <c r="CW164" s="120"/>
      <c r="CX164" s="120"/>
      <c r="CY164" s="120"/>
      <c r="CZ164" s="120"/>
      <c r="DA164" s="120"/>
      <c r="DB164" s="120"/>
      <c r="DC164" s="120"/>
      <c r="DD164" s="120"/>
      <c r="DE164" s="116"/>
      <c r="DF164" s="116"/>
      <c r="DG164" s="116"/>
      <c r="DH164" s="116"/>
      <c r="DI164" s="116"/>
      <c r="DJ164" s="116"/>
      <c r="DK164" s="116"/>
      <c r="DL164" s="116"/>
      <c r="DM164" s="116"/>
      <c r="DN164" s="116"/>
    </row>
    <row r="165" spans="1:118" x14ac:dyDescent="0.2">
      <c r="A165" s="27">
        <v>159</v>
      </c>
      <c r="B165" s="29">
        <f t="shared" si="136"/>
        <v>43952</v>
      </c>
      <c r="C165" s="30">
        <f t="shared" si="137"/>
        <v>8.3333333333333329E-2</v>
      </c>
      <c r="D165" s="55"/>
      <c r="E165" s="62">
        <f t="shared" ca="1" si="155"/>
        <v>83567645.840124726</v>
      </c>
      <c r="F165" s="63">
        <f ca="1">IF(AssetIntType1="Fixed",AssetFxdRate1,IF(A165=1,OFFSET(Vectors!$D$6,A165,MATCH(AssetFltIndx1,lstInterestRates,0)),IF(MOD($A165,AssetRateReset1)=0,MAX(MIN(OFFSET(Vectors!$D$6,A165,MATCH(AssetFltIndx1,lstInterestRates,0)),(F164-AssetMarg1)+AssetPdCapFl1,AssetLifeCap1-AssetMarg1),(F164-AssetMarg1)-AssetPdCapFl1,AssetLifeFloor1-AssetMarg1),F164)))+AssetMarg1</f>
        <v>0.09</v>
      </c>
      <c r="G165" s="62">
        <f t="shared" ca="1" si="143"/>
        <v>804622.61694478267</v>
      </c>
      <c r="H165" s="62">
        <f t="shared" ca="1" si="156"/>
        <v>626757.34380093543</v>
      </c>
      <c r="I165" s="62">
        <f t="shared" ca="1" si="157"/>
        <v>177865.27314384724</v>
      </c>
      <c r="J165" s="62">
        <f t="shared" ca="1" si="138"/>
        <v>83389780.566980883</v>
      </c>
      <c r="K165" s="55"/>
      <c r="L165" s="62">
        <f t="shared" ca="1" si="158"/>
        <v>39632067.775091074</v>
      </c>
      <c r="M165" s="68">
        <f ca="1">IF(pdrLossTime1="",OFFSET(Vectors!$AE$6,A165+_Age1,MATCH(SDA_Loss,lstSDA,0)),OFFSET(Vectors!$X$6,A165+_Age1,MATCH(pdrLossTime1,lstDefaultCurve,0)))</f>
        <v>2.7777777777777779E-5</v>
      </c>
      <c r="N165" s="62">
        <f t="shared" ca="1" si="144"/>
        <v>2777.7777777777778</v>
      </c>
      <c r="O165" s="67">
        <f t="shared" ca="1" si="159"/>
        <v>0.83389780566980887</v>
      </c>
      <c r="P165" s="68">
        <f ca="1">OFFSET(Vectors!$L$6,A165+_Age1,MATCH(pdrPrepay1,lstPrepayCurve,0))*pdrPrepayStress1</f>
        <v>5.1430128318229462E-3</v>
      </c>
      <c r="Q165" s="62">
        <f t="shared" ca="1" si="160"/>
        <v>203394.40536190377</v>
      </c>
      <c r="R165" s="62">
        <f t="shared" ca="1" si="161"/>
        <v>84346.931387222197</v>
      </c>
      <c r="S165" s="69">
        <f t="shared" ca="1" si="162"/>
        <v>0.09</v>
      </c>
      <c r="T165" s="62">
        <f t="shared" ca="1" si="163"/>
        <v>297219.67497984972</v>
      </c>
      <c r="U165" s="62">
        <f t="shared" ca="1" si="145"/>
        <v>1111.1111111111111</v>
      </c>
      <c r="V165" s="62">
        <f t="shared" ca="1" si="139"/>
        <v>39341548.660564169</v>
      </c>
      <c r="W165" s="55"/>
      <c r="X165" s="62">
        <f t="shared" ca="1" si="164"/>
        <v>586072.12284008681</v>
      </c>
      <c r="Y165" s="55"/>
      <c r="Z165" s="118" t="b">
        <v>0</v>
      </c>
      <c r="AA165" s="120" t="b">
        <f t="shared" si="146"/>
        <v>0</v>
      </c>
      <c r="AB165" s="120" t="b">
        <f t="shared" si="147"/>
        <v>1</v>
      </c>
      <c r="AC165" s="120" t="b">
        <f t="shared" ca="1" si="148"/>
        <v>0</v>
      </c>
      <c r="AD165" s="121"/>
      <c r="AE165" s="129">
        <v>11247941.186001401</v>
      </c>
      <c r="AF165" s="69">
        <f ca="1">IF(Swap_Active="No",0,OFFSET(Vectors!$D$6,Vectors!A165,MATCH(Swap_In,lstInterestRates,0)))</f>
        <v>6.9369000000000056E-2</v>
      </c>
      <c r="AG165" s="62">
        <f t="shared" ca="1" si="165"/>
        <v>65021.536010977652</v>
      </c>
      <c r="AH165" s="69">
        <f ca="1">IF(Swap_Active="No",0,OFFSET(Vectors!$D$6,Vectors!A165,MATCH(Swap_Out,lstInterestRates,0)))</f>
        <v>0.04</v>
      </c>
      <c r="AI165" s="62">
        <f t="shared" ca="1" si="166"/>
        <v>37493.137286671335</v>
      </c>
      <c r="AJ165" s="62">
        <f t="shared" ca="1" si="167"/>
        <v>27528.398724306317</v>
      </c>
      <c r="AK165" s="62">
        <f t="shared" ca="1" si="168"/>
        <v>613600.52156439307</v>
      </c>
      <c r="AL165" s="121"/>
      <c r="AM165" s="123">
        <f t="shared" ca="1" si="149"/>
        <v>66195.29014649005</v>
      </c>
      <c r="AN165" s="124">
        <f t="shared" ca="1" si="169"/>
        <v>66195.29014649005</v>
      </c>
      <c r="AO165" s="125">
        <f t="shared" ca="1" si="170"/>
        <v>0</v>
      </c>
      <c r="AP165" s="123">
        <f t="shared" ca="1" si="171"/>
        <v>547405.23141790298</v>
      </c>
      <c r="AQ165" s="121"/>
      <c r="AR165" s="126">
        <f ca="1">IF(LiabIntType1="Fixed",LiabFxdRate1,OFFSET(Vectors!$D$6,Vectors!A165,MATCH(LiabLoanIndex1,lstInterestRates,0))+LiabMarg1)</f>
        <v>7.9369000000000051E-2</v>
      </c>
      <c r="AS165" s="122">
        <f t="shared" ca="1" si="172"/>
        <v>2251.6009802859198</v>
      </c>
      <c r="AT165" s="124">
        <f t="shared" ca="1" si="173"/>
        <v>2251.6009802859198</v>
      </c>
      <c r="AU165" s="123">
        <f t="shared" ca="1" si="174"/>
        <v>0</v>
      </c>
      <c r="AV165" s="123">
        <f t="shared" ca="1" si="150"/>
        <v>0</v>
      </c>
      <c r="AW165" s="123">
        <f t="shared" ca="1" si="175"/>
        <v>0</v>
      </c>
      <c r="AX165" s="124">
        <f t="shared" ca="1" si="176"/>
        <v>545153.63043761707</v>
      </c>
      <c r="AY165" s="121"/>
      <c r="AZ165" s="122">
        <f t="shared" ca="1" si="151"/>
        <v>340425.25121182099</v>
      </c>
      <c r="BA165" s="124">
        <f t="shared" ca="1" si="177"/>
        <v>340425.25121182099</v>
      </c>
      <c r="BB165" s="123">
        <f t="shared" ca="1" si="178"/>
        <v>0</v>
      </c>
      <c r="BC165" s="123">
        <f t="shared" ca="1" si="152"/>
        <v>0</v>
      </c>
      <c r="BD165" s="123">
        <f t="shared" ca="1" si="179"/>
        <v>0</v>
      </c>
      <c r="BE165" s="124">
        <f t="shared" ca="1" si="180"/>
        <v>204728.37922579609</v>
      </c>
      <c r="BF165" s="121"/>
      <c r="BG165" s="123">
        <f t="shared" si="153"/>
        <v>1000000</v>
      </c>
      <c r="BH165" s="123">
        <f t="shared" ca="1" si="181"/>
        <v>1000000</v>
      </c>
      <c r="BI165" s="123">
        <f t="shared" ca="1" si="182"/>
        <v>0</v>
      </c>
      <c r="BJ165" s="123">
        <f t="shared" ca="1" si="183"/>
        <v>0</v>
      </c>
      <c r="BK165" s="123">
        <f t="shared" ca="1" si="140"/>
        <v>1000000</v>
      </c>
      <c r="BL165" s="123">
        <f t="shared" ca="1" si="184"/>
        <v>204728.37922579609</v>
      </c>
      <c r="BM165" s="121"/>
      <c r="BN165" s="126">
        <f ca="1">IF(LiabIntType2="Fixed",LiabFxdRate2,OFFSET(Vectors!$D$6,Vectors!A165,MATCH(LiabLoanIndex2,lstInterestRates,0))+LiabMarg2)</f>
        <v>0.04</v>
      </c>
      <c r="BO165" s="122">
        <f t="shared" ca="1" si="185"/>
        <v>34119.905847872607</v>
      </c>
      <c r="BP165" s="124">
        <f t="shared" ca="1" si="186"/>
        <v>34119.905847872607</v>
      </c>
      <c r="BQ165" s="123">
        <f t="shared" ca="1" si="187"/>
        <v>0</v>
      </c>
      <c r="BR165" s="123">
        <f t="shared" ca="1" si="188"/>
        <v>170608.47337792348</v>
      </c>
      <c r="BS165" s="121"/>
      <c r="BT165" s="123">
        <f t="shared" ca="1" si="154"/>
        <v>29786.668348973337</v>
      </c>
      <c r="BU165" s="123">
        <f t="shared" ca="1" si="189"/>
        <v>29786.668348973337</v>
      </c>
      <c r="BV165" s="123">
        <f t="shared" ca="1" si="190"/>
        <v>0</v>
      </c>
      <c r="BW165" s="123">
        <f t="shared" ca="1" si="191"/>
        <v>140821.80502895016</v>
      </c>
      <c r="BX165" s="121"/>
      <c r="BY165" s="123">
        <f t="shared" si="192"/>
        <v>0</v>
      </c>
      <c r="BZ165" s="123">
        <f t="shared" ca="1" si="193"/>
        <v>140821.80502895016</v>
      </c>
      <c r="CA165" s="121"/>
      <c r="CB165" s="122">
        <f t="shared" ca="1" si="141"/>
        <v>0</v>
      </c>
      <c r="CC165" s="122">
        <f t="shared" ca="1" si="194"/>
        <v>2251.6009802859198</v>
      </c>
      <c r="CD165" s="124">
        <f t="shared" ca="1" si="195"/>
        <v>340425.25121182099</v>
      </c>
      <c r="CE165" s="121"/>
      <c r="CF165" s="122">
        <f t="shared" ca="1" si="142"/>
        <v>10206185.086012809</v>
      </c>
      <c r="CG165" s="124">
        <f t="shared" ca="1" si="196"/>
        <v>34119.905847872607</v>
      </c>
      <c r="CH165" s="123">
        <f t="shared" ca="1" si="197"/>
        <v>29786.668348973337</v>
      </c>
      <c r="CI165" s="121"/>
      <c r="CJ165" s="123">
        <f t="shared" ca="1" si="198"/>
        <v>651093.65885106451</v>
      </c>
      <c r="CK165" s="123">
        <f t="shared" ca="1" si="199"/>
        <v>651093.65885106439</v>
      </c>
      <c r="CL165" s="123">
        <f t="shared" ca="1" si="200"/>
        <v>0</v>
      </c>
      <c r="CM165" s="121"/>
      <c r="CN165" s="62">
        <f t="shared" ca="1" si="201"/>
        <v>290519.11452690372</v>
      </c>
      <c r="CO165" s="62" t="b">
        <f t="shared" si="202"/>
        <v>1</v>
      </c>
      <c r="CP165" s="126">
        <f t="shared" ca="1" si="203"/>
        <v>4.4166666666666547E-3</v>
      </c>
      <c r="CQ165" s="120"/>
      <c r="CR165" s="120"/>
      <c r="CS165" s="120"/>
      <c r="CT165" s="120"/>
      <c r="CU165" s="120"/>
      <c r="CV165" s="120"/>
      <c r="CW165" s="120"/>
      <c r="CX165" s="120"/>
      <c r="CY165" s="120"/>
      <c r="CZ165" s="120"/>
      <c r="DA165" s="120"/>
      <c r="DB165" s="120"/>
      <c r="DC165" s="120"/>
      <c r="DD165" s="120"/>
      <c r="DE165" s="116"/>
      <c r="DF165" s="116"/>
      <c r="DG165" s="116"/>
      <c r="DH165" s="116"/>
      <c r="DI165" s="116"/>
      <c r="DJ165" s="116"/>
      <c r="DK165" s="116"/>
      <c r="DL165" s="116"/>
      <c r="DM165" s="116"/>
      <c r="DN165" s="116"/>
    </row>
    <row r="166" spans="1:118" x14ac:dyDescent="0.2">
      <c r="A166" s="27">
        <v>160</v>
      </c>
      <c r="B166" s="29">
        <f t="shared" si="136"/>
        <v>43983</v>
      </c>
      <c r="C166" s="30">
        <f t="shared" si="137"/>
        <v>8.3333333333333329E-2</v>
      </c>
      <c r="D166" s="55"/>
      <c r="E166" s="62">
        <f t="shared" ca="1" si="155"/>
        <v>83389780.566980883</v>
      </c>
      <c r="F166" s="63">
        <f ca="1">IF(AssetIntType1="Fixed",AssetFxdRate1,IF(A166=1,OFFSET(Vectors!$D$6,A166,MATCH(AssetFltIndx1,lstInterestRates,0)),IF(MOD($A166,AssetRateReset1)=0,MAX(MIN(OFFSET(Vectors!$D$6,A166,MATCH(AssetFltIndx1,lstInterestRates,0)),(F165-AssetMarg1)+AssetPdCapFl1,AssetLifeCap1-AssetMarg1),(F165-AssetMarg1)-AssetPdCapFl1,AssetLifeFloor1-AssetMarg1),F165)))+AssetMarg1</f>
        <v>0.09</v>
      </c>
      <c r="G166" s="62">
        <f t="shared" ca="1" si="143"/>
        <v>804622.61694478267</v>
      </c>
      <c r="H166" s="62">
        <f t="shared" ca="1" si="156"/>
        <v>625423.35425235657</v>
      </c>
      <c r="I166" s="62">
        <f t="shared" ca="1" si="157"/>
        <v>179199.2626924261</v>
      </c>
      <c r="J166" s="62">
        <f t="shared" ca="1" si="138"/>
        <v>83210581.304288462</v>
      </c>
      <c r="K166" s="55"/>
      <c r="L166" s="62">
        <f t="shared" ca="1" si="158"/>
        <v>39341548.660564169</v>
      </c>
      <c r="M166" s="68">
        <f ca="1">IF(pdrLossTime1="",OFFSET(Vectors!$AE$6,A166+_Age1,MATCH(SDA_Loss,lstSDA,0)),OFFSET(Vectors!$X$6,A166+_Age1,MATCH(pdrLossTime1,lstDefaultCurve,0)))</f>
        <v>2.7777777777777779E-5</v>
      </c>
      <c r="N166" s="62">
        <f t="shared" ca="1" si="144"/>
        <v>2777.7777777777778</v>
      </c>
      <c r="O166" s="67">
        <f t="shared" ca="1" si="159"/>
        <v>0.83210581304288467</v>
      </c>
      <c r="P166" s="68">
        <f ca="1">OFFSET(Vectors!$L$6,A166+_Age1,MATCH(pdrPrepay1,lstPrepayCurve,0))*pdrPrepayStress1</f>
        <v>5.1430128318229462E-3</v>
      </c>
      <c r="Q166" s="62">
        <f t="shared" ca="1" si="160"/>
        <v>201899.28667007491</v>
      </c>
      <c r="R166" s="62">
        <f t="shared" ca="1" si="161"/>
        <v>84536.482642007933</v>
      </c>
      <c r="S166" s="69">
        <f t="shared" ca="1" si="162"/>
        <v>0.09</v>
      </c>
      <c r="T166" s="62">
        <f t="shared" ca="1" si="163"/>
        <v>295040.78162089793</v>
      </c>
      <c r="U166" s="62">
        <f t="shared" ca="1" si="145"/>
        <v>1111.1111111111111</v>
      </c>
      <c r="V166" s="62">
        <f t="shared" ca="1" si="139"/>
        <v>39052335.113474309</v>
      </c>
      <c r="W166" s="55"/>
      <c r="X166" s="62">
        <f t="shared" ca="1" si="164"/>
        <v>582587.66204409197</v>
      </c>
      <c r="Y166" s="55"/>
      <c r="Z166" s="118" t="b">
        <v>0</v>
      </c>
      <c r="AA166" s="120" t="b">
        <f t="shared" si="146"/>
        <v>0</v>
      </c>
      <c r="AB166" s="120" t="b">
        <f t="shared" si="147"/>
        <v>1</v>
      </c>
      <c r="AC166" s="120" t="b">
        <f t="shared" ca="1" si="148"/>
        <v>0</v>
      </c>
      <c r="AD166" s="121"/>
      <c r="AE166" s="129">
        <v>11041194.016009586</v>
      </c>
      <c r="AF166" s="69">
        <f ca="1">IF(Swap_Active="No",0,OFFSET(Vectors!$D$6,Vectors!A166,MATCH(Swap_In,lstInterestRates,0)))</f>
        <v>6.9369000000000056E-2</v>
      </c>
      <c r="AG166" s="62">
        <f t="shared" ca="1" si="165"/>
        <v>63826.382308047469</v>
      </c>
      <c r="AH166" s="69">
        <f ca="1">IF(Swap_Active="No",0,OFFSET(Vectors!$D$6,Vectors!A166,MATCH(Swap_Out,lstInterestRates,0)))</f>
        <v>0.04</v>
      </c>
      <c r="AI166" s="62">
        <f t="shared" ca="1" si="166"/>
        <v>36803.980053365289</v>
      </c>
      <c r="AJ166" s="62">
        <f t="shared" ca="1" si="167"/>
        <v>27022.40225468218</v>
      </c>
      <c r="AK166" s="62">
        <f t="shared" ca="1" si="168"/>
        <v>609610.06429877412</v>
      </c>
      <c r="AL166" s="121"/>
      <c r="AM166" s="123">
        <f t="shared" ca="1" si="149"/>
        <v>65569.247767606939</v>
      </c>
      <c r="AN166" s="124">
        <f t="shared" ca="1" si="169"/>
        <v>65569.247767606939</v>
      </c>
      <c r="AO166" s="125">
        <f t="shared" ca="1" si="170"/>
        <v>0</v>
      </c>
      <c r="AP166" s="123">
        <f t="shared" ca="1" si="171"/>
        <v>544040.81653116713</v>
      </c>
      <c r="AQ166" s="121"/>
      <c r="AR166" s="126">
        <f ca="1">IF(LiabIntType1="Fixed",LiabFxdRate1,OFFSET(Vectors!$D$6,Vectors!A166,MATCH(LiabLoanIndex1,lstInterestRates,0))+LiabMarg1)</f>
        <v>7.9369000000000051E-2</v>
      </c>
      <c r="AS166" s="122">
        <f t="shared" ca="1" si="172"/>
        <v>0</v>
      </c>
      <c r="AT166" s="124">
        <f t="shared" ca="1" si="173"/>
        <v>0</v>
      </c>
      <c r="AU166" s="123">
        <f t="shared" ca="1" si="174"/>
        <v>0</v>
      </c>
      <c r="AV166" s="123">
        <f t="shared" ca="1" si="150"/>
        <v>0</v>
      </c>
      <c r="AW166" s="123">
        <f t="shared" ca="1" si="175"/>
        <v>0</v>
      </c>
      <c r="AX166" s="124">
        <f t="shared" ca="1" si="176"/>
        <v>544040.81653116713</v>
      </c>
      <c r="AY166" s="121"/>
      <c r="AZ166" s="122">
        <f t="shared" ca="1" si="151"/>
        <v>0</v>
      </c>
      <c r="BA166" s="124">
        <f t="shared" ca="1" si="177"/>
        <v>0</v>
      </c>
      <c r="BB166" s="123">
        <f t="shared" ca="1" si="178"/>
        <v>0</v>
      </c>
      <c r="BC166" s="123">
        <f t="shared" ca="1" si="152"/>
        <v>0</v>
      </c>
      <c r="BD166" s="123">
        <f t="shared" ca="1" si="179"/>
        <v>0</v>
      </c>
      <c r="BE166" s="124">
        <f t="shared" ca="1" si="180"/>
        <v>544040.81653116713</v>
      </c>
      <c r="BF166" s="121"/>
      <c r="BG166" s="123">
        <f t="shared" si="153"/>
        <v>1000000</v>
      </c>
      <c r="BH166" s="123">
        <f t="shared" ca="1" si="181"/>
        <v>1000000</v>
      </c>
      <c r="BI166" s="123">
        <f t="shared" ca="1" si="182"/>
        <v>0</v>
      </c>
      <c r="BJ166" s="123">
        <f t="shared" ca="1" si="183"/>
        <v>0</v>
      </c>
      <c r="BK166" s="123">
        <f t="shared" ca="1" si="140"/>
        <v>1000000</v>
      </c>
      <c r="BL166" s="123">
        <f t="shared" ca="1" si="184"/>
        <v>544040.81653116713</v>
      </c>
      <c r="BM166" s="121"/>
      <c r="BN166" s="126">
        <f ca="1">IF(LiabIntType2="Fixed",LiabFxdRate2,OFFSET(Vectors!$D$6,Vectors!A166,MATCH(LiabLoanIndex2,lstInterestRates,0))+LiabMarg2)</f>
        <v>0.04</v>
      </c>
      <c r="BO166" s="122">
        <f t="shared" ca="1" si="185"/>
        <v>34020.616953376026</v>
      </c>
      <c r="BP166" s="124">
        <f t="shared" ca="1" si="186"/>
        <v>34020.616953376026</v>
      </c>
      <c r="BQ166" s="123">
        <f t="shared" ca="1" si="187"/>
        <v>0</v>
      </c>
      <c r="BR166" s="123">
        <f t="shared" ca="1" si="188"/>
        <v>510020.19957779109</v>
      </c>
      <c r="BS166" s="121"/>
      <c r="BT166" s="123">
        <f t="shared" ca="1" si="154"/>
        <v>29652.809672177667</v>
      </c>
      <c r="BU166" s="123">
        <f t="shared" ca="1" si="189"/>
        <v>29652.809672177667</v>
      </c>
      <c r="BV166" s="123">
        <f t="shared" ca="1" si="190"/>
        <v>0</v>
      </c>
      <c r="BW166" s="123">
        <f t="shared" ca="1" si="191"/>
        <v>480367.38990561344</v>
      </c>
      <c r="BX166" s="121"/>
      <c r="BY166" s="123">
        <f t="shared" si="192"/>
        <v>0</v>
      </c>
      <c r="BZ166" s="123">
        <f t="shared" ca="1" si="193"/>
        <v>480367.38990561344</v>
      </c>
      <c r="CA166" s="121"/>
      <c r="CB166" s="122">
        <f t="shared" ca="1" si="141"/>
        <v>0</v>
      </c>
      <c r="CC166" s="122">
        <f t="shared" ca="1" si="194"/>
        <v>0</v>
      </c>
      <c r="CD166" s="124">
        <f t="shared" ca="1" si="195"/>
        <v>0</v>
      </c>
      <c r="CE166" s="121"/>
      <c r="CF166" s="122">
        <f t="shared" ca="1" si="142"/>
        <v>10176532.276340632</v>
      </c>
      <c r="CG166" s="124">
        <f t="shared" ca="1" si="196"/>
        <v>34020.616953376026</v>
      </c>
      <c r="CH166" s="123">
        <f t="shared" ca="1" si="197"/>
        <v>29652.809672177667</v>
      </c>
      <c r="CI166" s="121"/>
      <c r="CJ166" s="123">
        <f t="shared" ca="1" si="198"/>
        <v>646414.04435213946</v>
      </c>
      <c r="CK166" s="123">
        <f t="shared" ca="1" si="199"/>
        <v>646414.04435213935</v>
      </c>
      <c r="CL166" s="123">
        <f t="shared" ca="1" si="200"/>
        <v>0</v>
      </c>
      <c r="CM166" s="121"/>
      <c r="CN166" s="62">
        <f t="shared" ca="1" si="201"/>
        <v>289213.54708986066</v>
      </c>
      <c r="CO166" s="62" t="b">
        <f t="shared" si="202"/>
        <v>1</v>
      </c>
      <c r="CP166" s="126">
        <f t="shared" ca="1" si="203"/>
        <v>4.4444444444444323E-3</v>
      </c>
      <c r="CQ166" s="120"/>
      <c r="CR166" s="120"/>
      <c r="CS166" s="120"/>
      <c r="CT166" s="120"/>
      <c r="CU166" s="120"/>
      <c r="CV166" s="120"/>
      <c r="CW166" s="120"/>
      <c r="CX166" s="120"/>
      <c r="CY166" s="120"/>
      <c r="CZ166" s="120"/>
      <c r="DA166" s="120"/>
      <c r="DB166" s="120"/>
      <c r="DC166" s="120"/>
      <c r="DD166" s="120"/>
      <c r="DE166" s="116"/>
      <c r="DF166" s="116"/>
      <c r="DG166" s="116"/>
      <c r="DH166" s="116"/>
      <c r="DI166" s="116"/>
      <c r="DJ166" s="116"/>
      <c r="DK166" s="116"/>
      <c r="DL166" s="116"/>
      <c r="DM166" s="116"/>
      <c r="DN166" s="116"/>
    </row>
    <row r="167" spans="1:118" x14ac:dyDescent="0.2">
      <c r="A167" s="27">
        <v>161</v>
      </c>
      <c r="B167" s="29">
        <f t="shared" si="136"/>
        <v>44013</v>
      </c>
      <c r="C167" s="30">
        <f t="shared" si="137"/>
        <v>8.3333333333333329E-2</v>
      </c>
      <c r="D167" s="55"/>
      <c r="E167" s="62">
        <f t="shared" ca="1" si="155"/>
        <v>83210581.304288462</v>
      </c>
      <c r="F167" s="63">
        <f ca="1">IF(AssetIntType1="Fixed",AssetFxdRate1,IF(A167=1,OFFSET(Vectors!$D$6,A167,MATCH(AssetFltIndx1,lstInterestRates,0)),IF(MOD($A167,AssetRateReset1)=0,MAX(MIN(OFFSET(Vectors!$D$6,A167,MATCH(AssetFltIndx1,lstInterestRates,0)),(F166-AssetMarg1)+AssetPdCapFl1,AssetLifeCap1-AssetMarg1),(F166-AssetMarg1)-AssetPdCapFl1,AssetLifeFloor1-AssetMarg1),F166)))+AssetMarg1</f>
        <v>0.09</v>
      </c>
      <c r="G167" s="62">
        <f t="shared" ca="1" si="143"/>
        <v>804622.61694478267</v>
      </c>
      <c r="H167" s="62">
        <f t="shared" ca="1" si="156"/>
        <v>624079.3597821634</v>
      </c>
      <c r="I167" s="62">
        <f t="shared" ca="1" si="157"/>
        <v>180543.25716261927</v>
      </c>
      <c r="J167" s="62">
        <f t="shared" ca="1" si="138"/>
        <v>83030038.047125846</v>
      </c>
      <c r="K167" s="55"/>
      <c r="L167" s="62">
        <f t="shared" ca="1" si="158"/>
        <v>39052335.113474309</v>
      </c>
      <c r="M167" s="68">
        <f ca="1">IF(pdrLossTime1="",OFFSET(Vectors!$AE$6,A167+_Age1,MATCH(SDA_Loss,lstSDA,0)),OFFSET(Vectors!$X$6,A167+_Age1,MATCH(pdrLossTime1,lstDefaultCurve,0)))</f>
        <v>2.7777777777777779E-5</v>
      </c>
      <c r="N167" s="62">
        <f t="shared" ca="1" si="144"/>
        <v>2777.7777777777778</v>
      </c>
      <c r="O167" s="67">
        <f t="shared" ca="1" si="159"/>
        <v>0.83030038047125843</v>
      </c>
      <c r="P167" s="68">
        <f ca="1">OFFSET(Vectors!$L$6,A167+_Age1,MATCH(pdrPrepay1,lstPrepayCurve,0))*pdrPrepayStress1</f>
        <v>5.1430128318229462E-3</v>
      </c>
      <c r="Q167" s="62">
        <f t="shared" ca="1" si="160"/>
        <v>200410.88056309914</v>
      </c>
      <c r="R167" s="62">
        <f t="shared" ca="1" si="161"/>
        <v>84726.415338503517</v>
      </c>
      <c r="S167" s="69">
        <f t="shared" ca="1" si="162"/>
        <v>0.09</v>
      </c>
      <c r="T167" s="62">
        <f t="shared" ca="1" si="163"/>
        <v>292871.68001772399</v>
      </c>
      <c r="U167" s="62">
        <f t="shared" ca="1" si="145"/>
        <v>1111.1111111111111</v>
      </c>
      <c r="V167" s="62">
        <f t="shared" ca="1" si="139"/>
        <v>38764420.039794929</v>
      </c>
      <c r="W167" s="55"/>
      <c r="X167" s="62">
        <f t="shared" ca="1" si="164"/>
        <v>579120.08703043777</v>
      </c>
      <c r="Y167" s="55"/>
      <c r="Z167" s="118" t="b">
        <v>0</v>
      </c>
      <c r="AA167" s="120" t="b">
        <f t="shared" si="146"/>
        <v>0</v>
      </c>
      <c r="AB167" s="120" t="b">
        <f t="shared" si="147"/>
        <v>1</v>
      </c>
      <c r="AC167" s="120" t="b">
        <f t="shared" ca="1" si="148"/>
        <v>0</v>
      </c>
      <c r="AD167" s="121"/>
      <c r="AE167" s="129">
        <v>10836606.971752862</v>
      </c>
      <c r="AF167" s="69">
        <f ca="1">IF(Swap_Active="No",0,OFFSET(Vectors!$D$6,Vectors!A167,MATCH(Swap_In,lstInterestRates,0)))</f>
        <v>6.9369000000000056E-2</v>
      </c>
      <c r="AG167" s="62">
        <f t="shared" ca="1" si="165"/>
        <v>62643.715751960408</v>
      </c>
      <c r="AH167" s="69">
        <f ca="1">IF(Swap_Active="No",0,OFFSET(Vectors!$D$6,Vectors!A167,MATCH(Swap_Out,lstInterestRates,0)))</f>
        <v>0.04</v>
      </c>
      <c r="AI167" s="62">
        <f t="shared" ca="1" si="166"/>
        <v>36122.023239176204</v>
      </c>
      <c r="AJ167" s="62">
        <f t="shared" ca="1" si="167"/>
        <v>26521.692512784204</v>
      </c>
      <c r="AK167" s="62">
        <f t="shared" ca="1" si="168"/>
        <v>605641.77954322193</v>
      </c>
      <c r="AL167" s="121"/>
      <c r="AM167" s="123">
        <f t="shared" ca="1" si="149"/>
        <v>65087.225189123848</v>
      </c>
      <c r="AN167" s="124">
        <f t="shared" ca="1" si="169"/>
        <v>65087.225189123848</v>
      </c>
      <c r="AO167" s="125">
        <f t="shared" ca="1" si="170"/>
        <v>0</v>
      </c>
      <c r="AP167" s="123">
        <f t="shared" ca="1" si="171"/>
        <v>540554.55435409804</v>
      </c>
      <c r="AQ167" s="121"/>
      <c r="AR167" s="126">
        <f ca="1">IF(LiabIntType1="Fixed",LiabFxdRate1,OFFSET(Vectors!$D$6,Vectors!A167,MATCH(LiabLoanIndex1,lstInterestRates,0))+LiabMarg1)</f>
        <v>7.9369000000000051E-2</v>
      </c>
      <c r="AS167" s="122">
        <f t="shared" ca="1" si="172"/>
        <v>0</v>
      </c>
      <c r="AT167" s="124">
        <f t="shared" ca="1" si="173"/>
        <v>0</v>
      </c>
      <c r="AU167" s="123">
        <f t="shared" ca="1" si="174"/>
        <v>0</v>
      </c>
      <c r="AV167" s="123">
        <f t="shared" ca="1" si="150"/>
        <v>0</v>
      </c>
      <c r="AW167" s="123">
        <f t="shared" ca="1" si="175"/>
        <v>0</v>
      </c>
      <c r="AX167" s="124">
        <f t="shared" ca="1" si="176"/>
        <v>540554.55435409804</v>
      </c>
      <c r="AY167" s="121"/>
      <c r="AZ167" s="122">
        <f t="shared" ca="1" si="151"/>
        <v>0</v>
      </c>
      <c r="BA167" s="124">
        <f t="shared" ca="1" si="177"/>
        <v>0</v>
      </c>
      <c r="BB167" s="123">
        <f t="shared" ca="1" si="178"/>
        <v>0</v>
      </c>
      <c r="BC167" s="123">
        <f t="shared" ca="1" si="152"/>
        <v>0</v>
      </c>
      <c r="BD167" s="123">
        <f t="shared" ca="1" si="179"/>
        <v>0</v>
      </c>
      <c r="BE167" s="124">
        <f t="shared" ca="1" si="180"/>
        <v>540554.55435409804</v>
      </c>
      <c r="BF167" s="121"/>
      <c r="BG167" s="123">
        <f t="shared" si="153"/>
        <v>1000000</v>
      </c>
      <c r="BH167" s="123">
        <f t="shared" ca="1" si="181"/>
        <v>1000000</v>
      </c>
      <c r="BI167" s="123">
        <f t="shared" ca="1" si="182"/>
        <v>0</v>
      </c>
      <c r="BJ167" s="123">
        <f t="shared" ca="1" si="183"/>
        <v>0</v>
      </c>
      <c r="BK167" s="123">
        <f t="shared" ca="1" si="140"/>
        <v>1000000</v>
      </c>
      <c r="BL167" s="123">
        <f t="shared" ca="1" si="184"/>
        <v>540554.55435409804</v>
      </c>
      <c r="BM167" s="121"/>
      <c r="BN167" s="126">
        <f ca="1">IF(LiabIntType2="Fixed",LiabFxdRate2,OFFSET(Vectors!$D$6,Vectors!A167,MATCH(LiabLoanIndex2,lstInterestRates,0))+LiabMarg2)</f>
        <v>0.04</v>
      </c>
      <c r="BO167" s="122">
        <f t="shared" ca="1" si="185"/>
        <v>33921.774254468772</v>
      </c>
      <c r="BP167" s="124">
        <f t="shared" ca="1" si="186"/>
        <v>33921.774254468772</v>
      </c>
      <c r="BQ167" s="123">
        <f t="shared" ca="1" si="187"/>
        <v>0</v>
      </c>
      <c r="BR167" s="123">
        <f t="shared" ca="1" si="188"/>
        <v>506632.78009962925</v>
      </c>
      <c r="BS167" s="121"/>
      <c r="BT167" s="123">
        <f t="shared" ca="1" si="154"/>
        <v>29519.678339663049</v>
      </c>
      <c r="BU167" s="123">
        <f t="shared" ca="1" si="189"/>
        <v>29519.678339663049</v>
      </c>
      <c r="BV167" s="123">
        <f t="shared" ca="1" si="190"/>
        <v>0</v>
      </c>
      <c r="BW167" s="123">
        <f t="shared" ca="1" si="191"/>
        <v>477113.10175996623</v>
      </c>
      <c r="BX167" s="121"/>
      <c r="BY167" s="123">
        <f t="shared" si="192"/>
        <v>0</v>
      </c>
      <c r="BZ167" s="123">
        <f t="shared" ca="1" si="193"/>
        <v>477113.10175996623</v>
      </c>
      <c r="CA167" s="121"/>
      <c r="CB167" s="122">
        <f t="shared" ca="1" si="141"/>
        <v>0</v>
      </c>
      <c r="CC167" s="122">
        <f t="shared" ca="1" si="194"/>
        <v>0</v>
      </c>
      <c r="CD167" s="124">
        <f t="shared" ca="1" si="195"/>
        <v>0</v>
      </c>
      <c r="CE167" s="121"/>
      <c r="CF167" s="122">
        <f t="shared" ca="1" si="142"/>
        <v>10147012.598000968</v>
      </c>
      <c r="CG167" s="124">
        <f t="shared" ca="1" si="196"/>
        <v>33921.774254468772</v>
      </c>
      <c r="CH167" s="123">
        <f t="shared" ca="1" si="197"/>
        <v>29519.678339663049</v>
      </c>
      <c r="CI167" s="121"/>
      <c r="CJ167" s="123">
        <f t="shared" ca="1" si="198"/>
        <v>641763.80278239818</v>
      </c>
      <c r="CK167" s="123">
        <f t="shared" ca="1" si="199"/>
        <v>641763.80278239807</v>
      </c>
      <c r="CL167" s="123">
        <f t="shared" ca="1" si="200"/>
        <v>0</v>
      </c>
      <c r="CM167" s="121"/>
      <c r="CN167" s="62">
        <f t="shared" ca="1" si="201"/>
        <v>287915.07367938047</v>
      </c>
      <c r="CO167" s="62" t="b">
        <f t="shared" si="202"/>
        <v>1</v>
      </c>
      <c r="CP167" s="126">
        <f t="shared" ca="1" si="203"/>
        <v>4.4722222222222099E-3</v>
      </c>
      <c r="CQ167" s="120"/>
      <c r="CR167" s="120"/>
      <c r="CS167" s="120"/>
      <c r="CT167" s="120"/>
      <c r="CU167" s="120"/>
      <c r="CV167" s="120"/>
      <c r="CW167" s="120"/>
      <c r="CX167" s="120"/>
      <c r="CY167" s="120"/>
      <c r="CZ167" s="120"/>
      <c r="DA167" s="120"/>
      <c r="DB167" s="120"/>
      <c r="DC167" s="120"/>
      <c r="DD167" s="120"/>
      <c r="DE167" s="116"/>
      <c r="DF167" s="116"/>
      <c r="DG167" s="116"/>
      <c r="DH167" s="116"/>
      <c r="DI167" s="116"/>
      <c r="DJ167" s="116"/>
      <c r="DK167" s="116"/>
      <c r="DL167" s="116"/>
      <c r="DM167" s="116"/>
      <c r="DN167" s="116"/>
    </row>
    <row r="168" spans="1:118" x14ac:dyDescent="0.2">
      <c r="A168" s="27">
        <v>162</v>
      </c>
      <c r="B168" s="29">
        <f t="shared" si="136"/>
        <v>44044</v>
      </c>
      <c r="C168" s="30">
        <f t="shared" si="137"/>
        <v>8.3333333333333329E-2</v>
      </c>
      <c r="D168" s="55"/>
      <c r="E168" s="62">
        <f t="shared" ca="1" si="155"/>
        <v>83030038.047125846</v>
      </c>
      <c r="F168" s="63">
        <f ca="1">IF(AssetIntType1="Fixed",AssetFxdRate1,IF(A168=1,OFFSET(Vectors!$D$6,A168,MATCH(AssetFltIndx1,lstInterestRates,0)),IF(MOD($A168,AssetRateReset1)=0,MAX(MIN(OFFSET(Vectors!$D$6,A168,MATCH(AssetFltIndx1,lstInterestRates,0)),(F167-AssetMarg1)+AssetPdCapFl1,AssetLifeCap1-AssetMarg1),(F167-AssetMarg1)-AssetPdCapFl1,AssetLifeFloor1-AssetMarg1),F167)))+AssetMarg1</f>
        <v>0.09</v>
      </c>
      <c r="G168" s="62">
        <f t="shared" ca="1" si="143"/>
        <v>804622.61694478267</v>
      </c>
      <c r="H168" s="62">
        <f t="shared" ca="1" si="156"/>
        <v>622725.28535344382</v>
      </c>
      <c r="I168" s="62">
        <f t="shared" ca="1" si="157"/>
        <v>181897.33159133885</v>
      </c>
      <c r="J168" s="62">
        <f t="shared" ca="1" si="138"/>
        <v>82848140.715534508</v>
      </c>
      <c r="K168" s="55"/>
      <c r="L168" s="62">
        <f t="shared" ca="1" si="158"/>
        <v>38764420.039794929</v>
      </c>
      <c r="M168" s="68">
        <f ca="1">IF(pdrLossTime1="",OFFSET(Vectors!$AE$6,A168+_Age1,MATCH(SDA_Loss,lstSDA,0)),OFFSET(Vectors!$X$6,A168+_Age1,MATCH(pdrLossTime1,lstDefaultCurve,0)))</f>
        <v>2.7777777777777779E-5</v>
      </c>
      <c r="N168" s="62">
        <f t="shared" ca="1" si="144"/>
        <v>2777.7777777777778</v>
      </c>
      <c r="O168" s="67">
        <f t="shared" ca="1" si="159"/>
        <v>0.82848140715534513</v>
      </c>
      <c r="P168" s="68">
        <f ca="1">OFFSET(Vectors!$L$6,A168+_Age1,MATCH(pdrPrepay1,lstPrepayCurve,0))*pdrPrepayStress1</f>
        <v>5.1430128318229462E-3</v>
      </c>
      <c r="Q168" s="62">
        <f t="shared" ca="1" si="160"/>
        <v>198929.15055524555</v>
      </c>
      <c r="R168" s="62">
        <f t="shared" ca="1" si="161"/>
        <v>84916.729672663016</v>
      </c>
      <c r="S168" s="69">
        <f t="shared" ca="1" si="162"/>
        <v>0.09</v>
      </c>
      <c r="T168" s="62">
        <f t="shared" ca="1" si="163"/>
        <v>290712.31696512864</v>
      </c>
      <c r="U168" s="62">
        <f t="shared" ca="1" si="145"/>
        <v>1111.1111111111111</v>
      </c>
      <c r="V168" s="62">
        <f t="shared" ca="1" si="139"/>
        <v>38477796.381789245</v>
      </c>
      <c r="W168" s="55"/>
      <c r="X168" s="62">
        <f t="shared" ca="1" si="164"/>
        <v>575669.30830414838</v>
      </c>
      <c r="Y168" s="55"/>
      <c r="Z168" s="118" t="b">
        <v>0</v>
      </c>
      <c r="AA168" s="120" t="b">
        <f t="shared" si="146"/>
        <v>0</v>
      </c>
      <c r="AB168" s="120" t="b">
        <f t="shared" si="147"/>
        <v>1</v>
      </c>
      <c r="AC168" s="120" t="b">
        <f t="shared" ca="1" si="148"/>
        <v>0</v>
      </c>
      <c r="AD168" s="121"/>
      <c r="AE168" s="129">
        <v>10634158.213389738</v>
      </c>
      <c r="AF168" s="69">
        <f ca="1">IF(Swap_Active="No",0,OFFSET(Vectors!$D$6,Vectors!A168,MATCH(Swap_In,lstInterestRates,0)))</f>
        <v>6.9369000000000056E-2</v>
      </c>
      <c r="AG168" s="62">
        <f t="shared" ca="1" si="165"/>
        <v>61473.410092052771</v>
      </c>
      <c r="AH168" s="69">
        <f ca="1">IF(Swap_Active="No",0,OFFSET(Vectors!$D$6,Vectors!A168,MATCH(Swap_Out,lstInterestRates,0)))</f>
        <v>0.04</v>
      </c>
      <c r="AI168" s="62">
        <f t="shared" ca="1" si="166"/>
        <v>35447.194044632459</v>
      </c>
      <c r="AJ168" s="62">
        <f t="shared" ca="1" si="167"/>
        <v>26026.216047420312</v>
      </c>
      <c r="AK168" s="62">
        <f t="shared" ca="1" si="168"/>
        <v>601695.52435156866</v>
      </c>
      <c r="AL168" s="121"/>
      <c r="AM168" s="123">
        <f t="shared" ca="1" si="149"/>
        <v>64607.366732991548</v>
      </c>
      <c r="AN168" s="124">
        <f t="shared" ca="1" si="169"/>
        <v>64607.366732991548</v>
      </c>
      <c r="AO168" s="125">
        <f t="shared" ca="1" si="170"/>
        <v>0</v>
      </c>
      <c r="AP168" s="123">
        <f t="shared" ca="1" si="171"/>
        <v>537088.15761857713</v>
      </c>
      <c r="AQ168" s="121"/>
      <c r="AR168" s="126">
        <f ca="1">IF(LiabIntType1="Fixed",LiabFxdRate1,OFFSET(Vectors!$D$6,Vectors!A168,MATCH(LiabLoanIndex1,lstInterestRates,0))+LiabMarg1)</f>
        <v>7.9369000000000051E-2</v>
      </c>
      <c r="AS168" s="122">
        <f t="shared" ca="1" si="172"/>
        <v>0</v>
      </c>
      <c r="AT168" s="124">
        <f t="shared" ca="1" si="173"/>
        <v>0</v>
      </c>
      <c r="AU168" s="123">
        <f t="shared" ca="1" si="174"/>
        <v>0</v>
      </c>
      <c r="AV168" s="123">
        <f t="shared" ca="1" si="150"/>
        <v>0</v>
      </c>
      <c r="AW168" s="123">
        <f t="shared" ca="1" si="175"/>
        <v>0</v>
      </c>
      <c r="AX168" s="124">
        <f t="shared" ca="1" si="176"/>
        <v>537088.15761857713</v>
      </c>
      <c r="AY168" s="121"/>
      <c r="AZ168" s="122">
        <f t="shared" ca="1" si="151"/>
        <v>0</v>
      </c>
      <c r="BA168" s="124">
        <f t="shared" ca="1" si="177"/>
        <v>0</v>
      </c>
      <c r="BB168" s="123">
        <f t="shared" ca="1" si="178"/>
        <v>0</v>
      </c>
      <c r="BC168" s="123">
        <f t="shared" ca="1" si="152"/>
        <v>0</v>
      </c>
      <c r="BD168" s="123">
        <f t="shared" ca="1" si="179"/>
        <v>0</v>
      </c>
      <c r="BE168" s="124">
        <f t="shared" ca="1" si="180"/>
        <v>537088.15761857713</v>
      </c>
      <c r="BF168" s="121"/>
      <c r="BG168" s="123">
        <f t="shared" si="153"/>
        <v>1000000</v>
      </c>
      <c r="BH168" s="123">
        <f t="shared" ca="1" si="181"/>
        <v>1000000</v>
      </c>
      <c r="BI168" s="123">
        <f t="shared" ca="1" si="182"/>
        <v>0</v>
      </c>
      <c r="BJ168" s="123">
        <f t="shared" ca="1" si="183"/>
        <v>0</v>
      </c>
      <c r="BK168" s="123">
        <f t="shared" ca="1" si="140"/>
        <v>1000000</v>
      </c>
      <c r="BL168" s="123">
        <f t="shared" ca="1" si="184"/>
        <v>537088.15761857713</v>
      </c>
      <c r="BM168" s="121"/>
      <c r="BN168" s="126">
        <f ca="1">IF(LiabIntType2="Fixed",LiabFxdRate2,OFFSET(Vectors!$D$6,Vectors!A168,MATCH(LiabLoanIndex2,lstInterestRates,0))+LiabMarg2)</f>
        <v>0.04</v>
      </c>
      <c r="BO168" s="122">
        <f t="shared" ca="1" si="185"/>
        <v>33823.375326669891</v>
      </c>
      <c r="BP168" s="124">
        <f t="shared" ca="1" si="186"/>
        <v>33823.375326669891</v>
      </c>
      <c r="BQ168" s="123">
        <f t="shared" ca="1" si="187"/>
        <v>0</v>
      </c>
      <c r="BR168" s="123">
        <f t="shared" ca="1" si="188"/>
        <v>503264.78229190724</v>
      </c>
      <c r="BS168" s="121"/>
      <c r="BT168" s="123">
        <f t="shared" ca="1" si="154"/>
        <v>29387.2706306707</v>
      </c>
      <c r="BU168" s="123">
        <f t="shared" ca="1" si="189"/>
        <v>29387.2706306707</v>
      </c>
      <c r="BV168" s="123">
        <f t="shared" ca="1" si="190"/>
        <v>0</v>
      </c>
      <c r="BW168" s="123">
        <f t="shared" ca="1" si="191"/>
        <v>473877.51166123652</v>
      </c>
      <c r="BX168" s="121"/>
      <c r="BY168" s="123">
        <f t="shared" si="192"/>
        <v>0</v>
      </c>
      <c r="BZ168" s="123">
        <f t="shared" ca="1" si="193"/>
        <v>473877.51166123652</v>
      </c>
      <c r="CA168" s="121"/>
      <c r="CB168" s="122">
        <f t="shared" ca="1" si="141"/>
        <v>0</v>
      </c>
      <c r="CC168" s="122">
        <f t="shared" ca="1" si="194"/>
        <v>0</v>
      </c>
      <c r="CD168" s="124">
        <f t="shared" ca="1" si="195"/>
        <v>0</v>
      </c>
      <c r="CE168" s="121"/>
      <c r="CF168" s="122">
        <f t="shared" ca="1" si="142"/>
        <v>10117625.327370297</v>
      </c>
      <c r="CG168" s="124">
        <f t="shared" ca="1" si="196"/>
        <v>33823.375326669891</v>
      </c>
      <c r="CH168" s="123">
        <f t="shared" ca="1" si="197"/>
        <v>29387.2706306707</v>
      </c>
      <c r="CI168" s="121"/>
      <c r="CJ168" s="123">
        <f t="shared" ca="1" si="198"/>
        <v>637142.71839620115</v>
      </c>
      <c r="CK168" s="123">
        <f t="shared" ca="1" si="199"/>
        <v>637142.71839620115</v>
      </c>
      <c r="CL168" s="123">
        <f t="shared" ca="1" si="200"/>
        <v>0</v>
      </c>
      <c r="CM168" s="121"/>
      <c r="CN168" s="62">
        <f t="shared" ca="1" si="201"/>
        <v>286623.65800568636</v>
      </c>
      <c r="CO168" s="62" t="b">
        <f t="shared" si="202"/>
        <v>1</v>
      </c>
      <c r="CP168" s="126">
        <f t="shared" ca="1" si="203"/>
        <v>4.4999999999999875E-3</v>
      </c>
      <c r="CQ168" s="120"/>
      <c r="CR168" s="120"/>
      <c r="CS168" s="120"/>
      <c r="CT168" s="120"/>
      <c r="CU168" s="120"/>
      <c r="CV168" s="120"/>
      <c r="CW168" s="120"/>
      <c r="CX168" s="120"/>
      <c r="CY168" s="120"/>
      <c r="CZ168" s="120"/>
      <c r="DA168" s="120"/>
      <c r="DB168" s="120"/>
      <c r="DC168" s="120"/>
      <c r="DD168" s="120"/>
      <c r="DE168" s="116"/>
      <c r="DF168" s="116"/>
      <c r="DG168" s="116"/>
      <c r="DH168" s="116"/>
      <c r="DI168" s="116"/>
      <c r="DJ168" s="116"/>
      <c r="DK168" s="116"/>
      <c r="DL168" s="116"/>
      <c r="DM168" s="116"/>
      <c r="DN168" s="116"/>
    </row>
    <row r="169" spans="1:118" x14ac:dyDescent="0.2">
      <c r="A169" s="27">
        <v>163</v>
      </c>
      <c r="B169" s="29">
        <f t="shared" si="136"/>
        <v>44075</v>
      </c>
      <c r="C169" s="30">
        <f t="shared" si="137"/>
        <v>8.3333333333333329E-2</v>
      </c>
      <c r="D169" s="55"/>
      <c r="E169" s="62">
        <f t="shared" ca="1" si="155"/>
        <v>82848140.715534508</v>
      </c>
      <c r="F169" s="63">
        <f ca="1">IF(AssetIntType1="Fixed",AssetFxdRate1,IF(A169=1,OFFSET(Vectors!$D$6,A169,MATCH(AssetFltIndx1,lstInterestRates,0)),IF(MOD($A169,AssetRateReset1)=0,MAX(MIN(OFFSET(Vectors!$D$6,A169,MATCH(AssetFltIndx1,lstInterestRates,0)),(F168-AssetMarg1)+AssetPdCapFl1,AssetLifeCap1-AssetMarg1),(F168-AssetMarg1)-AssetPdCapFl1,AssetLifeFloor1-AssetMarg1),F168)))+AssetMarg1</f>
        <v>0.09</v>
      </c>
      <c r="G169" s="62">
        <f t="shared" ca="1" si="143"/>
        <v>804622.61694478267</v>
      </c>
      <c r="H169" s="62">
        <f t="shared" ca="1" si="156"/>
        <v>621361.05536650878</v>
      </c>
      <c r="I169" s="62">
        <f t="shared" ca="1" si="157"/>
        <v>183261.56157827389</v>
      </c>
      <c r="J169" s="62">
        <f t="shared" ca="1" si="138"/>
        <v>82664879.153956234</v>
      </c>
      <c r="K169" s="55"/>
      <c r="L169" s="62">
        <f t="shared" ca="1" si="158"/>
        <v>38477796.381789245</v>
      </c>
      <c r="M169" s="68">
        <f ca="1">IF(pdrLossTime1="",OFFSET(Vectors!$AE$6,A169+_Age1,MATCH(SDA_Loss,lstSDA,0)),OFFSET(Vectors!$X$6,A169+_Age1,MATCH(pdrLossTime1,lstDefaultCurve,0)))</f>
        <v>2.7777777777777779E-5</v>
      </c>
      <c r="N169" s="62">
        <f t="shared" ca="1" si="144"/>
        <v>2777.7777777777778</v>
      </c>
      <c r="O169" s="67">
        <f t="shared" ca="1" si="159"/>
        <v>0.82664879153956239</v>
      </c>
      <c r="P169" s="68">
        <f ca="1">OFFSET(Vectors!$L$6,A169+_Age1,MATCH(pdrPrepay1,lstPrepayCurve,0))*pdrPrepayStress1</f>
        <v>5.1430128318229462E-3</v>
      </c>
      <c r="Q169" s="62">
        <f t="shared" ca="1" si="160"/>
        <v>197454.06034747319</v>
      </c>
      <c r="R169" s="62">
        <f t="shared" ca="1" si="161"/>
        <v>85107.425830284061</v>
      </c>
      <c r="S169" s="69">
        <f t="shared" ca="1" si="162"/>
        <v>0.09</v>
      </c>
      <c r="T169" s="62">
        <f t="shared" ca="1" si="163"/>
        <v>288562.63953008602</v>
      </c>
      <c r="U169" s="62">
        <f t="shared" ca="1" si="145"/>
        <v>1111.1111111111111</v>
      </c>
      <c r="V169" s="62">
        <f t="shared" ca="1" si="139"/>
        <v>38192457.117833711</v>
      </c>
      <c r="W169" s="55"/>
      <c r="X169" s="62">
        <f t="shared" ca="1" si="164"/>
        <v>572235.23681895446</v>
      </c>
      <c r="Y169" s="55"/>
      <c r="Z169" s="118" t="b">
        <v>0</v>
      </c>
      <c r="AA169" s="120" t="b">
        <f t="shared" si="146"/>
        <v>0</v>
      </c>
      <c r="AB169" s="120" t="b">
        <f t="shared" si="147"/>
        <v>1</v>
      </c>
      <c r="AC169" s="120" t="b">
        <f t="shared" ca="1" si="148"/>
        <v>0</v>
      </c>
      <c r="AD169" s="121"/>
      <c r="AE169" s="129">
        <v>10433826.120091494</v>
      </c>
      <c r="AF169" s="69">
        <f ca="1">IF(Swap_Active="No",0,OFFSET(Vectors!$D$6,Vectors!A169,MATCH(Swap_In,lstInterestRates,0)))</f>
        <v>6.9369000000000056E-2</v>
      </c>
      <c r="AG169" s="62">
        <f t="shared" ca="1" si="165"/>
        <v>60315.340343718948</v>
      </c>
      <c r="AH169" s="69">
        <f ca="1">IF(Swap_Active="No",0,OFFSET(Vectors!$D$6,Vectors!A169,MATCH(Swap_Out,lstInterestRates,0)))</f>
        <v>0.04</v>
      </c>
      <c r="AI169" s="62">
        <f t="shared" ca="1" si="166"/>
        <v>34779.420400304982</v>
      </c>
      <c r="AJ169" s="62">
        <f t="shared" ca="1" si="167"/>
        <v>25535.919943413966</v>
      </c>
      <c r="AK169" s="62">
        <f t="shared" ca="1" si="168"/>
        <v>597771.15676236839</v>
      </c>
      <c r="AL169" s="121"/>
      <c r="AM169" s="123">
        <f t="shared" ca="1" si="149"/>
        <v>64129.660636315406</v>
      </c>
      <c r="AN169" s="124">
        <f t="shared" ca="1" si="169"/>
        <v>64129.660636315406</v>
      </c>
      <c r="AO169" s="125">
        <f t="shared" ca="1" si="170"/>
        <v>0</v>
      </c>
      <c r="AP169" s="123">
        <f t="shared" ca="1" si="171"/>
        <v>533641.49612605304</v>
      </c>
      <c r="AQ169" s="121"/>
      <c r="AR169" s="126">
        <f ca="1">IF(LiabIntType1="Fixed",LiabFxdRate1,OFFSET(Vectors!$D$6,Vectors!A169,MATCH(LiabLoanIndex1,lstInterestRates,0))+LiabMarg1)</f>
        <v>7.9369000000000051E-2</v>
      </c>
      <c r="AS169" s="122">
        <f t="shared" ca="1" si="172"/>
        <v>0</v>
      </c>
      <c r="AT169" s="124">
        <f t="shared" ca="1" si="173"/>
        <v>0</v>
      </c>
      <c r="AU169" s="123">
        <f t="shared" ca="1" si="174"/>
        <v>0</v>
      </c>
      <c r="AV169" s="123">
        <f t="shared" ca="1" si="150"/>
        <v>0</v>
      </c>
      <c r="AW169" s="123">
        <f t="shared" ca="1" si="175"/>
        <v>0</v>
      </c>
      <c r="AX169" s="124">
        <f t="shared" ca="1" si="176"/>
        <v>533641.49612605304</v>
      </c>
      <c r="AY169" s="121"/>
      <c r="AZ169" s="122">
        <f t="shared" ca="1" si="151"/>
        <v>0</v>
      </c>
      <c r="BA169" s="124">
        <f t="shared" ca="1" si="177"/>
        <v>0</v>
      </c>
      <c r="BB169" s="123">
        <f t="shared" ca="1" si="178"/>
        <v>0</v>
      </c>
      <c r="BC169" s="123">
        <f t="shared" ca="1" si="152"/>
        <v>0</v>
      </c>
      <c r="BD169" s="123">
        <f t="shared" ca="1" si="179"/>
        <v>0</v>
      </c>
      <c r="BE169" s="124">
        <f t="shared" ca="1" si="180"/>
        <v>533641.49612605304</v>
      </c>
      <c r="BF169" s="121"/>
      <c r="BG169" s="123">
        <f t="shared" si="153"/>
        <v>1000000</v>
      </c>
      <c r="BH169" s="123">
        <f t="shared" ca="1" si="181"/>
        <v>1000000</v>
      </c>
      <c r="BI169" s="123">
        <f t="shared" ca="1" si="182"/>
        <v>0</v>
      </c>
      <c r="BJ169" s="123">
        <f t="shared" ca="1" si="183"/>
        <v>0</v>
      </c>
      <c r="BK169" s="123">
        <f t="shared" ca="1" si="140"/>
        <v>1000000</v>
      </c>
      <c r="BL169" s="123">
        <f t="shared" ca="1" si="184"/>
        <v>533641.49612605304</v>
      </c>
      <c r="BM169" s="121"/>
      <c r="BN169" s="126">
        <f ca="1">IF(LiabIntType2="Fixed",LiabFxdRate2,OFFSET(Vectors!$D$6,Vectors!A169,MATCH(LiabLoanIndex2,lstInterestRates,0))+LiabMarg2)</f>
        <v>0.04</v>
      </c>
      <c r="BO169" s="122">
        <f t="shared" ca="1" si="185"/>
        <v>33725.417757900985</v>
      </c>
      <c r="BP169" s="124">
        <f t="shared" ca="1" si="186"/>
        <v>33725.417757900985</v>
      </c>
      <c r="BQ169" s="123">
        <f t="shared" ca="1" si="187"/>
        <v>0</v>
      </c>
      <c r="BR169" s="123">
        <f t="shared" ca="1" si="188"/>
        <v>499916.07836815203</v>
      </c>
      <c r="BS169" s="121"/>
      <c r="BT169" s="123">
        <f t="shared" ca="1" si="154"/>
        <v>29255.582842541669</v>
      </c>
      <c r="BU169" s="123">
        <f t="shared" ca="1" si="189"/>
        <v>29255.582842541669</v>
      </c>
      <c r="BV169" s="123">
        <f t="shared" ca="1" si="190"/>
        <v>0</v>
      </c>
      <c r="BW169" s="123">
        <f t="shared" ca="1" si="191"/>
        <v>470660.49552561034</v>
      </c>
      <c r="BX169" s="121"/>
      <c r="BY169" s="123">
        <f t="shared" si="192"/>
        <v>0</v>
      </c>
      <c r="BZ169" s="123">
        <f t="shared" ca="1" si="193"/>
        <v>470660.49552561034</v>
      </c>
      <c r="CA169" s="121"/>
      <c r="CB169" s="122">
        <f t="shared" ca="1" si="141"/>
        <v>0</v>
      </c>
      <c r="CC169" s="122">
        <f t="shared" ca="1" si="194"/>
        <v>0</v>
      </c>
      <c r="CD169" s="124">
        <f t="shared" ca="1" si="195"/>
        <v>0</v>
      </c>
      <c r="CE169" s="121"/>
      <c r="CF169" s="122">
        <f t="shared" ca="1" si="142"/>
        <v>10088369.744527755</v>
      </c>
      <c r="CG169" s="124">
        <f t="shared" ca="1" si="196"/>
        <v>33725.417757900985</v>
      </c>
      <c r="CH169" s="123">
        <f t="shared" ca="1" si="197"/>
        <v>29255.582842541669</v>
      </c>
      <c r="CI169" s="121"/>
      <c r="CJ169" s="123">
        <f t="shared" ca="1" si="198"/>
        <v>632550.57716267346</v>
      </c>
      <c r="CK169" s="123">
        <f t="shared" ca="1" si="199"/>
        <v>632550.57716267346</v>
      </c>
      <c r="CL169" s="123">
        <f t="shared" ca="1" si="200"/>
        <v>0</v>
      </c>
      <c r="CM169" s="121"/>
      <c r="CN169" s="62">
        <f t="shared" ca="1" si="201"/>
        <v>285339.26395553502</v>
      </c>
      <c r="CO169" s="62" t="b">
        <f t="shared" si="202"/>
        <v>1</v>
      </c>
      <c r="CP169" s="126">
        <f t="shared" ca="1" si="203"/>
        <v>4.5277777777777651E-3</v>
      </c>
      <c r="CQ169" s="120"/>
      <c r="CR169" s="120"/>
      <c r="CS169" s="120"/>
      <c r="CT169" s="120"/>
      <c r="CU169" s="120"/>
      <c r="CV169" s="120"/>
      <c r="CW169" s="120"/>
      <c r="CX169" s="120"/>
      <c r="CY169" s="120"/>
      <c r="CZ169" s="120"/>
      <c r="DA169" s="120"/>
      <c r="DB169" s="120"/>
      <c r="DC169" s="120"/>
      <c r="DD169" s="120"/>
      <c r="DE169" s="116"/>
      <c r="DF169" s="116"/>
      <c r="DG169" s="116"/>
      <c r="DH169" s="116"/>
      <c r="DI169" s="116"/>
      <c r="DJ169" s="116"/>
      <c r="DK169" s="116"/>
      <c r="DL169" s="116"/>
      <c r="DM169" s="116"/>
      <c r="DN169" s="116"/>
    </row>
    <row r="170" spans="1:118" x14ac:dyDescent="0.2">
      <c r="A170" s="27">
        <v>164</v>
      </c>
      <c r="B170" s="29">
        <f t="shared" si="136"/>
        <v>44105</v>
      </c>
      <c r="C170" s="30">
        <f t="shared" si="137"/>
        <v>8.3333333333333329E-2</v>
      </c>
      <c r="D170" s="55"/>
      <c r="E170" s="62">
        <f t="shared" ca="1" si="155"/>
        <v>82664879.153956234</v>
      </c>
      <c r="F170" s="63">
        <f ca="1">IF(AssetIntType1="Fixed",AssetFxdRate1,IF(A170=1,OFFSET(Vectors!$D$6,A170,MATCH(AssetFltIndx1,lstInterestRates,0)),IF(MOD($A170,AssetRateReset1)=0,MAX(MIN(OFFSET(Vectors!$D$6,A170,MATCH(AssetFltIndx1,lstInterestRates,0)),(F169-AssetMarg1)+AssetPdCapFl1,AssetLifeCap1-AssetMarg1),(F169-AssetMarg1)-AssetPdCapFl1,AssetLifeFloor1-AssetMarg1),F169)))+AssetMarg1</f>
        <v>0.09</v>
      </c>
      <c r="G170" s="62">
        <f t="shared" ca="1" si="143"/>
        <v>804622.61694478267</v>
      </c>
      <c r="H170" s="62">
        <f t="shared" ca="1" si="156"/>
        <v>619986.59365467168</v>
      </c>
      <c r="I170" s="62">
        <f t="shared" ca="1" si="157"/>
        <v>184636.02329011098</v>
      </c>
      <c r="J170" s="62">
        <f t="shared" ca="1" si="138"/>
        <v>82480243.130666122</v>
      </c>
      <c r="K170" s="55"/>
      <c r="L170" s="62">
        <f t="shared" ca="1" si="158"/>
        <v>38192457.117833711</v>
      </c>
      <c r="M170" s="68">
        <f ca="1">IF(pdrLossTime1="",OFFSET(Vectors!$AE$6,A170+_Age1,MATCH(SDA_Loss,lstSDA,0)),OFFSET(Vectors!$X$6,A170+_Age1,MATCH(pdrLossTime1,lstDefaultCurve,0)))</f>
        <v>2.7777777777777779E-5</v>
      </c>
      <c r="N170" s="62">
        <f t="shared" ca="1" si="144"/>
        <v>2777.7777777777778</v>
      </c>
      <c r="O170" s="67">
        <f t="shared" ca="1" si="159"/>
        <v>0.8248024313066612</v>
      </c>
      <c r="P170" s="68">
        <f ca="1">OFFSET(Vectors!$L$6,A170+_Age1,MATCH(pdrPrepay1,lstPrepayCurve,0))*pdrPrepayStress1</f>
        <v>5.1430128318229462E-3</v>
      </c>
      <c r="Q170" s="62">
        <f t="shared" ca="1" si="160"/>
        <v>195985.57382652481</v>
      </c>
      <c r="R170" s="62">
        <f t="shared" ca="1" si="161"/>
        <v>85298.503986685668</v>
      </c>
      <c r="S170" s="69">
        <f t="shared" ca="1" si="162"/>
        <v>0.09</v>
      </c>
      <c r="T170" s="62">
        <f t="shared" ca="1" si="163"/>
        <v>286422.59505041951</v>
      </c>
      <c r="U170" s="62">
        <f t="shared" ca="1" si="145"/>
        <v>1111.1111111111111</v>
      </c>
      <c r="V170" s="62">
        <f t="shared" ca="1" si="139"/>
        <v>37908395.262242727</v>
      </c>
      <c r="W170" s="55"/>
      <c r="X170" s="62">
        <f t="shared" ca="1" si="164"/>
        <v>568817.78397474112</v>
      </c>
      <c r="Y170" s="55"/>
      <c r="Z170" s="118" t="b">
        <v>0</v>
      </c>
      <c r="AA170" s="120" t="b">
        <f t="shared" si="146"/>
        <v>0</v>
      </c>
      <c r="AB170" s="120" t="b">
        <f t="shared" si="147"/>
        <v>1</v>
      </c>
      <c r="AC170" s="120" t="b">
        <f t="shared" ca="1" si="148"/>
        <v>0</v>
      </c>
      <c r="AD170" s="121"/>
      <c r="AE170" s="129">
        <v>10235589.287850466</v>
      </c>
      <c r="AF170" s="69">
        <f ca="1">IF(Swap_Active="No",0,OFFSET(Vectors!$D$6,Vectors!A170,MATCH(Swap_In,lstInterestRates,0)))</f>
        <v>6.9369000000000056E-2</v>
      </c>
      <c r="AG170" s="62">
        <f t="shared" ca="1" si="165"/>
        <v>59169.382775741629</v>
      </c>
      <c r="AH170" s="69">
        <f ca="1">IF(Swap_Active="No",0,OFFSET(Vectors!$D$6,Vectors!A170,MATCH(Swap_Out,lstInterestRates,0)))</f>
        <v>0.04</v>
      </c>
      <c r="AI170" s="62">
        <f t="shared" ca="1" si="166"/>
        <v>34118.630959501548</v>
      </c>
      <c r="AJ170" s="62">
        <f t="shared" ca="1" si="167"/>
        <v>25050.751816240081</v>
      </c>
      <c r="AK170" s="62">
        <f t="shared" ca="1" si="168"/>
        <v>593868.53579098126</v>
      </c>
      <c r="AL170" s="121"/>
      <c r="AM170" s="123">
        <f t="shared" ca="1" si="149"/>
        <v>63654.095196389513</v>
      </c>
      <c r="AN170" s="124">
        <f t="shared" ca="1" si="169"/>
        <v>63654.095196389513</v>
      </c>
      <c r="AO170" s="125">
        <f t="shared" ca="1" si="170"/>
        <v>0</v>
      </c>
      <c r="AP170" s="123">
        <f t="shared" ca="1" si="171"/>
        <v>530214.44059459178</v>
      </c>
      <c r="AQ170" s="121"/>
      <c r="AR170" s="126">
        <f ca="1">IF(LiabIntType1="Fixed",LiabFxdRate1,OFFSET(Vectors!$D$6,Vectors!A170,MATCH(LiabLoanIndex1,lstInterestRates,0))+LiabMarg1)</f>
        <v>7.9369000000000051E-2</v>
      </c>
      <c r="AS170" s="122">
        <f t="shared" ca="1" si="172"/>
        <v>0</v>
      </c>
      <c r="AT170" s="124">
        <f t="shared" ca="1" si="173"/>
        <v>0</v>
      </c>
      <c r="AU170" s="123">
        <f t="shared" ca="1" si="174"/>
        <v>0</v>
      </c>
      <c r="AV170" s="123">
        <f t="shared" ca="1" si="150"/>
        <v>0</v>
      </c>
      <c r="AW170" s="123">
        <f t="shared" ca="1" si="175"/>
        <v>0</v>
      </c>
      <c r="AX170" s="124">
        <f t="shared" ca="1" si="176"/>
        <v>530214.44059459178</v>
      </c>
      <c r="AY170" s="121"/>
      <c r="AZ170" s="122">
        <f t="shared" ca="1" si="151"/>
        <v>0</v>
      </c>
      <c r="BA170" s="124">
        <f t="shared" ca="1" si="177"/>
        <v>0</v>
      </c>
      <c r="BB170" s="123">
        <f t="shared" ca="1" si="178"/>
        <v>0</v>
      </c>
      <c r="BC170" s="123">
        <f t="shared" ca="1" si="152"/>
        <v>0</v>
      </c>
      <c r="BD170" s="123">
        <f t="shared" ca="1" si="179"/>
        <v>0</v>
      </c>
      <c r="BE170" s="124">
        <f t="shared" ca="1" si="180"/>
        <v>530214.44059459178</v>
      </c>
      <c r="BF170" s="121"/>
      <c r="BG170" s="123">
        <f t="shared" si="153"/>
        <v>1000000</v>
      </c>
      <c r="BH170" s="123">
        <f t="shared" ca="1" si="181"/>
        <v>1000000</v>
      </c>
      <c r="BI170" s="123">
        <f t="shared" ca="1" si="182"/>
        <v>0</v>
      </c>
      <c r="BJ170" s="123">
        <f t="shared" ca="1" si="183"/>
        <v>0</v>
      </c>
      <c r="BK170" s="123">
        <f t="shared" ca="1" si="140"/>
        <v>1000000</v>
      </c>
      <c r="BL170" s="123">
        <f t="shared" ca="1" si="184"/>
        <v>530214.44059459178</v>
      </c>
      <c r="BM170" s="121"/>
      <c r="BN170" s="126">
        <f ca="1">IF(LiabIntType2="Fixed",LiabFxdRate2,OFFSET(Vectors!$D$6,Vectors!A170,MATCH(LiabLoanIndex2,lstInterestRates,0))+LiabMarg2)</f>
        <v>0.04</v>
      </c>
      <c r="BO170" s="122">
        <f t="shared" ca="1" si="185"/>
        <v>33627.899148425851</v>
      </c>
      <c r="BP170" s="124">
        <f t="shared" ca="1" si="186"/>
        <v>33627.899148425851</v>
      </c>
      <c r="BQ170" s="123">
        <f t="shared" ca="1" si="187"/>
        <v>0</v>
      </c>
      <c r="BR170" s="123">
        <f t="shared" ca="1" si="188"/>
        <v>496586.54144616594</v>
      </c>
      <c r="BS170" s="121"/>
      <c r="BT170" s="123">
        <f t="shared" ca="1" si="154"/>
        <v>29124.611290590878</v>
      </c>
      <c r="BU170" s="123">
        <f t="shared" ca="1" si="189"/>
        <v>29124.611290590878</v>
      </c>
      <c r="BV170" s="123">
        <f t="shared" ca="1" si="190"/>
        <v>0</v>
      </c>
      <c r="BW170" s="123">
        <f t="shared" ca="1" si="191"/>
        <v>467461.93015557504</v>
      </c>
      <c r="BX170" s="121"/>
      <c r="BY170" s="123">
        <f t="shared" si="192"/>
        <v>0</v>
      </c>
      <c r="BZ170" s="123">
        <f t="shared" ca="1" si="193"/>
        <v>467461.93015557504</v>
      </c>
      <c r="CA170" s="121"/>
      <c r="CB170" s="122">
        <f t="shared" ca="1" si="141"/>
        <v>0</v>
      </c>
      <c r="CC170" s="122">
        <f t="shared" ca="1" si="194"/>
        <v>0</v>
      </c>
      <c r="CD170" s="124">
        <f t="shared" ca="1" si="195"/>
        <v>0</v>
      </c>
      <c r="CE170" s="121"/>
      <c r="CF170" s="122">
        <f t="shared" ca="1" si="142"/>
        <v>10059245.133237164</v>
      </c>
      <c r="CG170" s="124">
        <f t="shared" ca="1" si="196"/>
        <v>33627.899148425851</v>
      </c>
      <c r="CH170" s="123">
        <f t="shared" ca="1" si="197"/>
        <v>29124.611290590878</v>
      </c>
      <c r="CI170" s="121"/>
      <c r="CJ170" s="123">
        <f t="shared" ca="1" si="198"/>
        <v>627987.16675048275</v>
      </c>
      <c r="CK170" s="123">
        <f t="shared" ca="1" si="199"/>
        <v>627987.16675048275</v>
      </c>
      <c r="CL170" s="123">
        <f t="shared" ca="1" si="200"/>
        <v>0</v>
      </c>
      <c r="CM170" s="121"/>
      <c r="CN170" s="62">
        <f t="shared" ca="1" si="201"/>
        <v>284061.85559098824</v>
      </c>
      <c r="CO170" s="62" t="b">
        <f t="shared" si="202"/>
        <v>1</v>
      </c>
      <c r="CP170" s="126">
        <f t="shared" ca="1" si="203"/>
        <v>4.5555555555555427E-3</v>
      </c>
      <c r="CQ170" s="120"/>
      <c r="CR170" s="120"/>
      <c r="CS170" s="120"/>
      <c r="CT170" s="120"/>
      <c r="CU170" s="120"/>
      <c r="CV170" s="120"/>
      <c r="CW170" s="120"/>
      <c r="CX170" s="120"/>
      <c r="CY170" s="120"/>
      <c r="CZ170" s="120"/>
      <c r="DA170" s="120"/>
      <c r="DB170" s="120"/>
      <c r="DC170" s="120"/>
      <c r="DD170" s="120"/>
      <c r="DE170" s="116"/>
      <c r="DF170" s="116"/>
      <c r="DG170" s="116"/>
      <c r="DH170" s="116"/>
      <c r="DI170" s="116"/>
      <c r="DJ170" s="116"/>
      <c r="DK170" s="116"/>
      <c r="DL170" s="116"/>
      <c r="DM170" s="116"/>
      <c r="DN170" s="116"/>
    </row>
    <row r="171" spans="1:118" x14ac:dyDescent="0.2">
      <c r="A171" s="27">
        <v>165</v>
      </c>
      <c r="B171" s="29">
        <f t="shared" si="136"/>
        <v>44136</v>
      </c>
      <c r="C171" s="30">
        <f t="shared" si="137"/>
        <v>8.3333333333333329E-2</v>
      </c>
      <c r="D171" s="55"/>
      <c r="E171" s="62">
        <f t="shared" ca="1" si="155"/>
        <v>82480243.130666122</v>
      </c>
      <c r="F171" s="63">
        <f ca="1">IF(AssetIntType1="Fixed",AssetFxdRate1,IF(A171=1,OFFSET(Vectors!$D$6,A171,MATCH(AssetFltIndx1,lstInterestRates,0)),IF(MOD($A171,AssetRateReset1)=0,MAX(MIN(OFFSET(Vectors!$D$6,A171,MATCH(AssetFltIndx1,lstInterestRates,0)),(F170-AssetMarg1)+AssetPdCapFl1,AssetLifeCap1-AssetMarg1),(F170-AssetMarg1)-AssetPdCapFl1,AssetLifeFloor1-AssetMarg1),F170)))+AssetMarg1</f>
        <v>0.09</v>
      </c>
      <c r="G171" s="62">
        <f t="shared" ca="1" si="143"/>
        <v>804622.61694478267</v>
      </c>
      <c r="H171" s="62">
        <f t="shared" ca="1" si="156"/>
        <v>618601.82347999595</v>
      </c>
      <c r="I171" s="62">
        <f t="shared" ca="1" si="157"/>
        <v>186020.79346478672</v>
      </c>
      <c r="J171" s="62">
        <f t="shared" ca="1" si="138"/>
        <v>82294222.337201342</v>
      </c>
      <c r="K171" s="55"/>
      <c r="L171" s="62">
        <f t="shared" ca="1" si="158"/>
        <v>37908395.262242727</v>
      </c>
      <c r="M171" s="68">
        <f ca="1">IF(pdrLossTime1="",OFFSET(Vectors!$AE$6,A171+_Age1,MATCH(SDA_Loss,lstSDA,0)),OFFSET(Vectors!$X$6,A171+_Age1,MATCH(pdrLossTime1,lstDefaultCurve,0)))</f>
        <v>2.7777777777777779E-5</v>
      </c>
      <c r="N171" s="62">
        <f t="shared" ca="1" si="144"/>
        <v>2777.7777777777778</v>
      </c>
      <c r="O171" s="67">
        <f t="shared" ca="1" si="159"/>
        <v>0.82294222337201339</v>
      </c>
      <c r="P171" s="68">
        <f ca="1">OFFSET(Vectors!$L$6,A171+_Age1,MATCH(pdrPrepay1,lstPrepayCurve,0))*pdrPrepayStress1</f>
        <v>5.1430128318229462E-3</v>
      </c>
      <c r="Q171" s="62">
        <f t="shared" ca="1" si="160"/>
        <v>194523.65506402618</v>
      </c>
      <c r="R171" s="62">
        <f t="shared" ca="1" si="161"/>
        <v>85489.964306506605</v>
      </c>
      <c r="S171" s="69">
        <f t="shared" ca="1" si="162"/>
        <v>0.09</v>
      </c>
      <c r="T171" s="62">
        <f t="shared" ca="1" si="163"/>
        <v>284292.1311334871</v>
      </c>
      <c r="U171" s="62">
        <f t="shared" ca="1" si="145"/>
        <v>1111.1111111111111</v>
      </c>
      <c r="V171" s="62">
        <f t="shared" ca="1" si="139"/>
        <v>37625603.865094423</v>
      </c>
      <c r="W171" s="55"/>
      <c r="X171" s="62">
        <f t="shared" ca="1" si="164"/>
        <v>565416.86161513103</v>
      </c>
      <c r="Y171" s="55"/>
      <c r="Z171" s="118" t="b">
        <v>0</v>
      </c>
      <c r="AA171" s="120" t="b">
        <f t="shared" si="146"/>
        <v>0</v>
      </c>
      <c r="AB171" s="120" t="b">
        <f t="shared" si="147"/>
        <v>1</v>
      </c>
      <c r="AC171" s="120" t="b">
        <f t="shared" ca="1" si="148"/>
        <v>0</v>
      </c>
      <c r="AD171" s="121"/>
      <c r="AE171" s="129">
        <v>10039426.52731026</v>
      </c>
      <c r="AF171" s="69">
        <f ca="1">IF(Swap_Active="No",0,OFFSET(Vectors!$D$6,Vectors!A171,MATCH(Swap_In,lstInterestRates,0)))</f>
        <v>6.9369000000000056E-2</v>
      </c>
      <c r="AG171" s="62">
        <f t="shared" ca="1" si="165"/>
        <v>58035.414897748829</v>
      </c>
      <c r="AH171" s="69">
        <f ca="1">IF(Swap_Active="No",0,OFFSET(Vectors!$D$6,Vectors!A171,MATCH(Swap_Out,lstInterestRates,0)))</f>
        <v>0.04</v>
      </c>
      <c r="AI171" s="62">
        <f t="shared" ca="1" si="166"/>
        <v>33464.755091034196</v>
      </c>
      <c r="AJ171" s="62">
        <f t="shared" ca="1" si="167"/>
        <v>24570.659806714633</v>
      </c>
      <c r="AK171" s="62">
        <f t="shared" ca="1" si="168"/>
        <v>589987.52142184565</v>
      </c>
      <c r="AL171" s="121"/>
      <c r="AM171" s="123">
        <f t="shared" ca="1" si="149"/>
        <v>63180.658770404538</v>
      </c>
      <c r="AN171" s="124">
        <f t="shared" ca="1" si="169"/>
        <v>63180.658770404538</v>
      </c>
      <c r="AO171" s="125">
        <f t="shared" ca="1" si="170"/>
        <v>0</v>
      </c>
      <c r="AP171" s="123">
        <f t="shared" ca="1" si="171"/>
        <v>526806.86265144113</v>
      </c>
      <c r="AQ171" s="121"/>
      <c r="AR171" s="126">
        <f ca="1">IF(LiabIntType1="Fixed",LiabFxdRate1,OFFSET(Vectors!$D$6,Vectors!A171,MATCH(LiabLoanIndex1,lstInterestRates,0))+LiabMarg1)</f>
        <v>7.9369000000000051E-2</v>
      </c>
      <c r="AS171" s="122">
        <f t="shared" ca="1" si="172"/>
        <v>0</v>
      </c>
      <c r="AT171" s="124">
        <f t="shared" ca="1" si="173"/>
        <v>0</v>
      </c>
      <c r="AU171" s="123">
        <f t="shared" ca="1" si="174"/>
        <v>0</v>
      </c>
      <c r="AV171" s="123">
        <f t="shared" ca="1" si="150"/>
        <v>0</v>
      </c>
      <c r="AW171" s="123">
        <f t="shared" ca="1" si="175"/>
        <v>0</v>
      </c>
      <c r="AX171" s="124">
        <f t="shared" ca="1" si="176"/>
        <v>526806.86265144113</v>
      </c>
      <c r="AY171" s="121"/>
      <c r="AZ171" s="122">
        <f t="shared" ca="1" si="151"/>
        <v>0</v>
      </c>
      <c r="BA171" s="124">
        <f t="shared" ca="1" si="177"/>
        <v>0</v>
      </c>
      <c r="BB171" s="123">
        <f t="shared" ca="1" si="178"/>
        <v>0</v>
      </c>
      <c r="BC171" s="123">
        <f t="shared" ca="1" si="152"/>
        <v>0</v>
      </c>
      <c r="BD171" s="123">
        <f t="shared" ca="1" si="179"/>
        <v>0</v>
      </c>
      <c r="BE171" s="124">
        <f t="shared" ca="1" si="180"/>
        <v>526806.86265144113</v>
      </c>
      <c r="BF171" s="121"/>
      <c r="BG171" s="123">
        <f t="shared" si="153"/>
        <v>1000000</v>
      </c>
      <c r="BH171" s="123">
        <f t="shared" ca="1" si="181"/>
        <v>1000000</v>
      </c>
      <c r="BI171" s="123">
        <f t="shared" ca="1" si="182"/>
        <v>0</v>
      </c>
      <c r="BJ171" s="123">
        <f t="shared" ca="1" si="183"/>
        <v>0</v>
      </c>
      <c r="BK171" s="123">
        <f t="shared" ca="1" si="140"/>
        <v>1000000</v>
      </c>
      <c r="BL171" s="123">
        <f t="shared" ca="1" si="184"/>
        <v>526806.86265144113</v>
      </c>
      <c r="BM171" s="121"/>
      <c r="BN171" s="126">
        <f ca="1">IF(LiabIntType2="Fixed",LiabFxdRate2,OFFSET(Vectors!$D$6,Vectors!A171,MATCH(LiabLoanIndex2,lstInterestRates,0))+LiabMarg2)</f>
        <v>0.04</v>
      </c>
      <c r="BO171" s="122">
        <f t="shared" ca="1" si="185"/>
        <v>33530.817110790544</v>
      </c>
      <c r="BP171" s="124">
        <f t="shared" ca="1" si="186"/>
        <v>33530.817110790544</v>
      </c>
      <c r="BQ171" s="123">
        <f t="shared" ca="1" si="187"/>
        <v>0</v>
      </c>
      <c r="BR171" s="123">
        <f t="shared" ca="1" si="188"/>
        <v>493276.04554065061</v>
      </c>
      <c r="BS171" s="121"/>
      <c r="BT171" s="123">
        <f t="shared" ca="1" si="154"/>
        <v>28994.35230799409</v>
      </c>
      <c r="BU171" s="123">
        <f t="shared" ca="1" si="189"/>
        <v>28994.35230799409</v>
      </c>
      <c r="BV171" s="123">
        <f t="shared" ca="1" si="190"/>
        <v>0</v>
      </c>
      <c r="BW171" s="123">
        <f t="shared" ca="1" si="191"/>
        <v>464281.69323265651</v>
      </c>
      <c r="BX171" s="121"/>
      <c r="BY171" s="123">
        <f t="shared" si="192"/>
        <v>0</v>
      </c>
      <c r="BZ171" s="123">
        <f t="shared" ca="1" si="193"/>
        <v>464281.69323265651</v>
      </c>
      <c r="CA171" s="121"/>
      <c r="CB171" s="122">
        <f t="shared" ca="1" si="141"/>
        <v>0</v>
      </c>
      <c r="CC171" s="122">
        <f t="shared" ca="1" si="194"/>
        <v>0</v>
      </c>
      <c r="CD171" s="124">
        <f t="shared" ca="1" si="195"/>
        <v>0</v>
      </c>
      <c r="CE171" s="121"/>
      <c r="CF171" s="122">
        <f t="shared" ca="1" si="142"/>
        <v>10030250.780929171</v>
      </c>
      <c r="CG171" s="124">
        <f t="shared" ca="1" si="196"/>
        <v>33530.817110790544</v>
      </c>
      <c r="CH171" s="123">
        <f t="shared" ca="1" si="197"/>
        <v>28994.35230799409</v>
      </c>
      <c r="CI171" s="121"/>
      <c r="CJ171" s="123">
        <f t="shared" ca="1" si="198"/>
        <v>623452.27651287988</v>
      </c>
      <c r="CK171" s="123">
        <f t="shared" ca="1" si="199"/>
        <v>623452.27651287988</v>
      </c>
      <c r="CL171" s="123">
        <f t="shared" ca="1" si="200"/>
        <v>0</v>
      </c>
      <c r="CM171" s="121"/>
      <c r="CN171" s="62">
        <f t="shared" ca="1" si="201"/>
        <v>282791.39714831056</v>
      </c>
      <c r="CO171" s="62" t="b">
        <f t="shared" si="202"/>
        <v>1</v>
      </c>
      <c r="CP171" s="126">
        <f t="shared" ca="1" si="203"/>
        <v>4.5833333333333203E-3</v>
      </c>
      <c r="CQ171" s="120"/>
      <c r="CR171" s="120"/>
      <c r="CS171" s="120"/>
      <c r="CT171" s="120"/>
      <c r="CU171" s="120"/>
      <c r="CV171" s="120"/>
      <c r="CW171" s="120"/>
      <c r="CX171" s="120"/>
      <c r="CY171" s="120"/>
      <c r="CZ171" s="120"/>
      <c r="DA171" s="120"/>
      <c r="DB171" s="120"/>
      <c r="DC171" s="120"/>
      <c r="DD171" s="120"/>
      <c r="DE171" s="116"/>
      <c r="DF171" s="116"/>
      <c r="DG171" s="116"/>
      <c r="DH171" s="116"/>
      <c r="DI171" s="116"/>
      <c r="DJ171" s="116"/>
      <c r="DK171" s="116"/>
      <c r="DL171" s="116"/>
      <c r="DM171" s="116"/>
      <c r="DN171" s="116"/>
    </row>
    <row r="172" spans="1:118" x14ac:dyDescent="0.2">
      <c r="A172" s="27">
        <v>166</v>
      </c>
      <c r="B172" s="29">
        <f t="shared" si="136"/>
        <v>44166</v>
      </c>
      <c r="C172" s="30">
        <f t="shared" si="137"/>
        <v>8.3333333333333329E-2</v>
      </c>
      <c r="D172" s="55"/>
      <c r="E172" s="62">
        <f t="shared" ca="1" si="155"/>
        <v>82294222.337201342</v>
      </c>
      <c r="F172" s="63">
        <f ca="1">IF(AssetIntType1="Fixed",AssetFxdRate1,IF(A172=1,OFFSET(Vectors!$D$6,A172,MATCH(AssetFltIndx1,lstInterestRates,0)),IF(MOD($A172,AssetRateReset1)=0,MAX(MIN(OFFSET(Vectors!$D$6,A172,MATCH(AssetFltIndx1,lstInterestRates,0)),(F171-AssetMarg1)+AssetPdCapFl1,AssetLifeCap1-AssetMarg1),(F171-AssetMarg1)-AssetPdCapFl1,AssetLifeFloor1-AssetMarg1),F171)))+AssetMarg1</f>
        <v>0.09</v>
      </c>
      <c r="G172" s="62">
        <f t="shared" ca="1" si="143"/>
        <v>804622.61694478267</v>
      </c>
      <c r="H172" s="62">
        <f t="shared" ca="1" si="156"/>
        <v>617206.6675290101</v>
      </c>
      <c r="I172" s="62">
        <f t="shared" ca="1" si="157"/>
        <v>187415.94941577257</v>
      </c>
      <c r="J172" s="62">
        <f t="shared" ca="1" si="138"/>
        <v>82106806.387785569</v>
      </c>
      <c r="K172" s="55"/>
      <c r="L172" s="62">
        <f t="shared" ca="1" si="158"/>
        <v>37625603.865094423</v>
      </c>
      <c r="M172" s="68">
        <f ca="1">IF(pdrLossTime1="",OFFSET(Vectors!$AE$6,A172+_Age1,MATCH(SDA_Loss,lstSDA,0)),OFFSET(Vectors!$X$6,A172+_Age1,MATCH(pdrLossTime1,lstDefaultCurve,0)))</f>
        <v>2.7777777777777779E-5</v>
      </c>
      <c r="N172" s="62">
        <f t="shared" ca="1" si="144"/>
        <v>2777.7777777777778</v>
      </c>
      <c r="O172" s="67">
        <f t="shared" ca="1" si="159"/>
        <v>0.82106806387785569</v>
      </c>
      <c r="P172" s="68">
        <f ca="1">OFFSET(Vectors!$L$6,A172+_Age1,MATCH(pdrPrepay1,lstPrepayCurve,0))*pdrPrepayStress1</f>
        <v>5.1430128318229462E-3</v>
      </c>
      <c r="Q172" s="62">
        <f t="shared" ca="1" si="160"/>
        <v>193068.26831559144</v>
      </c>
      <c r="R172" s="62">
        <f t="shared" ca="1" si="161"/>
        <v>85681.806943467062</v>
      </c>
      <c r="S172" s="69">
        <f t="shared" ca="1" si="162"/>
        <v>0.09</v>
      </c>
      <c r="T172" s="62">
        <f t="shared" ca="1" si="163"/>
        <v>282171.19565487484</v>
      </c>
      <c r="U172" s="62">
        <f t="shared" ca="1" si="145"/>
        <v>1111.1111111111111</v>
      </c>
      <c r="V172" s="62">
        <f t="shared" ca="1" si="139"/>
        <v>37344076.012057588</v>
      </c>
      <c r="W172" s="55"/>
      <c r="X172" s="62">
        <f t="shared" ca="1" si="164"/>
        <v>562032.38202504453</v>
      </c>
      <c r="Y172" s="55"/>
      <c r="Z172" s="118" t="b">
        <v>0</v>
      </c>
      <c r="AA172" s="120" t="b">
        <f t="shared" si="146"/>
        <v>0</v>
      </c>
      <c r="AB172" s="120" t="b">
        <f t="shared" si="147"/>
        <v>1</v>
      </c>
      <c r="AC172" s="120" t="b">
        <f t="shared" ca="1" si="148"/>
        <v>0</v>
      </c>
      <c r="AD172" s="121"/>
      <c r="AE172" s="129">
        <v>9845316.8616176713</v>
      </c>
      <c r="AF172" s="69">
        <f ca="1">IF(Swap_Active="No",0,OFFSET(Vectors!$D$6,Vectors!A172,MATCH(Swap_In,lstInterestRates,0)))</f>
        <v>6.9369000000000056E-2</v>
      </c>
      <c r="AG172" s="62">
        <f t="shared" ca="1" si="165"/>
        <v>56913.315447796398</v>
      </c>
      <c r="AH172" s="69">
        <f ca="1">IF(Swap_Active="No",0,OFFSET(Vectors!$D$6,Vectors!A172,MATCH(Swap_Out,lstInterestRates,0)))</f>
        <v>0.04</v>
      </c>
      <c r="AI172" s="62">
        <f t="shared" ca="1" si="166"/>
        <v>32817.722872058905</v>
      </c>
      <c r="AJ172" s="62">
        <f t="shared" ca="1" si="167"/>
        <v>24095.592575737493</v>
      </c>
      <c r="AK172" s="62">
        <f t="shared" ca="1" si="168"/>
        <v>586127.97460078204</v>
      </c>
      <c r="AL172" s="121"/>
      <c r="AM172" s="123">
        <f t="shared" ca="1" si="149"/>
        <v>62709.339775157365</v>
      </c>
      <c r="AN172" s="124">
        <f t="shared" ca="1" si="169"/>
        <v>62709.339775157365</v>
      </c>
      <c r="AO172" s="125">
        <f t="shared" ca="1" si="170"/>
        <v>0</v>
      </c>
      <c r="AP172" s="123">
        <f t="shared" ca="1" si="171"/>
        <v>523418.63482562464</v>
      </c>
      <c r="AQ172" s="121"/>
      <c r="AR172" s="126">
        <f ca="1">IF(LiabIntType1="Fixed",LiabFxdRate1,OFFSET(Vectors!$D$6,Vectors!A172,MATCH(LiabLoanIndex1,lstInterestRates,0))+LiabMarg1)</f>
        <v>7.9369000000000051E-2</v>
      </c>
      <c r="AS172" s="122">
        <f t="shared" ca="1" si="172"/>
        <v>0</v>
      </c>
      <c r="AT172" s="124">
        <f t="shared" ca="1" si="173"/>
        <v>0</v>
      </c>
      <c r="AU172" s="123">
        <f t="shared" ca="1" si="174"/>
        <v>0</v>
      </c>
      <c r="AV172" s="123">
        <f t="shared" ca="1" si="150"/>
        <v>0</v>
      </c>
      <c r="AW172" s="123">
        <f t="shared" ca="1" si="175"/>
        <v>0</v>
      </c>
      <c r="AX172" s="124">
        <f t="shared" ca="1" si="176"/>
        <v>523418.63482562464</v>
      </c>
      <c r="AY172" s="121"/>
      <c r="AZ172" s="122">
        <f t="shared" ca="1" si="151"/>
        <v>0</v>
      </c>
      <c r="BA172" s="124">
        <f t="shared" ca="1" si="177"/>
        <v>0</v>
      </c>
      <c r="BB172" s="123">
        <f t="shared" ca="1" si="178"/>
        <v>0</v>
      </c>
      <c r="BC172" s="123">
        <f t="shared" ca="1" si="152"/>
        <v>0</v>
      </c>
      <c r="BD172" s="123">
        <f t="shared" ca="1" si="179"/>
        <v>0</v>
      </c>
      <c r="BE172" s="124">
        <f t="shared" ca="1" si="180"/>
        <v>523418.63482562464</v>
      </c>
      <c r="BF172" s="121"/>
      <c r="BG172" s="123">
        <f t="shared" si="153"/>
        <v>1000000</v>
      </c>
      <c r="BH172" s="123">
        <f t="shared" ca="1" si="181"/>
        <v>1000000</v>
      </c>
      <c r="BI172" s="123">
        <f t="shared" ca="1" si="182"/>
        <v>0</v>
      </c>
      <c r="BJ172" s="123">
        <f t="shared" ca="1" si="183"/>
        <v>0</v>
      </c>
      <c r="BK172" s="123">
        <f t="shared" ca="1" si="140"/>
        <v>1000000</v>
      </c>
      <c r="BL172" s="123">
        <f t="shared" ca="1" si="184"/>
        <v>523418.63482562464</v>
      </c>
      <c r="BM172" s="121"/>
      <c r="BN172" s="126">
        <f ca="1">IF(LiabIntType2="Fixed",LiabFxdRate2,OFFSET(Vectors!$D$6,Vectors!A172,MATCH(LiabLoanIndex2,lstInterestRates,0))+LiabMarg2)</f>
        <v>0.04</v>
      </c>
      <c r="BO172" s="122">
        <f t="shared" ca="1" si="185"/>
        <v>33434.169269763901</v>
      </c>
      <c r="BP172" s="124">
        <f t="shared" ca="1" si="186"/>
        <v>33434.169269763901</v>
      </c>
      <c r="BQ172" s="123">
        <f t="shared" ca="1" si="187"/>
        <v>0</v>
      </c>
      <c r="BR172" s="123">
        <f t="shared" ca="1" si="188"/>
        <v>489984.46555586072</v>
      </c>
      <c r="BS172" s="121"/>
      <c r="BT172" s="123">
        <f t="shared" ca="1" si="154"/>
        <v>28864.802245671781</v>
      </c>
      <c r="BU172" s="123">
        <f t="shared" ca="1" si="189"/>
        <v>28864.802245671781</v>
      </c>
      <c r="BV172" s="123">
        <f t="shared" ca="1" si="190"/>
        <v>0</v>
      </c>
      <c r="BW172" s="123">
        <f t="shared" ca="1" si="191"/>
        <v>461119.66331018892</v>
      </c>
      <c r="BX172" s="121"/>
      <c r="BY172" s="123">
        <f t="shared" si="192"/>
        <v>0</v>
      </c>
      <c r="BZ172" s="123">
        <f t="shared" ca="1" si="193"/>
        <v>461119.66331018892</v>
      </c>
      <c r="CA172" s="121"/>
      <c r="CB172" s="122">
        <f t="shared" ca="1" si="141"/>
        <v>0</v>
      </c>
      <c r="CC172" s="122">
        <f t="shared" ca="1" si="194"/>
        <v>0</v>
      </c>
      <c r="CD172" s="124">
        <f t="shared" ca="1" si="195"/>
        <v>0</v>
      </c>
      <c r="CE172" s="121"/>
      <c r="CF172" s="122">
        <f t="shared" ca="1" si="142"/>
        <v>10001385.9786835</v>
      </c>
      <c r="CG172" s="124">
        <f t="shared" ca="1" si="196"/>
        <v>33434.169269763901</v>
      </c>
      <c r="CH172" s="123">
        <f t="shared" ca="1" si="197"/>
        <v>28864.802245671781</v>
      </c>
      <c r="CI172" s="121"/>
      <c r="CJ172" s="123">
        <f t="shared" ca="1" si="198"/>
        <v>618945.6974728409</v>
      </c>
      <c r="CK172" s="123">
        <f t="shared" ca="1" si="199"/>
        <v>618945.6974728409</v>
      </c>
      <c r="CL172" s="123">
        <f t="shared" ca="1" si="200"/>
        <v>0</v>
      </c>
      <c r="CM172" s="121"/>
      <c r="CN172" s="62">
        <f t="shared" ca="1" si="201"/>
        <v>281527.85303683626</v>
      </c>
      <c r="CO172" s="62" t="b">
        <f t="shared" si="202"/>
        <v>1</v>
      </c>
      <c r="CP172" s="126">
        <f t="shared" ca="1" si="203"/>
        <v>4.611111111111098E-3</v>
      </c>
      <c r="CQ172" s="120"/>
      <c r="CR172" s="120"/>
      <c r="CS172" s="120"/>
      <c r="CT172" s="120"/>
      <c r="CU172" s="120"/>
      <c r="CV172" s="120"/>
      <c r="CW172" s="120"/>
      <c r="CX172" s="120"/>
      <c r="CY172" s="120"/>
      <c r="CZ172" s="120"/>
      <c r="DA172" s="120"/>
      <c r="DB172" s="120"/>
      <c r="DC172" s="120"/>
      <c r="DD172" s="120"/>
      <c r="DE172" s="116"/>
      <c r="DF172" s="116"/>
      <c r="DG172" s="116"/>
      <c r="DH172" s="116"/>
      <c r="DI172" s="116"/>
      <c r="DJ172" s="116"/>
      <c r="DK172" s="116"/>
      <c r="DL172" s="116"/>
      <c r="DM172" s="116"/>
      <c r="DN172" s="116"/>
    </row>
    <row r="173" spans="1:118" x14ac:dyDescent="0.2">
      <c r="A173" s="27">
        <v>167</v>
      </c>
      <c r="B173" s="29">
        <f t="shared" si="136"/>
        <v>44197</v>
      </c>
      <c r="C173" s="30">
        <f t="shared" si="137"/>
        <v>8.3333333333333329E-2</v>
      </c>
      <c r="D173" s="55"/>
      <c r="E173" s="62">
        <f t="shared" ca="1" si="155"/>
        <v>82106806.387785569</v>
      </c>
      <c r="F173" s="63">
        <f ca="1">IF(AssetIntType1="Fixed",AssetFxdRate1,IF(A173=1,OFFSET(Vectors!$D$6,A173,MATCH(AssetFltIndx1,lstInterestRates,0)),IF(MOD($A173,AssetRateReset1)=0,MAX(MIN(OFFSET(Vectors!$D$6,A173,MATCH(AssetFltIndx1,lstInterestRates,0)),(F172-AssetMarg1)+AssetPdCapFl1,AssetLifeCap1-AssetMarg1),(F172-AssetMarg1)-AssetPdCapFl1,AssetLifeFloor1-AssetMarg1),F172)))+AssetMarg1</f>
        <v>0.09</v>
      </c>
      <c r="G173" s="62">
        <f t="shared" ca="1" si="143"/>
        <v>804622.61694478267</v>
      </c>
      <c r="H173" s="62">
        <f t="shared" ca="1" si="156"/>
        <v>615801.04790839169</v>
      </c>
      <c r="I173" s="62">
        <f t="shared" ca="1" si="157"/>
        <v>188821.56903639098</v>
      </c>
      <c r="J173" s="62">
        <f t="shared" ca="1" si="138"/>
        <v>81917984.818749174</v>
      </c>
      <c r="K173" s="55"/>
      <c r="L173" s="62">
        <f t="shared" ca="1" si="158"/>
        <v>37344076.012057588</v>
      </c>
      <c r="M173" s="68">
        <f ca="1">IF(pdrLossTime1="",OFFSET(Vectors!$AE$6,A173+_Age1,MATCH(SDA_Loss,lstSDA,0)),OFFSET(Vectors!$X$6,A173+_Age1,MATCH(pdrLossTime1,lstDefaultCurve,0)))</f>
        <v>2.7777777777777779E-5</v>
      </c>
      <c r="N173" s="62">
        <f t="shared" ca="1" si="144"/>
        <v>2777.7777777777778</v>
      </c>
      <c r="O173" s="67">
        <f t="shared" ca="1" si="159"/>
        <v>0.81917984818749179</v>
      </c>
      <c r="P173" s="68">
        <f ca="1">OFFSET(Vectors!$L$6,A173+_Age1,MATCH(pdrPrepay1,lstPrepayCurve,0))*pdrPrepayStress1</f>
        <v>5.1430128318229462E-3</v>
      </c>
      <c r="Q173" s="62">
        <f t="shared" ca="1" si="160"/>
        <v>191619.37801993446</v>
      </c>
      <c r="R173" s="62">
        <f t="shared" ca="1" si="161"/>
        <v>85874.032040071659</v>
      </c>
      <c r="S173" s="69">
        <f t="shared" ca="1" si="162"/>
        <v>0.09</v>
      </c>
      <c r="T173" s="62">
        <f t="shared" ca="1" si="163"/>
        <v>280059.73675709858</v>
      </c>
      <c r="U173" s="62">
        <f t="shared" ca="1" si="145"/>
        <v>1111.1111111111111</v>
      </c>
      <c r="V173" s="62">
        <f t="shared" ca="1" si="139"/>
        <v>37063804.824219801</v>
      </c>
      <c r="W173" s="55"/>
      <c r="X173" s="62">
        <f t="shared" ca="1" si="164"/>
        <v>558664.25792821578</v>
      </c>
      <c r="Y173" s="55"/>
      <c r="Z173" s="118" t="b">
        <v>0</v>
      </c>
      <c r="AA173" s="120" t="b">
        <f t="shared" si="146"/>
        <v>0</v>
      </c>
      <c r="AB173" s="120" t="b">
        <f t="shared" si="147"/>
        <v>1</v>
      </c>
      <c r="AC173" s="120" t="b">
        <f t="shared" ca="1" si="148"/>
        <v>0</v>
      </c>
      <c r="AD173" s="121"/>
      <c r="AE173" s="129">
        <v>9653239.5242960732</v>
      </c>
      <c r="AF173" s="69">
        <f ca="1">IF(Swap_Active="No",0,OFFSET(Vectors!$D$6,Vectors!A173,MATCH(Swap_In,lstInterestRates,0)))</f>
        <v>6.9369000000000056E-2</v>
      </c>
      <c r="AG173" s="62">
        <f t="shared" ca="1" si="165"/>
        <v>55802.964380074569</v>
      </c>
      <c r="AH173" s="69">
        <f ca="1">IF(Swap_Active="No",0,OFFSET(Vectors!$D$6,Vectors!A173,MATCH(Swap_Out,lstInterestRates,0)))</f>
        <v>0.04</v>
      </c>
      <c r="AI173" s="62">
        <f t="shared" ca="1" si="166"/>
        <v>32177.465080986909</v>
      </c>
      <c r="AJ173" s="62">
        <f t="shared" ca="1" si="167"/>
        <v>23625.49929908766</v>
      </c>
      <c r="AK173" s="62">
        <f t="shared" ca="1" si="168"/>
        <v>582289.75722730346</v>
      </c>
      <c r="AL173" s="121"/>
      <c r="AM173" s="123">
        <f t="shared" ca="1" si="149"/>
        <v>62240.12668676264</v>
      </c>
      <c r="AN173" s="124">
        <f t="shared" ca="1" si="169"/>
        <v>62240.12668676264</v>
      </c>
      <c r="AO173" s="125">
        <f t="shared" ca="1" si="170"/>
        <v>0</v>
      </c>
      <c r="AP173" s="123">
        <f t="shared" ca="1" si="171"/>
        <v>520049.63054054079</v>
      </c>
      <c r="AQ173" s="121"/>
      <c r="AR173" s="126">
        <f ca="1">IF(LiabIntType1="Fixed",LiabFxdRate1,OFFSET(Vectors!$D$6,Vectors!A173,MATCH(LiabLoanIndex1,lstInterestRates,0))+LiabMarg1)</f>
        <v>7.9369000000000051E-2</v>
      </c>
      <c r="AS173" s="122">
        <f t="shared" ca="1" si="172"/>
        <v>0</v>
      </c>
      <c r="AT173" s="124">
        <f t="shared" ca="1" si="173"/>
        <v>0</v>
      </c>
      <c r="AU173" s="123">
        <f t="shared" ca="1" si="174"/>
        <v>0</v>
      </c>
      <c r="AV173" s="123">
        <f t="shared" ca="1" si="150"/>
        <v>0</v>
      </c>
      <c r="AW173" s="123">
        <f t="shared" ca="1" si="175"/>
        <v>0</v>
      </c>
      <c r="AX173" s="124">
        <f t="shared" ca="1" si="176"/>
        <v>520049.63054054079</v>
      </c>
      <c r="AY173" s="121"/>
      <c r="AZ173" s="122">
        <f t="shared" ca="1" si="151"/>
        <v>0</v>
      </c>
      <c r="BA173" s="124">
        <f t="shared" ca="1" si="177"/>
        <v>0</v>
      </c>
      <c r="BB173" s="123">
        <f t="shared" ca="1" si="178"/>
        <v>0</v>
      </c>
      <c r="BC173" s="123">
        <f t="shared" ca="1" si="152"/>
        <v>0</v>
      </c>
      <c r="BD173" s="123">
        <f t="shared" ca="1" si="179"/>
        <v>0</v>
      </c>
      <c r="BE173" s="124">
        <f t="shared" ca="1" si="180"/>
        <v>520049.63054054079</v>
      </c>
      <c r="BF173" s="121"/>
      <c r="BG173" s="123">
        <f t="shared" si="153"/>
        <v>1000000</v>
      </c>
      <c r="BH173" s="123">
        <f t="shared" ca="1" si="181"/>
        <v>1000000</v>
      </c>
      <c r="BI173" s="123">
        <f t="shared" ca="1" si="182"/>
        <v>0</v>
      </c>
      <c r="BJ173" s="123">
        <f t="shared" ca="1" si="183"/>
        <v>0</v>
      </c>
      <c r="BK173" s="123">
        <f t="shared" ca="1" si="140"/>
        <v>1000000</v>
      </c>
      <c r="BL173" s="123">
        <f t="shared" ca="1" si="184"/>
        <v>520049.63054054079</v>
      </c>
      <c r="BM173" s="121"/>
      <c r="BN173" s="126">
        <f ca="1">IF(LiabIntType2="Fixed",LiabFxdRate2,OFFSET(Vectors!$D$6,Vectors!A173,MATCH(LiabLoanIndex2,lstInterestRates,0))+LiabMarg2)</f>
        <v>0.04</v>
      </c>
      <c r="BO173" s="122">
        <f t="shared" ca="1" si="185"/>
        <v>33337.95326227833</v>
      </c>
      <c r="BP173" s="124">
        <f t="shared" ca="1" si="186"/>
        <v>33337.95326227833</v>
      </c>
      <c r="BQ173" s="123">
        <f t="shared" ca="1" si="187"/>
        <v>0</v>
      </c>
      <c r="BR173" s="123">
        <f t="shared" ca="1" si="188"/>
        <v>486711.67727826245</v>
      </c>
      <c r="BS173" s="121"/>
      <c r="BT173" s="123">
        <f t="shared" ca="1" si="154"/>
        <v>28735.957472167545</v>
      </c>
      <c r="BU173" s="123">
        <f t="shared" ca="1" si="189"/>
        <v>28735.957472167545</v>
      </c>
      <c r="BV173" s="123">
        <f t="shared" ca="1" si="190"/>
        <v>0</v>
      </c>
      <c r="BW173" s="123">
        <f t="shared" ca="1" si="191"/>
        <v>457975.71980609489</v>
      </c>
      <c r="BX173" s="121"/>
      <c r="BY173" s="123">
        <f t="shared" si="192"/>
        <v>0</v>
      </c>
      <c r="BZ173" s="123">
        <f t="shared" ca="1" si="193"/>
        <v>457975.71980609489</v>
      </c>
      <c r="CA173" s="121"/>
      <c r="CB173" s="122">
        <f t="shared" ca="1" si="141"/>
        <v>0</v>
      </c>
      <c r="CC173" s="122">
        <f t="shared" ca="1" si="194"/>
        <v>0</v>
      </c>
      <c r="CD173" s="124">
        <f t="shared" ca="1" si="195"/>
        <v>0</v>
      </c>
      <c r="CE173" s="121"/>
      <c r="CF173" s="122">
        <f t="shared" ca="1" si="142"/>
        <v>9972650.0212113317</v>
      </c>
      <c r="CG173" s="124">
        <f t="shared" ca="1" si="196"/>
        <v>33337.95326227833</v>
      </c>
      <c r="CH173" s="123">
        <f t="shared" ca="1" si="197"/>
        <v>28735.957472167545</v>
      </c>
      <c r="CI173" s="121"/>
      <c r="CJ173" s="123">
        <f t="shared" ca="1" si="198"/>
        <v>614467.22230829031</v>
      </c>
      <c r="CK173" s="123">
        <f t="shared" ca="1" si="199"/>
        <v>614467.22230829031</v>
      </c>
      <c r="CL173" s="123">
        <f t="shared" ca="1" si="200"/>
        <v>0</v>
      </c>
      <c r="CM173" s="121"/>
      <c r="CN173" s="62">
        <f t="shared" ca="1" si="201"/>
        <v>280271.18783778389</v>
      </c>
      <c r="CO173" s="62" t="b">
        <f t="shared" si="202"/>
        <v>1</v>
      </c>
      <c r="CP173" s="126">
        <f t="shared" ca="1" si="203"/>
        <v>4.6388888888888756E-3</v>
      </c>
      <c r="CQ173" s="120"/>
      <c r="CR173" s="120"/>
      <c r="CS173" s="120"/>
      <c r="CT173" s="120"/>
      <c r="CU173" s="120"/>
      <c r="CV173" s="120"/>
      <c r="CW173" s="120"/>
      <c r="CX173" s="120"/>
      <c r="CY173" s="120"/>
      <c r="CZ173" s="120"/>
      <c r="DA173" s="120"/>
      <c r="DB173" s="120"/>
      <c r="DC173" s="120"/>
      <c r="DD173" s="120"/>
      <c r="DE173" s="116"/>
      <c r="DF173" s="116"/>
      <c r="DG173" s="116"/>
      <c r="DH173" s="116"/>
      <c r="DI173" s="116"/>
      <c r="DJ173" s="116"/>
      <c r="DK173" s="116"/>
      <c r="DL173" s="116"/>
      <c r="DM173" s="116"/>
      <c r="DN173" s="116"/>
    </row>
    <row r="174" spans="1:118" x14ac:dyDescent="0.2">
      <c r="A174" s="27">
        <v>168</v>
      </c>
      <c r="B174" s="29">
        <f t="shared" si="136"/>
        <v>44228</v>
      </c>
      <c r="C174" s="30">
        <f t="shared" si="137"/>
        <v>8.3333333333333329E-2</v>
      </c>
      <c r="D174" s="55"/>
      <c r="E174" s="62">
        <f t="shared" ca="1" si="155"/>
        <v>81917984.818749174</v>
      </c>
      <c r="F174" s="63">
        <f ca="1">IF(AssetIntType1="Fixed",AssetFxdRate1,IF(A174=1,OFFSET(Vectors!$D$6,A174,MATCH(AssetFltIndx1,lstInterestRates,0)),IF(MOD($A174,AssetRateReset1)=0,MAX(MIN(OFFSET(Vectors!$D$6,A174,MATCH(AssetFltIndx1,lstInterestRates,0)),(F173-AssetMarg1)+AssetPdCapFl1,AssetLifeCap1-AssetMarg1),(F173-AssetMarg1)-AssetPdCapFl1,AssetLifeFloor1-AssetMarg1),F173)))+AssetMarg1</f>
        <v>0.09</v>
      </c>
      <c r="G174" s="62">
        <f t="shared" ca="1" si="143"/>
        <v>804622.61694478267</v>
      </c>
      <c r="H174" s="62">
        <f t="shared" ca="1" si="156"/>
        <v>614384.88614061882</v>
      </c>
      <c r="I174" s="62">
        <f t="shared" ca="1" si="157"/>
        <v>190237.73080416385</v>
      </c>
      <c r="J174" s="62">
        <f t="shared" ca="1" si="138"/>
        <v>81727747.087945014</v>
      </c>
      <c r="K174" s="55"/>
      <c r="L174" s="62">
        <f t="shared" ca="1" si="158"/>
        <v>37063804.824219801</v>
      </c>
      <c r="M174" s="68">
        <f ca="1">IF(pdrLossTime1="",OFFSET(Vectors!$AE$6,A174+_Age1,MATCH(SDA_Loss,lstSDA,0)),OFFSET(Vectors!$X$6,A174+_Age1,MATCH(pdrLossTime1,lstDefaultCurve,0)))</f>
        <v>2.7777777777777779E-5</v>
      </c>
      <c r="N174" s="62">
        <f t="shared" ca="1" si="144"/>
        <v>2777.7777777777778</v>
      </c>
      <c r="O174" s="67">
        <f t="shared" ca="1" si="159"/>
        <v>0.81727747087945013</v>
      </c>
      <c r="P174" s="68">
        <f ca="1">OFFSET(Vectors!$L$6,A174+_Age1,MATCH(pdrPrepay1,lstPrepayCurve,0))*pdrPrepayStress1</f>
        <v>5.1430128318229462E-3</v>
      </c>
      <c r="Q174" s="62">
        <f t="shared" ca="1" si="160"/>
        <v>190176.94879798603</v>
      </c>
      <c r="R174" s="62">
        <f t="shared" ca="1" si="161"/>
        <v>86066.639727365298</v>
      </c>
      <c r="S174" s="69">
        <f t="shared" ca="1" si="162"/>
        <v>0.09</v>
      </c>
      <c r="T174" s="62">
        <f t="shared" ca="1" si="163"/>
        <v>277957.70284831518</v>
      </c>
      <c r="U174" s="62">
        <f t="shared" ca="1" si="145"/>
        <v>1111.1111111111111</v>
      </c>
      <c r="V174" s="62">
        <f t="shared" ca="1" si="139"/>
        <v>36784783.45791667</v>
      </c>
      <c r="W174" s="55"/>
      <c r="X174" s="62">
        <f t="shared" ca="1" si="164"/>
        <v>555312.40248477762</v>
      </c>
      <c r="Y174" s="55"/>
      <c r="Z174" s="118" t="b">
        <v>0</v>
      </c>
      <c r="AA174" s="120" t="b">
        <f t="shared" si="146"/>
        <v>0</v>
      </c>
      <c r="AB174" s="120" t="b">
        <f t="shared" si="147"/>
        <v>1</v>
      </c>
      <c r="AC174" s="120" t="b">
        <f t="shared" ca="1" si="148"/>
        <v>0</v>
      </c>
      <c r="AD174" s="121"/>
      <c r="AE174" s="129">
        <v>9463173.9571400937</v>
      </c>
      <c r="AF174" s="69">
        <f ca="1">IF(Swap_Active="No",0,OFFSET(Vectors!$D$6,Vectors!A174,MATCH(Swap_In,lstInterestRates,0)))</f>
        <v>6.9369000000000056E-2</v>
      </c>
      <c r="AG174" s="62">
        <f t="shared" ca="1" si="165"/>
        <v>54704.24285273764</v>
      </c>
      <c r="AH174" s="69">
        <f ca="1">IF(Swap_Active="No",0,OFFSET(Vectors!$D$6,Vectors!A174,MATCH(Swap_Out,lstInterestRates,0)))</f>
        <v>0.04</v>
      </c>
      <c r="AI174" s="62">
        <f t="shared" ca="1" si="166"/>
        <v>31543.913190466978</v>
      </c>
      <c r="AJ174" s="62">
        <f t="shared" ca="1" si="167"/>
        <v>23160.329662270662</v>
      </c>
      <c r="AK174" s="62">
        <f t="shared" ca="1" si="168"/>
        <v>578472.73214704823</v>
      </c>
      <c r="AL174" s="121"/>
      <c r="AM174" s="123">
        <f t="shared" ca="1" si="149"/>
        <v>61773.008040366331</v>
      </c>
      <c r="AN174" s="124">
        <f t="shared" ca="1" si="169"/>
        <v>61773.008040366331</v>
      </c>
      <c r="AO174" s="125">
        <f t="shared" ca="1" si="170"/>
        <v>0</v>
      </c>
      <c r="AP174" s="123">
        <f t="shared" ca="1" si="171"/>
        <v>516699.72410668188</v>
      </c>
      <c r="AQ174" s="121"/>
      <c r="AR174" s="126">
        <f ca="1">IF(LiabIntType1="Fixed",LiabFxdRate1,OFFSET(Vectors!$D$6,Vectors!A174,MATCH(LiabLoanIndex1,lstInterestRates,0))+LiabMarg1)</f>
        <v>7.9369000000000051E-2</v>
      </c>
      <c r="AS174" s="122">
        <f t="shared" ca="1" si="172"/>
        <v>0</v>
      </c>
      <c r="AT174" s="124">
        <f t="shared" ca="1" si="173"/>
        <v>0</v>
      </c>
      <c r="AU174" s="123">
        <f t="shared" ca="1" si="174"/>
        <v>0</v>
      </c>
      <c r="AV174" s="123">
        <f t="shared" ca="1" si="150"/>
        <v>0</v>
      </c>
      <c r="AW174" s="123">
        <f t="shared" ca="1" si="175"/>
        <v>0</v>
      </c>
      <c r="AX174" s="124">
        <f t="shared" ca="1" si="176"/>
        <v>516699.72410668188</v>
      </c>
      <c r="AY174" s="121"/>
      <c r="AZ174" s="122">
        <f t="shared" ca="1" si="151"/>
        <v>0</v>
      </c>
      <c r="BA174" s="124">
        <f t="shared" ca="1" si="177"/>
        <v>0</v>
      </c>
      <c r="BB174" s="123">
        <f t="shared" ca="1" si="178"/>
        <v>0</v>
      </c>
      <c r="BC174" s="123">
        <f t="shared" ca="1" si="152"/>
        <v>0</v>
      </c>
      <c r="BD174" s="123">
        <f t="shared" ca="1" si="179"/>
        <v>0</v>
      </c>
      <c r="BE174" s="124">
        <f t="shared" ca="1" si="180"/>
        <v>516699.72410668188</v>
      </c>
      <c r="BF174" s="121"/>
      <c r="BG174" s="123">
        <f t="shared" si="153"/>
        <v>1000000</v>
      </c>
      <c r="BH174" s="123">
        <f t="shared" ca="1" si="181"/>
        <v>1000000</v>
      </c>
      <c r="BI174" s="123">
        <f t="shared" ca="1" si="182"/>
        <v>0</v>
      </c>
      <c r="BJ174" s="123">
        <f t="shared" ca="1" si="183"/>
        <v>0</v>
      </c>
      <c r="BK174" s="123">
        <f t="shared" ca="1" si="140"/>
        <v>1000000</v>
      </c>
      <c r="BL174" s="123">
        <f t="shared" ca="1" si="184"/>
        <v>516699.72410668188</v>
      </c>
      <c r="BM174" s="121"/>
      <c r="BN174" s="126">
        <f ca="1">IF(LiabIntType2="Fixed",LiabFxdRate2,OFFSET(Vectors!$D$6,Vectors!A174,MATCH(LiabLoanIndex2,lstInterestRates,0))+LiabMarg2)</f>
        <v>0.04</v>
      </c>
      <c r="BO174" s="122">
        <f t="shared" ca="1" si="185"/>
        <v>33242.166737371102</v>
      </c>
      <c r="BP174" s="124">
        <f t="shared" ca="1" si="186"/>
        <v>33242.166737371102</v>
      </c>
      <c r="BQ174" s="123">
        <f t="shared" ca="1" si="187"/>
        <v>0</v>
      </c>
      <c r="BR174" s="123">
        <f t="shared" ca="1" si="188"/>
        <v>483457.55736931076</v>
      </c>
      <c r="BS174" s="121"/>
      <c r="BT174" s="123">
        <f t="shared" ca="1" si="154"/>
        <v>28607.814373532572</v>
      </c>
      <c r="BU174" s="123">
        <f t="shared" ca="1" si="189"/>
        <v>28607.814373532572</v>
      </c>
      <c r="BV174" s="123">
        <f t="shared" ca="1" si="190"/>
        <v>0</v>
      </c>
      <c r="BW174" s="123">
        <f t="shared" ca="1" si="191"/>
        <v>454849.74299577822</v>
      </c>
      <c r="BX174" s="121"/>
      <c r="BY174" s="123">
        <f t="shared" si="192"/>
        <v>0</v>
      </c>
      <c r="BZ174" s="123">
        <f t="shared" ca="1" si="193"/>
        <v>454849.74299577822</v>
      </c>
      <c r="CA174" s="121"/>
      <c r="CB174" s="122">
        <f t="shared" ca="1" si="141"/>
        <v>0</v>
      </c>
      <c r="CC174" s="122">
        <f t="shared" ca="1" si="194"/>
        <v>0</v>
      </c>
      <c r="CD174" s="124">
        <f t="shared" ca="1" si="195"/>
        <v>0</v>
      </c>
      <c r="CE174" s="121"/>
      <c r="CF174" s="122">
        <f t="shared" ca="1" si="142"/>
        <v>9944042.2068377994</v>
      </c>
      <c r="CG174" s="124">
        <f t="shared" ca="1" si="196"/>
        <v>33242.166737371102</v>
      </c>
      <c r="CH174" s="123">
        <f t="shared" ca="1" si="197"/>
        <v>28607.814373532572</v>
      </c>
      <c r="CI174" s="121"/>
      <c r="CJ174" s="123">
        <f t="shared" ca="1" si="198"/>
        <v>610016.64533751528</v>
      </c>
      <c r="CK174" s="123">
        <f t="shared" ca="1" si="199"/>
        <v>610016.64533751516</v>
      </c>
      <c r="CL174" s="123">
        <f t="shared" ca="1" si="200"/>
        <v>0</v>
      </c>
      <c r="CM174" s="121"/>
      <c r="CN174" s="62">
        <f t="shared" ca="1" si="201"/>
        <v>279021.36630312912</v>
      </c>
      <c r="CO174" s="62" t="b">
        <f t="shared" si="202"/>
        <v>1</v>
      </c>
      <c r="CP174" s="126">
        <f t="shared" ca="1" si="203"/>
        <v>4.6666666666666532E-3</v>
      </c>
      <c r="CQ174" s="120"/>
      <c r="CR174" s="120"/>
      <c r="CS174" s="120"/>
      <c r="CT174" s="120"/>
      <c r="CU174" s="120"/>
      <c r="CV174" s="120"/>
      <c r="CW174" s="120"/>
      <c r="CX174" s="120"/>
      <c r="CY174" s="120"/>
      <c r="CZ174" s="120"/>
      <c r="DA174" s="120"/>
      <c r="DB174" s="120"/>
      <c r="DC174" s="120"/>
      <c r="DD174" s="120"/>
      <c r="DE174" s="116"/>
      <c r="DF174" s="116"/>
      <c r="DG174" s="116"/>
      <c r="DH174" s="116"/>
      <c r="DI174" s="116"/>
      <c r="DJ174" s="116"/>
      <c r="DK174" s="116"/>
      <c r="DL174" s="116"/>
      <c r="DM174" s="116"/>
      <c r="DN174" s="116"/>
    </row>
    <row r="175" spans="1:118" x14ac:dyDescent="0.2">
      <c r="A175" s="27">
        <v>169</v>
      </c>
      <c r="B175" s="29">
        <f t="shared" si="136"/>
        <v>44256</v>
      </c>
      <c r="C175" s="30">
        <f t="shared" si="137"/>
        <v>8.3333333333333329E-2</v>
      </c>
      <c r="D175" s="55"/>
      <c r="E175" s="62">
        <f t="shared" ca="1" si="155"/>
        <v>81727747.087945014</v>
      </c>
      <c r="F175" s="63">
        <f ca="1">IF(AssetIntType1="Fixed",AssetFxdRate1,IF(A175=1,OFFSET(Vectors!$D$6,A175,MATCH(AssetFltIndx1,lstInterestRates,0)),IF(MOD($A175,AssetRateReset1)=0,MAX(MIN(OFFSET(Vectors!$D$6,A175,MATCH(AssetFltIndx1,lstInterestRates,0)),(F174-AssetMarg1)+AssetPdCapFl1,AssetLifeCap1-AssetMarg1),(F174-AssetMarg1)-AssetPdCapFl1,AssetLifeFloor1-AssetMarg1),F174)))+AssetMarg1</f>
        <v>0.09</v>
      </c>
      <c r="G175" s="62">
        <f t="shared" ca="1" si="143"/>
        <v>804622.61694478267</v>
      </c>
      <c r="H175" s="62">
        <f t="shared" ca="1" si="156"/>
        <v>612958.1031595876</v>
      </c>
      <c r="I175" s="62">
        <f t="shared" ca="1" si="157"/>
        <v>191664.51378519507</v>
      </c>
      <c r="J175" s="62">
        <f t="shared" ca="1" si="138"/>
        <v>81536082.574159816</v>
      </c>
      <c r="K175" s="55"/>
      <c r="L175" s="62">
        <f t="shared" ca="1" si="158"/>
        <v>36784783.45791667</v>
      </c>
      <c r="M175" s="68">
        <f ca="1">IF(pdrLossTime1="",OFFSET(Vectors!$AE$6,A175+_Age1,MATCH(SDA_Loss,lstSDA,0)),OFFSET(Vectors!$X$6,A175+_Age1,MATCH(pdrLossTime1,lstDefaultCurve,0)))</f>
        <v>2.7777777777777779E-5</v>
      </c>
      <c r="N175" s="62">
        <f t="shared" ca="1" si="144"/>
        <v>2777.7777777777778</v>
      </c>
      <c r="O175" s="67">
        <f t="shared" ca="1" si="159"/>
        <v>0.81536082574159818</v>
      </c>
      <c r="P175" s="68">
        <f ca="1">OFFSET(Vectors!$L$6,A175+_Age1,MATCH(pdrPrepay1,lstPrepayCurve,0))*pdrPrepayStress1</f>
        <v>5.1430128318229462E-3</v>
      </c>
      <c r="Q175" s="62">
        <f t="shared" ca="1" si="160"/>
        <v>188740.94545201716</v>
      </c>
      <c r="R175" s="62">
        <f t="shared" ca="1" si="161"/>
        <v>86259.630124663439</v>
      </c>
      <c r="S175" s="69">
        <f t="shared" ca="1" si="162"/>
        <v>0.09</v>
      </c>
      <c r="T175" s="62">
        <f t="shared" ca="1" si="163"/>
        <v>275865.04260104167</v>
      </c>
      <c r="U175" s="62">
        <f t="shared" ca="1" si="145"/>
        <v>1111.1111111111111</v>
      </c>
      <c r="V175" s="62">
        <f t="shared" ca="1" si="139"/>
        <v>36507005.104562208</v>
      </c>
      <c r="W175" s="55"/>
      <c r="X175" s="62">
        <f t="shared" ca="1" si="164"/>
        <v>551976.72928883333</v>
      </c>
      <c r="Y175" s="55"/>
      <c r="Z175" s="118" t="b">
        <v>0</v>
      </c>
      <c r="AA175" s="120" t="b">
        <f t="shared" si="146"/>
        <v>0</v>
      </c>
      <c r="AB175" s="120" t="b">
        <f t="shared" si="147"/>
        <v>1</v>
      </c>
      <c r="AC175" s="120" t="b">
        <f t="shared" ca="1" si="148"/>
        <v>0</v>
      </c>
      <c r="AD175" s="121"/>
      <c r="AE175" s="129">
        <v>9275099.8081313316</v>
      </c>
      <c r="AF175" s="69">
        <f ca="1">IF(Swap_Active="No",0,OFFSET(Vectors!$D$6,Vectors!A175,MATCH(Swap_In,lstInterestRates,0)))</f>
        <v>6.9369000000000056E-2</v>
      </c>
      <c r="AG175" s="62">
        <f t="shared" ca="1" si="165"/>
        <v>53617.033215855234</v>
      </c>
      <c r="AH175" s="69">
        <f ca="1">IF(Swap_Active="No",0,OFFSET(Vectors!$D$6,Vectors!A175,MATCH(Swap_Out,lstInterestRates,0)))</f>
        <v>0.04</v>
      </c>
      <c r="AI175" s="62">
        <f t="shared" ca="1" si="166"/>
        <v>30916.999360437771</v>
      </c>
      <c r="AJ175" s="62">
        <f t="shared" ca="1" si="167"/>
        <v>22700.033855417463</v>
      </c>
      <c r="AK175" s="62">
        <f t="shared" ca="1" si="168"/>
        <v>574676.76314425084</v>
      </c>
      <c r="AL175" s="121"/>
      <c r="AM175" s="123">
        <f t="shared" ca="1" si="149"/>
        <v>61307.972429861111</v>
      </c>
      <c r="AN175" s="124">
        <f t="shared" ca="1" si="169"/>
        <v>61307.972429861111</v>
      </c>
      <c r="AO175" s="125">
        <f t="shared" ca="1" si="170"/>
        <v>0</v>
      </c>
      <c r="AP175" s="123">
        <f t="shared" ca="1" si="171"/>
        <v>513368.79071438976</v>
      </c>
      <c r="AQ175" s="121"/>
      <c r="AR175" s="126">
        <f ca="1">IF(LiabIntType1="Fixed",LiabFxdRate1,OFFSET(Vectors!$D$6,Vectors!A175,MATCH(LiabLoanIndex1,lstInterestRates,0))+LiabMarg1)</f>
        <v>7.9369000000000051E-2</v>
      </c>
      <c r="AS175" s="122">
        <f t="shared" ca="1" si="172"/>
        <v>0</v>
      </c>
      <c r="AT175" s="124">
        <f t="shared" ca="1" si="173"/>
        <v>0</v>
      </c>
      <c r="AU175" s="123">
        <f t="shared" ca="1" si="174"/>
        <v>0</v>
      </c>
      <c r="AV175" s="123">
        <f t="shared" ca="1" si="150"/>
        <v>0</v>
      </c>
      <c r="AW175" s="123">
        <f t="shared" ca="1" si="175"/>
        <v>0</v>
      </c>
      <c r="AX175" s="124">
        <f t="shared" ca="1" si="176"/>
        <v>513368.79071438976</v>
      </c>
      <c r="AY175" s="121"/>
      <c r="AZ175" s="122">
        <f t="shared" ca="1" si="151"/>
        <v>0</v>
      </c>
      <c r="BA175" s="124">
        <f t="shared" ca="1" si="177"/>
        <v>0</v>
      </c>
      <c r="BB175" s="123">
        <f t="shared" ca="1" si="178"/>
        <v>0</v>
      </c>
      <c r="BC175" s="123">
        <f t="shared" ca="1" si="152"/>
        <v>0</v>
      </c>
      <c r="BD175" s="123">
        <f t="shared" ca="1" si="179"/>
        <v>0</v>
      </c>
      <c r="BE175" s="124">
        <f t="shared" ca="1" si="180"/>
        <v>513368.79071438976</v>
      </c>
      <c r="BF175" s="121"/>
      <c r="BG175" s="123">
        <f t="shared" si="153"/>
        <v>1000000</v>
      </c>
      <c r="BH175" s="123">
        <f t="shared" ca="1" si="181"/>
        <v>1000000</v>
      </c>
      <c r="BI175" s="123">
        <f t="shared" ca="1" si="182"/>
        <v>0</v>
      </c>
      <c r="BJ175" s="123">
        <f t="shared" ca="1" si="183"/>
        <v>0</v>
      </c>
      <c r="BK175" s="123">
        <f t="shared" ca="1" si="140"/>
        <v>1000000</v>
      </c>
      <c r="BL175" s="123">
        <f t="shared" ca="1" si="184"/>
        <v>513368.79071438976</v>
      </c>
      <c r="BM175" s="121"/>
      <c r="BN175" s="126">
        <f ca="1">IF(LiabIntType2="Fixed",LiabFxdRate2,OFFSET(Vectors!$D$6,Vectors!A175,MATCH(LiabLoanIndex2,lstInterestRates,0))+LiabMarg2)</f>
        <v>0.04</v>
      </c>
      <c r="BO175" s="122">
        <f t="shared" ca="1" si="185"/>
        <v>33146.807356125995</v>
      </c>
      <c r="BP175" s="124">
        <f t="shared" ca="1" si="186"/>
        <v>33146.807356125995</v>
      </c>
      <c r="BQ175" s="123">
        <f t="shared" ca="1" si="187"/>
        <v>0</v>
      </c>
      <c r="BR175" s="123">
        <f t="shared" ca="1" si="188"/>
        <v>480221.98335826374</v>
      </c>
      <c r="BS175" s="121"/>
      <c r="BT175" s="123">
        <f t="shared" ca="1" si="154"/>
        <v>28480.369353208076</v>
      </c>
      <c r="BU175" s="123">
        <f t="shared" ca="1" si="189"/>
        <v>28480.369353208076</v>
      </c>
      <c r="BV175" s="123">
        <f t="shared" ca="1" si="190"/>
        <v>0</v>
      </c>
      <c r="BW175" s="123">
        <f t="shared" ca="1" si="191"/>
        <v>451741.61400505569</v>
      </c>
      <c r="BX175" s="121"/>
      <c r="BY175" s="123">
        <f t="shared" si="192"/>
        <v>0</v>
      </c>
      <c r="BZ175" s="123">
        <f t="shared" ca="1" si="193"/>
        <v>451741.61400505569</v>
      </c>
      <c r="CA175" s="121"/>
      <c r="CB175" s="122">
        <f t="shared" ca="1" si="141"/>
        <v>0</v>
      </c>
      <c r="CC175" s="122">
        <f t="shared" ca="1" si="194"/>
        <v>0</v>
      </c>
      <c r="CD175" s="124">
        <f t="shared" ca="1" si="195"/>
        <v>0</v>
      </c>
      <c r="CE175" s="121"/>
      <c r="CF175" s="122">
        <f t="shared" ca="1" si="142"/>
        <v>9915561.8374845907</v>
      </c>
      <c r="CG175" s="124">
        <f t="shared" ca="1" si="196"/>
        <v>33146.807356125995</v>
      </c>
      <c r="CH175" s="123">
        <f t="shared" ca="1" si="197"/>
        <v>28480.369353208076</v>
      </c>
      <c r="CI175" s="121"/>
      <c r="CJ175" s="123">
        <f t="shared" ca="1" si="198"/>
        <v>605593.76250468858</v>
      </c>
      <c r="CK175" s="123">
        <f t="shared" ca="1" si="199"/>
        <v>605593.7625046887</v>
      </c>
      <c r="CL175" s="123">
        <f t="shared" ca="1" si="200"/>
        <v>0</v>
      </c>
      <c r="CM175" s="121"/>
      <c r="CN175" s="62">
        <f t="shared" ca="1" si="201"/>
        <v>277778.35335445835</v>
      </c>
      <c r="CO175" s="62" t="b">
        <f t="shared" si="202"/>
        <v>1</v>
      </c>
      <c r="CP175" s="126">
        <f t="shared" ca="1" si="203"/>
        <v>4.6944444444444308E-3</v>
      </c>
      <c r="CQ175" s="120"/>
      <c r="CR175" s="120"/>
      <c r="CS175" s="120"/>
      <c r="CT175" s="120"/>
      <c r="CU175" s="120"/>
      <c r="CV175" s="120"/>
      <c r="CW175" s="120"/>
      <c r="CX175" s="120"/>
      <c r="CY175" s="120"/>
      <c r="CZ175" s="120"/>
      <c r="DA175" s="120"/>
      <c r="DB175" s="120"/>
      <c r="DC175" s="120"/>
      <c r="DD175" s="120"/>
      <c r="DE175" s="116"/>
      <c r="DF175" s="116"/>
      <c r="DG175" s="116"/>
      <c r="DH175" s="116"/>
      <c r="DI175" s="116"/>
      <c r="DJ175" s="116"/>
      <c r="DK175" s="116"/>
      <c r="DL175" s="116"/>
      <c r="DM175" s="116"/>
      <c r="DN175" s="116"/>
    </row>
    <row r="176" spans="1:118" x14ac:dyDescent="0.2">
      <c r="A176" s="27">
        <v>170</v>
      </c>
      <c r="B176" s="29">
        <f t="shared" si="136"/>
        <v>44287</v>
      </c>
      <c r="C176" s="30">
        <f t="shared" si="137"/>
        <v>8.3333333333333329E-2</v>
      </c>
      <c r="D176" s="55"/>
      <c r="E176" s="62">
        <f t="shared" ca="1" si="155"/>
        <v>81536082.574159816</v>
      </c>
      <c r="F176" s="63">
        <f ca="1">IF(AssetIntType1="Fixed",AssetFxdRate1,IF(A176=1,OFFSET(Vectors!$D$6,A176,MATCH(AssetFltIndx1,lstInterestRates,0)),IF(MOD($A176,AssetRateReset1)=0,MAX(MIN(OFFSET(Vectors!$D$6,A176,MATCH(AssetFltIndx1,lstInterestRates,0)),(F175-AssetMarg1)+AssetPdCapFl1,AssetLifeCap1-AssetMarg1),(F175-AssetMarg1)-AssetPdCapFl1,AssetLifeFloor1-AssetMarg1),F175)))+AssetMarg1</f>
        <v>0.09</v>
      </c>
      <c r="G176" s="62">
        <f t="shared" ca="1" si="143"/>
        <v>804622.61694478267</v>
      </c>
      <c r="H176" s="62">
        <f t="shared" ca="1" si="156"/>
        <v>611520.61930619855</v>
      </c>
      <c r="I176" s="62">
        <f t="shared" ca="1" si="157"/>
        <v>193101.99763858411</v>
      </c>
      <c r="J176" s="62">
        <f t="shared" ca="1" si="138"/>
        <v>81342980.576521233</v>
      </c>
      <c r="K176" s="55"/>
      <c r="L176" s="62">
        <f t="shared" ca="1" si="158"/>
        <v>36507005.104562208</v>
      </c>
      <c r="M176" s="68">
        <f ca="1">IF(pdrLossTime1="",OFFSET(Vectors!$AE$6,A176+_Age1,MATCH(SDA_Loss,lstSDA,0)),OFFSET(Vectors!$X$6,A176+_Age1,MATCH(pdrLossTime1,lstDefaultCurve,0)))</f>
        <v>2.7777777777777779E-5</v>
      </c>
      <c r="N176" s="62">
        <f t="shared" ca="1" si="144"/>
        <v>2777.7777777777778</v>
      </c>
      <c r="O176" s="67">
        <f t="shared" ca="1" si="159"/>
        <v>0.81342980576521229</v>
      </c>
      <c r="P176" s="68">
        <f ca="1">OFFSET(Vectors!$L$6,A176+_Age1,MATCH(pdrPrepay1,lstPrepayCurve,0))*pdrPrepayStress1</f>
        <v>5.1430128318229462E-3</v>
      </c>
      <c r="Q176" s="62">
        <f t="shared" ca="1" si="160"/>
        <v>187311.33296476802</v>
      </c>
      <c r="R176" s="62">
        <f t="shared" ca="1" si="161"/>
        <v>86453.003339276911</v>
      </c>
      <c r="S176" s="69">
        <f t="shared" ca="1" si="162"/>
        <v>0.09</v>
      </c>
      <c r="T176" s="62">
        <f t="shared" ca="1" si="163"/>
        <v>273781.70495088323</v>
      </c>
      <c r="U176" s="62">
        <f t="shared" ca="1" si="145"/>
        <v>1111.1111111111111</v>
      </c>
      <c r="V176" s="62">
        <f t="shared" ca="1" si="139"/>
        <v>36230462.990480386</v>
      </c>
      <c r="W176" s="55"/>
      <c r="X176" s="62">
        <f t="shared" ca="1" si="164"/>
        <v>548657.15236603923</v>
      </c>
      <c r="Y176" s="55"/>
      <c r="Z176" s="118" t="b">
        <v>0</v>
      </c>
      <c r="AA176" s="120" t="b">
        <f t="shared" si="146"/>
        <v>0</v>
      </c>
      <c r="AB176" s="120" t="b">
        <f t="shared" si="147"/>
        <v>1</v>
      </c>
      <c r="AC176" s="120" t="b">
        <f t="shared" ca="1" si="148"/>
        <v>0</v>
      </c>
      <c r="AD176" s="121"/>
      <c r="AE176" s="129">
        <v>9086918.4817883112</v>
      </c>
      <c r="AF176" s="69">
        <f ca="1">IF(Swap_Active="No",0,OFFSET(Vectors!$D$6,Vectors!A176,MATCH(Swap_In,lstInterestRates,0)))</f>
        <v>6.9369000000000056E-2</v>
      </c>
      <c r="AG176" s="62">
        <f t="shared" ca="1" si="165"/>
        <v>52529.204013597817</v>
      </c>
      <c r="AH176" s="69">
        <f ca="1">IF(Swap_Active="No",0,OFFSET(Vectors!$D$6,Vectors!A176,MATCH(Swap_Out,lstInterestRates,0)))</f>
        <v>0.04</v>
      </c>
      <c r="AI176" s="62">
        <f t="shared" ca="1" si="166"/>
        <v>30289.728272627704</v>
      </c>
      <c r="AJ176" s="62">
        <f t="shared" ca="1" si="167"/>
        <v>22239.475740970112</v>
      </c>
      <c r="AK176" s="62">
        <f t="shared" ca="1" si="168"/>
        <v>570896.62810700934</v>
      </c>
      <c r="AL176" s="121"/>
      <c r="AM176" s="123">
        <f t="shared" ca="1" si="149"/>
        <v>60845.008507603678</v>
      </c>
      <c r="AN176" s="124">
        <f t="shared" ca="1" si="169"/>
        <v>60845.008507603678</v>
      </c>
      <c r="AO176" s="125">
        <f t="shared" ca="1" si="170"/>
        <v>0</v>
      </c>
      <c r="AP176" s="123">
        <f t="shared" ca="1" si="171"/>
        <v>510051.61959940568</v>
      </c>
      <c r="AQ176" s="121"/>
      <c r="AR176" s="126">
        <f ca="1">IF(LiabIntType1="Fixed",LiabFxdRate1,OFFSET(Vectors!$D$6,Vectors!A176,MATCH(LiabLoanIndex1,lstInterestRates,0))+LiabMarg1)</f>
        <v>7.9369000000000051E-2</v>
      </c>
      <c r="AS176" s="122">
        <f t="shared" ca="1" si="172"/>
        <v>0</v>
      </c>
      <c r="AT176" s="124">
        <f t="shared" ca="1" si="173"/>
        <v>0</v>
      </c>
      <c r="AU176" s="123">
        <f t="shared" ca="1" si="174"/>
        <v>0</v>
      </c>
      <c r="AV176" s="123">
        <f t="shared" ca="1" si="150"/>
        <v>0</v>
      </c>
      <c r="AW176" s="123">
        <f t="shared" ca="1" si="175"/>
        <v>0</v>
      </c>
      <c r="AX176" s="124">
        <f t="shared" ca="1" si="176"/>
        <v>510051.61959940568</v>
      </c>
      <c r="AY176" s="121"/>
      <c r="AZ176" s="122">
        <f t="shared" ca="1" si="151"/>
        <v>0</v>
      </c>
      <c r="BA176" s="124">
        <f t="shared" ca="1" si="177"/>
        <v>0</v>
      </c>
      <c r="BB176" s="123">
        <f t="shared" ca="1" si="178"/>
        <v>0</v>
      </c>
      <c r="BC176" s="123">
        <f t="shared" ca="1" si="152"/>
        <v>0</v>
      </c>
      <c r="BD176" s="123">
        <f t="shared" ca="1" si="179"/>
        <v>0</v>
      </c>
      <c r="BE176" s="124">
        <f t="shared" ca="1" si="180"/>
        <v>510051.61959940568</v>
      </c>
      <c r="BF176" s="121"/>
      <c r="BG176" s="123">
        <f t="shared" si="153"/>
        <v>1000000</v>
      </c>
      <c r="BH176" s="123">
        <f t="shared" ca="1" si="181"/>
        <v>1000000</v>
      </c>
      <c r="BI176" s="123">
        <f t="shared" ca="1" si="182"/>
        <v>0</v>
      </c>
      <c r="BJ176" s="123">
        <f t="shared" ca="1" si="183"/>
        <v>0</v>
      </c>
      <c r="BK176" s="123">
        <f t="shared" ca="1" si="140"/>
        <v>1000000</v>
      </c>
      <c r="BL176" s="123">
        <f t="shared" ca="1" si="184"/>
        <v>510051.61959940568</v>
      </c>
      <c r="BM176" s="121"/>
      <c r="BN176" s="126">
        <f ca="1">IF(LiabIntType2="Fixed",LiabFxdRate2,OFFSET(Vectors!$D$6,Vectors!A176,MATCH(LiabLoanIndex2,lstInterestRates,0))+LiabMarg2)</f>
        <v>0.04</v>
      </c>
      <c r="BO176" s="122">
        <f t="shared" ca="1" si="185"/>
        <v>33051.8727916153</v>
      </c>
      <c r="BP176" s="124">
        <f t="shared" ca="1" si="186"/>
        <v>33051.8727916153</v>
      </c>
      <c r="BQ176" s="123">
        <f t="shared" ca="1" si="187"/>
        <v>0</v>
      </c>
      <c r="BR176" s="123">
        <f t="shared" ca="1" si="188"/>
        <v>476999.74680779036</v>
      </c>
      <c r="BS176" s="121"/>
      <c r="BT176" s="123">
        <f t="shared" ca="1" si="154"/>
        <v>28353.618831907817</v>
      </c>
      <c r="BU176" s="123">
        <f t="shared" ca="1" si="189"/>
        <v>28353.618831907817</v>
      </c>
      <c r="BV176" s="123">
        <f t="shared" ca="1" si="190"/>
        <v>0</v>
      </c>
      <c r="BW176" s="123">
        <f t="shared" ca="1" si="191"/>
        <v>448646.12797588255</v>
      </c>
      <c r="BX176" s="121"/>
      <c r="BY176" s="123">
        <f t="shared" si="192"/>
        <v>0</v>
      </c>
      <c r="BZ176" s="123">
        <f t="shared" ca="1" si="193"/>
        <v>448646.12797588255</v>
      </c>
      <c r="CA176" s="121"/>
      <c r="CB176" s="122">
        <f t="shared" ca="1" si="141"/>
        <v>0</v>
      </c>
      <c r="CC176" s="122">
        <f t="shared" ca="1" si="194"/>
        <v>0</v>
      </c>
      <c r="CD176" s="124">
        <f t="shared" ca="1" si="195"/>
        <v>0</v>
      </c>
      <c r="CE176" s="121"/>
      <c r="CF176" s="122">
        <f t="shared" ca="1" si="142"/>
        <v>9887208.2186526824</v>
      </c>
      <c r="CG176" s="124">
        <f t="shared" ca="1" si="196"/>
        <v>33051.8727916153</v>
      </c>
      <c r="CH176" s="123">
        <f t="shared" ca="1" si="197"/>
        <v>28353.618831907817</v>
      </c>
      <c r="CI176" s="121"/>
      <c r="CJ176" s="123">
        <f t="shared" ca="1" si="198"/>
        <v>601186.35637963703</v>
      </c>
      <c r="CK176" s="123">
        <f t="shared" ca="1" si="199"/>
        <v>601186.35637963703</v>
      </c>
      <c r="CL176" s="123">
        <f t="shared" ca="1" si="200"/>
        <v>0</v>
      </c>
      <c r="CM176" s="121"/>
      <c r="CN176" s="62">
        <f t="shared" ca="1" si="201"/>
        <v>276542.11408182268</v>
      </c>
      <c r="CO176" s="62" t="b">
        <f t="shared" si="202"/>
        <v>1</v>
      </c>
      <c r="CP176" s="126">
        <f t="shared" ca="1" si="203"/>
        <v>4.7222222222222084E-3</v>
      </c>
      <c r="CQ176" s="120"/>
      <c r="CR176" s="120"/>
      <c r="CS176" s="120"/>
      <c r="CT176" s="120"/>
      <c r="CU176" s="120"/>
      <c r="CV176" s="120"/>
      <c r="CW176" s="120"/>
      <c r="CX176" s="120"/>
      <c r="CY176" s="120"/>
      <c r="CZ176" s="120"/>
      <c r="DA176" s="120"/>
      <c r="DB176" s="120"/>
      <c r="DC176" s="120"/>
      <c r="DD176" s="120"/>
      <c r="DE176" s="116"/>
      <c r="DF176" s="116"/>
      <c r="DG176" s="116"/>
      <c r="DH176" s="116"/>
      <c r="DI176" s="116"/>
      <c r="DJ176" s="116"/>
      <c r="DK176" s="116"/>
      <c r="DL176" s="116"/>
      <c r="DM176" s="116"/>
      <c r="DN176" s="116"/>
    </row>
    <row r="177" spans="1:118" x14ac:dyDescent="0.2">
      <c r="A177" s="27">
        <v>171</v>
      </c>
      <c r="B177" s="29">
        <f t="shared" si="136"/>
        <v>44317</v>
      </c>
      <c r="C177" s="30">
        <f t="shared" si="137"/>
        <v>8.3333333333333329E-2</v>
      </c>
      <c r="D177" s="55"/>
      <c r="E177" s="62">
        <f t="shared" ca="1" si="155"/>
        <v>81342980.576521233</v>
      </c>
      <c r="F177" s="63">
        <f ca="1">IF(AssetIntType1="Fixed",AssetFxdRate1,IF(A177=1,OFFSET(Vectors!$D$6,A177,MATCH(AssetFltIndx1,lstInterestRates,0)),IF(MOD($A177,AssetRateReset1)=0,MAX(MIN(OFFSET(Vectors!$D$6,A177,MATCH(AssetFltIndx1,lstInterestRates,0)),(F176-AssetMarg1)+AssetPdCapFl1,AssetLifeCap1-AssetMarg1),(F176-AssetMarg1)-AssetPdCapFl1,AssetLifeFloor1-AssetMarg1),F176)))+AssetMarg1</f>
        <v>0.09</v>
      </c>
      <c r="G177" s="62">
        <f t="shared" ca="1" si="143"/>
        <v>804622.61694478267</v>
      </c>
      <c r="H177" s="62">
        <f t="shared" ca="1" si="156"/>
        <v>610072.35432390927</v>
      </c>
      <c r="I177" s="62">
        <f t="shared" ca="1" si="157"/>
        <v>194550.2626208734</v>
      </c>
      <c r="J177" s="62">
        <f t="shared" ca="1" si="138"/>
        <v>81148430.313900366</v>
      </c>
      <c r="K177" s="55"/>
      <c r="L177" s="62">
        <f t="shared" ca="1" si="158"/>
        <v>36230462.990480386</v>
      </c>
      <c r="M177" s="68">
        <f ca="1">IF(pdrLossTime1="",OFFSET(Vectors!$AE$6,A177+_Age1,MATCH(SDA_Loss,lstSDA,0)),OFFSET(Vectors!$X$6,A177+_Age1,MATCH(pdrLossTime1,lstDefaultCurve,0)))</f>
        <v>2.7777777777777779E-5</v>
      </c>
      <c r="N177" s="62">
        <f t="shared" ca="1" si="144"/>
        <v>2777.7777777777778</v>
      </c>
      <c r="O177" s="67">
        <f t="shared" ca="1" si="159"/>
        <v>0.81148430313900366</v>
      </c>
      <c r="P177" s="68">
        <f ca="1">OFFSET(Vectors!$L$6,A177+_Age1,MATCH(pdrPrepay1,lstPrepayCurve,0))*pdrPrepayStress1</f>
        <v>5.1430128318229462E-3</v>
      </c>
      <c r="Q177" s="62">
        <f t="shared" ca="1" si="160"/>
        <v>185888.07649858308</v>
      </c>
      <c r="R177" s="62">
        <f t="shared" ca="1" si="161"/>
        <v>86646.759466193762</v>
      </c>
      <c r="S177" s="69">
        <f t="shared" ca="1" si="162"/>
        <v>0.09</v>
      </c>
      <c r="T177" s="62">
        <f t="shared" ca="1" si="163"/>
        <v>271707.63909526955</v>
      </c>
      <c r="U177" s="62">
        <f t="shared" ca="1" si="145"/>
        <v>1111.1111111111111</v>
      </c>
      <c r="V177" s="62">
        <f t="shared" ca="1" si="139"/>
        <v>35955150.376737833</v>
      </c>
      <c r="W177" s="55"/>
      <c r="X177" s="62">
        <f t="shared" ca="1" si="164"/>
        <v>545353.58617115754</v>
      </c>
      <c r="Y177" s="55"/>
      <c r="Z177" s="118" t="b">
        <v>0</v>
      </c>
      <c r="AA177" s="120" t="b">
        <f t="shared" si="146"/>
        <v>0</v>
      </c>
      <c r="AB177" s="120" t="b">
        <f t="shared" si="147"/>
        <v>1</v>
      </c>
      <c r="AC177" s="120" t="b">
        <f t="shared" ca="1" si="148"/>
        <v>0</v>
      </c>
      <c r="AD177" s="121"/>
      <c r="AE177" s="129">
        <v>8900714.1857393626</v>
      </c>
      <c r="AF177" s="69">
        <f ca="1">IF(Swap_Active="No",0,OFFSET(Vectors!$D$6,Vectors!A177,MATCH(Swap_In,lstInterestRates,0)))</f>
        <v>6.9369000000000056E-2</v>
      </c>
      <c r="AG177" s="62">
        <f t="shared" ca="1" si="165"/>
        <v>51452.803529212862</v>
      </c>
      <c r="AH177" s="69">
        <f ca="1">IF(Swap_Active="No",0,OFFSET(Vectors!$D$6,Vectors!A177,MATCH(Swap_Out,lstInterestRates,0)))</f>
        <v>0.04</v>
      </c>
      <c r="AI177" s="62">
        <f t="shared" ca="1" si="166"/>
        <v>29669.047285797875</v>
      </c>
      <c r="AJ177" s="62">
        <f t="shared" ca="1" si="167"/>
        <v>21783.756243414988</v>
      </c>
      <c r="AK177" s="62">
        <f t="shared" ca="1" si="168"/>
        <v>567137.34241457249</v>
      </c>
      <c r="AL177" s="121"/>
      <c r="AM177" s="123">
        <f t="shared" ca="1" si="149"/>
        <v>60384.10498413397</v>
      </c>
      <c r="AN177" s="124">
        <f t="shared" ca="1" si="169"/>
        <v>60384.10498413397</v>
      </c>
      <c r="AO177" s="125">
        <f t="shared" ca="1" si="170"/>
        <v>0</v>
      </c>
      <c r="AP177" s="123">
        <f t="shared" ca="1" si="171"/>
        <v>506753.23743043852</v>
      </c>
      <c r="AQ177" s="121"/>
      <c r="AR177" s="126">
        <f ca="1">IF(LiabIntType1="Fixed",LiabFxdRate1,OFFSET(Vectors!$D$6,Vectors!A177,MATCH(LiabLoanIndex1,lstInterestRates,0))+LiabMarg1)</f>
        <v>7.9369000000000051E-2</v>
      </c>
      <c r="AS177" s="122">
        <f t="shared" ca="1" si="172"/>
        <v>0</v>
      </c>
      <c r="AT177" s="124">
        <f t="shared" ca="1" si="173"/>
        <v>0</v>
      </c>
      <c r="AU177" s="123">
        <f t="shared" ca="1" si="174"/>
        <v>0</v>
      </c>
      <c r="AV177" s="123">
        <f t="shared" ca="1" si="150"/>
        <v>0</v>
      </c>
      <c r="AW177" s="123">
        <f t="shared" ca="1" si="175"/>
        <v>0</v>
      </c>
      <c r="AX177" s="124">
        <f t="shared" ca="1" si="176"/>
        <v>506753.23743043852</v>
      </c>
      <c r="AY177" s="121"/>
      <c r="AZ177" s="122">
        <f t="shared" ca="1" si="151"/>
        <v>0</v>
      </c>
      <c r="BA177" s="124">
        <f t="shared" ca="1" si="177"/>
        <v>0</v>
      </c>
      <c r="BB177" s="123">
        <f t="shared" ca="1" si="178"/>
        <v>0</v>
      </c>
      <c r="BC177" s="123">
        <f t="shared" ca="1" si="152"/>
        <v>0</v>
      </c>
      <c r="BD177" s="123">
        <f t="shared" ca="1" si="179"/>
        <v>0</v>
      </c>
      <c r="BE177" s="124">
        <f t="shared" ca="1" si="180"/>
        <v>506753.23743043852</v>
      </c>
      <c r="BF177" s="121"/>
      <c r="BG177" s="123">
        <f t="shared" si="153"/>
        <v>1000000</v>
      </c>
      <c r="BH177" s="123">
        <f t="shared" ca="1" si="181"/>
        <v>1000000</v>
      </c>
      <c r="BI177" s="123">
        <f t="shared" ca="1" si="182"/>
        <v>0</v>
      </c>
      <c r="BJ177" s="123">
        <f t="shared" ca="1" si="183"/>
        <v>0</v>
      </c>
      <c r="BK177" s="123">
        <f t="shared" ca="1" si="140"/>
        <v>1000000</v>
      </c>
      <c r="BL177" s="123">
        <f t="shared" ca="1" si="184"/>
        <v>506753.23743043852</v>
      </c>
      <c r="BM177" s="121"/>
      <c r="BN177" s="126">
        <f ca="1">IF(LiabIntType2="Fixed",LiabFxdRate2,OFFSET(Vectors!$D$6,Vectors!A177,MATCH(LiabLoanIndex2,lstInterestRates,0))+LiabMarg2)</f>
        <v>0.04</v>
      </c>
      <c r="BO177" s="122">
        <f t="shared" ca="1" si="185"/>
        <v>32957.360728842272</v>
      </c>
      <c r="BP177" s="124">
        <f t="shared" ca="1" si="186"/>
        <v>32957.360728842272</v>
      </c>
      <c r="BQ177" s="123">
        <f t="shared" ca="1" si="187"/>
        <v>0</v>
      </c>
      <c r="BR177" s="123">
        <f t="shared" ca="1" si="188"/>
        <v>473795.87670159625</v>
      </c>
      <c r="BS177" s="121"/>
      <c r="BT177" s="123">
        <f t="shared" ca="1" si="154"/>
        <v>28227.559247496767</v>
      </c>
      <c r="BU177" s="123">
        <f t="shared" ca="1" si="189"/>
        <v>28227.559247496767</v>
      </c>
      <c r="BV177" s="123">
        <f t="shared" ca="1" si="190"/>
        <v>0</v>
      </c>
      <c r="BW177" s="123">
        <f t="shared" ca="1" si="191"/>
        <v>445568.31745409948</v>
      </c>
      <c r="BX177" s="121"/>
      <c r="BY177" s="123">
        <f t="shared" si="192"/>
        <v>0</v>
      </c>
      <c r="BZ177" s="123">
        <f t="shared" ca="1" si="193"/>
        <v>445568.31745409948</v>
      </c>
      <c r="CA177" s="121"/>
      <c r="CB177" s="122">
        <f t="shared" ca="1" si="141"/>
        <v>0</v>
      </c>
      <c r="CC177" s="122">
        <f t="shared" ca="1" si="194"/>
        <v>0</v>
      </c>
      <c r="CD177" s="124">
        <f t="shared" ca="1" si="195"/>
        <v>0</v>
      </c>
      <c r="CE177" s="121"/>
      <c r="CF177" s="122">
        <f t="shared" ca="1" si="142"/>
        <v>9858980.6594051849</v>
      </c>
      <c r="CG177" s="124">
        <f t="shared" ca="1" si="196"/>
        <v>32957.360728842272</v>
      </c>
      <c r="CH177" s="123">
        <f t="shared" ca="1" si="197"/>
        <v>28227.559247496767</v>
      </c>
      <c r="CI177" s="121"/>
      <c r="CJ177" s="123">
        <f t="shared" ca="1" si="198"/>
        <v>596806.38970037038</v>
      </c>
      <c r="CK177" s="123">
        <f t="shared" ca="1" si="199"/>
        <v>596806.38970037038</v>
      </c>
      <c r="CL177" s="123">
        <f t="shared" ca="1" si="200"/>
        <v>0</v>
      </c>
      <c r="CM177" s="121"/>
      <c r="CN177" s="62">
        <f t="shared" ca="1" si="201"/>
        <v>275312.61374255462</v>
      </c>
      <c r="CO177" s="62" t="b">
        <f t="shared" si="202"/>
        <v>1</v>
      </c>
      <c r="CP177" s="126">
        <f t="shared" ca="1" si="203"/>
        <v>4.749999999999986E-3</v>
      </c>
      <c r="CQ177" s="120"/>
      <c r="CR177" s="120"/>
      <c r="CS177" s="120"/>
      <c r="CT177" s="120"/>
      <c r="CU177" s="120"/>
      <c r="CV177" s="120"/>
      <c r="CW177" s="120"/>
      <c r="CX177" s="120"/>
      <c r="CY177" s="120"/>
      <c r="CZ177" s="120"/>
      <c r="DA177" s="120"/>
      <c r="DB177" s="120"/>
      <c r="DC177" s="120"/>
      <c r="DD177" s="120"/>
      <c r="DE177" s="116"/>
      <c r="DF177" s="116"/>
      <c r="DG177" s="116"/>
      <c r="DH177" s="116"/>
      <c r="DI177" s="116"/>
      <c r="DJ177" s="116"/>
      <c r="DK177" s="116"/>
      <c r="DL177" s="116"/>
      <c r="DM177" s="116"/>
      <c r="DN177" s="116"/>
    </row>
    <row r="178" spans="1:118" x14ac:dyDescent="0.2">
      <c r="A178" s="27">
        <v>172</v>
      </c>
      <c r="B178" s="29">
        <f t="shared" si="136"/>
        <v>44348</v>
      </c>
      <c r="C178" s="30">
        <f t="shared" si="137"/>
        <v>8.3333333333333329E-2</v>
      </c>
      <c r="D178" s="55"/>
      <c r="E178" s="62">
        <f t="shared" ca="1" si="155"/>
        <v>81148430.313900366</v>
      </c>
      <c r="F178" s="63">
        <f ca="1">IF(AssetIntType1="Fixed",AssetFxdRate1,IF(A178=1,OFFSET(Vectors!$D$6,A178,MATCH(AssetFltIndx1,lstInterestRates,0)),IF(MOD($A178,AssetRateReset1)=0,MAX(MIN(OFFSET(Vectors!$D$6,A178,MATCH(AssetFltIndx1,lstInterestRates,0)),(F177-AssetMarg1)+AssetPdCapFl1,AssetLifeCap1-AssetMarg1),(F177-AssetMarg1)-AssetPdCapFl1,AssetLifeFloor1-AssetMarg1),F177)))+AssetMarg1</f>
        <v>0.09</v>
      </c>
      <c r="G178" s="62">
        <f t="shared" ca="1" si="143"/>
        <v>804622.61694478267</v>
      </c>
      <c r="H178" s="62">
        <f t="shared" ca="1" si="156"/>
        <v>608613.22735425271</v>
      </c>
      <c r="I178" s="62">
        <f t="shared" ca="1" si="157"/>
        <v>196009.38959052996</v>
      </c>
      <c r="J178" s="62">
        <f t="shared" ca="1" si="138"/>
        <v>80952420.924309835</v>
      </c>
      <c r="K178" s="55"/>
      <c r="L178" s="62">
        <f t="shared" ca="1" si="158"/>
        <v>35955150.376737833</v>
      </c>
      <c r="M178" s="68">
        <f ca="1">IF(pdrLossTime1="",OFFSET(Vectors!$AE$6,A178+_Age1,MATCH(SDA_Loss,lstSDA,0)),OFFSET(Vectors!$X$6,A178+_Age1,MATCH(pdrLossTime1,lstDefaultCurve,0)))</f>
        <v>2.7777777777777779E-5</v>
      </c>
      <c r="N178" s="62">
        <f t="shared" ca="1" si="144"/>
        <v>2777.7777777777778</v>
      </c>
      <c r="O178" s="67">
        <f t="shared" ca="1" si="159"/>
        <v>0.80952420924309831</v>
      </c>
      <c r="P178" s="68">
        <f ca="1">OFFSET(Vectors!$L$6,A178+_Age1,MATCH(pdrPrepay1,lstPrepayCurve,0))*pdrPrepayStress1</f>
        <v>5.1430128318229462E-3</v>
      </c>
      <c r="Q178" s="62">
        <f t="shared" ca="1" si="160"/>
        <v>184471.14139455196</v>
      </c>
      <c r="R178" s="62">
        <f t="shared" ca="1" si="161"/>
        <v>86840.898587863136</v>
      </c>
      <c r="S178" s="69">
        <f t="shared" ca="1" si="162"/>
        <v>0.09</v>
      </c>
      <c r="T178" s="62">
        <f t="shared" ca="1" si="163"/>
        <v>269642.79449220042</v>
      </c>
      <c r="U178" s="62">
        <f t="shared" ca="1" si="145"/>
        <v>1111.1111111111111</v>
      </c>
      <c r="V178" s="62">
        <f t="shared" ca="1" si="139"/>
        <v>35681060.558977641</v>
      </c>
      <c r="W178" s="55"/>
      <c r="X178" s="62">
        <f t="shared" ca="1" si="164"/>
        <v>542065.94558572664</v>
      </c>
      <c r="Y178" s="55"/>
      <c r="Z178" s="118" t="b">
        <v>0</v>
      </c>
      <c r="AA178" s="120" t="b">
        <f t="shared" si="146"/>
        <v>0</v>
      </c>
      <c r="AB178" s="120" t="b">
        <f t="shared" si="147"/>
        <v>1</v>
      </c>
      <c r="AC178" s="120" t="b">
        <f t="shared" ca="1" si="148"/>
        <v>0</v>
      </c>
      <c r="AD178" s="121"/>
      <c r="AE178" s="129">
        <v>8716466.9533030875</v>
      </c>
      <c r="AF178" s="69">
        <f ca="1">IF(Swap_Active="No",0,OFFSET(Vectors!$D$6,Vectors!A178,MATCH(Swap_In,lstInterestRates,0)))</f>
        <v>6.9369000000000056E-2</v>
      </c>
      <c r="AG178" s="62">
        <f t="shared" ca="1" si="165"/>
        <v>50387.716340306863</v>
      </c>
      <c r="AH178" s="69">
        <f ca="1">IF(Swap_Active="No",0,OFFSET(Vectors!$D$6,Vectors!A178,MATCH(Swap_Out,lstInterestRates,0)))</f>
        <v>0.04</v>
      </c>
      <c r="AI178" s="62">
        <f t="shared" ca="1" si="166"/>
        <v>29054.889844343623</v>
      </c>
      <c r="AJ178" s="62">
        <f t="shared" ca="1" si="167"/>
        <v>21332.82649596324</v>
      </c>
      <c r="AK178" s="62">
        <f t="shared" ca="1" si="168"/>
        <v>563398.77208168991</v>
      </c>
      <c r="AL178" s="121"/>
      <c r="AM178" s="123">
        <f t="shared" ca="1" si="149"/>
        <v>59925.250627896385</v>
      </c>
      <c r="AN178" s="124">
        <f t="shared" ca="1" si="169"/>
        <v>59925.250627896385</v>
      </c>
      <c r="AO178" s="125">
        <f t="shared" ca="1" si="170"/>
        <v>0</v>
      </c>
      <c r="AP178" s="123">
        <f t="shared" ca="1" si="171"/>
        <v>503473.52145379351</v>
      </c>
      <c r="AQ178" s="121"/>
      <c r="AR178" s="126">
        <f ca="1">IF(LiabIntType1="Fixed",LiabFxdRate1,OFFSET(Vectors!$D$6,Vectors!A178,MATCH(LiabLoanIndex1,lstInterestRates,0))+LiabMarg1)</f>
        <v>7.9369000000000051E-2</v>
      </c>
      <c r="AS178" s="122">
        <f t="shared" ca="1" si="172"/>
        <v>0</v>
      </c>
      <c r="AT178" s="124">
        <f t="shared" ca="1" si="173"/>
        <v>0</v>
      </c>
      <c r="AU178" s="123">
        <f t="shared" ca="1" si="174"/>
        <v>0</v>
      </c>
      <c r="AV178" s="123">
        <f t="shared" ca="1" si="150"/>
        <v>0</v>
      </c>
      <c r="AW178" s="123">
        <f t="shared" ca="1" si="175"/>
        <v>0</v>
      </c>
      <c r="AX178" s="124">
        <f t="shared" ca="1" si="176"/>
        <v>503473.52145379351</v>
      </c>
      <c r="AY178" s="121"/>
      <c r="AZ178" s="122">
        <f t="shared" ca="1" si="151"/>
        <v>0</v>
      </c>
      <c r="BA178" s="124">
        <f t="shared" ca="1" si="177"/>
        <v>0</v>
      </c>
      <c r="BB178" s="123">
        <f t="shared" ca="1" si="178"/>
        <v>0</v>
      </c>
      <c r="BC178" s="123">
        <f t="shared" ca="1" si="152"/>
        <v>0</v>
      </c>
      <c r="BD178" s="123">
        <f t="shared" ca="1" si="179"/>
        <v>0</v>
      </c>
      <c r="BE178" s="124">
        <f t="shared" ca="1" si="180"/>
        <v>503473.52145379351</v>
      </c>
      <c r="BF178" s="121"/>
      <c r="BG178" s="123">
        <f t="shared" si="153"/>
        <v>1000000</v>
      </c>
      <c r="BH178" s="123">
        <f t="shared" ca="1" si="181"/>
        <v>1000000</v>
      </c>
      <c r="BI178" s="123">
        <f t="shared" ca="1" si="182"/>
        <v>0</v>
      </c>
      <c r="BJ178" s="123">
        <f t="shared" ca="1" si="183"/>
        <v>0</v>
      </c>
      <c r="BK178" s="123">
        <f t="shared" ca="1" si="140"/>
        <v>1000000</v>
      </c>
      <c r="BL178" s="123">
        <f t="shared" ca="1" si="184"/>
        <v>503473.52145379351</v>
      </c>
      <c r="BM178" s="121"/>
      <c r="BN178" s="126">
        <f ca="1">IF(LiabIntType2="Fixed",LiabFxdRate2,OFFSET(Vectors!$D$6,Vectors!A178,MATCH(LiabLoanIndex2,lstInterestRates,0))+LiabMarg2)</f>
        <v>0.04</v>
      </c>
      <c r="BO178" s="122">
        <f t="shared" ca="1" si="185"/>
        <v>32863.268864683945</v>
      </c>
      <c r="BP178" s="124">
        <f t="shared" ca="1" si="186"/>
        <v>32863.268864683945</v>
      </c>
      <c r="BQ178" s="123">
        <f t="shared" ca="1" si="187"/>
        <v>0</v>
      </c>
      <c r="BR178" s="123">
        <f t="shared" ca="1" si="188"/>
        <v>470610.25258910959</v>
      </c>
      <c r="BS178" s="121"/>
      <c r="BT178" s="123">
        <f t="shared" ca="1" si="154"/>
        <v>28102.187054880873</v>
      </c>
      <c r="BU178" s="123">
        <f t="shared" ca="1" si="189"/>
        <v>28102.187054880873</v>
      </c>
      <c r="BV178" s="123">
        <f t="shared" ca="1" si="190"/>
        <v>0</v>
      </c>
      <c r="BW178" s="123">
        <f t="shared" ca="1" si="191"/>
        <v>442508.06553422869</v>
      </c>
      <c r="BX178" s="121"/>
      <c r="BY178" s="123">
        <f t="shared" si="192"/>
        <v>0</v>
      </c>
      <c r="BZ178" s="123">
        <f t="shared" ca="1" si="193"/>
        <v>442508.06553422869</v>
      </c>
      <c r="CA178" s="121"/>
      <c r="CB178" s="122">
        <f t="shared" ca="1" si="141"/>
        <v>0</v>
      </c>
      <c r="CC178" s="122">
        <f t="shared" ca="1" si="194"/>
        <v>0</v>
      </c>
      <c r="CD178" s="124">
        <f t="shared" ca="1" si="195"/>
        <v>0</v>
      </c>
      <c r="CE178" s="121"/>
      <c r="CF178" s="122">
        <f t="shared" ca="1" si="142"/>
        <v>9830878.4723503049</v>
      </c>
      <c r="CG178" s="124">
        <f t="shared" ca="1" si="196"/>
        <v>32863.268864683945</v>
      </c>
      <c r="CH178" s="123">
        <f t="shared" ca="1" si="197"/>
        <v>28102.187054880873</v>
      </c>
      <c r="CI178" s="121"/>
      <c r="CJ178" s="123">
        <f t="shared" ca="1" si="198"/>
        <v>592453.66192603356</v>
      </c>
      <c r="CK178" s="123">
        <f t="shared" ca="1" si="199"/>
        <v>592453.66192603344</v>
      </c>
      <c r="CL178" s="123">
        <f t="shared" ca="1" si="200"/>
        <v>0</v>
      </c>
      <c r="CM178" s="121"/>
      <c r="CN178" s="62">
        <f t="shared" ca="1" si="201"/>
        <v>274089.81776019291</v>
      </c>
      <c r="CO178" s="62" t="b">
        <f t="shared" si="202"/>
        <v>1</v>
      </c>
      <c r="CP178" s="126">
        <f t="shared" ca="1" si="203"/>
        <v>4.7777777777777636E-3</v>
      </c>
      <c r="CQ178" s="120"/>
      <c r="CR178" s="120"/>
      <c r="CS178" s="120"/>
      <c r="CT178" s="120"/>
      <c r="CU178" s="120"/>
      <c r="CV178" s="120"/>
      <c r="CW178" s="120"/>
      <c r="CX178" s="120"/>
      <c r="CY178" s="120"/>
      <c r="CZ178" s="120"/>
      <c r="DA178" s="120"/>
      <c r="DB178" s="120"/>
      <c r="DC178" s="120"/>
      <c r="DD178" s="120"/>
      <c r="DE178" s="116"/>
      <c r="DF178" s="116"/>
      <c r="DG178" s="116"/>
      <c r="DH178" s="116"/>
      <c r="DI178" s="116"/>
      <c r="DJ178" s="116"/>
      <c r="DK178" s="116"/>
      <c r="DL178" s="116"/>
      <c r="DM178" s="116"/>
      <c r="DN178" s="116"/>
    </row>
    <row r="179" spans="1:118" x14ac:dyDescent="0.2">
      <c r="A179" s="27">
        <v>173</v>
      </c>
      <c r="B179" s="29">
        <f t="shared" si="136"/>
        <v>44378</v>
      </c>
      <c r="C179" s="30">
        <f t="shared" si="137"/>
        <v>8.3333333333333329E-2</v>
      </c>
      <c r="D179" s="55"/>
      <c r="E179" s="62">
        <f t="shared" ca="1" si="155"/>
        <v>80952420.924309835</v>
      </c>
      <c r="F179" s="63">
        <f ca="1">IF(AssetIntType1="Fixed",AssetFxdRate1,IF(A179=1,OFFSET(Vectors!$D$6,A179,MATCH(AssetFltIndx1,lstInterestRates,0)),IF(MOD($A179,AssetRateReset1)=0,MAX(MIN(OFFSET(Vectors!$D$6,A179,MATCH(AssetFltIndx1,lstInterestRates,0)),(F178-AssetMarg1)+AssetPdCapFl1,AssetLifeCap1-AssetMarg1),(F178-AssetMarg1)-AssetPdCapFl1,AssetLifeFloor1-AssetMarg1),F178)))+AssetMarg1</f>
        <v>0.09</v>
      </c>
      <c r="G179" s="62">
        <f t="shared" ca="1" si="143"/>
        <v>804622.61694478267</v>
      </c>
      <c r="H179" s="62">
        <f t="shared" ca="1" si="156"/>
        <v>607143.15693232371</v>
      </c>
      <c r="I179" s="62">
        <f t="shared" ca="1" si="157"/>
        <v>197479.46001245896</v>
      </c>
      <c r="J179" s="62">
        <f t="shared" ca="1" si="138"/>
        <v>80754941.464297369</v>
      </c>
      <c r="K179" s="55"/>
      <c r="L179" s="62">
        <f t="shared" ca="1" si="158"/>
        <v>35681060.558977641</v>
      </c>
      <c r="M179" s="68">
        <f ca="1">IF(pdrLossTime1="",OFFSET(Vectors!$AE$6,A179+_Age1,MATCH(SDA_Loss,lstSDA,0)),OFFSET(Vectors!$X$6,A179+_Age1,MATCH(pdrLossTime1,lstDefaultCurve,0)))</f>
        <v>2.7777777777777779E-5</v>
      </c>
      <c r="N179" s="62">
        <f t="shared" ca="1" si="144"/>
        <v>2777.7777777777778</v>
      </c>
      <c r="O179" s="67">
        <f t="shared" ca="1" si="159"/>
        <v>0.8075494146429737</v>
      </c>
      <c r="P179" s="68">
        <f ca="1">OFFSET(Vectors!$L$6,A179+_Age1,MATCH(pdrPrepay1,lstPrepayCurve,0))*pdrPrepayStress1</f>
        <v>5.1430128318229462E-3</v>
      </c>
      <c r="Q179" s="62">
        <f t="shared" ca="1" si="160"/>
        <v>183060.49317165671</v>
      </c>
      <c r="R179" s="62">
        <f t="shared" ca="1" si="161"/>
        <v>87035.420773776743</v>
      </c>
      <c r="S179" s="69">
        <f t="shared" ca="1" si="162"/>
        <v>0.09</v>
      </c>
      <c r="T179" s="62">
        <f t="shared" ca="1" si="163"/>
        <v>267587.12085899897</v>
      </c>
      <c r="U179" s="62">
        <f t="shared" ca="1" si="145"/>
        <v>1111.1111111111111</v>
      </c>
      <c r="V179" s="62">
        <f t="shared" ca="1" si="139"/>
        <v>35408186.867254436</v>
      </c>
      <c r="W179" s="55"/>
      <c r="X179" s="62">
        <f t="shared" ca="1" si="164"/>
        <v>538794.14591554354</v>
      </c>
      <c r="Y179" s="55"/>
      <c r="Z179" s="118" t="b">
        <v>0</v>
      </c>
      <c r="AA179" s="120" t="b">
        <f t="shared" si="146"/>
        <v>0</v>
      </c>
      <c r="AB179" s="120" t="b">
        <f t="shared" si="147"/>
        <v>1</v>
      </c>
      <c r="AC179" s="120" t="b">
        <f t="shared" ca="1" si="148"/>
        <v>0</v>
      </c>
      <c r="AD179" s="121"/>
      <c r="AE179" s="129">
        <v>8534157.018571509</v>
      </c>
      <c r="AF179" s="69">
        <f ca="1">IF(Swap_Active="No",0,OFFSET(Vectors!$D$6,Vectors!A179,MATCH(Swap_In,lstInterestRates,0)))</f>
        <v>6.9369000000000056E-2</v>
      </c>
      <c r="AG179" s="62">
        <f t="shared" ca="1" si="165"/>
        <v>49333.828185107282</v>
      </c>
      <c r="AH179" s="69">
        <f ca="1">IF(Swap_Active="No",0,OFFSET(Vectors!$D$6,Vectors!A179,MATCH(Swap_Out,lstInterestRates,0)))</f>
        <v>0.04</v>
      </c>
      <c r="AI179" s="62">
        <f t="shared" ca="1" si="166"/>
        <v>28447.190061905028</v>
      </c>
      <c r="AJ179" s="62">
        <f t="shared" ca="1" si="167"/>
        <v>20886.638123202254</v>
      </c>
      <c r="AK179" s="62">
        <f t="shared" ca="1" si="168"/>
        <v>559680.7840387458</v>
      </c>
      <c r="AL179" s="121"/>
      <c r="AM179" s="123">
        <f t="shared" ca="1" si="149"/>
        <v>59468.434264962729</v>
      </c>
      <c r="AN179" s="124">
        <f t="shared" ca="1" si="169"/>
        <v>59468.434264962729</v>
      </c>
      <c r="AO179" s="125">
        <f t="shared" ca="1" si="170"/>
        <v>0</v>
      </c>
      <c r="AP179" s="123">
        <f t="shared" ca="1" si="171"/>
        <v>500212.34977378306</v>
      </c>
      <c r="AQ179" s="121"/>
      <c r="AR179" s="126">
        <f ca="1">IF(LiabIntType1="Fixed",LiabFxdRate1,OFFSET(Vectors!$D$6,Vectors!A179,MATCH(LiabLoanIndex1,lstInterestRates,0))+LiabMarg1)</f>
        <v>7.9369000000000051E-2</v>
      </c>
      <c r="AS179" s="122">
        <f t="shared" ca="1" si="172"/>
        <v>0</v>
      </c>
      <c r="AT179" s="124">
        <f t="shared" ca="1" si="173"/>
        <v>0</v>
      </c>
      <c r="AU179" s="123">
        <f t="shared" ca="1" si="174"/>
        <v>0</v>
      </c>
      <c r="AV179" s="123">
        <f t="shared" ca="1" si="150"/>
        <v>0</v>
      </c>
      <c r="AW179" s="123">
        <f t="shared" ca="1" si="175"/>
        <v>0</v>
      </c>
      <c r="AX179" s="124">
        <f t="shared" ca="1" si="176"/>
        <v>500212.34977378306</v>
      </c>
      <c r="AY179" s="121"/>
      <c r="AZ179" s="122">
        <f t="shared" ca="1" si="151"/>
        <v>0</v>
      </c>
      <c r="BA179" s="124">
        <f t="shared" ca="1" si="177"/>
        <v>0</v>
      </c>
      <c r="BB179" s="123">
        <f t="shared" ca="1" si="178"/>
        <v>0</v>
      </c>
      <c r="BC179" s="123">
        <f t="shared" ca="1" si="152"/>
        <v>0</v>
      </c>
      <c r="BD179" s="123">
        <f t="shared" ca="1" si="179"/>
        <v>0</v>
      </c>
      <c r="BE179" s="124">
        <f t="shared" ca="1" si="180"/>
        <v>500212.34977378306</v>
      </c>
      <c r="BF179" s="121"/>
      <c r="BG179" s="123">
        <f t="shared" si="153"/>
        <v>1000000</v>
      </c>
      <c r="BH179" s="123">
        <f t="shared" ca="1" si="181"/>
        <v>1000000</v>
      </c>
      <c r="BI179" s="123">
        <f t="shared" ca="1" si="182"/>
        <v>0</v>
      </c>
      <c r="BJ179" s="123">
        <f t="shared" ca="1" si="183"/>
        <v>0</v>
      </c>
      <c r="BK179" s="123">
        <f t="shared" ca="1" si="140"/>
        <v>1000000</v>
      </c>
      <c r="BL179" s="123">
        <f t="shared" ca="1" si="184"/>
        <v>500212.34977378306</v>
      </c>
      <c r="BM179" s="121"/>
      <c r="BN179" s="126">
        <f ca="1">IF(LiabIntType2="Fixed",LiabFxdRate2,OFFSET(Vectors!$D$6,Vectors!A179,MATCH(LiabLoanIndex2,lstInterestRates,0))+LiabMarg2)</f>
        <v>0.04</v>
      </c>
      <c r="BO179" s="122">
        <f t="shared" ca="1" si="185"/>
        <v>32769.594907834347</v>
      </c>
      <c r="BP179" s="124">
        <f t="shared" ca="1" si="186"/>
        <v>32769.594907834347</v>
      </c>
      <c r="BQ179" s="123">
        <f t="shared" ca="1" si="187"/>
        <v>0</v>
      </c>
      <c r="BR179" s="123">
        <f t="shared" ca="1" si="188"/>
        <v>467442.75486594869</v>
      </c>
      <c r="BS179" s="121"/>
      <c r="BT179" s="123">
        <f t="shared" ca="1" si="154"/>
        <v>27977.498725876721</v>
      </c>
      <c r="BU179" s="123">
        <f t="shared" ca="1" si="189"/>
        <v>27977.498725876721</v>
      </c>
      <c r="BV179" s="123">
        <f t="shared" ca="1" si="190"/>
        <v>0</v>
      </c>
      <c r="BW179" s="123">
        <f t="shared" ca="1" si="191"/>
        <v>439465.25614007196</v>
      </c>
      <c r="BX179" s="121"/>
      <c r="BY179" s="123">
        <f t="shared" si="192"/>
        <v>0</v>
      </c>
      <c r="BZ179" s="123">
        <f t="shared" ca="1" si="193"/>
        <v>439465.25614007196</v>
      </c>
      <c r="CA179" s="121"/>
      <c r="CB179" s="122">
        <f t="shared" ca="1" si="141"/>
        <v>0</v>
      </c>
      <c r="CC179" s="122">
        <f t="shared" ca="1" si="194"/>
        <v>0</v>
      </c>
      <c r="CD179" s="124">
        <f t="shared" ca="1" si="195"/>
        <v>0</v>
      </c>
      <c r="CE179" s="121"/>
      <c r="CF179" s="122">
        <f t="shared" ca="1" si="142"/>
        <v>9802900.9736244287</v>
      </c>
      <c r="CG179" s="124">
        <f t="shared" ca="1" si="196"/>
        <v>32769.594907834347</v>
      </c>
      <c r="CH179" s="123">
        <f t="shared" ca="1" si="197"/>
        <v>27977.498725876721</v>
      </c>
      <c r="CI179" s="121"/>
      <c r="CJ179" s="123">
        <f t="shared" ca="1" si="198"/>
        <v>588127.97410065087</v>
      </c>
      <c r="CK179" s="123">
        <f t="shared" ca="1" si="199"/>
        <v>588127.97410065075</v>
      </c>
      <c r="CL179" s="123">
        <f t="shared" ca="1" si="200"/>
        <v>0</v>
      </c>
      <c r="CM179" s="121"/>
      <c r="CN179" s="62">
        <f t="shared" ca="1" si="201"/>
        <v>272873.6917232112</v>
      </c>
      <c r="CO179" s="62" t="b">
        <f t="shared" si="202"/>
        <v>1</v>
      </c>
      <c r="CP179" s="126">
        <f t="shared" ca="1" si="203"/>
        <v>4.8055555555555412E-3</v>
      </c>
      <c r="CQ179" s="120"/>
      <c r="CR179" s="120"/>
      <c r="CS179" s="120"/>
      <c r="CT179" s="120"/>
      <c r="CU179" s="120"/>
      <c r="CV179" s="120"/>
      <c r="CW179" s="120"/>
      <c r="CX179" s="120"/>
      <c r="CY179" s="120"/>
      <c r="CZ179" s="120"/>
      <c r="DA179" s="120"/>
      <c r="DB179" s="120"/>
      <c r="DC179" s="120"/>
      <c r="DD179" s="120"/>
      <c r="DE179" s="116"/>
      <c r="DF179" s="116"/>
      <c r="DG179" s="116"/>
      <c r="DH179" s="116"/>
      <c r="DI179" s="116"/>
      <c r="DJ179" s="116"/>
      <c r="DK179" s="116"/>
      <c r="DL179" s="116"/>
      <c r="DM179" s="116"/>
      <c r="DN179" s="116"/>
    </row>
    <row r="180" spans="1:118" x14ac:dyDescent="0.2">
      <c r="A180" s="27">
        <v>174</v>
      </c>
      <c r="B180" s="29">
        <f t="shared" si="136"/>
        <v>44409</v>
      </c>
      <c r="C180" s="30">
        <f t="shared" si="137"/>
        <v>8.3333333333333329E-2</v>
      </c>
      <c r="D180" s="55"/>
      <c r="E180" s="62">
        <f t="shared" ca="1" si="155"/>
        <v>80754941.464297369</v>
      </c>
      <c r="F180" s="63">
        <f ca="1">IF(AssetIntType1="Fixed",AssetFxdRate1,IF(A180=1,OFFSET(Vectors!$D$6,A180,MATCH(AssetFltIndx1,lstInterestRates,0)),IF(MOD($A180,AssetRateReset1)=0,MAX(MIN(OFFSET(Vectors!$D$6,A180,MATCH(AssetFltIndx1,lstInterestRates,0)),(F179-AssetMarg1)+AssetPdCapFl1,AssetLifeCap1-AssetMarg1),(F179-AssetMarg1)-AssetPdCapFl1,AssetLifeFloor1-AssetMarg1),F179)))+AssetMarg1</f>
        <v>0.09</v>
      </c>
      <c r="G180" s="62">
        <f t="shared" ca="1" si="143"/>
        <v>804622.61694478267</v>
      </c>
      <c r="H180" s="62">
        <f t="shared" ca="1" si="156"/>
        <v>605662.06098223024</v>
      </c>
      <c r="I180" s="62">
        <f t="shared" ca="1" si="157"/>
        <v>198960.55596255243</v>
      </c>
      <c r="J180" s="62">
        <f t="shared" ca="1" si="138"/>
        <v>80555980.908334821</v>
      </c>
      <c r="K180" s="55"/>
      <c r="L180" s="62">
        <f t="shared" ca="1" si="158"/>
        <v>35408186.867254436</v>
      </c>
      <c r="M180" s="68">
        <f ca="1">IF(pdrLossTime1="",OFFSET(Vectors!$AE$6,A180+_Age1,MATCH(SDA_Loss,lstSDA,0)),OFFSET(Vectors!$X$6,A180+_Age1,MATCH(pdrLossTime1,lstDefaultCurve,0)))</f>
        <v>2.7777777777777779E-5</v>
      </c>
      <c r="N180" s="62">
        <f t="shared" ca="1" si="144"/>
        <v>2777.7777777777778</v>
      </c>
      <c r="O180" s="67">
        <f t="shared" ca="1" si="159"/>
        <v>0.80555980908334823</v>
      </c>
      <c r="P180" s="68">
        <f ca="1">OFFSET(Vectors!$L$6,A180+_Age1,MATCH(pdrPrepay1,lstPrepayCurve,0))*pdrPrepayStress1</f>
        <v>5.1430128318229462E-3</v>
      </c>
      <c r="Q180" s="62">
        <f t="shared" ca="1" si="160"/>
        <v>181656.09752592468</v>
      </c>
      <c r="R180" s="62">
        <f t="shared" ca="1" si="161"/>
        <v>87230.326080270257</v>
      </c>
      <c r="S180" s="69">
        <f t="shared" ca="1" si="162"/>
        <v>0.09</v>
      </c>
      <c r="T180" s="62">
        <f t="shared" ca="1" si="163"/>
        <v>265540.56817107496</v>
      </c>
      <c r="U180" s="62">
        <f t="shared" ca="1" si="145"/>
        <v>1111.1111111111111</v>
      </c>
      <c r="V180" s="62">
        <f t="shared" ca="1" si="139"/>
        <v>35136522.665870465</v>
      </c>
      <c r="W180" s="55"/>
      <c r="X180" s="62">
        <f t="shared" ca="1" si="164"/>
        <v>535538.10288838099</v>
      </c>
      <c r="Y180" s="55"/>
      <c r="Z180" s="118" t="b">
        <v>0</v>
      </c>
      <c r="AA180" s="120" t="b">
        <f t="shared" si="146"/>
        <v>0</v>
      </c>
      <c r="AB180" s="120" t="b">
        <f t="shared" si="147"/>
        <v>1</v>
      </c>
      <c r="AC180" s="120" t="b">
        <f t="shared" ca="1" si="148"/>
        <v>0</v>
      </c>
      <c r="AD180" s="121"/>
      <c r="AE180" s="129">
        <v>8353764.8144092634</v>
      </c>
      <c r="AF180" s="69">
        <f ca="1">IF(Swap_Active="No",0,OFFSET(Vectors!$D$6,Vectors!A180,MATCH(Swap_In,lstInterestRates,0)))</f>
        <v>6.9369000000000056E-2</v>
      </c>
      <c r="AG180" s="62">
        <f t="shared" ca="1" si="165"/>
        <v>48291.025950896386</v>
      </c>
      <c r="AH180" s="69">
        <f ca="1">IF(Swap_Active="No",0,OFFSET(Vectors!$D$6,Vectors!A180,MATCH(Swap_Out,lstInterestRates,0)))</f>
        <v>0.04</v>
      </c>
      <c r="AI180" s="62">
        <f t="shared" ca="1" si="166"/>
        <v>27845.882714697542</v>
      </c>
      <c r="AJ180" s="62">
        <f t="shared" ca="1" si="167"/>
        <v>20445.143236198845</v>
      </c>
      <c r="AK180" s="62">
        <f t="shared" ca="1" si="168"/>
        <v>555983.2461245798</v>
      </c>
      <c r="AL180" s="121"/>
      <c r="AM180" s="123">
        <f t="shared" ca="1" si="149"/>
        <v>59013.644778757392</v>
      </c>
      <c r="AN180" s="124">
        <f t="shared" ca="1" si="169"/>
        <v>59013.644778757392</v>
      </c>
      <c r="AO180" s="125">
        <f t="shared" ca="1" si="170"/>
        <v>0</v>
      </c>
      <c r="AP180" s="123">
        <f t="shared" ca="1" si="171"/>
        <v>496969.60134582239</v>
      </c>
      <c r="AQ180" s="121"/>
      <c r="AR180" s="126">
        <f ca="1">IF(LiabIntType1="Fixed",LiabFxdRate1,OFFSET(Vectors!$D$6,Vectors!A180,MATCH(LiabLoanIndex1,lstInterestRates,0))+LiabMarg1)</f>
        <v>7.9369000000000051E-2</v>
      </c>
      <c r="AS180" s="122">
        <f t="shared" ca="1" si="172"/>
        <v>0</v>
      </c>
      <c r="AT180" s="124">
        <f t="shared" ca="1" si="173"/>
        <v>0</v>
      </c>
      <c r="AU180" s="123">
        <f t="shared" ca="1" si="174"/>
        <v>0</v>
      </c>
      <c r="AV180" s="123">
        <f t="shared" ca="1" si="150"/>
        <v>0</v>
      </c>
      <c r="AW180" s="123">
        <f t="shared" ca="1" si="175"/>
        <v>0</v>
      </c>
      <c r="AX180" s="124">
        <f t="shared" ca="1" si="176"/>
        <v>496969.60134582239</v>
      </c>
      <c r="AY180" s="121"/>
      <c r="AZ180" s="122">
        <f t="shared" ca="1" si="151"/>
        <v>0</v>
      </c>
      <c r="BA180" s="124">
        <f t="shared" ca="1" si="177"/>
        <v>0</v>
      </c>
      <c r="BB180" s="123">
        <f t="shared" ca="1" si="178"/>
        <v>0</v>
      </c>
      <c r="BC180" s="123">
        <f t="shared" ca="1" si="152"/>
        <v>0</v>
      </c>
      <c r="BD180" s="123">
        <f t="shared" ca="1" si="179"/>
        <v>0</v>
      </c>
      <c r="BE180" s="124">
        <f t="shared" ca="1" si="180"/>
        <v>496969.60134582239</v>
      </c>
      <c r="BF180" s="121"/>
      <c r="BG180" s="123">
        <f t="shared" si="153"/>
        <v>1000000</v>
      </c>
      <c r="BH180" s="123">
        <f t="shared" ca="1" si="181"/>
        <v>1000000</v>
      </c>
      <c r="BI180" s="123">
        <f t="shared" ca="1" si="182"/>
        <v>0</v>
      </c>
      <c r="BJ180" s="123">
        <f t="shared" ca="1" si="183"/>
        <v>0</v>
      </c>
      <c r="BK180" s="123">
        <f t="shared" ca="1" si="140"/>
        <v>1000000</v>
      </c>
      <c r="BL180" s="123">
        <f t="shared" ca="1" si="184"/>
        <v>496969.60134582239</v>
      </c>
      <c r="BM180" s="121"/>
      <c r="BN180" s="126">
        <f ca="1">IF(LiabIntType2="Fixed",LiabFxdRate2,OFFSET(Vectors!$D$6,Vectors!A180,MATCH(LiabLoanIndex2,lstInterestRates,0))+LiabMarg2)</f>
        <v>0.04</v>
      </c>
      <c r="BO180" s="122">
        <f t="shared" ca="1" si="185"/>
        <v>32676.336578748094</v>
      </c>
      <c r="BP180" s="124">
        <f t="shared" ca="1" si="186"/>
        <v>32676.336578748094</v>
      </c>
      <c r="BQ180" s="123">
        <f t="shared" ca="1" si="187"/>
        <v>0</v>
      </c>
      <c r="BR180" s="123">
        <f t="shared" ca="1" si="188"/>
        <v>464293.26476707432</v>
      </c>
      <c r="BS180" s="121"/>
      <c r="BT180" s="123">
        <f t="shared" ca="1" si="154"/>
        <v>27853.490749104345</v>
      </c>
      <c r="BU180" s="123">
        <f t="shared" ca="1" si="189"/>
        <v>27853.490749104345</v>
      </c>
      <c r="BV180" s="123">
        <f t="shared" ca="1" si="190"/>
        <v>0</v>
      </c>
      <c r="BW180" s="123">
        <f t="shared" ca="1" si="191"/>
        <v>436439.77401796996</v>
      </c>
      <c r="BX180" s="121"/>
      <c r="BY180" s="123">
        <f t="shared" si="192"/>
        <v>0</v>
      </c>
      <c r="BZ180" s="123">
        <f t="shared" ca="1" si="193"/>
        <v>436439.77401796996</v>
      </c>
      <c r="CA180" s="121"/>
      <c r="CB180" s="122">
        <f t="shared" ca="1" si="141"/>
        <v>0</v>
      </c>
      <c r="CC180" s="122">
        <f t="shared" ca="1" si="194"/>
        <v>0</v>
      </c>
      <c r="CD180" s="124">
        <f t="shared" ca="1" si="195"/>
        <v>0</v>
      </c>
      <c r="CE180" s="121"/>
      <c r="CF180" s="122">
        <f t="shared" ca="1" si="142"/>
        <v>9775047.4828753248</v>
      </c>
      <c r="CG180" s="124">
        <f t="shared" ca="1" si="196"/>
        <v>32676.336578748094</v>
      </c>
      <c r="CH180" s="123">
        <f t="shared" ca="1" si="197"/>
        <v>27853.490749104345</v>
      </c>
      <c r="CI180" s="121"/>
      <c r="CJ180" s="123">
        <f t="shared" ca="1" si="198"/>
        <v>583829.12883927743</v>
      </c>
      <c r="CK180" s="123">
        <f t="shared" ca="1" si="199"/>
        <v>583829.12883927731</v>
      </c>
      <c r="CL180" s="123">
        <f t="shared" ca="1" si="200"/>
        <v>0</v>
      </c>
      <c r="CM180" s="121"/>
      <c r="CN180" s="62">
        <f t="shared" ca="1" si="201"/>
        <v>271664.20138397272</v>
      </c>
      <c r="CO180" s="62" t="b">
        <f t="shared" si="202"/>
        <v>1</v>
      </c>
      <c r="CP180" s="126">
        <f t="shared" ca="1" si="203"/>
        <v>4.8333333333333188E-3</v>
      </c>
      <c r="CQ180" s="120"/>
      <c r="CR180" s="120"/>
      <c r="CS180" s="120"/>
      <c r="CT180" s="120"/>
      <c r="CU180" s="120"/>
      <c r="CV180" s="120"/>
      <c r="CW180" s="120"/>
      <c r="CX180" s="120"/>
      <c r="CY180" s="120"/>
      <c r="CZ180" s="120"/>
      <c r="DA180" s="120"/>
      <c r="DB180" s="120"/>
      <c r="DC180" s="120"/>
      <c r="DD180" s="120"/>
      <c r="DE180" s="116"/>
      <c r="DF180" s="116"/>
      <c r="DG180" s="116"/>
      <c r="DH180" s="116"/>
      <c r="DI180" s="116"/>
      <c r="DJ180" s="116"/>
      <c r="DK180" s="116"/>
      <c r="DL180" s="116"/>
      <c r="DM180" s="116"/>
      <c r="DN180" s="116"/>
    </row>
    <row r="181" spans="1:118" x14ac:dyDescent="0.2">
      <c r="A181" s="27">
        <v>175</v>
      </c>
      <c r="B181" s="29">
        <f t="shared" si="136"/>
        <v>44440</v>
      </c>
      <c r="C181" s="30">
        <f t="shared" si="137"/>
        <v>8.3333333333333329E-2</v>
      </c>
      <c r="D181" s="55"/>
      <c r="E181" s="62">
        <f t="shared" ca="1" si="155"/>
        <v>80555980.908334821</v>
      </c>
      <c r="F181" s="63">
        <f ca="1">IF(AssetIntType1="Fixed",AssetFxdRate1,IF(A181=1,OFFSET(Vectors!$D$6,A181,MATCH(AssetFltIndx1,lstInterestRates,0)),IF(MOD($A181,AssetRateReset1)=0,MAX(MIN(OFFSET(Vectors!$D$6,A181,MATCH(AssetFltIndx1,lstInterestRates,0)),(F180-AssetMarg1)+AssetPdCapFl1,AssetLifeCap1-AssetMarg1),(F180-AssetMarg1)-AssetPdCapFl1,AssetLifeFloor1-AssetMarg1),F180)))+AssetMarg1</f>
        <v>0.09</v>
      </c>
      <c r="G181" s="62">
        <f t="shared" ca="1" si="143"/>
        <v>804622.61694478267</v>
      </c>
      <c r="H181" s="62">
        <f t="shared" ca="1" si="156"/>
        <v>604169.85681251111</v>
      </c>
      <c r="I181" s="62">
        <f t="shared" ca="1" si="157"/>
        <v>200452.76013227156</v>
      </c>
      <c r="J181" s="62">
        <f t="shared" ca="1" si="138"/>
        <v>80355528.148202553</v>
      </c>
      <c r="K181" s="55"/>
      <c r="L181" s="62">
        <f t="shared" ca="1" si="158"/>
        <v>35136522.665870465</v>
      </c>
      <c r="M181" s="68">
        <f ca="1">IF(pdrLossTime1="",OFFSET(Vectors!$AE$6,A181+_Age1,MATCH(SDA_Loss,lstSDA,0)),OFFSET(Vectors!$X$6,A181+_Age1,MATCH(pdrLossTime1,lstDefaultCurve,0)))</f>
        <v>2.7777777777777779E-5</v>
      </c>
      <c r="N181" s="62">
        <f t="shared" ca="1" si="144"/>
        <v>2777.7777777777778</v>
      </c>
      <c r="O181" s="67">
        <f t="shared" ca="1" si="159"/>
        <v>0.80355528148202549</v>
      </c>
      <c r="P181" s="68">
        <f ca="1">OFFSET(Vectors!$L$6,A181+_Age1,MATCH(pdrPrepay1,lstPrepayCurve,0))*pdrPrepayStress1</f>
        <v>5.1430128318229462E-3</v>
      </c>
      <c r="Q181" s="62">
        <f t="shared" ca="1" si="160"/>
        <v>180257.92032958701</v>
      </c>
      <c r="R181" s="62">
        <f t="shared" ca="1" si="161"/>
        <v>87425.614550151586</v>
      </c>
      <c r="S181" s="69">
        <f t="shared" ca="1" si="162"/>
        <v>0.09</v>
      </c>
      <c r="T181" s="62">
        <f t="shared" ca="1" si="163"/>
        <v>263503.08666069515</v>
      </c>
      <c r="U181" s="62">
        <f t="shared" ca="1" si="145"/>
        <v>1111.1111111111111</v>
      </c>
      <c r="V181" s="62">
        <f t="shared" ca="1" si="139"/>
        <v>34866061.353212953</v>
      </c>
      <c r="W181" s="55"/>
      <c r="X181" s="62">
        <f t="shared" ca="1" si="164"/>
        <v>532297.73265154485</v>
      </c>
      <c r="Y181" s="55"/>
      <c r="Z181" s="118" t="b">
        <v>0</v>
      </c>
      <c r="AA181" s="120" t="b">
        <f t="shared" si="146"/>
        <v>0</v>
      </c>
      <c r="AB181" s="120" t="b">
        <f t="shared" si="147"/>
        <v>1</v>
      </c>
      <c r="AC181" s="120" t="b">
        <f t="shared" ca="1" si="148"/>
        <v>0</v>
      </c>
      <c r="AD181" s="121"/>
      <c r="AE181" s="129">
        <v>8175270.9704729589</v>
      </c>
      <c r="AF181" s="69">
        <f ca="1">IF(Swap_Active="No",0,OFFSET(Vectors!$D$6,Vectors!A181,MATCH(Swap_In,lstInterestRates,0)))</f>
        <v>6.9369000000000056E-2</v>
      </c>
      <c r="AG181" s="62">
        <f t="shared" ca="1" si="165"/>
        <v>47259.197662561593</v>
      </c>
      <c r="AH181" s="69">
        <f ca="1">IF(Swap_Active="No",0,OFFSET(Vectors!$D$6,Vectors!A181,MATCH(Swap_Out,lstInterestRates,0)))</f>
        <v>0.04</v>
      </c>
      <c r="AI181" s="62">
        <f t="shared" ca="1" si="166"/>
        <v>27250.903234909863</v>
      </c>
      <c r="AJ181" s="62">
        <f t="shared" ca="1" si="167"/>
        <v>20008.29442765173</v>
      </c>
      <c r="AK181" s="62">
        <f t="shared" ca="1" si="168"/>
        <v>552306.02707919653</v>
      </c>
      <c r="AL181" s="121"/>
      <c r="AM181" s="123">
        <f t="shared" ca="1" si="149"/>
        <v>58560.871109784108</v>
      </c>
      <c r="AN181" s="124">
        <f t="shared" ca="1" si="169"/>
        <v>58560.871109784108</v>
      </c>
      <c r="AO181" s="125">
        <f t="shared" ca="1" si="170"/>
        <v>0</v>
      </c>
      <c r="AP181" s="123">
        <f t="shared" ca="1" si="171"/>
        <v>493745.15596941242</v>
      </c>
      <c r="AQ181" s="121"/>
      <c r="AR181" s="126">
        <f ca="1">IF(LiabIntType1="Fixed",LiabFxdRate1,OFFSET(Vectors!$D$6,Vectors!A181,MATCH(LiabLoanIndex1,lstInterestRates,0))+LiabMarg1)</f>
        <v>7.9369000000000051E-2</v>
      </c>
      <c r="AS181" s="122">
        <f t="shared" ca="1" si="172"/>
        <v>0</v>
      </c>
      <c r="AT181" s="124">
        <f t="shared" ca="1" si="173"/>
        <v>0</v>
      </c>
      <c r="AU181" s="123">
        <f t="shared" ca="1" si="174"/>
        <v>0</v>
      </c>
      <c r="AV181" s="123">
        <f t="shared" ca="1" si="150"/>
        <v>0</v>
      </c>
      <c r="AW181" s="123">
        <f t="shared" ca="1" si="175"/>
        <v>0</v>
      </c>
      <c r="AX181" s="124">
        <f t="shared" ca="1" si="176"/>
        <v>493745.15596941242</v>
      </c>
      <c r="AY181" s="121"/>
      <c r="AZ181" s="122">
        <f t="shared" ca="1" si="151"/>
        <v>0</v>
      </c>
      <c r="BA181" s="124">
        <f t="shared" ca="1" si="177"/>
        <v>0</v>
      </c>
      <c r="BB181" s="123">
        <f t="shared" ca="1" si="178"/>
        <v>0</v>
      </c>
      <c r="BC181" s="123">
        <f t="shared" ca="1" si="152"/>
        <v>0</v>
      </c>
      <c r="BD181" s="123">
        <f t="shared" ca="1" si="179"/>
        <v>0</v>
      </c>
      <c r="BE181" s="124">
        <f t="shared" ca="1" si="180"/>
        <v>493745.15596941242</v>
      </c>
      <c r="BF181" s="121"/>
      <c r="BG181" s="123">
        <f t="shared" si="153"/>
        <v>1000000</v>
      </c>
      <c r="BH181" s="123">
        <f t="shared" ca="1" si="181"/>
        <v>1000000</v>
      </c>
      <c r="BI181" s="123">
        <f t="shared" ca="1" si="182"/>
        <v>0</v>
      </c>
      <c r="BJ181" s="123">
        <f t="shared" ca="1" si="183"/>
        <v>0</v>
      </c>
      <c r="BK181" s="123">
        <f t="shared" ca="1" si="140"/>
        <v>1000000</v>
      </c>
      <c r="BL181" s="123">
        <f t="shared" ca="1" si="184"/>
        <v>493745.15596941242</v>
      </c>
      <c r="BM181" s="121"/>
      <c r="BN181" s="126">
        <f ca="1">IF(LiabIntType2="Fixed",LiabFxdRate2,OFFSET(Vectors!$D$6,Vectors!A181,MATCH(LiabLoanIndex2,lstInterestRates,0))+LiabMarg2)</f>
        <v>0.04</v>
      </c>
      <c r="BO181" s="122">
        <f t="shared" ca="1" si="185"/>
        <v>32583.491609584413</v>
      </c>
      <c r="BP181" s="124">
        <f t="shared" ca="1" si="186"/>
        <v>32583.491609584413</v>
      </c>
      <c r="BQ181" s="123">
        <f t="shared" ca="1" si="187"/>
        <v>0</v>
      </c>
      <c r="BR181" s="123">
        <f t="shared" ca="1" si="188"/>
        <v>461161.66435982799</v>
      </c>
      <c r="BS181" s="121"/>
      <c r="BT181" s="123">
        <f t="shared" ca="1" si="154"/>
        <v>27730.159629862774</v>
      </c>
      <c r="BU181" s="123">
        <f t="shared" ca="1" si="189"/>
        <v>27730.159629862774</v>
      </c>
      <c r="BV181" s="123">
        <f t="shared" ca="1" si="190"/>
        <v>0</v>
      </c>
      <c r="BW181" s="123">
        <f t="shared" ca="1" si="191"/>
        <v>433431.50472996524</v>
      </c>
      <c r="BX181" s="121"/>
      <c r="BY181" s="123">
        <f t="shared" si="192"/>
        <v>0</v>
      </c>
      <c r="BZ181" s="123">
        <f t="shared" ca="1" si="193"/>
        <v>433431.50472996524</v>
      </c>
      <c r="CA181" s="121"/>
      <c r="CB181" s="122">
        <f t="shared" ca="1" si="141"/>
        <v>0</v>
      </c>
      <c r="CC181" s="122">
        <f t="shared" ca="1" si="194"/>
        <v>0</v>
      </c>
      <c r="CD181" s="124">
        <f t="shared" ca="1" si="195"/>
        <v>0</v>
      </c>
      <c r="CE181" s="121"/>
      <c r="CF181" s="122">
        <f t="shared" ca="1" si="142"/>
        <v>9747317.323245462</v>
      </c>
      <c r="CG181" s="124">
        <f t="shared" ca="1" si="196"/>
        <v>32583.491609584413</v>
      </c>
      <c r="CH181" s="123">
        <f t="shared" ca="1" si="197"/>
        <v>27730.159629862774</v>
      </c>
      <c r="CI181" s="121"/>
      <c r="CJ181" s="123">
        <f t="shared" ca="1" si="198"/>
        <v>579556.9303141064</v>
      </c>
      <c r="CK181" s="123">
        <f t="shared" ca="1" si="199"/>
        <v>579556.9303141064</v>
      </c>
      <c r="CL181" s="123">
        <f t="shared" ca="1" si="200"/>
        <v>0</v>
      </c>
      <c r="CM181" s="121"/>
      <c r="CN181" s="62">
        <f t="shared" ca="1" si="201"/>
        <v>270461.31265751639</v>
      </c>
      <c r="CO181" s="62" t="b">
        <f t="shared" si="202"/>
        <v>1</v>
      </c>
      <c r="CP181" s="126">
        <f t="shared" ca="1" si="203"/>
        <v>4.8611111111110964E-3</v>
      </c>
      <c r="CQ181" s="120"/>
      <c r="CR181" s="120"/>
      <c r="CS181" s="120"/>
      <c r="CT181" s="120"/>
      <c r="CU181" s="120"/>
      <c r="CV181" s="120"/>
      <c r="CW181" s="120"/>
      <c r="CX181" s="120"/>
      <c r="CY181" s="120"/>
      <c r="CZ181" s="120"/>
      <c r="DA181" s="120"/>
      <c r="DB181" s="120"/>
      <c r="DC181" s="120"/>
      <c r="DD181" s="120"/>
      <c r="DE181" s="116"/>
      <c r="DF181" s="116"/>
      <c r="DG181" s="116"/>
      <c r="DH181" s="116"/>
      <c r="DI181" s="116"/>
      <c r="DJ181" s="116"/>
      <c r="DK181" s="116"/>
      <c r="DL181" s="116"/>
      <c r="DM181" s="116"/>
      <c r="DN181" s="116"/>
    </row>
    <row r="182" spans="1:118" x14ac:dyDescent="0.2">
      <c r="A182" s="27">
        <v>176</v>
      </c>
      <c r="B182" s="29">
        <f t="shared" si="136"/>
        <v>44470</v>
      </c>
      <c r="C182" s="30">
        <f t="shared" si="137"/>
        <v>8.3333333333333329E-2</v>
      </c>
      <c r="D182" s="55"/>
      <c r="E182" s="62">
        <f t="shared" ca="1" si="155"/>
        <v>80355528.148202553</v>
      </c>
      <c r="F182" s="63">
        <f ca="1">IF(AssetIntType1="Fixed",AssetFxdRate1,IF(A182=1,OFFSET(Vectors!$D$6,A182,MATCH(AssetFltIndx1,lstInterestRates,0)),IF(MOD($A182,AssetRateReset1)=0,MAX(MIN(OFFSET(Vectors!$D$6,A182,MATCH(AssetFltIndx1,lstInterestRates,0)),(F181-AssetMarg1)+AssetPdCapFl1,AssetLifeCap1-AssetMarg1),(F181-AssetMarg1)-AssetPdCapFl1,AssetLifeFloor1-AssetMarg1),F181)))+AssetMarg1</f>
        <v>0.09</v>
      </c>
      <c r="G182" s="62">
        <f t="shared" ca="1" si="143"/>
        <v>804622.61694478267</v>
      </c>
      <c r="H182" s="62">
        <f t="shared" ca="1" si="156"/>
        <v>602666.46111151914</v>
      </c>
      <c r="I182" s="62">
        <f t="shared" ca="1" si="157"/>
        <v>201956.15583326353</v>
      </c>
      <c r="J182" s="62">
        <f t="shared" ca="1" si="138"/>
        <v>80153571.992369294</v>
      </c>
      <c r="K182" s="55"/>
      <c r="L182" s="62">
        <f t="shared" ca="1" si="158"/>
        <v>34866061.353212953</v>
      </c>
      <c r="M182" s="68">
        <f ca="1">IF(pdrLossTime1="",OFFSET(Vectors!$AE$6,A182+_Age1,MATCH(SDA_Loss,lstSDA,0)),OFFSET(Vectors!$X$6,A182+_Age1,MATCH(pdrLossTime1,lstDefaultCurve,0)))</f>
        <v>2.7777777777777779E-5</v>
      </c>
      <c r="N182" s="62">
        <f t="shared" ca="1" si="144"/>
        <v>2777.7777777777778</v>
      </c>
      <c r="O182" s="67">
        <f t="shared" ca="1" si="159"/>
        <v>0.80153571992369299</v>
      </c>
      <c r="P182" s="68">
        <f ca="1">OFFSET(Vectors!$L$6,A182+_Age1,MATCH(pdrPrepay1,lstPrepayCurve,0))*pdrPrepayStress1</f>
        <v>5.1430128318229462E-3</v>
      </c>
      <c r="Q182" s="62">
        <f t="shared" ca="1" si="160"/>
        <v>178865.92763024432</v>
      </c>
      <c r="R182" s="62">
        <f t="shared" ca="1" si="161"/>
        <v>87621.286212364023</v>
      </c>
      <c r="S182" s="69">
        <f t="shared" ca="1" si="162"/>
        <v>0.09</v>
      </c>
      <c r="T182" s="62">
        <f t="shared" ca="1" si="163"/>
        <v>261474.62681576383</v>
      </c>
      <c r="U182" s="62">
        <f t="shared" ca="1" si="145"/>
        <v>1111.1111111111111</v>
      </c>
      <c r="V182" s="62">
        <f t="shared" ca="1" si="139"/>
        <v>34596796.361592568</v>
      </c>
      <c r="W182" s="55"/>
      <c r="X182" s="62">
        <f t="shared" ca="1" si="164"/>
        <v>529072.95176948328</v>
      </c>
      <c r="Y182" s="55"/>
      <c r="Z182" s="118" t="b">
        <v>0</v>
      </c>
      <c r="AA182" s="120" t="b">
        <f t="shared" si="146"/>
        <v>0</v>
      </c>
      <c r="AB182" s="120" t="b">
        <f t="shared" si="147"/>
        <v>1</v>
      </c>
      <c r="AC182" s="120" t="b">
        <f t="shared" ca="1" si="148"/>
        <v>0</v>
      </c>
      <c r="AD182" s="121"/>
      <c r="AE182" s="129">
        <v>7998656.3112505646</v>
      </c>
      <c r="AF182" s="69">
        <f ca="1">IF(Swap_Active="No",0,OFFSET(Vectors!$D$6,Vectors!A182,MATCH(Swap_In,lstInterestRates,0)))</f>
        <v>6.9369000000000056E-2</v>
      </c>
      <c r="AG182" s="62">
        <f t="shared" ca="1" si="165"/>
        <v>46238.232471261734</v>
      </c>
      <c r="AH182" s="69">
        <f ca="1">IF(Swap_Active="No",0,OFFSET(Vectors!$D$6,Vectors!A182,MATCH(Swap_Out,lstInterestRates,0)))</f>
        <v>0.04</v>
      </c>
      <c r="AI182" s="62">
        <f t="shared" ca="1" si="166"/>
        <v>26662.187704168551</v>
      </c>
      <c r="AJ182" s="62">
        <f t="shared" ca="1" si="167"/>
        <v>19576.044767093183</v>
      </c>
      <c r="AK182" s="62">
        <f t="shared" ca="1" si="168"/>
        <v>548648.99653657642</v>
      </c>
      <c r="AL182" s="121"/>
      <c r="AM182" s="123">
        <f t="shared" ca="1" si="149"/>
        <v>58110.102255354919</v>
      </c>
      <c r="AN182" s="124">
        <f t="shared" ca="1" si="169"/>
        <v>58110.102255354919</v>
      </c>
      <c r="AO182" s="125">
        <f t="shared" ca="1" si="170"/>
        <v>0</v>
      </c>
      <c r="AP182" s="123">
        <f t="shared" ca="1" si="171"/>
        <v>490538.8942812215</v>
      </c>
      <c r="AQ182" s="121"/>
      <c r="AR182" s="126">
        <f ca="1">IF(LiabIntType1="Fixed",LiabFxdRate1,OFFSET(Vectors!$D$6,Vectors!A182,MATCH(LiabLoanIndex1,lstInterestRates,0))+LiabMarg1)</f>
        <v>7.9369000000000051E-2</v>
      </c>
      <c r="AS182" s="122">
        <f t="shared" ca="1" si="172"/>
        <v>0</v>
      </c>
      <c r="AT182" s="124">
        <f t="shared" ca="1" si="173"/>
        <v>0</v>
      </c>
      <c r="AU182" s="123">
        <f t="shared" ca="1" si="174"/>
        <v>0</v>
      </c>
      <c r="AV182" s="123">
        <f t="shared" ca="1" si="150"/>
        <v>0</v>
      </c>
      <c r="AW182" s="123">
        <f t="shared" ca="1" si="175"/>
        <v>0</v>
      </c>
      <c r="AX182" s="124">
        <f t="shared" ca="1" si="176"/>
        <v>490538.8942812215</v>
      </c>
      <c r="AY182" s="121"/>
      <c r="AZ182" s="122">
        <f t="shared" ca="1" si="151"/>
        <v>0</v>
      </c>
      <c r="BA182" s="124">
        <f t="shared" ca="1" si="177"/>
        <v>0</v>
      </c>
      <c r="BB182" s="123">
        <f t="shared" ca="1" si="178"/>
        <v>0</v>
      </c>
      <c r="BC182" s="123">
        <f t="shared" ca="1" si="152"/>
        <v>0</v>
      </c>
      <c r="BD182" s="123">
        <f t="shared" ca="1" si="179"/>
        <v>0</v>
      </c>
      <c r="BE182" s="124">
        <f t="shared" ca="1" si="180"/>
        <v>490538.8942812215</v>
      </c>
      <c r="BF182" s="121"/>
      <c r="BG182" s="123">
        <f t="shared" si="153"/>
        <v>1000000</v>
      </c>
      <c r="BH182" s="123">
        <f t="shared" ca="1" si="181"/>
        <v>1000000</v>
      </c>
      <c r="BI182" s="123">
        <f t="shared" ca="1" si="182"/>
        <v>0</v>
      </c>
      <c r="BJ182" s="123">
        <f t="shared" ca="1" si="183"/>
        <v>0</v>
      </c>
      <c r="BK182" s="123">
        <f t="shared" ca="1" si="140"/>
        <v>1000000</v>
      </c>
      <c r="BL182" s="123">
        <f t="shared" ca="1" si="184"/>
        <v>490538.8942812215</v>
      </c>
      <c r="BM182" s="121"/>
      <c r="BN182" s="126">
        <f ca="1">IF(LiabIntType2="Fixed",LiabFxdRate2,OFFSET(Vectors!$D$6,Vectors!A182,MATCH(LiabLoanIndex2,lstInterestRates,0))+LiabMarg2)</f>
        <v>0.04</v>
      </c>
      <c r="BO182" s="122">
        <f t="shared" ca="1" si="185"/>
        <v>32491.057744151538</v>
      </c>
      <c r="BP182" s="124">
        <f t="shared" ca="1" si="186"/>
        <v>32491.057744151538</v>
      </c>
      <c r="BQ182" s="123">
        <f t="shared" ca="1" si="187"/>
        <v>0</v>
      </c>
      <c r="BR182" s="123">
        <f t="shared" ca="1" si="188"/>
        <v>458047.83653706993</v>
      </c>
      <c r="BS182" s="121"/>
      <c r="BT182" s="123">
        <f t="shared" ca="1" si="154"/>
        <v>27607.50189001</v>
      </c>
      <c r="BU182" s="123">
        <f t="shared" ca="1" si="189"/>
        <v>27607.50189001</v>
      </c>
      <c r="BV182" s="123">
        <f t="shared" ca="1" si="190"/>
        <v>0</v>
      </c>
      <c r="BW182" s="123">
        <f t="shared" ca="1" si="191"/>
        <v>430440.33464705991</v>
      </c>
      <c r="BX182" s="121"/>
      <c r="BY182" s="123">
        <f t="shared" si="192"/>
        <v>0</v>
      </c>
      <c r="BZ182" s="123">
        <f t="shared" ca="1" si="193"/>
        <v>430440.33464705991</v>
      </c>
      <c r="CA182" s="121"/>
      <c r="CB182" s="122">
        <f t="shared" ca="1" si="141"/>
        <v>0</v>
      </c>
      <c r="CC182" s="122">
        <f t="shared" ca="1" si="194"/>
        <v>0</v>
      </c>
      <c r="CD182" s="124">
        <f t="shared" ca="1" si="195"/>
        <v>0</v>
      </c>
      <c r="CE182" s="121"/>
      <c r="CF182" s="122">
        <f t="shared" ca="1" si="142"/>
        <v>9719709.8213554528</v>
      </c>
      <c r="CG182" s="124">
        <f t="shared" ca="1" si="196"/>
        <v>32491.057744151538</v>
      </c>
      <c r="CH182" s="123">
        <f t="shared" ca="1" si="197"/>
        <v>27607.50189001</v>
      </c>
      <c r="CI182" s="121"/>
      <c r="CJ182" s="123">
        <f t="shared" ca="1" si="198"/>
        <v>575311.18424074503</v>
      </c>
      <c r="CK182" s="123">
        <f t="shared" ca="1" si="199"/>
        <v>575311.18424074491</v>
      </c>
      <c r="CL182" s="123">
        <f t="shared" ca="1" si="200"/>
        <v>0</v>
      </c>
      <c r="CM182" s="121"/>
      <c r="CN182" s="62">
        <f t="shared" ca="1" si="201"/>
        <v>269264.99162038614</v>
      </c>
      <c r="CO182" s="62" t="b">
        <f t="shared" si="202"/>
        <v>1</v>
      </c>
      <c r="CP182" s="126">
        <f t="shared" ca="1" si="203"/>
        <v>4.8888888888888741E-3</v>
      </c>
      <c r="CQ182" s="120"/>
      <c r="CR182" s="120"/>
      <c r="CS182" s="120"/>
      <c r="CT182" s="120"/>
      <c r="CU182" s="120"/>
      <c r="CV182" s="120"/>
      <c r="CW182" s="120"/>
      <c r="CX182" s="120"/>
      <c r="CY182" s="120"/>
      <c r="CZ182" s="120"/>
      <c r="DA182" s="120"/>
      <c r="DB182" s="120"/>
      <c r="DC182" s="120"/>
      <c r="DD182" s="120"/>
      <c r="DE182" s="116"/>
      <c r="DF182" s="116"/>
      <c r="DG182" s="116"/>
      <c r="DH182" s="116"/>
      <c r="DI182" s="116"/>
      <c r="DJ182" s="116"/>
      <c r="DK182" s="116"/>
      <c r="DL182" s="116"/>
      <c r="DM182" s="116"/>
      <c r="DN182" s="116"/>
    </row>
    <row r="183" spans="1:118" x14ac:dyDescent="0.2">
      <c r="A183" s="27">
        <v>177</v>
      </c>
      <c r="B183" s="29">
        <f t="shared" si="136"/>
        <v>44501</v>
      </c>
      <c r="C183" s="30">
        <f t="shared" si="137"/>
        <v>8.3333333333333329E-2</v>
      </c>
      <c r="D183" s="55"/>
      <c r="E183" s="62">
        <f t="shared" ca="1" si="155"/>
        <v>80153571.992369294</v>
      </c>
      <c r="F183" s="63">
        <f ca="1">IF(AssetIntType1="Fixed",AssetFxdRate1,IF(A183=1,OFFSET(Vectors!$D$6,A183,MATCH(AssetFltIndx1,lstInterestRates,0)),IF(MOD($A183,AssetRateReset1)=0,MAX(MIN(OFFSET(Vectors!$D$6,A183,MATCH(AssetFltIndx1,lstInterestRates,0)),(F182-AssetMarg1)+AssetPdCapFl1,AssetLifeCap1-AssetMarg1),(F182-AssetMarg1)-AssetPdCapFl1,AssetLifeFloor1-AssetMarg1),F182)))+AssetMarg1</f>
        <v>0.09</v>
      </c>
      <c r="G183" s="62">
        <f t="shared" ca="1" si="143"/>
        <v>804622.61694478267</v>
      </c>
      <c r="H183" s="62">
        <f t="shared" ca="1" si="156"/>
        <v>601151.78994276968</v>
      </c>
      <c r="I183" s="62">
        <f t="shared" ca="1" si="157"/>
        <v>203470.82700201299</v>
      </c>
      <c r="J183" s="62">
        <f t="shared" ca="1" si="138"/>
        <v>79950101.165367275</v>
      </c>
      <c r="K183" s="55"/>
      <c r="L183" s="62">
        <f t="shared" ca="1" si="158"/>
        <v>34596796.361592568</v>
      </c>
      <c r="M183" s="68">
        <f ca="1">IF(pdrLossTime1="",OFFSET(Vectors!$AE$6,A183+_Age1,MATCH(SDA_Loss,lstSDA,0)),OFFSET(Vectors!$X$6,A183+_Age1,MATCH(pdrLossTime1,lstDefaultCurve,0)))</f>
        <v>2.7777777777777779E-5</v>
      </c>
      <c r="N183" s="62">
        <f t="shared" ca="1" si="144"/>
        <v>2777.7777777777778</v>
      </c>
      <c r="O183" s="67">
        <f t="shared" ca="1" si="159"/>
        <v>0.79950101165367271</v>
      </c>
      <c r="P183" s="68">
        <f ca="1">OFFSET(Vectors!$L$6,A183+_Age1,MATCH(pdrPrepay1,lstPrepayCurve,0))*pdrPrepayStress1</f>
        <v>5.1430128318229462E-3</v>
      </c>
      <c r="Q183" s="62">
        <f t="shared" ca="1" si="160"/>
        <v>177480.08565003713</v>
      </c>
      <c r="R183" s="62">
        <f t="shared" ca="1" si="161"/>
        <v>87817.341081724226</v>
      </c>
      <c r="S183" s="69">
        <f t="shared" ca="1" si="162"/>
        <v>0.09</v>
      </c>
      <c r="T183" s="62">
        <f t="shared" ca="1" si="163"/>
        <v>259455.13937861094</v>
      </c>
      <c r="U183" s="62">
        <f t="shared" ca="1" si="145"/>
        <v>1111.1111111111111</v>
      </c>
      <c r="V183" s="62">
        <f t="shared" ca="1" si="139"/>
        <v>34328721.157083035</v>
      </c>
      <c r="W183" s="55"/>
      <c r="X183" s="62">
        <f t="shared" ca="1" si="164"/>
        <v>525863.67722148343</v>
      </c>
      <c r="Y183" s="55"/>
      <c r="Z183" s="118" t="b">
        <v>0</v>
      </c>
      <c r="AA183" s="120" t="b">
        <f t="shared" si="146"/>
        <v>0</v>
      </c>
      <c r="AB183" s="120" t="b">
        <f t="shared" si="147"/>
        <v>1</v>
      </c>
      <c r="AC183" s="120" t="b">
        <f t="shared" ca="1" si="148"/>
        <v>0</v>
      </c>
      <c r="AD183" s="121"/>
      <c r="AE183" s="129">
        <v>7823901.8541206075</v>
      </c>
      <c r="AF183" s="69">
        <f ca="1">IF(Swap_Active="No",0,OFFSET(Vectors!$D$6,Vectors!A183,MATCH(Swap_In,lstInterestRates,0)))</f>
        <v>6.9369000000000056E-2</v>
      </c>
      <c r="AG183" s="62">
        <f t="shared" ca="1" si="165"/>
        <v>45228.020643207739</v>
      </c>
      <c r="AH183" s="69">
        <f ca="1">IF(Swap_Active="No",0,OFFSET(Vectors!$D$6,Vectors!A183,MATCH(Swap_Out,lstInterestRates,0)))</f>
        <v>0.04</v>
      </c>
      <c r="AI183" s="62">
        <f t="shared" ca="1" si="166"/>
        <v>26079.672847068694</v>
      </c>
      <c r="AJ183" s="62">
        <f t="shared" ca="1" si="167"/>
        <v>19148.347796139045</v>
      </c>
      <c r="AK183" s="62">
        <f t="shared" ca="1" si="168"/>
        <v>545012.02501762251</v>
      </c>
      <c r="AL183" s="121"/>
      <c r="AM183" s="123">
        <f t="shared" ca="1" si="149"/>
        <v>57661.327269320944</v>
      </c>
      <c r="AN183" s="124">
        <f t="shared" ca="1" si="169"/>
        <v>57661.327269320944</v>
      </c>
      <c r="AO183" s="125">
        <f t="shared" ca="1" si="170"/>
        <v>0</v>
      </c>
      <c r="AP183" s="123">
        <f t="shared" ca="1" si="171"/>
        <v>487350.69774830155</v>
      </c>
      <c r="AQ183" s="121"/>
      <c r="AR183" s="126">
        <f ca="1">IF(LiabIntType1="Fixed",LiabFxdRate1,OFFSET(Vectors!$D$6,Vectors!A183,MATCH(LiabLoanIndex1,lstInterestRates,0))+LiabMarg1)</f>
        <v>7.9369000000000051E-2</v>
      </c>
      <c r="AS183" s="122">
        <f t="shared" ca="1" si="172"/>
        <v>0</v>
      </c>
      <c r="AT183" s="124">
        <f t="shared" ca="1" si="173"/>
        <v>0</v>
      </c>
      <c r="AU183" s="123">
        <f t="shared" ca="1" si="174"/>
        <v>0</v>
      </c>
      <c r="AV183" s="123">
        <f t="shared" ca="1" si="150"/>
        <v>0</v>
      </c>
      <c r="AW183" s="123">
        <f t="shared" ca="1" si="175"/>
        <v>0</v>
      </c>
      <c r="AX183" s="124">
        <f t="shared" ca="1" si="176"/>
        <v>487350.69774830155</v>
      </c>
      <c r="AY183" s="121"/>
      <c r="AZ183" s="122">
        <f t="shared" ca="1" si="151"/>
        <v>0</v>
      </c>
      <c r="BA183" s="124">
        <f t="shared" ca="1" si="177"/>
        <v>0</v>
      </c>
      <c r="BB183" s="123">
        <f t="shared" ca="1" si="178"/>
        <v>0</v>
      </c>
      <c r="BC183" s="123">
        <f t="shared" ca="1" si="152"/>
        <v>0</v>
      </c>
      <c r="BD183" s="123">
        <f t="shared" ca="1" si="179"/>
        <v>0</v>
      </c>
      <c r="BE183" s="124">
        <f t="shared" ca="1" si="180"/>
        <v>487350.69774830155</v>
      </c>
      <c r="BF183" s="121"/>
      <c r="BG183" s="123">
        <f t="shared" si="153"/>
        <v>1000000</v>
      </c>
      <c r="BH183" s="123">
        <f t="shared" ca="1" si="181"/>
        <v>1000000</v>
      </c>
      <c r="BI183" s="123">
        <f t="shared" ca="1" si="182"/>
        <v>0</v>
      </c>
      <c r="BJ183" s="123">
        <f t="shared" ca="1" si="183"/>
        <v>0</v>
      </c>
      <c r="BK183" s="123">
        <f t="shared" ca="1" si="140"/>
        <v>1000000</v>
      </c>
      <c r="BL183" s="123">
        <f t="shared" ca="1" si="184"/>
        <v>487350.69774830155</v>
      </c>
      <c r="BM183" s="121"/>
      <c r="BN183" s="126">
        <f ca="1">IF(LiabIntType2="Fixed",LiabFxdRate2,OFFSET(Vectors!$D$6,Vectors!A183,MATCH(LiabLoanIndex2,lstInterestRates,0))+LiabMarg2)</f>
        <v>0.04</v>
      </c>
      <c r="BO183" s="122">
        <f t="shared" ca="1" si="185"/>
        <v>32399.032737851507</v>
      </c>
      <c r="BP183" s="124">
        <f t="shared" ca="1" si="186"/>
        <v>32399.032737851507</v>
      </c>
      <c r="BQ183" s="123">
        <f t="shared" ca="1" si="187"/>
        <v>0</v>
      </c>
      <c r="BR183" s="123">
        <f t="shared" ca="1" si="188"/>
        <v>454951.66501045006</v>
      </c>
      <c r="BS183" s="121"/>
      <c r="BT183" s="123">
        <f t="shared" ca="1" si="154"/>
        <v>27485.514067851051</v>
      </c>
      <c r="BU183" s="123">
        <f t="shared" ca="1" si="189"/>
        <v>27485.514067851051</v>
      </c>
      <c r="BV183" s="123">
        <f t="shared" ca="1" si="190"/>
        <v>0</v>
      </c>
      <c r="BW183" s="123">
        <f t="shared" ca="1" si="191"/>
        <v>427466.15094259899</v>
      </c>
      <c r="BX183" s="121"/>
      <c r="BY183" s="123">
        <f t="shared" si="192"/>
        <v>0</v>
      </c>
      <c r="BZ183" s="123">
        <f t="shared" ca="1" si="193"/>
        <v>427466.15094259899</v>
      </c>
      <c r="CA183" s="121"/>
      <c r="CB183" s="122">
        <f t="shared" ca="1" si="141"/>
        <v>0</v>
      </c>
      <c r="CC183" s="122">
        <f t="shared" ca="1" si="194"/>
        <v>0</v>
      </c>
      <c r="CD183" s="124">
        <f t="shared" ca="1" si="195"/>
        <v>0</v>
      </c>
      <c r="CE183" s="121"/>
      <c r="CF183" s="122">
        <f t="shared" ca="1" si="142"/>
        <v>9692224.3072876018</v>
      </c>
      <c r="CG183" s="124">
        <f t="shared" ca="1" si="196"/>
        <v>32399.032737851507</v>
      </c>
      <c r="CH183" s="123">
        <f t="shared" ca="1" si="197"/>
        <v>27485.514067851051</v>
      </c>
      <c r="CI183" s="121"/>
      <c r="CJ183" s="123">
        <f t="shared" ca="1" si="198"/>
        <v>571091.69786469114</v>
      </c>
      <c r="CK183" s="123">
        <f t="shared" ca="1" si="199"/>
        <v>571091.69786469126</v>
      </c>
      <c r="CL183" s="123">
        <f t="shared" ca="1" si="200"/>
        <v>0</v>
      </c>
      <c r="CM183" s="121"/>
      <c r="CN183" s="62">
        <f t="shared" ca="1" si="201"/>
        <v>268075.20450953912</v>
      </c>
      <c r="CO183" s="62" t="b">
        <f t="shared" si="202"/>
        <v>1</v>
      </c>
      <c r="CP183" s="126">
        <f t="shared" ca="1" si="203"/>
        <v>4.9166666666666517E-3</v>
      </c>
      <c r="CQ183" s="120"/>
      <c r="CR183" s="120"/>
      <c r="CS183" s="120"/>
      <c r="CT183" s="120"/>
      <c r="CU183" s="120"/>
      <c r="CV183" s="120"/>
      <c r="CW183" s="120"/>
      <c r="CX183" s="120"/>
      <c r="CY183" s="120"/>
      <c r="CZ183" s="120"/>
      <c r="DA183" s="120"/>
      <c r="DB183" s="120"/>
      <c r="DC183" s="120"/>
      <c r="DD183" s="120"/>
      <c r="DE183" s="116"/>
      <c r="DF183" s="116"/>
      <c r="DG183" s="116"/>
      <c r="DH183" s="116"/>
      <c r="DI183" s="116"/>
      <c r="DJ183" s="116"/>
      <c r="DK183" s="116"/>
      <c r="DL183" s="116"/>
      <c r="DM183" s="116"/>
      <c r="DN183" s="116"/>
    </row>
    <row r="184" spans="1:118" x14ac:dyDescent="0.2">
      <c r="A184" s="27">
        <v>178</v>
      </c>
      <c r="B184" s="29">
        <f t="shared" si="136"/>
        <v>44531</v>
      </c>
      <c r="C184" s="30">
        <f t="shared" si="137"/>
        <v>8.3333333333333329E-2</v>
      </c>
      <c r="D184" s="55"/>
      <c r="E184" s="62">
        <f t="shared" ca="1" si="155"/>
        <v>79950101.165367275</v>
      </c>
      <c r="F184" s="63">
        <f ca="1">IF(AssetIntType1="Fixed",AssetFxdRate1,IF(A184=1,OFFSET(Vectors!$D$6,A184,MATCH(AssetFltIndx1,lstInterestRates,0)),IF(MOD($A184,AssetRateReset1)=0,MAX(MIN(OFFSET(Vectors!$D$6,A184,MATCH(AssetFltIndx1,lstInterestRates,0)),(F183-AssetMarg1)+AssetPdCapFl1,AssetLifeCap1-AssetMarg1),(F183-AssetMarg1)-AssetPdCapFl1,AssetLifeFloor1-AssetMarg1),F183)))+AssetMarg1</f>
        <v>0.09</v>
      </c>
      <c r="G184" s="62">
        <f t="shared" ca="1" si="143"/>
        <v>804622.61694478267</v>
      </c>
      <c r="H184" s="62">
        <f t="shared" ca="1" si="156"/>
        <v>599625.75874025456</v>
      </c>
      <c r="I184" s="62">
        <f t="shared" ca="1" si="157"/>
        <v>204996.85820452811</v>
      </c>
      <c r="J184" s="62">
        <f t="shared" ca="1" si="138"/>
        <v>79745104.307162747</v>
      </c>
      <c r="K184" s="55"/>
      <c r="L184" s="62">
        <f t="shared" ca="1" si="158"/>
        <v>34328721.157083035</v>
      </c>
      <c r="M184" s="68">
        <f ca="1">IF(pdrLossTime1="",OFFSET(Vectors!$AE$6,A184+_Age1,MATCH(SDA_Loss,lstSDA,0)),OFFSET(Vectors!$X$6,A184+_Age1,MATCH(pdrLossTime1,lstDefaultCurve,0)))</f>
        <v>2.7777777777777779E-5</v>
      </c>
      <c r="N184" s="62">
        <f t="shared" ca="1" si="144"/>
        <v>2777.7777777777778</v>
      </c>
      <c r="O184" s="67">
        <f t="shared" ca="1" si="159"/>
        <v>0.79745104307162751</v>
      </c>
      <c r="P184" s="68">
        <f ca="1">OFFSET(Vectors!$L$6,A184+_Age1,MATCH(pdrPrepay1,lstPrepayCurve,0))*pdrPrepayStress1</f>
        <v>5.1430128318229462E-3</v>
      </c>
      <c r="Q184" s="62">
        <f t="shared" ca="1" si="160"/>
        <v>176100.36078482302</v>
      </c>
      <c r="R184" s="62">
        <f t="shared" ca="1" si="161"/>
        <v>88013.779158443984</v>
      </c>
      <c r="S184" s="69">
        <f t="shared" ca="1" si="162"/>
        <v>0.09</v>
      </c>
      <c r="T184" s="62">
        <f t="shared" ca="1" si="163"/>
        <v>257444.57534478942</v>
      </c>
      <c r="U184" s="62">
        <f t="shared" ca="1" si="145"/>
        <v>1111.1111111111111</v>
      </c>
      <c r="V184" s="62">
        <f t="shared" ca="1" si="139"/>
        <v>34061829.239361994</v>
      </c>
      <c r="W184" s="55"/>
      <c r="X184" s="62">
        <f t="shared" ca="1" si="164"/>
        <v>522669.82639916753</v>
      </c>
      <c r="Y184" s="55"/>
      <c r="Z184" s="118" t="b">
        <v>0</v>
      </c>
      <c r="AA184" s="120" t="b">
        <f t="shared" si="146"/>
        <v>0</v>
      </c>
      <c r="AB184" s="120" t="b">
        <f t="shared" si="147"/>
        <v>1</v>
      </c>
      <c r="AC184" s="120" t="b">
        <f t="shared" ca="1" si="148"/>
        <v>0</v>
      </c>
      <c r="AD184" s="121"/>
      <c r="AE184" s="129">
        <v>7650988.8074309509</v>
      </c>
      <c r="AF184" s="69">
        <f ca="1">IF(Swap_Active="No",0,OFFSET(Vectors!$D$6,Vectors!A184,MATCH(Swap_In,lstInterestRates,0)))</f>
        <v>6.9369000000000056E-2</v>
      </c>
      <c r="AG184" s="62">
        <f t="shared" ca="1" si="165"/>
        <v>44228.453548556499</v>
      </c>
      <c r="AH184" s="69">
        <f ca="1">IF(Swap_Active="No",0,OFFSET(Vectors!$D$6,Vectors!A184,MATCH(Swap_Out,lstInterestRates,0)))</f>
        <v>0.04</v>
      </c>
      <c r="AI184" s="62">
        <f t="shared" ca="1" si="166"/>
        <v>25503.296024769836</v>
      </c>
      <c r="AJ184" s="62">
        <f t="shared" ca="1" si="167"/>
        <v>18725.157523786664</v>
      </c>
      <c r="AK184" s="62">
        <f t="shared" ca="1" si="168"/>
        <v>541394.98392295418</v>
      </c>
      <c r="AL184" s="121"/>
      <c r="AM184" s="123">
        <f t="shared" ca="1" si="149"/>
        <v>57214.535261805053</v>
      </c>
      <c r="AN184" s="124">
        <f t="shared" ca="1" si="169"/>
        <v>57214.535261805053</v>
      </c>
      <c r="AO184" s="125">
        <f t="shared" ca="1" si="170"/>
        <v>0</v>
      </c>
      <c r="AP184" s="123">
        <f t="shared" ca="1" si="171"/>
        <v>484180.44866114913</v>
      </c>
      <c r="AQ184" s="121"/>
      <c r="AR184" s="126">
        <f ca="1">IF(LiabIntType1="Fixed",LiabFxdRate1,OFFSET(Vectors!$D$6,Vectors!A184,MATCH(LiabLoanIndex1,lstInterestRates,0))+LiabMarg1)</f>
        <v>7.9369000000000051E-2</v>
      </c>
      <c r="AS184" s="122">
        <f t="shared" ca="1" si="172"/>
        <v>0</v>
      </c>
      <c r="AT184" s="124">
        <f t="shared" ca="1" si="173"/>
        <v>0</v>
      </c>
      <c r="AU184" s="123">
        <f t="shared" ca="1" si="174"/>
        <v>0</v>
      </c>
      <c r="AV184" s="123">
        <f t="shared" ca="1" si="150"/>
        <v>0</v>
      </c>
      <c r="AW184" s="123">
        <f t="shared" ca="1" si="175"/>
        <v>0</v>
      </c>
      <c r="AX184" s="124">
        <f t="shared" ca="1" si="176"/>
        <v>484180.44866114913</v>
      </c>
      <c r="AY184" s="121"/>
      <c r="AZ184" s="122">
        <f t="shared" ca="1" si="151"/>
        <v>0</v>
      </c>
      <c r="BA184" s="124">
        <f t="shared" ca="1" si="177"/>
        <v>0</v>
      </c>
      <c r="BB184" s="123">
        <f t="shared" ca="1" si="178"/>
        <v>0</v>
      </c>
      <c r="BC184" s="123">
        <f t="shared" ca="1" si="152"/>
        <v>0</v>
      </c>
      <c r="BD184" s="123">
        <f t="shared" ca="1" si="179"/>
        <v>0</v>
      </c>
      <c r="BE184" s="124">
        <f t="shared" ca="1" si="180"/>
        <v>484180.44866114913</v>
      </c>
      <c r="BF184" s="121"/>
      <c r="BG184" s="123">
        <f t="shared" si="153"/>
        <v>1000000</v>
      </c>
      <c r="BH184" s="123">
        <f t="shared" ca="1" si="181"/>
        <v>1000000</v>
      </c>
      <c r="BI184" s="123">
        <f t="shared" ca="1" si="182"/>
        <v>0</v>
      </c>
      <c r="BJ184" s="123">
        <f t="shared" ca="1" si="183"/>
        <v>0</v>
      </c>
      <c r="BK184" s="123">
        <f t="shared" ca="1" si="140"/>
        <v>1000000</v>
      </c>
      <c r="BL184" s="123">
        <f t="shared" ca="1" si="184"/>
        <v>484180.44866114913</v>
      </c>
      <c r="BM184" s="121"/>
      <c r="BN184" s="126">
        <f ca="1">IF(LiabIntType2="Fixed",LiabFxdRate2,OFFSET(Vectors!$D$6,Vectors!A184,MATCH(LiabLoanIndex2,lstInterestRates,0))+LiabMarg2)</f>
        <v>0.04</v>
      </c>
      <c r="BO184" s="122">
        <f t="shared" ca="1" si="185"/>
        <v>32307.414357625337</v>
      </c>
      <c r="BP184" s="124">
        <f t="shared" ca="1" si="186"/>
        <v>32307.414357625337</v>
      </c>
      <c r="BQ184" s="123">
        <f t="shared" ca="1" si="187"/>
        <v>0</v>
      </c>
      <c r="BR184" s="123">
        <f t="shared" ca="1" si="188"/>
        <v>451873.03430352377</v>
      </c>
      <c r="BS184" s="121"/>
      <c r="BT184" s="123">
        <f t="shared" ca="1" si="154"/>
        <v>27364.192718004593</v>
      </c>
      <c r="BU184" s="123">
        <f t="shared" ca="1" si="189"/>
        <v>27364.192718004593</v>
      </c>
      <c r="BV184" s="123">
        <f t="shared" ca="1" si="190"/>
        <v>0</v>
      </c>
      <c r="BW184" s="123">
        <f t="shared" ca="1" si="191"/>
        <v>424508.8415855192</v>
      </c>
      <c r="BX184" s="121"/>
      <c r="BY184" s="123">
        <f t="shared" si="192"/>
        <v>0</v>
      </c>
      <c r="BZ184" s="123">
        <f t="shared" ca="1" si="193"/>
        <v>424508.8415855192</v>
      </c>
      <c r="CA184" s="121"/>
      <c r="CB184" s="122">
        <f t="shared" ca="1" si="141"/>
        <v>0</v>
      </c>
      <c r="CC184" s="122">
        <f t="shared" ca="1" si="194"/>
        <v>0</v>
      </c>
      <c r="CD184" s="124">
        <f t="shared" ca="1" si="195"/>
        <v>0</v>
      </c>
      <c r="CE184" s="121"/>
      <c r="CF184" s="122">
        <f t="shared" ca="1" si="142"/>
        <v>9664860.1145695969</v>
      </c>
      <c r="CG184" s="124">
        <f t="shared" ca="1" si="196"/>
        <v>32307.414357625337</v>
      </c>
      <c r="CH184" s="123">
        <f t="shared" ca="1" si="197"/>
        <v>27364.192718004593</v>
      </c>
      <c r="CI184" s="121"/>
      <c r="CJ184" s="123">
        <f t="shared" ca="1" si="198"/>
        <v>566898.27994772408</v>
      </c>
      <c r="CK184" s="123">
        <f t="shared" ca="1" si="199"/>
        <v>566898.27994772396</v>
      </c>
      <c r="CL184" s="123">
        <f t="shared" ca="1" si="200"/>
        <v>0</v>
      </c>
      <c r="CM184" s="121"/>
      <c r="CN184" s="62">
        <f t="shared" ca="1" si="201"/>
        <v>266891.9177210448</v>
      </c>
      <c r="CO184" s="62" t="b">
        <f t="shared" si="202"/>
        <v>1</v>
      </c>
      <c r="CP184" s="126">
        <f t="shared" ca="1" si="203"/>
        <v>4.9444444444444293E-3</v>
      </c>
      <c r="CQ184" s="120"/>
      <c r="CR184" s="120"/>
      <c r="CS184" s="120"/>
      <c r="CT184" s="120"/>
      <c r="CU184" s="120"/>
      <c r="CV184" s="120"/>
      <c r="CW184" s="120"/>
      <c r="CX184" s="120"/>
      <c r="CY184" s="120"/>
      <c r="CZ184" s="120"/>
      <c r="DA184" s="120"/>
      <c r="DB184" s="120"/>
      <c r="DC184" s="120"/>
      <c r="DD184" s="120"/>
      <c r="DE184" s="116"/>
      <c r="DF184" s="116"/>
      <c r="DG184" s="116"/>
      <c r="DH184" s="116"/>
      <c r="DI184" s="116"/>
      <c r="DJ184" s="116"/>
      <c r="DK184" s="116"/>
      <c r="DL184" s="116"/>
      <c r="DM184" s="116"/>
      <c r="DN184" s="116"/>
    </row>
    <row r="185" spans="1:118" x14ac:dyDescent="0.2">
      <c r="A185" s="27">
        <v>179</v>
      </c>
      <c r="B185" s="29">
        <f t="shared" si="136"/>
        <v>44562</v>
      </c>
      <c r="C185" s="30">
        <f t="shared" si="137"/>
        <v>8.3333333333333329E-2</v>
      </c>
      <c r="D185" s="55"/>
      <c r="E185" s="62">
        <f t="shared" ca="1" si="155"/>
        <v>79745104.307162747</v>
      </c>
      <c r="F185" s="63">
        <f ca="1">IF(AssetIntType1="Fixed",AssetFxdRate1,IF(A185=1,OFFSET(Vectors!$D$6,A185,MATCH(AssetFltIndx1,lstInterestRates,0)),IF(MOD($A185,AssetRateReset1)=0,MAX(MIN(OFFSET(Vectors!$D$6,A185,MATCH(AssetFltIndx1,lstInterestRates,0)),(F184-AssetMarg1)+AssetPdCapFl1,AssetLifeCap1-AssetMarg1),(F184-AssetMarg1)-AssetPdCapFl1,AssetLifeFloor1-AssetMarg1),F184)))+AssetMarg1</f>
        <v>0.09</v>
      </c>
      <c r="G185" s="62">
        <f t="shared" ca="1" si="143"/>
        <v>804622.61694478267</v>
      </c>
      <c r="H185" s="62">
        <f t="shared" ca="1" si="156"/>
        <v>598088.2823037206</v>
      </c>
      <c r="I185" s="62">
        <f t="shared" ca="1" si="157"/>
        <v>206534.33464106207</v>
      </c>
      <c r="J185" s="62">
        <f t="shared" ca="1" si="138"/>
        <v>79538569.972521678</v>
      </c>
      <c r="K185" s="55"/>
      <c r="L185" s="62">
        <f t="shared" ca="1" si="158"/>
        <v>34061829.239361994</v>
      </c>
      <c r="M185" s="68">
        <f ca="1">IF(pdrLossTime1="",OFFSET(Vectors!$AE$6,A185+_Age1,MATCH(SDA_Loss,lstSDA,0)),OFFSET(Vectors!$X$6,A185+_Age1,MATCH(pdrLossTime1,lstDefaultCurve,0)))</f>
        <v>2.7777777777777779E-5</v>
      </c>
      <c r="N185" s="62">
        <f t="shared" ca="1" si="144"/>
        <v>2777.7777777777778</v>
      </c>
      <c r="O185" s="67">
        <f t="shared" ca="1" si="159"/>
        <v>0.79538569972521678</v>
      </c>
      <c r="P185" s="68">
        <f ca="1">OFFSET(Vectors!$L$6,A185+_Age1,MATCH(pdrPrepay1,lstPrepayCurve,0))*pdrPrepayStress1</f>
        <v>5.1430128318229462E-3</v>
      </c>
      <c r="Q185" s="62">
        <f t="shared" ca="1" si="160"/>
        <v>174726.71960335961</v>
      </c>
      <c r="R185" s="62">
        <f t="shared" ca="1" si="161"/>
        <v>88210.600427951402</v>
      </c>
      <c r="S185" s="69">
        <f t="shared" ca="1" si="162"/>
        <v>0.09</v>
      </c>
      <c r="T185" s="62">
        <f t="shared" ca="1" si="163"/>
        <v>255442.88596188164</v>
      </c>
      <c r="U185" s="62">
        <f t="shared" ca="1" si="145"/>
        <v>1111.1111111111111</v>
      </c>
      <c r="V185" s="62">
        <f t="shared" ca="1" si="139"/>
        <v>33796114.14155291</v>
      </c>
      <c r="W185" s="55"/>
      <c r="X185" s="62">
        <f t="shared" ca="1" si="164"/>
        <v>519491.31710430374</v>
      </c>
      <c r="Y185" s="55"/>
      <c r="Z185" s="118" t="b">
        <v>0</v>
      </c>
      <c r="AA185" s="120" t="b">
        <f t="shared" si="146"/>
        <v>0</v>
      </c>
      <c r="AB185" s="120" t="b">
        <f t="shared" si="147"/>
        <v>1</v>
      </c>
      <c r="AC185" s="120" t="b">
        <f t="shared" ca="1" si="148"/>
        <v>0</v>
      </c>
      <c r="AD185" s="121"/>
      <c r="AE185" s="129">
        <v>7479898.5685970364</v>
      </c>
      <c r="AF185" s="69">
        <f ca="1">IF(Swap_Active="No",0,OFFSET(Vectors!$D$6,Vectors!A185,MATCH(Swap_In,lstInterestRates,0)))</f>
        <v>6.9369000000000056E-2</v>
      </c>
      <c r="AG185" s="62">
        <f t="shared" ca="1" si="165"/>
        <v>43239.423650417346</v>
      </c>
      <c r="AH185" s="69">
        <f ca="1">IF(Swap_Active="No",0,OFFSET(Vectors!$D$6,Vectors!A185,MATCH(Swap_Out,lstInterestRates,0)))</f>
        <v>0.04</v>
      </c>
      <c r="AI185" s="62">
        <f t="shared" ca="1" si="166"/>
        <v>24932.99522865679</v>
      </c>
      <c r="AJ185" s="62">
        <f t="shared" ca="1" si="167"/>
        <v>18306.428421760556</v>
      </c>
      <c r="AK185" s="62">
        <f t="shared" ca="1" si="168"/>
        <v>537797.7455260643</v>
      </c>
      <c r="AL185" s="121"/>
      <c r="AM185" s="123">
        <f t="shared" ca="1" si="149"/>
        <v>56769.715398936656</v>
      </c>
      <c r="AN185" s="124">
        <f t="shared" ca="1" si="169"/>
        <v>56769.715398936656</v>
      </c>
      <c r="AO185" s="125">
        <f t="shared" ca="1" si="170"/>
        <v>0</v>
      </c>
      <c r="AP185" s="123">
        <f t="shared" ca="1" si="171"/>
        <v>481028.03012712765</v>
      </c>
      <c r="AQ185" s="121"/>
      <c r="AR185" s="126">
        <f ca="1">IF(LiabIntType1="Fixed",LiabFxdRate1,OFFSET(Vectors!$D$6,Vectors!A185,MATCH(LiabLoanIndex1,lstInterestRates,0))+LiabMarg1)</f>
        <v>7.9369000000000051E-2</v>
      </c>
      <c r="AS185" s="122">
        <f t="shared" ca="1" si="172"/>
        <v>0</v>
      </c>
      <c r="AT185" s="124">
        <f t="shared" ca="1" si="173"/>
        <v>0</v>
      </c>
      <c r="AU185" s="123">
        <f t="shared" ca="1" si="174"/>
        <v>0</v>
      </c>
      <c r="AV185" s="123">
        <f t="shared" ca="1" si="150"/>
        <v>0</v>
      </c>
      <c r="AW185" s="123">
        <f t="shared" ca="1" si="175"/>
        <v>0</v>
      </c>
      <c r="AX185" s="124">
        <f t="shared" ca="1" si="176"/>
        <v>481028.03012712765</v>
      </c>
      <c r="AY185" s="121"/>
      <c r="AZ185" s="122">
        <f t="shared" ca="1" si="151"/>
        <v>0</v>
      </c>
      <c r="BA185" s="124">
        <f t="shared" ca="1" si="177"/>
        <v>0</v>
      </c>
      <c r="BB185" s="123">
        <f t="shared" ca="1" si="178"/>
        <v>0</v>
      </c>
      <c r="BC185" s="123">
        <f t="shared" ca="1" si="152"/>
        <v>0</v>
      </c>
      <c r="BD185" s="123">
        <f t="shared" ca="1" si="179"/>
        <v>0</v>
      </c>
      <c r="BE185" s="124">
        <f t="shared" ca="1" si="180"/>
        <v>481028.03012712765</v>
      </c>
      <c r="BF185" s="121"/>
      <c r="BG185" s="123">
        <f t="shared" si="153"/>
        <v>1000000</v>
      </c>
      <c r="BH185" s="123">
        <f t="shared" ca="1" si="181"/>
        <v>1000000</v>
      </c>
      <c r="BI185" s="123">
        <f t="shared" ca="1" si="182"/>
        <v>0</v>
      </c>
      <c r="BJ185" s="123">
        <f t="shared" ca="1" si="183"/>
        <v>0</v>
      </c>
      <c r="BK185" s="123">
        <f t="shared" ca="1" si="140"/>
        <v>1000000</v>
      </c>
      <c r="BL185" s="123">
        <f t="shared" ca="1" si="184"/>
        <v>481028.03012712765</v>
      </c>
      <c r="BM185" s="121"/>
      <c r="BN185" s="126">
        <f ca="1">IF(LiabIntType2="Fixed",LiabFxdRate2,OFFSET(Vectors!$D$6,Vectors!A185,MATCH(LiabLoanIndex2,lstInterestRates,0))+LiabMarg2)</f>
        <v>0.04</v>
      </c>
      <c r="BO185" s="122">
        <f t="shared" ca="1" si="185"/>
        <v>32216.200381898656</v>
      </c>
      <c r="BP185" s="124">
        <f t="shared" ca="1" si="186"/>
        <v>32216.200381898656</v>
      </c>
      <c r="BQ185" s="123">
        <f t="shared" ca="1" si="187"/>
        <v>0</v>
      </c>
      <c r="BR185" s="123">
        <f t="shared" ca="1" si="188"/>
        <v>448811.82974522898</v>
      </c>
      <c r="BS185" s="121"/>
      <c r="BT185" s="123">
        <f t="shared" ca="1" si="154"/>
        <v>27243.534411300796</v>
      </c>
      <c r="BU185" s="123">
        <f t="shared" ca="1" si="189"/>
        <v>27243.534411300796</v>
      </c>
      <c r="BV185" s="123">
        <f t="shared" ca="1" si="190"/>
        <v>0</v>
      </c>
      <c r="BW185" s="123">
        <f t="shared" ca="1" si="191"/>
        <v>421568.2953339282</v>
      </c>
      <c r="BX185" s="121"/>
      <c r="BY185" s="123">
        <f t="shared" si="192"/>
        <v>0</v>
      </c>
      <c r="BZ185" s="123">
        <f t="shared" ca="1" si="193"/>
        <v>421568.2953339282</v>
      </c>
      <c r="CA185" s="121"/>
      <c r="CB185" s="122">
        <f t="shared" ca="1" si="141"/>
        <v>0</v>
      </c>
      <c r="CC185" s="122">
        <f t="shared" ca="1" si="194"/>
        <v>0</v>
      </c>
      <c r="CD185" s="124">
        <f t="shared" ca="1" si="195"/>
        <v>0</v>
      </c>
      <c r="CE185" s="121"/>
      <c r="CF185" s="122">
        <f t="shared" ca="1" si="142"/>
        <v>9637616.580158297</v>
      </c>
      <c r="CG185" s="124">
        <f t="shared" ca="1" si="196"/>
        <v>32216.200381898656</v>
      </c>
      <c r="CH185" s="123">
        <f t="shared" ca="1" si="197"/>
        <v>27243.534411300796</v>
      </c>
      <c r="CI185" s="121"/>
      <c r="CJ185" s="123">
        <f t="shared" ca="1" si="198"/>
        <v>562730.7407547211</v>
      </c>
      <c r="CK185" s="123">
        <f t="shared" ca="1" si="199"/>
        <v>562730.7407547211</v>
      </c>
      <c r="CL185" s="123">
        <f t="shared" ca="1" si="200"/>
        <v>0</v>
      </c>
      <c r="CM185" s="121"/>
      <c r="CN185" s="62">
        <f t="shared" ca="1" si="201"/>
        <v>265715.09780908877</v>
      </c>
      <c r="CO185" s="62" t="b">
        <f t="shared" si="202"/>
        <v>1</v>
      </c>
      <c r="CP185" s="126">
        <f t="shared" ca="1" si="203"/>
        <v>4.9722222222222069E-3</v>
      </c>
      <c r="CQ185" s="120"/>
      <c r="CR185" s="120"/>
      <c r="CS185" s="120"/>
      <c r="CT185" s="120"/>
      <c r="CU185" s="120"/>
      <c r="CV185" s="120"/>
      <c r="CW185" s="120"/>
      <c r="CX185" s="120"/>
      <c r="CY185" s="120"/>
      <c r="CZ185" s="120"/>
      <c r="DA185" s="120"/>
      <c r="DB185" s="120"/>
      <c r="DC185" s="120"/>
      <c r="DD185" s="120"/>
      <c r="DE185" s="116"/>
      <c r="DF185" s="116"/>
      <c r="DG185" s="116"/>
      <c r="DH185" s="116"/>
      <c r="DI185" s="116"/>
      <c r="DJ185" s="116"/>
      <c r="DK185" s="116"/>
      <c r="DL185" s="116"/>
      <c r="DM185" s="116"/>
      <c r="DN185" s="116"/>
    </row>
    <row r="186" spans="1:118" x14ac:dyDescent="0.2">
      <c r="A186" s="27">
        <v>180</v>
      </c>
      <c r="B186" s="29">
        <f t="shared" si="136"/>
        <v>44593</v>
      </c>
      <c r="C186" s="30">
        <f t="shared" si="137"/>
        <v>8.3333333333333329E-2</v>
      </c>
      <c r="D186" s="55"/>
      <c r="E186" s="62">
        <f t="shared" ca="1" si="155"/>
        <v>79538569.972521678</v>
      </c>
      <c r="F186" s="63">
        <f ca="1">IF(AssetIntType1="Fixed",AssetFxdRate1,IF(A186=1,OFFSET(Vectors!$D$6,A186,MATCH(AssetFltIndx1,lstInterestRates,0)),IF(MOD($A186,AssetRateReset1)=0,MAX(MIN(OFFSET(Vectors!$D$6,A186,MATCH(AssetFltIndx1,lstInterestRates,0)),(F185-AssetMarg1)+AssetPdCapFl1,AssetLifeCap1-AssetMarg1),(F185-AssetMarg1)-AssetPdCapFl1,AssetLifeFloor1-AssetMarg1),F185)))+AssetMarg1</f>
        <v>0.09</v>
      </c>
      <c r="G186" s="62">
        <f t="shared" ca="1" si="143"/>
        <v>804622.61694478267</v>
      </c>
      <c r="H186" s="62">
        <f t="shared" ca="1" si="156"/>
        <v>596539.27479391254</v>
      </c>
      <c r="I186" s="62">
        <f t="shared" ca="1" si="157"/>
        <v>208083.34215087013</v>
      </c>
      <c r="J186" s="62">
        <f t="shared" ca="1" si="138"/>
        <v>79330486.630370811</v>
      </c>
      <c r="K186" s="55"/>
      <c r="L186" s="62">
        <f t="shared" ca="1" si="158"/>
        <v>33796114.14155291</v>
      </c>
      <c r="M186" s="68">
        <f ca="1">IF(pdrLossTime1="",OFFSET(Vectors!$AE$6,A186+_Age1,MATCH(SDA_Loss,lstSDA,0)),OFFSET(Vectors!$X$6,A186+_Age1,MATCH(pdrLossTime1,lstDefaultCurve,0)))</f>
        <v>2.7777777777777779E-5</v>
      </c>
      <c r="N186" s="62">
        <f t="shared" ca="1" si="144"/>
        <v>2777.7777777777778</v>
      </c>
      <c r="O186" s="67">
        <f t="shared" ca="1" si="159"/>
        <v>0.79330486630370811</v>
      </c>
      <c r="P186" s="68">
        <f ca="1">OFFSET(Vectors!$L$6,A186+_Age1,MATCH(pdrPrepay1,lstPrepayCurve,0))*pdrPrepayStress1</f>
        <v>5.1430128318229462E-3</v>
      </c>
      <c r="Q186" s="62">
        <f t="shared" ca="1" si="160"/>
        <v>173359.12884649381</v>
      </c>
      <c r="R186" s="62">
        <f t="shared" ca="1" si="161"/>
        <v>88407.804860360397</v>
      </c>
      <c r="S186" s="69">
        <f t="shared" ca="1" si="162"/>
        <v>0.09</v>
      </c>
      <c r="T186" s="62">
        <f t="shared" ca="1" si="163"/>
        <v>253450.02272831349</v>
      </c>
      <c r="U186" s="62">
        <f t="shared" ca="1" si="145"/>
        <v>1111.1111111111111</v>
      </c>
      <c r="V186" s="62">
        <f t="shared" ca="1" si="139"/>
        <v>33531569.430068277</v>
      </c>
      <c r="W186" s="55"/>
      <c r="X186" s="62">
        <f t="shared" ca="1" si="164"/>
        <v>516328.06754627882</v>
      </c>
      <c r="Y186" s="55"/>
      <c r="Z186" s="118" t="b">
        <v>0</v>
      </c>
      <c r="AA186" s="120" t="b">
        <f t="shared" si="146"/>
        <v>0</v>
      </c>
      <c r="AB186" s="120" t="b">
        <f t="shared" si="147"/>
        <v>1</v>
      </c>
      <c r="AC186" s="120" t="b">
        <f t="shared" ca="1" si="148"/>
        <v>0</v>
      </c>
      <c r="AD186" s="121"/>
      <c r="AE186" s="129">
        <v>7310612.7222193461</v>
      </c>
      <c r="AF186" s="69">
        <f ca="1">IF(Swap_Active="No",0,OFFSET(Vectors!$D$6,Vectors!A186,MATCH(Swap_In,lstInterestRates,0)))</f>
        <v>6.9369000000000056E-2</v>
      </c>
      <c r="AG186" s="62">
        <f t="shared" ca="1" si="165"/>
        <v>42260.824493969514</v>
      </c>
      <c r="AH186" s="69">
        <f ca="1">IF(Swap_Active="No",0,OFFSET(Vectors!$D$6,Vectors!A186,MATCH(Swap_Out,lstInterestRates,0)))</f>
        <v>0.04</v>
      </c>
      <c r="AI186" s="62">
        <f t="shared" ca="1" si="166"/>
        <v>24368.709074064485</v>
      </c>
      <c r="AJ186" s="62">
        <f t="shared" ca="1" si="167"/>
        <v>17892.115419905029</v>
      </c>
      <c r="AK186" s="62">
        <f t="shared" ca="1" si="168"/>
        <v>534220.18296618387</v>
      </c>
      <c r="AL186" s="121"/>
      <c r="AM186" s="123">
        <f t="shared" ca="1" si="149"/>
        <v>56326.856902588181</v>
      </c>
      <c r="AN186" s="124">
        <f t="shared" ca="1" si="169"/>
        <v>56326.856902588181</v>
      </c>
      <c r="AO186" s="125">
        <f t="shared" ca="1" si="170"/>
        <v>0</v>
      </c>
      <c r="AP186" s="123">
        <f t="shared" ca="1" si="171"/>
        <v>477893.32606359571</v>
      </c>
      <c r="AQ186" s="121"/>
      <c r="AR186" s="126">
        <f ca="1">IF(LiabIntType1="Fixed",LiabFxdRate1,OFFSET(Vectors!$D$6,Vectors!A186,MATCH(LiabLoanIndex1,lstInterestRates,0))+LiabMarg1)</f>
        <v>7.9369000000000051E-2</v>
      </c>
      <c r="AS186" s="122">
        <f t="shared" ca="1" si="172"/>
        <v>0</v>
      </c>
      <c r="AT186" s="124">
        <f t="shared" ca="1" si="173"/>
        <v>0</v>
      </c>
      <c r="AU186" s="123">
        <f t="shared" ca="1" si="174"/>
        <v>0</v>
      </c>
      <c r="AV186" s="123">
        <f t="shared" ca="1" si="150"/>
        <v>0</v>
      </c>
      <c r="AW186" s="123">
        <f t="shared" ca="1" si="175"/>
        <v>0</v>
      </c>
      <c r="AX186" s="124">
        <f t="shared" ca="1" si="176"/>
        <v>477893.32606359571</v>
      </c>
      <c r="AY186" s="121"/>
      <c r="AZ186" s="122">
        <f t="shared" ca="1" si="151"/>
        <v>0</v>
      </c>
      <c r="BA186" s="124">
        <f t="shared" ca="1" si="177"/>
        <v>0</v>
      </c>
      <c r="BB186" s="123">
        <f t="shared" ca="1" si="178"/>
        <v>0</v>
      </c>
      <c r="BC186" s="123">
        <f t="shared" ca="1" si="152"/>
        <v>0</v>
      </c>
      <c r="BD186" s="123">
        <f t="shared" ca="1" si="179"/>
        <v>0</v>
      </c>
      <c r="BE186" s="124">
        <f t="shared" ca="1" si="180"/>
        <v>477893.32606359571</v>
      </c>
      <c r="BF186" s="121"/>
      <c r="BG186" s="123">
        <f t="shared" si="153"/>
        <v>1000000</v>
      </c>
      <c r="BH186" s="123">
        <f t="shared" ca="1" si="181"/>
        <v>1000000</v>
      </c>
      <c r="BI186" s="123">
        <f t="shared" ca="1" si="182"/>
        <v>0</v>
      </c>
      <c r="BJ186" s="123">
        <f t="shared" ca="1" si="183"/>
        <v>0</v>
      </c>
      <c r="BK186" s="123">
        <f t="shared" ca="1" si="140"/>
        <v>1000000</v>
      </c>
      <c r="BL186" s="123">
        <f t="shared" ca="1" si="184"/>
        <v>477893.32606359571</v>
      </c>
      <c r="BM186" s="121"/>
      <c r="BN186" s="126">
        <f ca="1">IF(LiabIntType2="Fixed",LiabFxdRate2,OFFSET(Vectors!$D$6,Vectors!A186,MATCH(LiabLoanIndex2,lstInterestRates,0))+LiabMarg2)</f>
        <v>0.04</v>
      </c>
      <c r="BO186" s="122">
        <f t="shared" ca="1" si="185"/>
        <v>32125.388600527654</v>
      </c>
      <c r="BP186" s="124">
        <f t="shared" ca="1" si="186"/>
        <v>32125.388600527654</v>
      </c>
      <c r="BQ186" s="123">
        <f t="shared" ca="1" si="187"/>
        <v>0</v>
      </c>
      <c r="BR186" s="123">
        <f t="shared" ca="1" si="188"/>
        <v>445767.93746306805</v>
      </c>
      <c r="BS186" s="121"/>
      <c r="BT186" s="123">
        <f t="shared" ca="1" si="154"/>
        <v>27123.53573464388</v>
      </c>
      <c r="BU186" s="123">
        <f t="shared" ca="1" si="189"/>
        <v>27123.53573464388</v>
      </c>
      <c r="BV186" s="123">
        <f t="shared" ca="1" si="190"/>
        <v>0</v>
      </c>
      <c r="BW186" s="123">
        <f t="shared" ca="1" si="191"/>
        <v>418644.40172842419</v>
      </c>
      <c r="BX186" s="121"/>
      <c r="BY186" s="123">
        <f t="shared" si="192"/>
        <v>0</v>
      </c>
      <c r="BZ186" s="123">
        <f t="shared" ca="1" si="193"/>
        <v>418644.40172842419</v>
      </c>
      <c r="CA186" s="121"/>
      <c r="CB186" s="122">
        <f t="shared" ca="1" si="141"/>
        <v>0</v>
      </c>
      <c r="CC186" s="122">
        <f t="shared" ca="1" si="194"/>
        <v>0</v>
      </c>
      <c r="CD186" s="124">
        <f t="shared" ca="1" si="195"/>
        <v>0</v>
      </c>
      <c r="CE186" s="121"/>
      <c r="CF186" s="122">
        <f t="shared" ca="1" si="142"/>
        <v>9610493.0444236528</v>
      </c>
      <c r="CG186" s="124">
        <f t="shared" ca="1" si="196"/>
        <v>32125.388600527654</v>
      </c>
      <c r="CH186" s="123">
        <f t="shared" ca="1" si="197"/>
        <v>27123.53573464388</v>
      </c>
      <c r="CI186" s="121"/>
      <c r="CJ186" s="123">
        <f t="shared" ca="1" si="198"/>
        <v>558588.89204024838</v>
      </c>
      <c r="CK186" s="123">
        <f t="shared" ca="1" si="199"/>
        <v>558588.89204024838</v>
      </c>
      <c r="CL186" s="123">
        <f t="shared" ca="1" si="200"/>
        <v>0</v>
      </c>
      <c r="CM186" s="121"/>
      <c r="CN186" s="62">
        <f t="shared" ca="1" si="201"/>
        <v>264544.71148463199</v>
      </c>
      <c r="CO186" s="62" t="b">
        <f t="shared" si="202"/>
        <v>1</v>
      </c>
      <c r="CP186" s="126">
        <f t="shared" ca="1" si="203"/>
        <v>4.9999999999999845E-3</v>
      </c>
      <c r="CQ186" s="120"/>
      <c r="CR186" s="120"/>
      <c r="CS186" s="120"/>
      <c r="CT186" s="120"/>
      <c r="CU186" s="120"/>
      <c r="CV186" s="120"/>
      <c r="CW186" s="120"/>
      <c r="CX186" s="120"/>
      <c r="CY186" s="120"/>
      <c r="CZ186" s="120"/>
      <c r="DA186" s="120"/>
      <c r="DB186" s="120"/>
      <c r="DC186" s="120"/>
      <c r="DD186" s="120"/>
      <c r="DE186" s="116"/>
      <c r="DF186" s="116"/>
      <c r="DG186" s="116"/>
      <c r="DH186" s="116"/>
      <c r="DI186" s="116"/>
      <c r="DJ186" s="116"/>
      <c r="DK186" s="116"/>
      <c r="DL186" s="116"/>
      <c r="DM186" s="116"/>
      <c r="DN186" s="116"/>
    </row>
    <row r="187" spans="1:118" x14ac:dyDescent="0.2">
      <c r="A187" s="27">
        <v>181</v>
      </c>
      <c r="B187" s="29">
        <f t="shared" si="136"/>
        <v>44621</v>
      </c>
      <c r="C187" s="30">
        <f t="shared" si="137"/>
        <v>8.3333333333333329E-2</v>
      </c>
      <c r="D187" s="55"/>
      <c r="E187" s="62">
        <f t="shared" ca="1" si="155"/>
        <v>79330486.630370811</v>
      </c>
      <c r="F187" s="63">
        <f ca="1">IF(AssetIntType1="Fixed",AssetFxdRate1,IF(A187=1,OFFSET(Vectors!$D$6,A187,MATCH(AssetFltIndx1,lstInterestRates,0)),IF(MOD($A187,AssetRateReset1)=0,MAX(MIN(OFFSET(Vectors!$D$6,A187,MATCH(AssetFltIndx1,lstInterestRates,0)),(F186-AssetMarg1)+AssetPdCapFl1,AssetLifeCap1-AssetMarg1),(F186-AssetMarg1)-AssetPdCapFl1,AssetLifeFloor1-AssetMarg1),F186)))+AssetMarg1</f>
        <v>0.09</v>
      </c>
      <c r="G187" s="62">
        <f t="shared" ca="1" si="143"/>
        <v>804622.61694478267</v>
      </c>
      <c r="H187" s="62">
        <f t="shared" ca="1" si="156"/>
        <v>594978.64972778107</v>
      </c>
      <c r="I187" s="62">
        <f t="shared" ca="1" si="157"/>
        <v>209643.9672170016</v>
      </c>
      <c r="J187" s="62">
        <f t="shared" ca="1" si="138"/>
        <v>79120842.663153812</v>
      </c>
      <c r="K187" s="55"/>
      <c r="L187" s="62">
        <f t="shared" ca="1" si="158"/>
        <v>33531569.430068277</v>
      </c>
      <c r="M187" s="68">
        <f ca="1">IF(pdrLossTime1="",OFFSET(Vectors!$AE$6,A187+_Age1,MATCH(SDA_Loss,lstSDA,0)),OFFSET(Vectors!$X$6,A187+_Age1,MATCH(pdrLossTime1,lstDefaultCurve,0)))</f>
        <v>2.7777777777777779E-5</v>
      </c>
      <c r="N187" s="62">
        <f t="shared" ca="1" si="144"/>
        <v>2777.7777777777778</v>
      </c>
      <c r="O187" s="67">
        <f t="shared" ca="1" si="159"/>
        <v>0.79120842663153812</v>
      </c>
      <c r="P187" s="68">
        <f ca="1">OFFSET(Vectors!$L$6,A187+_Age1,MATCH(pdrPrepay1,lstPrepayCurve,0))*pdrPrepayStress1</f>
        <v>5.1430128318229462E-3</v>
      </c>
      <c r="Q187" s="62">
        <f t="shared" ca="1" si="160"/>
        <v>171997.55542635662</v>
      </c>
      <c r="R187" s="62">
        <f t="shared" ca="1" si="161"/>
        <v>88605.392410226937</v>
      </c>
      <c r="S187" s="69">
        <f t="shared" ca="1" si="162"/>
        <v>0.09</v>
      </c>
      <c r="T187" s="62">
        <f t="shared" ca="1" si="163"/>
        <v>251465.93739217875</v>
      </c>
      <c r="U187" s="62">
        <f t="shared" ca="1" si="145"/>
        <v>1111.1111111111111</v>
      </c>
      <c r="V187" s="62">
        <f t="shared" ca="1" si="139"/>
        <v>33268188.704453919</v>
      </c>
      <c r="W187" s="55"/>
      <c r="X187" s="62">
        <f t="shared" ca="1" si="164"/>
        <v>513179.99633987341</v>
      </c>
      <c r="Y187" s="55"/>
      <c r="Z187" s="118" t="b">
        <v>0</v>
      </c>
      <c r="AA187" s="120" t="b">
        <f t="shared" si="146"/>
        <v>0</v>
      </c>
      <c r="AB187" s="120" t="b">
        <f t="shared" si="147"/>
        <v>1</v>
      </c>
      <c r="AC187" s="120" t="b">
        <f t="shared" ca="1" si="148"/>
        <v>0</v>
      </c>
      <c r="AD187" s="121"/>
      <c r="AE187" s="129">
        <v>7143113.0382198971</v>
      </c>
      <c r="AF187" s="69">
        <f ca="1">IF(Swap_Active="No",0,OFFSET(Vectors!$D$6,Vectors!A187,MATCH(Swap_In,lstInterestRates,0)))</f>
        <v>6.9369000000000056E-2</v>
      </c>
      <c r="AG187" s="62">
        <f t="shared" ca="1" si="165"/>
        <v>41292.550695689701</v>
      </c>
      <c r="AH187" s="69">
        <f ca="1">IF(Swap_Active="No",0,OFFSET(Vectors!$D$6,Vectors!A187,MATCH(Swap_Out,lstInterestRates,0)))</f>
        <v>0.04</v>
      </c>
      <c r="AI187" s="62">
        <f t="shared" ca="1" si="166"/>
        <v>23810.376794066324</v>
      </c>
      <c r="AJ187" s="62">
        <f t="shared" ca="1" si="167"/>
        <v>17482.173901623377</v>
      </c>
      <c r="AK187" s="62">
        <f t="shared" ca="1" si="168"/>
        <v>530662.17024149676</v>
      </c>
      <c r="AL187" s="121"/>
      <c r="AM187" s="123">
        <f t="shared" ca="1" si="149"/>
        <v>55885.949050113792</v>
      </c>
      <c r="AN187" s="124">
        <f t="shared" ca="1" si="169"/>
        <v>55885.949050113792</v>
      </c>
      <c r="AO187" s="125">
        <f t="shared" ca="1" si="170"/>
        <v>0</v>
      </c>
      <c r="AP187" s="123">
        <f t="shared" ca="1" si="171"/>
        <v>474776.22119138297</v>
      </c>
      <c r="AQ187" s="121"/>
      <c r="AR187" s="126">
        <f ca="1">IF(LiabIntType1="Fixed",LiabFxdRate1,OFFSET(Vectors!$D$6,Vectors!A187,MATCH(LiabLoanIndex1,lstInterestRates,0))+LiabMarg1)</f>
        <v>7.9369000000000051E-2</v>
      </c>
      <c r="AS187" s="122">
        <f t="shared" ca="1" si="172"/>
        <v>0</v>
      </c>
      <c r="AT187" s="124">
        <f t="shared" ca="1" si="173"/>
        <v>0</v>
      </c>
      <c r="AU187" s="123">
        <f t="shared" ca="1" si="174"/>
        <v>0</v>
      </c>
      <c r="AV187" s="123">
        <f t="shared" ca="1" si="150"/>
        <v>0</v>
      </c>
      <c r="AW187" s="123">
        <f t="shared" ca="1" si="175"/>
        <v>0</v>
      </c>
      <c r="AX187" s="124">
        <f t="shared" ca="1" si="176"/>
        <v>474776.22119138297</v>
      </c>
      <c r="AY187" s="121"/>
      <c r="AZ187" s="122">
        <f t="shared" ca="1" si="151"/>
        <v>0</v>
      </c>
      <c r="BA187" s="124">
        <f t="shared" ca="1" si="177"/>
        <v>0</v>
      </c>
      <c r="BB187" s="123">
        <f t="shared" ca="1" si="178"/>
        <v>0</v>
      </c>
      <c r="BC187" s="123">
        <f t="shared" ca="1" si="152"/>
        <v>0</v>
      </c>
      <c r="BD187" s="123">
        <f t="shared" ca="1" si="179"/>
        <v>0</v>
      </c>
      <c r="BE187" s="124">
        <f t="shared" ca="1" si="180"/>
        <v>474776.22119138297</v>
      </c>
      <c r="BF187" s="121"/>
      <c r="BG187" s="123">
        <f t="shared" si="153"/>
        <v>1000000</v>
      </c>
      <c r="BH187" s="123">
        <f t="shared" ca="1" si="181"/>
        <v>1000000</v>
      </c>
      <c r="BI187" s="123">
        <f t="shared" ca="1" si="182"/>
        <v>0</v>
      </c>
      <c r="BJ187" s="123">
        <f t="shared" ca="1" si="183"/>
        <v>0</v>
      </c>
      <c r="BK187" s="123">
        <f t="shared" ca="1" si="140"/>
        <v>1000000</v>
      </c>
      <c r="BL187" s="123">
        <f t="shared" ca="1" si="184"/>
        <v>474776.22119138297</v>
      </c>
      <c r="BM187" s="121"/>
      <c r="BN187" s="126">
        <f ca="1">IF(LiabIntType2="Fixed",LiabFxdRate2,OFFSET(Vectors!$D$6,Vectors!A187,MATCH(LiabLoanIndex2,lstInterestRates,0))+LiabMarg2)</f>
        <v>0.04</v>
      </c>
      <c r="BO187" s="122">
        <f t="shared" ca="1" si="185"/>
        <v>32034.976814745507</v>
      </c>
      <c r="BP187" s="124">
        <f t="shared" ca="1" si="186"/>
        <v>32034.976814745507</v>
      </c>
      <c r="BQ187" s="123">
        <f t="shared" ca="1" si="187"/>
        <v>0</v>
      </c>
      <c r="BR187" s="123">
        <f t="shared" ca="1" si="188"/>
        <v>442741.24437663745</v>
      </c>
      <c r="BS187" s="121"/>
      <c r="BT187" s="123">
        <f t="shared" ca="1" si="154"/>
        <v>27004.193290904495</v>
      </c>
      <c r="BU187" s="123">
        <f t="shared" ca="1" si="189"/>
        <v>27004.193290904495</v>
      </c>
      <c r="BV187" s="123">
        <f t="shared" ca="1" si="190"/>
        <v>0</v>
      </c>
      <c r="BW187" s="123">
        <f t="shared" ca="1" si="191"/>
        <v>415737.05108573294</v>
      </c>
      <c r="BX187" s="121"/>
      <c r="BY187" s="123">
        <f t="shared" si="192"/>
        <v>0</v>
      </c>
      <c r="BZ187" s="123">
        <f t="shared" ca="1" si="193"/>
        <v>415737.05108573294</v>
      </c>
      <c r="CA187" s="121"/>
      <c r="CB187" s="122">
        <f t="shared" ca="1" si="141"/>
        <v>0</v>
      </c>
      <c r="CC187" s="122">
        <f t="shared" ca="1" si="194"/>
        <v>0</v>
      </c>
      <c r="CD187" s="124">
        <f t="shared" ca="1" si="195"/>
        <v>0</v>
      </c>
      <c r="CE187" s="121"/>
      <c r="CF187" s="122">
        <f t="shared" ca="1" si="142"/>
        <v>9583488.8511327486</v>
      </c>
      <c r="CG187" s="124">
        <f t="shared" ca="1" si="196"/>
        <v>32034.976814745507</v>
      </c>
      <c r="CH187" s="123">
        <f t="shared" ca="1" si="197"/>
        <v>27004.193290904495</v>
      </c>
      <c r="CI187" s="121"/>
      <c r="CJ187" s="123">
        <f t="shared" ca="1" si="198"/>
        <v>554472.54703556316</v>
      </c>
      <c r="CK187" s="123">
        <f t="shared" ca="1" si="199"/>
        <v>554472.54703556304</v>
      </c>
      <c r="CL187" s="123">
        <f t="shared" ca="1" si="200"/>
        <v>0</v>
      </c>
      <c r="CM187" s="121"/>
      <c r="CN187" s="62">
        <f t="shared" ca="1" si="201"/>
        <v>263380.72561436135</v>
      </c>
      <c r="CO187" s="62" t="b">
        <f t="shared" si="202"/>
        <v>1</v>
      </c>
      <c r="CP187" s="126">
        <f t="shared" ca="1" si="203"/>
        <v>5.0277777777777621E-3</v>
      </c>
      <c r="CQ187" s="120"/>
      <c r="CR187" s="120"/>
      <c r="CS187" s="120"/>
      <c r="CT187" s="120"/>
      <c r="CU187" s="120"/>
      <c r="CV187" s="120"/>
      <c r="CW187" s="120"/>
      <c r="CX187" s="120"/>
      <c r="CY187" s="120"/>
      <c r="CZ187" s="120"/>
      <c r="DA187" s="120"/>
      <c r="DB187" s="120"/>
      <c r="DC187" s="120"/>
      <c r="DD187" s="120"/>
      <c r="DE187" s="116"/>
      <c r="DF187" s="116"/>
      <c r="DG187" s="116"/>
      <c r="DH187" s="116"/>
      <c r="DI187" s="116"/>
      <c r="DJ187" s="116"/>
      <c r="DK187" s="116"/>
      <c r="DL187" s="116"/>
      <c r="DM187" s="116"/>
      <c r="DN187" s="116"/>
    </row>
    <row r="188" spans="1:118" x14ac:dyDescent="0.2">
      <c r="A188" s="27">
        <v>182</v>
      </c>
      <c r="B188" s="29">
        <f t="shared" si="136"/>
        <v>44652</v>
      </c>
      <c r="C188" s="30">
        <f t="shared" si="137"/>
        <v>8.3333333333333329E-2</v>
      </c>
      <c r="D188" s="55"/>
      <c r="E188" s="62">
        <f t="shared" ca="1" si="155"/>
        <v>79120842.663153812</v>
      </c>
      <c r="F188" s="63">
        <f ca="1">IF(AssetIntType1="Fixed",AssetFxdRate1,IF(A188=1,OFFSET(Vectors!$D$6,A188,MATCH(AssetFltIndx1,lstInterestRates,0)),IF(MOD($A188,AssetRateReset1)=0,MAX(MIN(OFFSET(Vectors!$D$6,A188,MATCH(AssetFltIndx1,lstInterestRates,0)),(F187-AssetMarg1)+AssetPdCapFl1,AssetLifeCap1-AssetMarg1),(F187-AssetMarg1)-AssetPdCapFl1,AssetLifeFloor1-AssetMarg1),F187)))+AssetMarg1</f>
        <v>0.09</v>
      </c>
      <c r="G188" s="62">
        <f t="shared" ca="1" si="143"/>
        <v>804622.61694478267</v>
      </c>
      <c r="H188" s="62">
        <f t="shared" ca="1" si="156"/>
        <v>593406.31997365353</v>
      </c>
      <c r="I188" s="62">
        <f t="shared" ca="1" si="157"/>
        <v>211216.29697112914</v>
      </c>
      <c r="J188" s="62">
        <f t="shared" ca="1" si="138"/>
        <v>78909626.366182685</v>
      </c>
      <c r="K188" s="55"/>
      <c r="L188" s="62">
        <f t="shared" ca="1" si="158"/>
        <v>33268188.704453919</v>
      </c>
      <c r="M188" s="68">
        <f ca="1">IF(pdrLossTime1="",OFFSET(Vectors!$AE$6,A188+_Age1,MATCH(SDA_Loss,lstSDA,0)),OFFSET(Vectors!$X$6,A188+_Age1,MATCH(pdrLossTime1,lstDefaultCurve,0)))</f>
        <v>2.7777777777777779E-5</v>
      </c>
      <c r="N188" s="62">
        <f t="shared" ca="1" si="144"/>
        <v>2777.7777777777778</v>
      </c>
      <c r="O188" s="67">
        <f t="shared" ca="1" si="159"/>
        <v>0.78909626366182684</v>
      </c>
      <c r="P188" s="68">
        <f ca="1">OFFSET(Vectors!$L$6,A188+_Age1,MATCH(pdrPrepay1,lstPrepayCurve,0))*pdrPrepayStress1</f>
        <v>5.1430128318229462E-3</v>
      </c>
      <c r="Q188" s="62">
        <f t="shared" ca="1" si="160"/>
        <v>170641.96642556498</v>
      </c>
      <c r="R188" s="62">
        <f t="shared" ca="1" si="161"/>
        <v>88803.363016095114</v>
      </c>
      <c r="S188" s="69">
        <f t="shared" ca="1" si="162"/>
        <v>0.09</v>
      </c>
      <c r="T188" s="62">
        <f t="shared" ca="1" si="163"/>
        <v>249490.58195007106</v>
      </c>
      <c r="U188" s="62">
        <f t="shared" ca="1" si="145"/>
        <v>1111.1111111111111</v>
      </c>
      <c r="V188" s="62">
        <f t="shared" ca="1" si="139"/>
        <v>33005965.597234484</v>
      </c>
      <c r="W188" s="55"/>
      <c r="X188" s="62">
        <f t="shared" ca="1" si="164"/>
        <v>510047.02250284224</v>
      </c>
      <c r="Y188" s="55"/>
      <c r="Z188" s="118" t="b">
        <v>0</v>
      </c>
      <c r="AA188" s="120" t="b">
        <f t="shared" si="146"/>
        <v>0</v>
      </c>
      <c r="AB188" s="120" t="b">
        <f t="shared" si="147"/>
        <v>1</v>
      </c>
      <c r="AC188" s="120" t="b">
        <f t="shared" ca="1" si="148"/>
        <v>0</v>
      </c>
      <c r="AD188" s="121"/>
      <c r="AE188" s="129">
        <v>6977381.4699976332</v>
      </c>
      <c r="AF188" s="69">
        <f ca="1">IF(Swap_Active="No",0,OFFSET(Vectors!$D$6,Vectors!A188,MATCH(Swap_In,lstInterestRates,0)))</f>
        <v>6.9369000000000056E-2</v>
      </c>
      <c r="AG188" s="62">
        <f t="shared" ca="1" si="165"/>
        <v>40334.49793268885</v>
      </c>
      <c r="AH188" s="69">
        <f ca="1">IF(Swap_Active="No",0,OFFSET(Vectors!$D$6,Vectors!A188,MATCH(Swap_Out,lstInterestRates,0)))</f>
        <v>0.04</v>
      </c>
      <c r="AI188" s="62">
        <f t="shared" ca="1" si="166"/>
        <v>23257.93823332544</v>
      </c>
      <c r="AJ188" s="62">
        <f t="shared" ca="1" si="167"/>
        <v>17076.55969936341</v>
      </c>
      <c r="AK188" s="62">
        <f t="shared" ca="1" si="168"/>
        <v>527123.58220220567</v>
      </c>
      <c r="AL188" s="121"/>
      <c r="AM188" s="123">
        <f t="shared" ca="1" si="149"/>
        <v>55446.981174089859</v>
      </c>
      <c r="AN188" s="124">
        <f t="shared" ca="1" si="169"/>
        <v>55446.981174089859</v>
      </c>
      <c r="AO188" s="125">
        <f t="shared" ca="1" si="170"/>
        <v>0</v>
      </c>
      <c r="AP188" s="123">
        <f t="shared" ca="1" si="171"/>
        <v>471676.60102811584</v>
      </c>
      <c r="AQ188" s="121"/>
      <c r="AR188" s="126">
        <f ca="1">IF(LiabIntType1="Fixed",LiabFxdRate1,OFFSET(Vectors!$D$6,Vectors!A188,MATCH(LiabLoanIndex1,lstInterestRates,0))+LiabMarg1)</f>
        <v>7.9369000000000051E-2</v>
      </c>
      <c r="AS188" s="122">
        <f t="shared" ca="1" si="172"/>
        <v>0</v>
      </c>
      <c r="AT188" s="124">
        <f t="shared" ca="1" si="173"/>
        <v>0</v>
      </c>
      <c r="AU188" s="123">
        <f t="shared" ca="1" si="174"/>
        <v>0</v>
      </c>
      <c r="AV188" s="123">
        <f t="shared" ca="1" si="150"/>
        <v>0</v>
      </c>
      <c r="AW188" s="123">
        <f t="shared" ca="1" si="175"/>
        <v>0</v>
      </c>
      <c r="AX188" s="124">
        <f t="shared" ca="1" si="176"/>
        <v>471676.60102811584</v>
      </c>
      <c r="AY188" s="121"/>
      <c r="AZ188" s="122">
        <f t="shared" ca="1" si="151"/>
        <v>0</v>
      </c>
      <c r="BA188" s="124">
        <f t="shared" ca="1" si="177"/>
        <v>0</v>
      </c>
      <c r="BB188" s="123">
        <f t="shared" ca="1" si="178"/>
        <v>0</v>
      </c>
      <c r="BC188" s="123">
        <f t="shared" ca="1" si="152"/>
        <v>0</v>
      </c>
      <c r="BD188" s="123">
        <f t="shared" ca="1" si="179"/>
        <v>0</v>
      </c>
      <c r="BE188" s="124">
        <f t="shared" ca="1" si="180"/>
        <v>471676.60102811584</v>
      </c>
      <c r="BF188" s="121"/>
      <c r="BG188" s="123">
        <f t="shared" si="153"/>
        <v>1000000</v>
      </c>
      <c r="BH188" s="123">
        <f t="shared" ca="1" si="181"/>
        <v>1000000</v>
      </c>
      <c r="BI188" s="123">
        <f t="shared" ca="1" si="182"/>
        <v>0</v>
      </c>
      <c r="BJ188" s="123">
        <f t="shared" ca="1" si="183"/>
        <v>0</v>
      </c>
      <c r="BK188" s="123">
        <f t="shared" ca="1" si="140"/>
        <v>1000000</v>
      </c>
      <c r="BL188" s="123">
        <f t="shared" ca="1" si="184"/>
        <v>471676.60102811584</v>
      </c>
      <c r="BM188" s="121"/>
      <c r="BN188" s="126">
        <f ca="1">IF(LiabIntType2="Fixed",LiabFxdRate2,OFFSET(Vectors!$D$6,Vectors!A188,MATCH(LiabLoanIndex2,lstInterestRates,0))+LiabMarg2)</f>
        <v>0.04</v>
      </c>
      <c r="BO188" s="122">
        <f t="shared" ca="1" si="185"/>
        <v>31944.96283710916</v>
      </c>
      <c r="BP188" s="124">
        <f t="shared" ca="1" si="186"/>
        <v>31944.96283710916</v>
      </c>
      <c r="BQ188" s="123">
        <f t="shared" ca="1" si="187"/>
        <v>0</v>
      </c>
      <c r="BR188" s="123">
        <f t="shared" ca="1" si="188"/>
        <v>439731.63819100667</v>
      </c>
      <c r="BS188" s="121"/>
      <c r="BT188" s="123">
        <f t="shared" ca="1" si="154"/>
        <v>26885.503698791399</v>
      </c>
      <c r="BU188" s="123">
        <f t="shared" ca="1" si="189"/>
        <v>26885.503698791399</v>
      </c>
      <c r="BV188" s="123">
        <f t="shared" ca="1" si="190"/>
        <v>0</v>
      </c>
      <c r="BW188" s="123">
        <f t="shared" ca="1" si="191"/>
        <v>412846.13449221529</v>
      </c>
      <c r="BX188" s="121"/>
      <c r="BY188" s="123">
        <f t="shared" si="192"/>
        <v>0</v>
      </c>
      <c r="BZ188" s="123">
        <f t="shared" ca="1" si="193"/>
        <v>412846.13449221529</v>
      </c>
      <c r="CA188" s="121"/>
      <c r="CB188" s="122">
        <f t="shared" ca="1" si="141"/>
        <v>0</v>
      </c>
      <c r="CC188" s="122">
        <f t="shared" ca="1" si="194"/>
        <v>0</v>
      </c>
      <c r="CD188" s="124">
        <f t="shared" ca="1" si="195"/>
        <v>0</v>
      </c>
      <c r="CE188" s="121"/>
      <c r="CF188" s="122">
        <f t="shared" ca="1" si="142"/>
        <v>9556603.3474339563</v>
      </c>
      <c r="CG188" s="124">
        <f t="shared" ca="1" si="196"/>
        <v>31944.96283710916</v>
      </c>
      <c r="CH188" s="123">
        <f t="shared" ca="1" si="197"/>
        <v>26885.503698791399</v>
      </c>
      <c r="CI188" s="121"/>
      <c r="CJ188" s="123">
        <f t="shared" ca="1" si="198"/>
        <v>550381.52043553104</v>
      </c>
      <c r="CK188" s="123">
        <f t="shared" ca="1" si="199"/>
        <v>550381.52043553116</v>
      </c>
      <c r="CL188" s="123">
        <f t="shared" ca="1" si="200"/>
        <v>0</v>
      </c>
      <c r="CM188" s="121"/>
      <c r="CN188" s="62">
        <f t="shared" ca="1" si="201"/>
        <v>262223.10721943789</v>
      </c>
      <c r="CO188" s="62" t="b">
        <f t="shared" si="202"/>
        <v>1</v>
      </c>
      <c r="CP188" s="126">
        <f t="shared" ca="1" si="203"/>
        <v>5.0555555555555397E-3</v>
      </c>
      <c r="CQ188" s="120"/>
      <c r="CR188" s="120"/>
      <c r="CS188" s="120"/>
      <c r="CT188" s="120"/>
      <c r="CU188" s="120"/>
      <c r="CV188" s="120"/>
      <c r="CW188" s="120"/>
      <c r="CX188" s="120"/>
      <c r="CY188" s="120"/>
      <c r="CZ188" s="120"/>
      <c r="DA188" s="120"/>
      <c r="DB188" s="120"/>
      <c r="DC188" s="120"/>
      <c r="DD188" s="120"/>
      <c r="DE188" s="116"/>
      <c r="DF188" s="116"/>
      <c r="DG188" s="116"/>
      <c r="DH188" s="116"/>
      <c r="DI188" s="116"/>
      <c r="DJ188" s="116"/>
      <c r="DK188" s="116"/>
      <c r="DL188" s="116"/>
      <c r="DM188" s="116"/>
      <c r="DN188" s="116"/>
    </row>
    <row r="189" spans="1:118" x14ac:dyDescent="0.2">
      <c r="A189" s="27">
        <v>183</v>
      </c>
      <c r="B189" s="29">
        <f t="shared" si="136"/>
        <v>44682</v>
      </c>
      <c r="C189" s="30">
        <f t="shared" si="137"/>
        <v>8.3333333333333329E-2</v>
      </c>
      <c r="D189" s="55"/>
      <c r="E189" s="62">
        <f t="shared" ca="1" si="155"/>
        <v>78909626.366182685</v>
      </c>
      <c r="F189" s="63">
        <f ca="1">IF(AssetIntType1="Fixed",AssetFxdRate1,IF(A189=1,OFFSET(Vectors!$D$6,A189,MATCH(AssetFltIndx1,lstInterestRates,0)),IF(MOD($A189,AssetRateReset1)=0,MAX(MIN(OFFSET(Vectors!$D$6,A189,MATCH(AssetFltIndx1,lstInterestRates,0)),(F188-AssetMarg1)+AssetPdCapFl1,AssetLifeCap1-AssetMarg1),(F188-AssetMarg1)-AssetPdCapFl1,AssetLifeFloor1-AssetMarg1),F188)))+AssetMarg1</f>
        <v>0.09</v>
      </c>
      <c r="G189" s="62">
        <f t="shared" ca="1" si="143"/>
        <v>804622.61694478267</v>
      </c>
      <c r="H189" s="62">
        <f t="shared" ca="1" si="156"/>
        <v>591822.1977463701</v>
      </c>
      <c r="I189" s="62">
        <f t="shared" ca="1" si="157"/>
        <v>212800.41919841256</v>
      </c>
      <c r="J189" s="62">
        <f t="shared" ca="1" si="138"/>
        <v>78696825.946984276</v>
      </c>
      <c r="K189" s="55"/>
      <c r="L189" s="62">
        <f t="shared" ca="1" si="158"/>
        <v>33005965.597234484</v>
      </c>
      <c r="M189" s="68">
        <f ca="1">IF(pdrLossTime1="",OFFSET(Vectors!$AE$6,A189+_Age1,MATCH(SDA_Loss,lstSDA,0)),OFFSET(Vectors!$X$6,A189+_Age1,MATCH(pdrLossTime1,lstDefaultCurve,0)))</f>
        <v>2.7777777777777779E-5</v>
      </c>
      <c r="N189" s="62">
        <f t="shared" ca="1" si="144"/>
        <v>2777.7777777777778</v>
      </c>
      <c r="O189" s="67">
        <f t="shared" ca="1" si="159"/>
        <v>0.78696825946984272</v>
      </c>
      <c r="P189" s="68">
        <f ca="1">OFFSET(Vectors!$L$6,A189+_Age1,MATCH(pdrPrepay1,lstPrepayCurve,0))*pdrPrepayStress1</f>
        <v>5.1430128318229462E-3</v>
      </c>
      <c r="Q189" s="62">
        <f t="shared" ca="1" si="160"/>
        <v>169292.32909642861</v>
      </c>
      <c r="R189" s="62">
        <f t="shared" ca="1" si="161"/>
        <v>89001.716600119267</v>
      </c>
      <c r="S189" s="69">
        <f t="shared" ca="1" si="162"/>
        <v>0.09</v>
      </c>
      <c r="T189" s="62">
        <f t="shared" ca="1" si="163"/>
        <v>247523.90864592529</v>
      </c>
      <c r="U189" s="62">
        <f t="shared" ca="1" si="145"/>
        <v>1111.1111111111111</v>
      </c>
      <c r="V189" s="62">
        <f t="shared" ca="1" si="139"/>
        <v>32744893.773760159</v>
      </c>
      <c r="W189" s="55"/>
      <c r="X189" s="62">
        <f t="shared" ca="1" si="164"/>
        <v>506929.06545358431</v>
      </c>
      <c r="Y189" s="55"/>
      <c r="Z189" s="118" t="b">
        <v>0</v>
      </c>
      <c r="AA189" s="120" t="b">
        <f t="shared" si="146"/>
        <v>0</v>
      </c>
      <c r="AB189" s="120" t="b">
        <f t="shared" si="147"/>
        <v>1</v>
      </c>
      <c r="AC189" s="120" t="b">
        <f t="shared" ca="1" si="148"/>
        <v>0</v>
      </c>
      <c r="AD189" s="121"/>
      <c r="AE189" s="129">
        <v>6813400.1526024705</v>
      </c>
      <c r="AF189" s="69">
        <f ca="1">IF(Swap_Active="No",0,OFFSET(Vectors!$D$6,Vectors!A189,MATCH(Swap_In,lstInterestRates,0)))</f>
        <v>6.9369000000000056E-2</v>
      </c>
      <c r="AG189" s="62">
        <f t="shared" ca="1" si="165"/>
        <v>39386.562932156761</v>
      </c>
      <c r="AH189" s="69">
        <f ca="1">IF(Swap_Active="No",0,OFFSET(Vectors!$D$6,Vectors!A189,MATCH(Swap_Out,lstInterestRates,0)))</f>
        <v>0.04</v>
      </c>
      <c r="AI189" s="62">
        <f t="shared" ca="1" si="166"/>
        <v>22711.333842008233</v>
      </c>
      <c r="AJ189" s="62">
        <f t="shared" ca="1" si="167"/>
        <v>16675.229090148528</v>
      </c>
      <c r="AK189" s="62">
        <f t="shared" ca="1" si="168"/>
        <v>523604.29454373283</v>
      </c>
      <c r="AL189" s="121"/>
      <c r="AM189" s="123">
        <f t="shared" ca="1" si="149"/>
        <v>55009.942662057467</v>
      </c>
      <c r="AN189" s="124">
        <f t="shared" ca="1" si="169"/>
        <v>55009.942662057467</v>
      </c>
      <c r="AO189" s="125">
        <f t="shared" ca="1" si="170"/>
        <v>0</v>
      </c>
      <c r="AP189" s="123">
        <f t="shared" ca="1" si="171"/>
        <v>468594.35188167536</v>
      </c>
      <c r="AQ189" s="121"/>
      <c r="AR189" s="126">
        <f ca="1">IF(LiabIntType1="Fixed",LiabFxdRate1,OFFSET(Vectors!$D$6,Vectors!A189,MATCH(LiabLoanIndex1,lstInterestRates,0))+LiabMarg1)</f>
        <v>7.9369000000000051E-2</v>
      </c>
      <c r="AS189" s="122">
        <f t="shared" ca="1" si="172"/>
        <v>0</v>
      </c>
      <c r="AT189" s="124">
        <f t="shared" ca="1" si="173"/>
        <v>0</v>
      </c>
      <c r="AU189" s="123">
        <f t="shared" ca="1" si="174"/>
        <v>0</v>
      </c>
      <c r="AV189" s="123">
        <f t="shared" ca="1" si="150"/>
        <v>0</v>
      </c>
      <c r="AW189" s="123">
        <f t="shared" ca="1" si="175"/>
        <v>0</v>
      </c>
      <c r="AX189" s="124">
        <f t="shared" ca="1" si="176"/>
        <v>468594.35188167536</v>
      </c>
      <c r="AY189" s="121"/>
      <c r="AZ189" s="122">
        <f t="shared" ca="1" si="151"/>
        <v>0</v>
      </c>
      <c r="BA189" s="124">
        <f t="shared" ca="1" si="177"/>
        <v>0</v>
      </c>
      <c r="BB189" s="123">
        <f t="shared" ca="1" si="178"/>
        <v>0</v>
      </c>
      <c r="BC189" s="123">
        <f t="shared" ca="1" si="152"/>
        <v>0</v>
      </c>
      <c r="BD189" s="123">
        <f t="shared" ca="1" si="179"/>
        <v>0</v>
      </c>
      <c r="BE189" s="124">
        <f t="shared" ca="1" si="180"/>
        <v>468594.35188167536</v>
      </c>
      <c r="BF189" s="121"/>
      <c r="BG189" s="123">
        <f t="shared" si="153"/>
        <v>1000000</v>
      </c>
      <c r="BH189" s="123">
        <f t="shared" ca="1" si="181"/>
        <v>1000000</v>
      </c>
      <c r="BI189" s="123">
        <f t="shared" ca="1" si="182"/>
        <v>0</v>
      </c>
      <c r="BJ189" s="123">
        <f t="shared" ca="1" si="183"/>
        <v>0</v>
      </c>
      <c r="BK189" s="123">
        <f t="shared" ca="1" si="140"/>
        <v>1000000</v>
      </c>
      <c r="BL189" s="123">
        <f t="shared" ca="1" si="184"/>
        <v>468594.35188167536</v>
      </c>
      <c r="BM189" s="121"/>
      <c r="BN189" s="126">
        <f ca="1">IF(LiabIntType2="Fixed",LiabFxdRate2,OFFSET(Vectors!$D$6,Vectors!A189,MATCH(LiabLoanIndex2,lstInterestRates,0))+LiabMarg2)</f>
        <v>0.04</v>
      </c>
      <c r="BO189" s="122">
        <f t="shared" ca="1" si="185"/>
        <v>31855.344491446518</v>
      </c>
      <c r="BP189" s="124">
        <f t="shared" ca="1" si="186"/>
        <v>31855.344491446518</v>
      </c>
      <c r="BQ189" s="123">
        <f t="shared" ca="1" si="187"/>
        <v>0</v>
      </c>
      <c r="BR189" s="123">
        <f t="shared" ca="1" si="188"/>
        <v>436739.00739022886</v>
      </c>
      <c r="BS189" s="121"/>
      <c r="BT189" s="123">
        <f t="shared" ca="1" si="154"/>
        <v>26767.463592731368</v>
      </c>
      <c r="BU189" s="123">
        <f t="shared" ca="1" si="189"/>
        <v>26767.463592731368</v>
      </c>
      <c r="BV189" s="123">
        <f t="shared" ca="1" si="190"/>
        <v>0</v>
      </c>
      <c r="BW189" s="123">
        <f t="shared" ca="1" si="191"/>
        <v>409971.54379749746</v>
      </c>
      <c r="BX189" s="121"/>
      <c r="BY189" s="123">
        <f t="shared" si="192"/>
        <v>0</v>
      </c>
      <c r="BZ189" s="123">
        <f t="shared" ca="1" si="193"/>
        <v>409971.54379749746</v>
      </c>
      <c r="CA189" s="121"/>
      <c r="CB189" s="122">
        <f t="shared" ca="1" si="141"/>
        <v>0</v>
      </c>
      <c r="CC189" s="122">
        <f t="shared" ca="1" si="194"/>
        <v>0</v>
      </c>
      <c r="CD189" s="124">
        <f t="shared" ca="1" si="195"/>
        <v>0</v>
      </c>
      <c r="CE189" s="121"/>
      <c r="CF189" s="122">
        <f t="shared" ca="1" si="142"/>
        <v>9529835.8838412259</v>
      </c>
      <c r="CG189" s="124">
        <f t="shared" ca="1" si="196"/>
        <v>31855.344491446518</v>
      </c>
      <c r="CH189" s="123">
        <f t="shared" ca="1" si="197"/>
        <v>26767.463592731368</v>
      </c>
      <c r="CI189" s="121"/>
      <c r="CJ189" s="123">
        <f t="shared" ca="1" si="198"/>
        <v>546315.62838574103</v>
      </c>
      <c r="CK189" s="123">
        <f t="shared" ca="1" si="199"/>
        <v>546315.62838574103</v>
      </c>
      <c r="CL189" s="123">
        <f t="shared" ca="1" si="200"/>
        <v>0</v>
      </c>
      <c r="CM189" s="121"/>
      <c r="CN189" s="62">
        <f t="shared" ca="1" si="201"/>
        <v>261071.82347432565</v>
      </c>
      <c r="CO189" s="62" t="b">
        <f t="shared" si="202"/>
        <v>1</v>
      </c>
      <c r="CP189" s="126">
        <f t="shared" ca="1" si="203"/>
        <v>5.0833333333333173E-3</v>
      </c>
      <c r="CQ189" s="120"/>
      <c r="CR189" s="120"/>
      <c r="CS189" s="120"/>
      <c r="CT189" s="120"/>
      <c r="CU189" s="120"/>
      <c r="CV189" s="120"/>
      <c r="CW189" s="120"/>
      <c r="CX189" s="120"/>
      <c r="CY189" s="120"/>
      <c r="CZ189" s="120"/>
      <c r="DA189" s="120"/>
      <c r="DB189" s="120"/>
      <c r="DC189" s="120"/>
      <c r="DD189" s="120"/>
      <c r="DE189" s="116"/>
      <c r="DF189" s="116"/>
      <c r="DG189" s="116"/>
      <c r="DH189" s="116"/>
      <c r="DI189" s="116"/>
      <c r="DJ189" s="116"/>
      <c r="DK189" s="116"/>
      <c r="DL189" s="116"/>
      <c r="DM189" s="116"/>
      <c r="DN189" s="116"/>
    </row>
    <row r="190" spans="1:118" x14ac:dyDescent="0.2">
      <c r="A190" s="27">
        <v>184</v>
      </c>
      <c r="B190" s="29">
        <f t="shared" si="136"/>
        <v>44713</v>
      </c>
      <c r="C190" s="30">
        <f t="shared" si="137"/>
        <v>8.3333333333333329E-2</v>
      </c>
      <c r="D190" s="55"/>
      <c r="E190" s="62">
        <f t="shared" ca="1" si="155"/>
        <v>78696825.946984276</v>
      </c>
      <c r="F190" s="63">
        <f ca="1">IF(AssetIntType1="Fixed",AssetFxdRate1,IF(A190=1,OFFSET(Vectors!$D$6,A190,MATCH(AssetFltIndx1,lstInterestRates,0)),IF(MOD($A190,AssetRateReset1)=0,MAX(MIN(OFFSET(Vectors!$D$6,A190,MATCH(AssetFltIndx1,lstInterestRates,0)),(F189-AssetMarg1)+AssetPdCapFl1,AssetLifeCap1-AssetMarg1),(F189-AssetMarg1)-AssetPdCapFl1,AssetLifeFloor1-AssetMarg1),F189)))+AssetMarg1</f>
        <v>0.09</v>
      </c>
      <c r="G190" s="62">
        <f t="shared" ca="1" si="143"/>
        <v>804622.61694478267</v>
      </c>
      <c r="H190" s="62">
        <f t="shared" ca="1" si="156"/>
        <v>590226.19460238202</v>
      </c>
      <c r="I190" s="62">
        <f t="shared" ca="1" si="157"/>
        <v>214396.42234240065</v>
      </c>
      <c r="J190" s="62">
        <f t="shared" ca="1" si="138"/>
        <v>78482429.524641871</v>
      </c>
      <c r="K190" s="55"/>
      <c r="L190" s="62">
        <f t="shared" ca="1" si="158"/>
        <v>32744893.773760159</v>
      </c>
      <c r="M190" s="68">
        <f ca="1">IF(pdrLossTime1="",OFFSET(Vectors!$AE$6,A190+_Age1,MATCH(SDA_Loss,lstSDA,0)),OFFSET(Vectors!$X$6,A190+_Age1,MATCH(pdrLossTime1,lstDefaultCurve,0)))</f>
        <v>2.7777777777777779E-5</v>
      </c>
      <c r="N190" s="62">
        <f t="shared" ca="1" si="144"/>
        <v>2777.7777777777778</v>
      </c>
      <c r="O190" s="67">
        <f t="shared" ca="1" si="159"/>
        <v>0.78482429524641872</v>
      </c>
      <c r="P190" s="68">
        <f ca="1">OFFSET(Vectors!$L$6,A190+_Age1,MATCH(pdrPrepay1,lstPrepayCurve,0))*pdrPrepayStress1</f>
        <v>5.1430128318229462E-3</v>
      </c>
      <c r="Q190" s="62">
        <f t="shared" ca="1" si="160"/>
        <v>167948.61086016399</v>
      </c>
      <c r="R190" s="62">
        <f t="shared" ca="1" si="161"/>
        <v>89200.453067668568</v>
      </c>
      <c r="S190" s="69">
        <f t="shared" ca="1" si="162"/>
        <v>0.09</v>
      </c>
      <c r="T190" s="62">
        <f t="shared" ca="1" si="163"/>
        <v>245565.86996986787</v>
      </c>
      <c r="U190" s="62">
        <f t="shared" ca="1" si="145"/>
        <v>1111.1111111111111</v>
      </c>
      <c r="V190" s="62">
        <f t="shared" ca="1" si="139"/>
        <v>32484966.932054549</v>
      </c>
      <c r="W190" s="55"/>
      <c r="X190" s="62">
        <f t="shared" ca="1" si="164"/>
        <v>503826.04500881152</v>
      </c>
      <c r="Y190" s="55"/>
      <c r="Z190" s="118" t="b">
        <v>0</v>
      </c>
      <c r="AA190" s="120" t="b">
        <f t="shared" si="146"/>
        <v>0</v>
      </c>
      <c r="AB190" s="120" t="b">
        <f t="shared" si="147"/>
        <v>1</v>
      </c>
      <c r="AC190" s="120" t="b">
        <f t="shared" ca="1" si="148"/>
        <v>0</v>
      </c>
      <c r="AD190" s="121"/>
      <c r="AE190" s="129">
        <v>6651151.400927864</v>
      </c>
      <c r="AF190" s="69">
        <f ca="1">IF(Swap_Active="No",0,OFFSET(Vectors!$D$6,Vectors!A190,MATCH(Swap_In,lstInterestRates,0)))</f>
        <v>6.9369000000000056E-2</v>
      </c>
      <c r="AG190" s="62">
        <f t="shared" ca="1" si="165"/>
        <v>38448.64346091378</v>
      </c>
      <c r="AH190" s="69">
        <f ca="1">IF(Swap_Active="No",0,OFFSET(Vectors!$D$6,Vectors!A190,MATCH(Swap_Out,lstInterestRates,0)))</f>
        <v>0.04</v>
      </c>
      <c r="AI190" s="62">
        <f t="shared" ca="1" si="166"/>
        <v>22170.504669759546</v>
      </c>
      <c r="AJ190" s="62">
        <f t="shared" ca="1" si="167"/>
        <v>16278.138791154233</v>
      </c>
      <c r="AK190" s="62">
        <f t="shared" ca="1" si="168"/>
        <v>520104.18379996577</v>
      </c>
      <c r="AL190" s="121"/>
      <c r="AM190" s="123">
        <f t="shared" ca="1" si="149"/>
        <v>54574.822956266929</v>
      </c>
      <c r="AN190" s="124">
        <f t="shared" ca="1" si="169"/>
        <v>54574.822956266929</v>
      </c>
      <c r="AO190" s="125">
        <f t="shared" ca="1" si="170"/>
        <v>0</v>
      </c>
      <c r="AP190" s="123">
        <f t="shared" ca="1" si="171"/>
        <v>465529.36084369884</v>
      </c>
      <c r="AQ190" s="121"/>
      <c r="AR190" s="126">
        <f ca="1">IF(LiabIntType1="Fixed",LiabFxdRate1,OFFSET(Vectors!$D$6,Vectors!A190,MATCH(LiabLoanIndex1,lstInterestRates,0))+LiabMarg1)</f>
        <v>7.9369000000000051E-2</v>
      </c>
      <c r="AS190" s="122">
        <f t="shared" ca="1" si="172"/>
        <v>0</v>
      </c>
      <c r="AT190" s="124">
        <f t="shared" ca="1" si="173"/>
        <v>0</v>
      </c>
      <c r="AU190" s="123">
        <f t="shared" ca="1" si="174"/>
        <v>0</v>
      </c>
      <c r="AV190" s="123">
        <f t="shared" ca="1" si="150"/>
        <v>0</v>
      </c>
      <c r="AW190" s="123">
        <f t="shared" ca="1" si="175"/>
        <v>0</v>
      </c>
      <c r="AX190" s="124">
        <f t="shared" ca="1" si="176"/>
        <v>465529.36084369884</v>
      </c>
      <c r="AY190" s="121"/>
      <c r="AZ190" s="122">
        <f t="shared" ca="1" si="151"/>
        <v>0</v>
      </c>
      <c r="BA190" s="124">
        <f t="shared" ca="1" si="177"/>
        <v>0</v>
      </c>
      <c r="BB190" s="123">
        <f t="shared" ca="1" si="178"/>
        <v>0</v>
      </c>
      <c r="BC190" s="123">
        <f t="shared" ca="1" si="152"/>
        <v>0</v>
      </c>
      <c r="BD190" s="123">
        <f t="shared" ca="1" si="179"/>
        <v>0</v>
      </c>
      <c r="BE190" s="124">
        <f t="shared" ca="1" si="180"/>
        <v>465529.36084369884</v>
      </c>
      <c r="BF190" s="121"/>
      <c r="BG190" s="123">
        <f t="shared" si="153"/>
        <v>1000000</v>
      </c>
      <c r="BH190" s="123">
        <f t="shared" ca="1" si="181"/>
        <v>1000000</v>
      </c>
      <c r="BI190" s="123">
        <f t="shared" ca="1" si="182"/>
        <v>0</v>
      </c>
      <c r="BJ190" s="123">
        <f t="shared" ca="1" si="183"/>
        <v>0</v>
      </c>
      <c r="BK190" s="123">
        <f t="shared" ca="1" si="140"/>
        <v>1000000</v>
      </c>
      <c r="BL190" s="123">
        <f t="shared" ca="1" si="184"/>
        <v>465529.36084369884</v>
      </c>
      <c r="BM190" s="121"/>
      <c r="BN190" s="126">
        <f ca="1">IF(LiabIntType2="Fixed",LiabFxdRate2,OFFSET(Vectors!$D$6,Vectors!A190,MATCH(LiabLoanIndex2,lstInterestRates,0))+LiabMarg2)</f>
        <v>0.04</v>
      </c>
      <c r="BO190" s="122">
        <f t="shared" ca="1" si="185"/>
        <v>31766.119612804083</v>
      </c>
      <c r="BP190" s="124">
        <f t="shared" ca="1" si="186"/>
        <v>31766.119612804083</v>
      </c>
      <c r="BQ190" s="123">
        <f t="shared" ca="1" si="187"/>
        <v>0</v>
      </c>
      <c r="BR190" s="123">
        <f t="shared" ca="1" si="188"/>
        <v>433763.24123089475</v>
      </c>
      <c r="BS190" s="121"/>
      <c r="BT190" s="123">
        <f t="shared" ca="1" si="154"/>
        <v>26650.069622748077</v>
      </c>
      <c r="BU190" s="123">
        <f t="shared" ca="1" si="189"/>
        <v>26650.069622748077</v>
      </c>
      <c r="BV190" s="123">
        <f t="shared" ca="1" si="190"/>
        <v>0</v>
      </c>
      <c r="BW190" s="123">
        <f t="shared" ca="1" si="191"/>
        <v>407113.17160814669</v>
      </c>
      <c r="BX190" s="121"/>
      <c r="BY190" s="123">
        <f t="shared" si="192"/>
        <v>0</v>
      </c>
      <c r="BZ190" s="123">
        <f t="shared" ca="1" si="193"/>
        <v>407113.17160814669</v>
      </c>
      <c r="CA190" s="121"/>
      <c r="CB190" s="122">
        <f t="shared" ca="1" si="141"/>
        <v>0</v>
      </c>
      <c r="CC190" s="122">
        <f t="shared" ca="1" si="194"/>
        <v>0</v>
      </c>
      <c r="CD190" s="124">
        <f t="shared" ca="1" si="195"/>
        <v>0</v>
      </c>
      <c r="CE190" s="121"/>
      <c r="CF190" s="122">
        <f t="shared" ca="1" si="142"/>
        <v>9503185.8142184783</v>
      </c>
      <c r="CG190" s="124">
        <f t="shared" ca="1" si="196"/>
        <v>31766.119612804083</v>
      </c>
      <c r="CH190" s="123">
        <f t="shared" ca="1" si="197"/>
        <v>26650.069622748077</v>
      </c>
      <c r="CI190" s="121"/>
      <c r="CJ190" s="123">
        <f t="shared" ca="1" si="198"/>
        <v>542274.68846972531</v>
      </c>
      <c r="CK190" s="123">
        <f t="shared" ca="1" si="199"/>
        <v>542274.68846972531</v>
      </c>
      <c r="CL190" s="123">
        <f t="shared" ca="1" si="200"/>
        <v>0</v>
      </c>
      <c r="CM190" s="121"/>
      <c r="CN190" s="62">
        <f t="shared" ca="1" si="201"/>
        <v>259926.84170561034</v>
      </c>
      <c r="CO190" s="62" t="b">
        <f t="shared" si="202"/>
        <v>1</v>
      </c>
      <c r="CP190" s="126">
        <f t="shared" ca="1" si="203"/>
        <v>5.1111111111110949E-3</v>
      </c>
      <c r="CQ190" s="120"/>
      <c r="CR190" s="120"/>
      <c r="CS190" s="120"/>
      <c r="CT190" s="120"/>
      <c r="CU190" s="120"/>
      <c r="CV190" s="120"/>
      <c r="CW190" s="120"/>
      <c r="CX190" s="120"/>
      <c r="CY190" s="120"/>
      <c r="CZ190" s="120"/>
      <c r="DA190" s="120"/>
      <c r="DB190" s="120"/>
      <c r="DC190" s="120"/>
      <c r="DD190" s="120"/>
      <c r="DE190" s="116"/>
      <c r="DF190" s="116"/>
      <c r="DG190" s="116"/>
      <c r="DH190" s="116"/>
      <c r="DI190" s="116"/>
      <c r="DJ190" s="116"/>
      <c r="DK190" s="116"/>
      <c r="DL190" s="116"/>
      <c r="DM190" s="116"/>
      <c r="DN190" s="116"/>
    </row>
    <row r="191" spans="1:118" x14ac:dyDescent="0.2">
      <c r="A191" s="27">
        <v>185</v>
      </c>
      <c r="B191" s="29">
        <f t="shared" si="136"/>
        <v>44743</v>
      </c>
      <c r="C191" s="30">
        <f t="shared" si="137"/>
        <v>8.3333333333333329E-2</v>
      </c>
      <c r="D191" s="55"/>
      <c r="E191" s="62">
        <f t="shared" ca="1" si="155"/>
        <v>78482429.524641871</v>
      </c>
      <c r="F191" s="63">
        <f ca="1">IF(AssetIntType1="Fixed",AssetFxdRate1,IF(A191=1,OFFSET(Vectors!$D$6,A191,MATCH(AssetFltIndx1,lstInterestRates,0)),IF(MOD($A191,AssetRateReset1)=0,MAX(MIN(OFFSET(Vectors!$D$6,A191,MATCH(AssetFltIndx1,lstInterestRates,0)),(F190-AssetMarg1)+AssetPdCapFl1,AssetLifeCap1-AssetMarg1),(F190-AssetMarg1)-AssetPdCapFl1,AssetLifeFloor1-AssetMarg1),F190)))+AssetMarg1</f>
        <v>0.09</v>
      </c>
      <c r="G191" s="62">
        <f t="shared" ca="1" si="143"/>
        <v>804622.61694478267</v>
      </c>
      <c r="H191" s="62">
        <f t="shared" ca="1" si="156"/>
        <v>588618.22143481404</v>
      </c>
      <c r="I191" s="62">
        <f t="shared" ca="1" si="157"/>
        <v>216004.39550996863</v>
      </c>
      <c r="J191" s="62">
        <f t="shared" ca="1" si="138"/>
        <v>78266425.129131898</v>
      </c>
      <c r="K191" s="55"/>
      <c r="L191" s="62">
        <f t="shared" ca="1" si="158"/>
        <v>32484966.932054549</v>
      </c>
      <c r="M191" s="68">
        <f ca="1">IF(pdrLossTime1="",OFFSET(Vectors!$AE$6,A191+_Age1,MATCH(SDA_Loss,lstSDA,0)),OFFSET(Vectors!$X$6,A191+_Age1,MATCH(pdrLossTime1,lstDefaultCurve,0)))</f>
        <v>2.7777777777777779E-5</v>
      </c>
      <c r="N191" s="62">
        <f t="shared" ca="1" si="144"/>
        <v>2777.7777777777778</v>
      </c>
      <c r="O191" s="67">
        <f t="shared" ca="1" si="159"/>
        <v>0.782664251291319</v>
      </c>
      <c r="P191" s="68">
        <f ca="1">OFFSET(Vectors!$L$6,A191+_Age1,MATCH(pdrPrepay1,lstPrepayCurve,0))*pdrPrepayStress1</f>
        <v>5.1430128318229462E-3</v>
      </c>
      <c r="Q191" s="62">
        <f t="shared" ca="1" si="160"/>
        <v>166610.77930611384</v>
      </c>
      <c r="R191" s="62">
        <f t="shared" ca="1" si="161"/>
        <v>89399.5723069089</v>
      </c>
      <c r="S191" s="69">
        <f t="shared" ca="1" si="162"/>
        <v>0.09</v>
      </c>
      <c r="T191" s="62">
        <f t="shared" ca="1" si="163"/>
        <v>243616.41865707579</v>
      </c>
      <c r="U191" s="62">
        <f t="shared" ca="1" si="145"/>
        <v>1111.1111111111111</v>
      </c>
      <c r="V191" s="62">
        <f t="shared" ca="1" si="139"/>
        <v>32226178.802663751</v>
      </c>
      <c r="W191" s="55"/>
      <c r="X191" s="62">
        <f t="shared" ca="1" si="164"/>
        <v>500737.88138120965</v>
      </c>
      <c r="Y191" s="55"/>
      <c r="Z191" s="118" t="b">
        <v>0</v>
      </c>
      <c r="AA191" s="120" t="b">
        <f t="shared" si="146"/>
        <v>0</v>
      </c>
      <c r="AB191" s="120" t="b">
        <f t="shared" si="147"/>
        <v>1</v>
      </c>
      <c r="AC191" s="120" t="b">
        <f t="shared" ca="1" si="148"/>
        <v>0</v>
      </c>
      <c r="AD191" s="121"/>
      <c r="AE191" s="129">
        <v>6490617.7079216922</v>
      </c>
      <c r="AF191" s="69">
        <f ca="1">IF(Swap_Active="No",0,OFFSET(Vectors!$D$6,Vectors!A191,MATCH(Swap_In,lstInterestRates,0)))</f>
        <v>6.9369000000000056E-2</v>
      </c>
      <c r="AG191" s="62">
        <f t="shared" ca="1" si="165"/>
        <v>37520.638315068354</v>
      </c>
      <c r="AH191" s="69">
        <f ca="1">IF(Swap_Active="No",0,OFFSET(Vectors!$D$6,Vectors!A191,MATCH(Swap_Out,lstInterestRates,0)))</f>
        <v>0.04</v>
      </c>
      <c r="AI191" s="62">
        <f t="shared" ca="1" si="166"/>
        <v>21635.392359738973</v>
      </c>
      <c r="AJ191" s="62">
        <f t="shared" ca="1" si="167"/>
        <v>15885.245955329381</v>
      </c>
      <c r="AK191" s="62">
        <f t="shared" ca="1" si="168"/>
        <v>516623.12733653904</v>
      </c>
      <c r="AL191" s="121"/>
      <c r="AM191" s="123">
        <f t="shared" ca="1" si="149"/>
        <v>54141.611553424249</v>
      </c>
      <c r="AN191" s="124">
        <f t="shared" ca="1" si="169"/>
        <v>54141.611553424249</v>
      </c>
      <c r="AO191" s="125">
        <f t="shared" ca="1" si="170"/>
        <v>0</v>
      </c>
      <c r="AP191" s="123">
        <f t="shared" ca="1" si="171"/>
        <v>462481.51578311477</v>
      </c>
      <c r="AQ191" s="121"/>
      <c r="AR191" s="126">
        <f ca="1">IF(LiabIntType1="Fixed",LiabFxdRate1,OFFSET(Vectors!$D$6,Vectors!A191,MATCH(LiabLoanIndex1,lstInterestRates,0))+LiabMarg1)</f>
        <v>7.9369000000000051E-2</v>
      </c>
      <c r="AS191" s="122">
        <f t="shared" ca="1" si="172"/>
        <v>0</v>
      </c>
      <c r="AT191" s="124">
        <f t="shared" ca="1" si="173"/>
        <v>0</v>
      </c>
      <c r="AU191" s="123">
        <f t="shared" ca="1" si="174"/>
        <v>0</v>
      </c>
      <c r="AV191" s="123">
        <f t="shared" ca="1" si="150"/>
        <v>0</v>
      </c>
      <c r="AW191" s="123">
        <f t="shared" ca="1" si="175"/>
        <v>0</v>
      </c>
      <c r="AX191" s="124">
        <f t="shared" ca="1" si="176"/>
        <v>462481.51578311477</v>
      </c>
      <c r="AY191" s="121"/>
      <c r="AZ191" s="122">
        <f t="shared" ca="1" si="151"/>
        <v>0</v>
      </c>
      <c r="BA191" s="124">
        <f t="shared" ca="1" si="177"/>
        <v>0</v>
      </c>
      <c r="BB191" s="123">
        <f t="shared" ca="1" si="178"/>
        <v>0</v>
      </c>
      <c r="BC191" s="123">
        <f t="shared" ca="1" si="152"/>
        <v>0</v>
      </c>
      <c r="BD191" s="123">
        <f t="shared" ca="1" si="179"/>
        <v>0</v>
      </c>
      <c r="BE191" s="124">
        <f t="shared" ca="1" si="180"/>
        <v>462481.51578311477</v>
      </c>
      <c r="BF191" s="121"/>
      <c r="BG191" s="123">
        <f t="shared" si="153"/>
        <v>1000000</v>
      </c>
      <c r="BH191" s="123">
        <f t="shared" ca="1" si="181"/>
        <v>1000000</v>
      </c>
      <c r="BI191" s="123">
        <f t="shared" ca="1" si="182"/>
        <v>0</v>
      </c>
      <c r="BJ191" s="123">
        <f t="shared" ca="1" si="183"/>
        <v>0</v>
      </c>
      <c r="BK191" s="123">
        <f t="shared" ca="1" si="140"/>
        <v>1000000</v>
      </c>
      <c r="BL191" s="123">
        <f t="shared" ca="1" si="184"/>
        <v>462481.51578311477</v>
      </c>
      <c r="BM191" s="121"/>
      <c r="BN191" s="126">
        <f ca="1">IF(LiabIntType2="Fixed",LiabFxdRate2,OFFSET(Vectors!$D$6,Vectors!A191,MATCH(LiabLoanIndex2,lstInterestRates,0))+LiabMarg2)</f>
        <v>0.04</v>
      </c>
      <c r="BO191" s="122">
        <f t="shared" ca="1" si="185"/>
        <v>31677.286047394926</v>
      </c>
      <c r="BP191" s="124">
        <f t="shared" ca="1" si="186"/>
        <v>31677.286047394926</v>
      </c>
      <c r="BQ191" s="123">
        <f t="shared" ca="1" si="187"/>
        <v>0</v>
      </c>
      <c r="BR191" s="123">
        <f t="shared" ca="1" si="188"/>
        <v>430804.22973571985</v>
      </c>
      <c r="BS191" s="121"/>
      <c r="BT191" s="123">
        <f t="shared" ca="1" si="154"/>
        <v>26533.318454339187</v>
      </c>
      <c r="BU191" s="123">
        <f t="shared" ca="1" si="189"/>
        <v>26533.318454339187</v>
      </c>
      <c r="BV191" s="123">
        <f t="shared" ca="1" si="190"/>
        <v>0</v>
      </c>
      <c r="BW191" s="123">
        <f t="shared" ca="1" si="191"/>
        <v>404270.91128138069</v>
      </c>
      <c r="BX191" s="121"/>
      <c r="BY191" s="123">
        <f t="shared" si="192"/>
        <v>0</v>
      </c>
      <c r="BZ191" s="123">
        <f t="shared" ca="1" si="193"/>
        <v>404270.91128138069</v>
      </c>
      <c r="CA191" s="121"/>
      <c r="CB191" s="122">
        <f t="shared" ca="1" si="141"/>
        <v>0</v>
      </c>
      <c r="CC191" s="122">
        <f t="shared" ca="1" si="194"/>
        <v>0</v>
      </c>
      <c r="CD191" s="124">
        <f t="shared" ca="1" si="195"/>
        <v>0</v>
      </c>
      <c r="CE191" s="121"/>
      <c r="CF191" s="122">
        <f t="shared" ca="1" si="142"/>
        <v>9476652.4957641382</v>
      </c>
      <c r="CG191" s="124">
        <f t="shared" ca="1" si="196"/>
        <v>31677.286047394926</v>
      </c>
      <c r="CH191" s="123">
        <f t="shared" ca="1" si="197"/>
        <v>26533.318454339187</v>
      </c>
      <c r="CI191" s="121"/>
      <c r="CJ191" s="123">
        <f t="shared" ca="1" si="198"/>
        <v>538258.51969627803</v>
      </c>
      <c r="CK191" s="123">
        <f t="shared" ca="1" si="199"/>
        <v>538258.51969627803</v>
      </c>
      <c r="CL191" s="123">
        <f t="shared" ca="1" si="200"/>
        <v>0</v>
      </c>
      <c r="CM191" s="121"/>
      <c r="CN191" s="62">
        <f t="shared" ca="1" si="201"/>
        <v>258788.12939080052</v>
      </c>
      <c r="CO191" s="62" t="b">
        <f t="shared" si="202"/>
        <v>1</v>
      </c>
      <c r="CP191" s="126">
        <f t="shared" ca="1" si="203"/>
        <v>5.1388888888888725E-3</v>
      </c>
      <c r="CQ191" s="120"/>
      <c r="CR191" s="120"/>
      <c r="CS191" s="120"/>
      <c r="CT191" s="120"/>
      <c r="CU191" s="120"/>
      <c r="CV191" s="120"/>
      <c r="CW191" s="120"/>
      <c r="CX191" s="120"/>
      <c r="CY191" s="120"/>
      <c r="CZ191" s="120"/>
      <c r="DA191" s="120"/>
      <c r="DB191" s="120"/>
      <c r="DC191" s="120"/>
      <c r="DD191" s="120"/>
      <c r="DE191" s="116"/>
      <c r="DF191" s="116"/>
      <c r="DG191" s="116"/>
      <c r="DH191" s="116"/>
      <c r="DI191" s="116"/>
      <c r="DJ191" s="116"/>
      <c r="DK191" s="116"/>
      <c r="DL191" s="116"/>
      <c r="DM191" s="116"/>
      <c r="DN191" s="116"/>
    </row>
    <row r="192" spans="1:118" x14ac:dyDescent="0.2">
      <c r="A192" s="27">
        <v>186</v>
      </c>
      <c r="B192" s="29">
        <f t="shared" si="136"/>
        <v>44774</v>
      </c>
      <c r="C192" s="30">
        <f t="shared" si="137"/>
        <v>8.3333333333333329E-2</v>
      </c>
      <c r="D192" s="55"/>
      <c r="E192" s="62">
        <f t="shared" ca="1" si="155"/>
        <v>78266425.129131898</v>
      </c>
      <c r="F192" s="63">
        <f ca="1">IF(AssetIntType1="Fixed",AssetFxdRate1,IF(A192=1,OFFSET(Vectors!$D$6,A192,MATCH(AssetFltIndx1,lstInterestRates,0)),IF(MOD($A192,AssetRateReset1)=0,MAX(MIN(OFFSET(Vectors!$D$6,A192,MATCH(AssetFltIndx1,lstInterestRates,0)),(F191-AssetMarg1)+AssetPdCapFl1,AssetLifeCap1-AssetMarg1),(F191-AssetMarg1)-AssetPdCapFl1,AssetLifeFloor1-AssetMarg1),F191)))+AssetMarg1</f>
        <v>0.09</v>
      </c>
      <c r="G192" s="62">
        <f t="shared" ca="1" si="143"/>
        <v>804622.61694478267</v>
      </c>
      <c r="H192" s="62">
        <f t="shared" ca="1" si="156"/>
        <v>586998.18846848921</v>
      </c>
      <c r="I192" s="62">
        <f t="shared" ca="1" si="157"/>
        <v>217624.42847629345</v>
      </c>
      <c r="J192" s="62">
        <f t="shared" ca="1" si="138"/>
        <v>78048800.700655609</v>
      </c>
      <c r="K192" s="55"/>
      <c r="L192" s="62">
        <f t="shared" ca="1" si="158"/>
        <v>32226178.802663751</v>
      </c>
      <c r="M192" s="68">
        <f ca="1">IF(pdrLossTime1="",OFFSET(Vectors!$AE$6,A192+_Age1,MATCH(SDA_Loss,lstSDA,0)),OFFSET(Vectors!$X$6,A192+_Age1,MATCH(pdrLossTime1,lstDefaultCurve,0)))</f>
        <v>2.7777777777777779E-5</v>
      </c>
      <c r="N192" s="62">
        <f t="shared" ca="1" si="144"/>
        <v>2777.7777777777778</v>
      </c>
      <c r="O192" s="67">
        <f t="shared" ca="1" si="159"/>
        <v>0.78048800700655607</v>
      </c>
      <c r="P192" s="68">
        <f ca="1">OFFSET(Vectors!$L$6,A192+_Age1,MATCH(pdrPrepay1,lstPrepayCurve,0))*pdrPrepayStress1</f>
        <v>5.1430128318229462E-3</v>
      </c>
      <c r="Q192" s="62">
        <f t="shared" ca="1" si="160"/>
        <v>165278.80219097328</v>
      </c>
      <c r="R192" s="62">
        <f t="shared" ca="1" si="161"/>
        <v>89599.074188365208</v>
      </c>
      <c r="S192" s="69">
        <f t="shared" ca="1" si="162"/>
        <v>0.09</v>
      </c>
      <c r="T192" s="62">
        <f t="shared" ca="1" si="163"/>
        <v>241675.50768664479</v>
      </c>
      <c r="U192" s="62">
        <f t="shared" ca="1" si="145"/>
        <v>1111.1111111111111</v>
      </c>
      <c r="V192" s="62">
        <f t="shared" ca="1" si="139"/>
        <v>31968523.148506634</v>
      </c>
      <c r="W192" s="55"/>
      <c r="X192" s="62">
        <f t="shared" ca="1" si="164"/>
        <v>497664.49517709442</v>
      </c>
      <c r="Y192" s="55"/>
      <c r="Z192" s="118" t="b">
        <v>0</v>
      </c>
      <c r="AA192" s="120" t="b">
        <f t="shared" si="146"/>
        <v>0</v>
      </c>
      <c r="AB192" s="120" t="b">
        <f t="shared" si="147"/>
        <v>1</v>
      </c>
      <c r="AC192" s="120" t="b">
        <f t="shared" ca="1" si="148"/>
        <v>0</v>
      </c>
      <c r="AD192" s="121"/>
      <c r="AE192" s="129">
        <v>6331781.7428152822</v>
      </c>
      <c r="AF192" s="69">
        <f ca="1">IF(Swap_Active="No",0,OFFSET(Vectors!$D$6,Vectors!A192,MATCH(Swap_In,lstInterestRates,0)))</f>
        <v>6.9369000000000056E-2</v>
      </c>
      <c r="AG192" s="62">
        <f t="shared" ca="1" si="165"/>
        <v>36602.447309779469</v>
      </c>
      <c r="AH192" s="69">
        <f ca="1">IF(Swap_Active="No",0,OFFSET(Vectors!$D$6,Vectors!A192,MATCH(Swap_Out,lstInterestRates,0)))</f>
        <v>0.04</v>
      </c>
      <c r="AI192" s="62">
        <f t="shared" ca="1" si="166"/>
        <v>21105.939142717609</v>
      </c>
      <c r="AJ192" s="62">
        <f t="shared" ca="1" si="167"/>
        <v>15496.50816706186</v>
      </c>
      <c r="AK192" s="62">
        <f t="shared" ca="1" si="168"/>
        <v>513161.00334415626</v>
      </c>
      <c r="AL192" s="121"/>
      <c r="AM192" s="123">
        <f t="shared" ca="1" si="149"/>
        <v>53710.298004439581</v>
      </c>
      <c r="AN192" s="124">
        <f t="shared" ca="1" si="169"/>
        <v>53710.298004439581</v>
      </c>
      <c r="AO192" s="125">
        <f t="shared" ca="1" si="170"/>
        <v>0</v>
      </c>
      <c r="AP192" s="123">
        <f t="shared" ca="1" si="171"/>
        <v>459450.70533971669</v>
      </c>
      <c r="AQ192" s="121"/>
      <c r="AR192" s="126">
        <f ca="1">IF(LiabIntType1="Fixed",LiabFxdRate1,OFFSET(Vectors!$D$6,Vectors!A192,MATCH(LiabLoanIndex1,lstInterestRates,0))+LiabMarg1)</f>
        <v>7.9369000000000051E-2</v>
      </c>
      <c r="AS192" s="122">
        <f t="shared" ca="1" si="172"/>
        <v>0</v>
      </c>
      <c r="AT192" s="124">
        <f t="shared" ca="1" si="173"/>
        <v>0</v>
      </c>
      <c r="AU192" s="123">
        <f t="shared" ca="1" si="174"/>
        <v>0</v>
      </c>
      <c r="AV192" s="123">
        <f t="shared" ca="1" si="150"/>
        <v>0</v>
      </c>
      <c r="AW192" s="123">
        <f t="shared" ca="1" si="175"/>
        <v>0</v>
      </c>
      <c r="AX192" s="124">
        <f t="shared" ca="1" si="176"/>
        <v>459450.70533971669</v>
      </c>
      <c r="AY192" s="121"/>
      <c r="AZ192" s="122">
        <f t="shared" ca="1" si="151"/>
        <v>0</v>
      </c>
      <c r="BA192" s="124">
        <f t="shared" ca="1" si="177"/>
        <v>0</v>
      </c>
      <c r="BB192" s="123">
        <f t="shared" ca="1" si="178"/>
        <v>0</v>
      </c>
      <c r="BC192" s="123">
        <f t="shared" ca="1" si="152"/>
        <v>0</v>
      </c>
      <c r="BD192" s="123">
        <f t="shared" ca="1" si="179"/>
        <v>0</v>
      </c>
      <c r="BE192" s="124">
        <f t="shared" ca="1" si="180"/>
        <v>459450.70533971669</v>
      </c>
      <c r="BF192" s="121"/>
      <c r="BG192" s="123">
        <f t="shared" si="153"/>
        <v>1000000</v>
      </c>
      <c r="BH192" s="123">
        <f t="shared" ca="1" si="181"/>
        <v>1000000</v>
      </c>
      <c r="BI192" s="123">
        <f t="shared" ca="1" si="182"/>
        <v>0</v>
      </c>
      <c r="BJ192" s="123">
        <f t="shared" ca="1" si="183"/>
        <v>0</v>
      </c>
      <c r="BK192" s="123">
        <f t="shared" ca="1" si="140"/>
        <v>1000000</v>
      </c>
      <c r="BL192" s="123">
        <f t="shared" ca="1" si="184"/>
        <v>459450.70533971669</v>
      </c>
      <c r="BM192" s="121"/>
      <c r="BN192" s="126">
        <f ca="1">IF(LiabIntType2="Fixed",LiabFxdRate2,OFFSET(Vectors!$D$6,Vectors!A192,MATCH(LiabLoanIndex2,lstInterestRates,0))+LiabMarg2)</f>
        <v>0.04</v>
      </c>
      <c r="BO192" s="122">
        <f t="shared" ca="1" si="185"/>
        <v>31588.841652547126</v>
      </c>
      <c r="BP192" s="124">
        <f t="shared" ca="1" si="186"/>
        <v>31588.841652547126</v>
      </c>
      <c r="BQ192" s="123">
        <f t="shared" ca="1" si="187"/>
        <v>0</v>
      </c>
      <c r="BR192" s="123">
        <f t="shared" ca="1" si="188"/>
        <v>427861.86368716956</v>
      </c>
      <c r="BS192" s="121"/>
      <c r="BT192" s="123">
        <f t="shared" ca="1" si="154"/>
        <v>26417.206768352153</v>
      </c>
      <c r="BU192" s="123">
        <f t="shared" ca="1" si="189"/>
        <v>26417.206768352153</v>
      </c>
      <c r="BV192" s="123">
        <f t="shared" ca="1" si="190"/>
        <v>0</v>
      </c>
      <c r="BW192" s="123">
        <f t="shared" ca="1" si="191"/>
        <v>401444.65691881743</v>
      </c>
      <c r="BX192" s="121"/>
      <c r="BY192" s="123">
        <f t="shared" si="192"/>
        <v>0</v>
      </c>
      <c r="BZ192" s="123">
        <f t="shared" ca="1" si="193"/>
        <v>401444.65691881743</v>
      </c>
      <c r="CA192" s="121"/>
      <c r="CB192" s="122">
        <f t="shared" ca="1" si="141"/>
        <v>0</v>
      </c>
      <c r="CC192" s="122">
        <f t="shared" ca="1" si="194"/>
        <v>0</v>
      </c>
      <c r="CD192" s="124">
        <f t="shared" ca="1" si="195"/>
        <v>0</v>
      </c>
      <c r="CE192" s="121"/>
      <c r="CF192" s="122">
        <f t="shared" ca="1" si="142"/>
        <v>9450235.2889957856</v>
      </c>
      <c r="CG192" s="124">
        <f t="shared" ca="1" si="196"/>
        <v>31588.841652547126</v>
      </c>
      <c r="CH192" s="123">
        <f t="shared" ca="1" si="197"/>
        <v>26417.206768352153</v>
      </c>
      <c r="CI192" s="121"/>
      <c r="CJ192" s="123">
        <f t="shared" ca="1" si="198"/>
        <v>534266.94248687383</v>
      </c>
      <c r="CK192" s="123">
        <f t="shared" ca="1" si="199"/>
        <v>534266.94248687394</v>
      </c>
      <c r="CL192" s="123">
        <f t="shared" ca="1" si="200"/>
        <v>0</v>
      </c>
      <c r="CM192" s="121"/>
      <c r="CN192" s="62">
        <f t="shared" ca="1" si="201"/>
        <v>257655.65415711625</v>
      </c>
      <c r="CO192" s="62" t="b">
        <f t="shared" si="202"/>
        <v>1</v>
      </c>
      <c r="CP192" s="126">
        <f t="shared" ca="1" si="203"/>
        <v>5.1666666666666501E-3</v>
      </c>
      <c r="CQ192" s="120"/>
      <c r="CR192" s="120"/>
      <c r="CS192" s="120"/>
      <c r="CT192" s="120"/>
      <c r="CU192" s="120"/>
      <c r="CV192" s="120"/>
      <c r="CW192" s="120"/>
      <c r="CX192" s="120"/>
      <c r="CY192" s="120"/>
      <c r="CZ192" s="120"/>
      <c r="DA192" s="120"/>
      <c r="DB192" s="120"/>
      <c r="DC192" s="120"/>
      <c r="DD192" s="120"/>
      <c r="DE192" s="116"/>
      <c r="DF192" s="116"/>
      <c r="DG192" s="116"/>
      <c r="DH192" s="116"/>
      <c r="DI192" s="116"/>
      <c r="DJ192" s="116"/>
      <c r="DK192" s="116"/>
      <c r="DL192" s="116"/>
      <c r="DM192" s="116"/>
      <c r="DN192" s="116"/>
    </row>
    <row r="193" spans="1:118" x14ac:dyDescent="0.2">
      <c r="A193" s="27">
        <v>187</v>
      </c>
      <c r="B193" s="29">
        <f t="shared" si="136"/>
        <v>44805</v>
      </c>
      <c r="C193" s="30">
        <f t="shared" si="137"/>
        <v>8.3333333333333329E-2</v>
      </c>
      <c r="D193" s="55"/>
      <c r="E193" s="62">
        <f t="shared" ca="1" si="155"/>
        <v>78048800.700655609</v>
      </c>
      <c r="F193" s="63">
        <f ca="1">IF(AssetIntType1="Fixed",AssetFxdRate1,IF(A193=1,OFFSET(Vectors!$D$6,A193,MATCH(AssetFltIndx1,lstInterestRates,0)),IF(MOD($A193,AssetRateReset1)=0,MAX(MIN(OFFSET(Vectors!$D$6,A193,MATCH(AssetFltIndx1,lstInterestRates,0)),(F192-AssetMarg1)+AssetPdCapFl1,AssetLifeCap1-AssetMarg1),(F192-AssetMarg1)-AssetPdCapFl1,AssetLifeFloor1-AssetMarg1),F192)))+AssetMarg1</f>
        <v>0.09</v>
      </c>
      <c r="G193" s="62">
        <f t="shared" ca="1" si="143"/>
        <v>804622.61694478267</v>
      </c>
      <c r="H193" s="62">
        <f t="shared" ca="1" si="156"/>
        <v>585366.00525491708</v>
      </c>
      <c r="I193" s="62">
        <f t="shared" ca="1" si="157"/>
        <v>219256.61168986559</v>
      </c>
      <c r="J193" s="62">
        <f t="shared" ca="1" si="138"/>
        <v>77829544.088965744</v>
      </c>
      <c r="K193" s="55"/>
      <c r="L193" s="62">
        <f t="shared" ca="1" si="158"/>
        <v>31968523.148506634</v>
      </c>
      <c r="M193" s="68">
        <f ca="1">IF(pdrLossTime1="",OFFSET(Vectors!$AE$6,A193+_Age1,MATCH(SDA_Loss,lstSDA,0)),OFFSET(Vectors!$X$6,A193+_Age1,MATCH(pdrLossTime1,lstDefaultCurve,0)))</f>
        <v>2.7777777777777779E-5</v>
      </c>
      <c r="N193" s="62">
        <f t="shared" ca="1" si="144"/>
        <v>2777.7777777777778</v>
      </c>
      <c r="O193" s="67">
        <f t="shared" ca="1" si="159"/>
        <v>0.77829544088965741</v>
      </c>
      <c r="P193" s="68">
        <f ca="1">OFFSET(Vectors!$L$6,A193+_Age1,MATCH(pdrPrepay1,lstPrepayCurve,0))*pdrPrepayStress1</f>
        <v>5.1430128318229462E-3</v>
      </c>
      <c r="Q193" s="62">
        <f t="shared" ca="1" si="160"/>
        <v>163952.6474380219</v>
      </c>
      <c r="R193" s="62">
        <f t="shared" ca="1" si="161"/>
        <v>89798.958564498884</v>
      </c>
      <c r="S193" s="69">
        <f t="shared" ca="1" si="162"/>
        <v>0.09</v>
      </c>
      <c r="T193" s="62">
        <f t="shared" ca="1" si="163"/>
        <v>239743.09028046642</v>
      </c>
      <c r="U193" s="62">
        <f t="shared" ca="1" si="145"/>
        <v>1111.1111111111111</v>
      </c>
      <c r="V193" s="62">
        <f t="shared" ca="1" si="139"/>
        <v>31711993.764726337</v>
      </c>
      <c r="W193" s="55"/>
      <c r="X193" s="62">
        <f t="shared" ca="1" si="164"/>
        <v>494605.80739409832</v>
      </c>
      <c r="Y193" s="55"/>
      <c r="Z193" s="118" t="b">
        <v>0</v>
      </c>
      <c r="AA193" s="120" t="b">
        <f t="shared" si="146"/>
        <v>0</v>
      </c>
      <c r="AB193" s="120" t="b">
        <f t="shared" si="147"/>
        <v>1</v>
      </c>
      <c r="AC193" s="120" t="b">
        <f t="shared" ca="1" si="148"/>
        <v>0</v>
      </c>
      <c r="AD193" s="121"/>
      <c r="AE193" s="129">
        <v>6174626.3493704274</v>
      </c>
      <c r="AF193" s="69">
        <f ca="1">IF(Swap_Active="No",0,OFFSET(Vectors!$D$6,Vectors!A193,MATCH(Swap_In,lstInterestRates,0)))</f>
        <v>6.9369000000000056E-2</v>
      </c>
      <c r="AG193" s="62">
        <f t="shared" ca="1" si="165"/>
        <v>35693.971269123125</v>
      </c>
      <c r="AH193" s="69">
        <f ca="1">IF(Swap_Active="No",0,OFFSET(Vectors!$D$6,Vectors!A193,MATCH(Swap_Out,lstInterestRates,0)))</f>
        <v>0.04</v>
      </c>
      <c r="AI193" s="62">
        <f t="shared" ca="1" si="166"/>
        <v>20582.087831234756</v>
      </c>
      <c r="AJ193" s="62">
        <f t="shared" ca="1" si="167"/>
        <v>15111.883437888369</v>
      </c>
      <c r="AK193" s="62">
        <f t="shared" ca="1" si="168"/>
        <v>509717.69083198666</v>
      </c>
      <c r="AL193" s="121"/>
      <c r="AM193" s="123">
        <f t="shared" ca="1" si="149"/>
        <v>53280.871914177718</v>
      </c>
      <c r="AN193" s="124">
        <f t="shared" ca="1" si="169"/>
        <v>53280.871914177718</v>
      </c>
      <c r="AO193" s="125">
        <f t="shared" ca="1" si="170"/>
        <v>0</v>
      </c>
      <c r="AP193" s="123">
        <f t="shared" ca="1" si="171"/>
        <v>456436.81891780894</v>
      </c>
      <c r="AQ193" s="121"/>
      <c r="AR193" s="126">
        <f ca="1">IF(LiabIntType1="Fixed",LiabFxdRate1,OFFSET(Vectors!$D$6,Vectors!A193,MATCH(LiabLoanIndex1,lstInterestRates,0))+LiabMarg1)</f>
        <v>7.9369000000000051E-2</v>
      </c>
      <c r="AS193" s="122">
        <f t="shared" ca="1" si="172"/>
        <v>0</v>
      </c>
      <c r="AT193" s="124">
        <f t="shared" ca="1" si="173"/>
        <v>0</v>
      </c>
      <c r="AU193" s="123">
        <f t="shared" ca="1" si="174"/>
        <v>0</v>
      </c>
      <c r="AV193" s="123">
        <f t="shared" ca="1" si="150"/>
        <v>0</v>
      </c>
      <c r="AW193" s="123">
        <f t="shared" ca="1" si="175"/>
        <v>0</v>
      </c>
      <c r="AX193" s="124">
        <f t="shared" ca="1" si="176"/>
        <v>456436.81891780894</v>
      </c>
      <c r="AY193" s="121"/>
      <c r="AZ193" s="122">
        <f t="shared" ca="1" si="151"/>
        <v>0</v>
      </c>
      <c r="BA193" s="124">
        <f t="shared" ca="1" si="177"/>
        <v>0</v>
      </c>
      <c r="BB193" s="123">
        <f t="shared" ca="1" si="178"/>
        <v>0</v>
      </c>
      <c r="BC193" s="123">
        <f t="shared" ca="1" si="152"/>
        <v>0</v>
      </c>
      <c r="BD193" s="123">
        <f t="shared" ca="1" si="179"/>
        <v>0</v>
      </c>
      <c r="BE193" s="124">
        <f t="shared" ca="1" si="180"/>
        <v>456436.81891780894</v>
      </c>
      <c r="BF193" s="121"/>
      <c r="BG193" s="123">
        <f t="shared" si="153"/>
        <v>1000000</v>
      </c>
      <c r="BH193" s="123">
        <f t="shared" ca="1" si="181"/>
        <v>1000000</v>
      </c>
      <c r="BI193" s="123">
        <f t="shared" ca="1" si="182"/>
        <v>0</v>
      </c>
      <c r="BJ193" s="123">
        <f t="shared" ca="1" si="183"/>
        <v>0</v>
      </c>
      <c r="BK193" s="123">
        <f t="shared" ca="1" si="140"/>
        <v>1000000</v>
      </c>
      <c r="BL193" s="123">
        <f t="shared" ca="1" si="184"/>
        <v>456436.81891780894</v>
      </c>
      <c r="BM193" s="121"/>
      <c r="BN193" s="126">
        <f ca="1">IF(LiabIntType2="Fixed",LiabFxdRate2,OFFSET(Vectors!$D$6,Vectors!A193,MATCH(LiabLoanIndex2,lstInterestRates,0))+LiabMarg2)</f>
        <v>0.04</v>
      </c>
      <c r="BO193" s="122">
        <f t="shared" ca="1" si="185"/>
        <v>31500.784296652615</v>
      </c>
      <c r="BP193" s="124">
        <f t="shared" ca="1" si="186"/>
        <v>31500.784296652615</v>
      </c>
      <c r="BQ193" s="123">
        <f t="shared" ca="1" si="187"/>
        <v>0</v>
      </c>
      <c r="BR193" s="123">
        <f t="shared" ca="1" si="188"/>
        <v>424936.03462115634</v>
      </c>
      <c r="BS193" s="121"/>
      <c r="BT193" s="123">
        <f t="shared" ca="1" si="154"/>
        <v>26301.731260862147</v>
      </c>
      <c r="BU193" s="123">
        <f t="shared" ca="1" si="189"/>
        <v>26301.731260862147</v>
      </c>
      <c r="BV193" s="123">
        <f t="shared" ca="1" si="190"/>
        <v>0</v>
      </c>
      <c r="BW193" s="123">
        <f t="shared" ca="1" si="191"/>
        <v>398634.3033602942</v>
      </c>
      <c r="BX193" s="121"/>
      <c r="BY193" s="123">
        <f t="shared" si="192"/>
        <v>0</v>
      </c>
      <c r="BZ193" s="123">
        <f t="shared" ca="1" si="193"/>
        <v>398634.3033602942</v>
      </c>
      <c r="CA193" s="121"/>
      <c r="CB193" s="122">
        <f t="shared" ca="1" si="141"/>
        <v>0</v>
      </c>
      <c r="CC193" s="122">
        <f t="shared" ca="1" si="194"/>
        <v>0</v>
      </c>
      <c r="CD193" s="124">
        <f t="shared" ca="1" si="195"/>
        <v>0</v>
      </c>
      <c r="CE193" s="121"/>
      <c r="CF193" s="122">
        <f t="shared" ca="1" si="142"/>
        <v>9423933.5577349234</v>
      </c>
      <c r="CG193" s="124">
        <f t="shared" ca="1" si="196"/>
        <v>31500.784296652615</v>
      </c>
      <c r="CH193" s="123">
        <f t="shared" ca="1" si="197"/>
        <v>26301.731260862147</v>
      </c>
      <c r="CI193" s="121"/>
      <c r="CJ193" s="123">
        <f t="shared" ca="1" si="198"/>
        <v>530299.7786632214</v>
      </c>
      <c r="CK193" s="123">
        <f t="shared" ca="1" si="199"/>
        <v>530299.7786632214</v>
      </c>
      <c r="CL193" s="123">
        <f t="shared" ca="1" si="200"/>
        <v>0</v>
      </c>
      <c r="CM193" s="121"/>
      <c r="CN193" s="62">
        <f t="shared" ca="1" si="201"/>
        <v>256529.38378029858</v>
      </c>
      <c r="CO193" s="62" t="b">
        <f t="shared" si="202"/>
        <v>1</v>
      </c>
      <c r="CP193" s="126">
        <f t="shared" ca="1" si="203"/>
        <v>5.1944444444444278E-3</v>
      </c>
      <c r="CQ193" s="120"/>
      <c r="CR193" s="120"/>
      <c r="CS193" s="120"/>
      <c r="CT193" s="120"/>
      <c r="CU193" s="120"/>
      <c r="CV193" s="120"/>
      <c r="CW193" s="120"/>
      <c r="CX193" s="120"/>
      <c r="CY193" s="120"/>
      <c r="CZ193" s="120"/>
      <c r="DA193" s="120"/>
      <c r="DB193" s="120"/>
      <c r="DC193" s="120"/>
      <c r="DD193" s="120"/>
      <c r="DE193" s="116"/>
      <c r="DF193" s="116"/>
      <c r="DG193" s="116"/>
      <c r="DH193" s="116"/>
      <c r="DI193" s="116"/>
      <c r="DJ193" s="116"/>
      <c r="DK193" s="116"/>
      <c r="DL193" s="116"/>
      <c r="DM193" s="116"/>
      <c r="DN193" s="116"/>
    </row>
    <row r="194" spans="1:118" x14ac:dyDescent="0.2">
      <c r="A194" s="27">
        <v>188</v>
      </c>
      <c r="B194" s="29">
        <f t="shared" si="136"/>
        <v>44835</v>
      </c>
      <c r="C194" s="30">
        <f t="shared" si="137"/>
        <v>8.3333333333333329E-2</v>
      </c>
      <c r="D194" s="55"/>
      <c r="E194" s="62">
        <f t="shared" ca="1" si="155"/>
        <v>77829544.088965744</v>
      </c>
      <c r="F194" s="63">
        <f ca="1">IF(AssetIntType1="Fixed",AssetFxdRate1,IF(A194=1,OFFSET(Vectors!$D$6,A194,MATCH(AssetFltIndx1,lstInterestRates,0)),IF(MOD($A194,AssetRateReset1)=0,MAX(MIN(OFFSET(Vectors!$D$6,A194,MATCH(AssetFltIndx1,lstInterestRates,0)),(F193-AssetMarg1)+AssetPdCapFl1,AssetLifeCap1-AssetMarg1),(F193-AssetMarg1)-AssetPdCapFl1,AssetLifeFloor1-AssetMarg1),F193)))+AssetMarg1</f>
        <v>0.09</v>
      </c>
      <c r="G194" s="62">
        <f t="shared" ca="1" si="143"/>
        <v>804622.61694478267</v>
      </c>
      <c r="H194" s="62">
        <f t="shared" ca="1" si="156"/>
        <v>583721.58066724311</v>
      </c>
      <c r="I194" s="62">
        <f t="shared" ca="1" si="157"/>
        <v>220901.03627753956</v>
      </c>
      <c r="J194" s="62">
        <f t="shared" ca="1" si="138"/>
        <v>77608643.052688211</v>
      </c>
      <c r="K194" s="55"/>
      <c r="L194" s="62">
        <f t="shared" ca="1" si="158"/>
        <v>31711993.764726337</v>
      </c>
      <c r="M194" s="68">
        <f ca="1">IF(pdrLossTime1="",OFFSET(Vectors!$AE$6,A194+_Age1,MATCH(SDA_Loss,lstSDA,0)),OFFSET(Vectors!$X$6,A194+_Age1,MATCH(pdrLossTime1,lstDefaultCurve,0)))</f>
        <v>2.7777777777777779E-5</v>
      </c>
      <c r="N194" s="62">
        <f t="shared" ca="1" si="144"/>
        <v>2777.7777777777778</v>
      </c>
      <c r="O194" s="67">
        <f t="shared" ca="1" si="159"/>
        <v>0.77608643052688209</v>
      </c>
      <c r="P194" s="68">
        <f ca="1">OFFSET(Vectors!$L$6,A194+_Age1,MATCH(pdrPrepay1,lstPrepayCurve,0))*pdrPrepayStress1</f>
        <v>5.1430128318229462E-3</v>
      </c>
      <c r="Q194" s="62">
        <f t="shared" ca="1" si="160"/>
        <v>162632.28313636233</v>
      </c>
      <c r="R194" s="62">
        <f t="shared" ca="1" si="161"/>
        <v>89999.225269240414</v>
      </c>
      <c r="S194" s="69">
        <f t="shared" ca="1" si="162"/>
        <v>0.09</v>
      </c>
      <c r="T194" s="62">
        <f t="shared" ca="1" si="163"/>
        <v>237819.11990211421</v>
      </c>
      <c r="U194" s="62">
        <f t="shared" ca="1" si="145"/>
        <v>1111.1111111111111</v>
      </c>
      <c r="V194" s="62">
        <f t="shared" ca="1" si="139"/>
        <v>31456584.478542957</v>
      </c>
      <c r="W194" s="55"/>
      <c r="X194" s="62">
        <f t="shared" ca="1" si="164"/>
        <v>491561.73941882805</v>
      </c>
      <c r="Y194" s="55"/>
      <c r="Z194" s="118" t="b">
        <v>0</v>
      </c>
      <c r="AA194" s="120" t="b">
        <f t="shared" si="146"/>
        <v>0</v>
      </c>
      <c r="AB194" s="120" t="b">
        <f t="shared" si="147"/>
        <v>1</v>
      </c>
      <c r="AC194" s="120" t="b">
        <f t="shared" ca="1" si="148"/>
        <v>0</v>
      </c>
      <c r="AD194" s="121"/>
      <c r="AE194" s="129">
        <v>6019134.5441441834</v>
      </c>
      <c r="AF194" s="69">
        <f ca="1">IF(Swap_Active="No",0,OFFSET(Vectors!$D$6,Vectors!A194,MATCH(Swap_In,lstInterestRates,0)))</f>
        <v>6.9369000000000056E-2</v>
      </c>
      <c r="AG194" s="62">
        <f t="shared" ca="1" si="165"/>
        <v>34795.11201606151</v>
      </c>
      <c r="AH194" s="69">
        <f ca="1">IF(Swap_Active="No",0,OFFSET(Vectors!$D$6,Vectors!A194,MATCH(Swap_Out,lstInterestRates,0)))</f>
        <v>0.04</v>
      </c>
      <c r="AI194" s="62">
        <f t="shared" ca="1" si="166"/>
        <v>20063.781813813945</v>
      </c>
      <c r="AJ194" s="62">
        <f t="shared" ca="1" si="167"/>
        <v>14731.330202247565</v>
      </c>
      <c r="AK194" s="62">
        <f t="shared" ca="1" si="168"/>
        <v>506293.06962107559</v>
      </c>
      <c r="AL194" s="121"/>
      <c r="AM194" s="123">
        <f t="shared" ca="1" si="149"/>
        <v>52853.322941210557</v>
      </c>
      <c r="AN194" s="124">
        <f t="shared" ca="1" si="169"/>
        <v>52853.322941210557</v>
      </c>
      <c r="AO194" s="125">
        <f t="shared" ca="1" si="170"/>
        <v>0</v>
      </c>
      <c r="AP194" s="123">
        <f t="shared" ca="1" si="171"/>
        <v>453439.74667986506</v>
      </c>
      <c r="AQ194" s="121"/>
      <c r="AR194" s="126">
        <f ca="1">IF(LiabIntType1="Fixed",LiabFxdRate1,OFFSET(Vectors!$D$6,Vectors!A194,MATCH(LiabLoanIndex1,lstInterestRates,0))+LiabMarg1)</f>
        <v>7.9369000000000051E-2</v>
      </c>
      <c r="AS194" s="122">
        <f t="shared" ca="1" si="172"/>
        <v>0</v>
      </c>
      <c r="AT194" s="124">
        <f t="shared" ca="1" si="173"/>
        <v>0</v>
      </c>
      <c r="AU194" s="123">
        <f t="shared" ca="1" si="174"/>
        <v>0</v>
      </c>
      <c r="AV194" s="123">
        <f t="shared" ca="1" si="150"/>
        <v>0</v>
      </c>
      <c r="AW194" s="123">
        <f t="shared" ca="1" si="175"/>
        <v>0</v>
      </c>
      <c r="AX194" s="124">
        <f t="shared" ca="1" si="176"/>
        <v>453439.74667986506</v>
      </c>
      <c r="AY194" s="121"/>
      <c r="AZ194" s="122">
        <f t="shared" ca="1" si="151"/>
        <v>0</v>
      </c>
      <c r="BA194" s="124">
        <f t="shared" ca="1" si="177"/>
        <v>0</v>
      </c>
      <c r="BB194" s="123">
        <f t="shared" ca="1" si="178"/>
        <v>0</v>
      </c>
      <c r="BC194" s="123">
        <f t="shared" ca="1" si="152"/>
        <v>0</v>
      </c>
      <c r="BD194" s="123">
        <f t="shared" ca="1" si="179"/>
        <v>0</v>
      </c>
      <c r="BE194" s="124">
        <f t="shared" ca="1" si="180"/>
        <v>453439.74667986506</v>
      </c>
      <c r="BF194" s="121"/>
      <c r="BG194" s="123">
        <f t="shared" si="153"/>
        <v>1000000</v>
      </c>
      <c r="BH194" s="123">
        <f t="shared" ca="1" si="181"/>
        <v>1000000</v>
      </c>
      <c r="BI194" s="123">
        <f t="shared" ca="1" si="182"/>
        <v>0</v>
      </c>
      <c r="BJ194" s="123">
        <f t="shared" ca="1" si="183"/>
        <v>0</v>
      </c>
      <c r="BK194" s="123">
        <f t="shared" ca="1" si="140"/>
        <v>1000000</v>
      </c>
      <c r="BL194" s="123">
        <f t="shared" ca="1" si="184"/>
        <v>453439.74667986506</v>
      </c>
      <c r="BM194" s="121"/>
      <c r="BN194" s="126">
        <f ca="1">IF(LiabIntType2="Fixed",LiabFxdRate2,OFFSET(Vectors!$D$6,Vectors!A194,MATCH(LiabLoanIndex2,lstInterestRates,0))+LiabMarg2)</f>
        <v>0.04</v>
      </c>
      <c r="BO194" s="122">
        <f t="shared" ca="1" si="185"/>
        <v>31413.111859116409</v>
      </c>
      <c r="BP194" s="124">
        <f t="shared" ca="1" si="186"/>
        <v>31413.111859116409</v>
      </c>
      <c r="BQ194" s="123">
        <f t="shared" ca="1" si="187"/>
        <v>0</v>
      </c>
      <c r="BR194" s="123">
        <f t="shared" ca="1" si="188"/>
        <v>422026.63482074864</v>
      </c>
      <c r="BS194" s="121"/>
      <c r="BT194" s="123">
        <f t="shared" ca="1" si="154"/>
        <v>26186.888643046062</v>
      </c>
      <c r="BU194" s="123">
        <f t="shared" ca="1" si="189"/>
        <v>26186.888643046062</v>
      </c>
      <c r="BV194" s="123">
        <f t="shared" ca="1" si="190"/>
        <v>0</v>
      </c>
      <c r="BW194" s="123">
        <f t="shared" ca="1" si="191"/>
        <v>395839.74617770256</v>
      </c>
      <c r="BX194" s="121"/>
      <c r="BY194" s="123">
        <f t="shared" si="192"/>
        <v>0</v>
      </c>
      <c r="BZ194" s="123">
        <f t="shared" ca="1" si="193"/>
        <v>395839.74617770256</v>
      </c>
      <c r="CA194" s="121"/>
      <c r="CB194" s="122">
        <f t="shared" ca="1" si="141"/>
        <v>0</v>
      </c>
      <c r="CC194" s="122">
        <f t="shared" ca="1" si="194"/>
        <v>0</v>
      </c>
      <c r="CD194" s="124">
        <f t="shared" ca="1" si="195"/>
        <v>0</v>
      </c>
      <c r="CE194" s="121"/>
      <c r="CF194" s="122">
        <f t="shared" ca="1" si="142"/>
        <v>9397746.6690918766</v>
      </c>
      <c r="CG194" s="124">
        <f t="shared" ca="1" si="196"/>
        <v>31413.111859116409</v>
      </c>
      <c r="CH194" s="123">
        <f t="shared" ca="1" si="197"/>
        <v>26186.888643046062</v>
      </c>
      <c r="CI194" s="121"/>
      <c r="CJ194" s="123">
        <f t="shared" ca="1" si="198"/>
        <v>526356.8514348896</v>
      </c>
      <c r="CK194" s="123">
        <f t="shared" ca="1" si="199"/>
        <v>526356.85143488948</v>
      </c>
      <c r="CL194" s="123">
        <f t="shared" ca="1" si="200"/>
        <v>0</v>
      </c>
      <c r="CM194" s="121"/>
      <c r="CN194" s="62">
        <f t="shared" ca="1" si="201"/>
        <v>255409.28618338052</v>
      </c>
      <c r="CO194" s="62" t="b">
        <f t="shared" si="202"/>
        <v>1</v>
      </c>
      <c r="CP194" s="126">
        <f t="shared" ca="1" si="203"/>
        <v>5.2222222222222054E-3</v>
      </c>
      <c r="CQ194" s="120"/>
      <c r="CR194" s="120"/>
      <c r="CS194" s="120"/>
      <c r="CT194" s="120"/>
      <c r="CU194" s="120"/>
      <c r="CV194" s="120"/>
      <c r="CW194" s="120"/>
      <c r="CX194" s="120"/>
      <c r="CY194" s="120"/>
      <c r="CZ194" s="120"/>
      <c r="DA194" s="120"/>
      <c r="DB194" s="120"/>
      <c r="DC194" s="120"/>
      <c r="DD194" s="120"/>
      <c r="DE194" s="116"/>
      <c r="DF194" s="116"/>
      <c r="DG194" s="116"/>
      <c r="DH194" s="116"/>
      <c r="DI194" s="116"/>
      <c r="DJ194" s="116"/>
      <c r="DK194" s="116"/>
      <c r="DL194" s="116"/>
      <c r="DM194" s="116"/>
      <c r="DN194" s="116"/>
    </row>
    <row r="195" spans="1:118" x14ac:dyDescent="0.2">
      <c r="A195" s="27">
        <v>189</v>
      </c>
      <c r="B195" s="29">
        <f t="shared" si="136"/>
        <v>44866</v>
      </c>
      <c r="C195" s="30">
        <f t="shared" si="137"/>
        <v>8.3333333333333329E-2</v>
      </c>
      <c r="D195" s="55"/>
      <c r="E195" s="62">
        <f t="shared" ca="1" si="155"/>
        <v>77608643.052688211</v>
      </c>
      <c r="F195" s="63">
        <f ca="1">IF(AssetIntType1="Fixed",AssetFxdRate1,IF(A195=1,OFFSET(Vectors!$D$6,A195,MATCH(AssetFltIndx1,lstInterestRates,0)),IF(MOD($A195,AssetRateReset1)=0,MAX(MIN(OFFSET(Vectors!$D$6,A195,MATCH(AssetFltIndx1,lstInterestRates,0)),(F194-AssetMarg1)+AssetPdCapFl1,AssetLifeCap1-AssetMarg1),(F194-AssetMarg1)-AssetPdCapFl1,AssetLifeFloor1-AssetMarg1),F194)))+AssetMarg1</f>
        <v>0.09</v>
      </c>
      <c r="G195" s="62">
        <f t="shared" ca="1" si="143"/>
        <v>804622.61694478267</v>
      </c>
      <c r="H195" s="62">
        <f t="shared" ca="1" si="156"/>
        <v>582064.82289516157</v>
      </c>
      <c r="I195" s="62">
        <f t="shared" ca="1" si="157"/>
        <v>222557.79404962109</v>
      </c>
      <c r="J195" s="62">
        <f t="shared" ca="1" si="138"/>
        <v>77386085.258638591</v>
      </c>
      <c r="K195" s="55"/>
      <c r="L195" s="62">
        <f t="shared" ca="1" si="158"/>
        <v>31456584.478542957</v>
      </c>
      <c r="M195" s="68">
        <f ca="1">IF(pdrLossTime1="",OFFSET(Vectors!$AE$6,A195+_Age1,MATCH(SDA_Loss,lstSDA,0)),OFFSET(Vectors!$X$6,A195+_Age1,MATCH(pdrLossTime1,lstDefaultCurve,0)))</f>
        <v>2.7777777777777779E-5</v>
      </c>
      <c r="N195" s="62">
        <f t="shared" ca="1" si="144"/>
        <v>2777.7777777777778</v>
      </c>
      <c r="O195" s="67">
        <f t="shared" ca="1" si="159"/>
        <v>0.77386085258638593</v>
      </c>
      <c r="P195" s="68">
        <f ca="1">OFFSET(Vectors!$L$6,A195+_Age1,MATCH(pdrPrepay1,lstPrepayCurve,0))*pdrPrepayStress1</f>
        <v>5.1430128318229462E-3</v>
      </c>
      <c r="Q195" s="62">
        <f t="shared" ca="1" si="160"/>
        <v>161317.67754016479</v>
      </c>
      <c r="R195" s="62">
        <f t="shared" ca="1" si="161"/>
        <v>90199.874117535641</v>
      </c>
      <c r="S195" s="69">
        <f t="shared" ca="1" si="162"/>
        <v>0.09</v>
      </c>
      <c r="T195" s="62">
        <f t="shared" ca="1" si="163"/>
        <v>235903.55025573884</v>
      </c>
      <c r="U195" s="62">
        <f t="shared" ca="1" si="145"/>
        <v>1111.1111111111111</v>
      </c>
      <c r="V195" s="62">
        <f t="shared" ca="1" si="139"/>
        <v>31202289.149107482</v>
      </c>
      <c r="W195" s="55"/>
      <c r="X195" s="62">
        <f t="shared" ca="1" si="164"/>
        <v>488532.21302455041</v>
      </c>
      <c r="Y195" s="55"/>
      <c r="Z195" s="118" t="b">
        <v>0</v>
      </c>
      <c r="AA195" s="120" t="b">
        <f t="shared" si="146"/>
        <v>0</v>
      </c>
      <c r="AB195" s="120" t="b">
        <f t="shared" si="147"/>
        <v>1</v>
      </c>
      <c r="AC195" s="120" t="b">
        <f t="shared" ca="1" si="148"/>
        <v>0</v>
      </c>
      <c r="AD195" s="121"/>
      <c r="AE195" s="129">
        <v>5865289.5147713237</v>
      </c>
      <c r="AF195" s="69">
        <f ca="1">IF(Swap_Active="No",0,OFFSET(Vectors!$D$6,Vectors!A195,MATCH(Swap_In,lstInterestRates,0)))</f>
        <v>6.9369000000000056E-2</v>
      </c>
      <c r="AG195" s="62">
        <f t="shared" ca="1" si="165"/>
        <v>33905.772362514355</v>
      </c>
      <c r="AH195" s="69">
        <f ca="1">IF(Swap_Active="No",0,OFFSET(Vectors!$D$6,Vectors!A195,MATCH(Swap_Out,lstInterestRates,0)))</f>
        <v>0.04</v>
      </c>
      <c r="AI195" s="62">
        <f t="shared" ca="1" si="166"/>
        <v>19550.965049237744</v>
      </c>
      <c r="AJ195" s="62">
        <f t="shared" ca="1" si="167"/>
        <v>14354.807313276611</v>
      </c>
      <c r="AK195" s="62">
        <f t="shared" ca="1" si="168"/>
        <v>502887.02033782704</v>
      </c>
      <c r="AL195" s="121"/>
      <c r="AM195" s="123">
        <f t="shared" ca="1" si="149"/>
        <v>52427.640797571592</v>
      </c>
      <c r="AN195" s="124">
        <f t="shared" ca="1" si="169"/>
        <v>52427.640797571592</v>
      </c>
      <c r="AO195" s="125">
        <f t="shared" ca="1" si="170"/>
        <v>0</v>
      </c>
      <c r="AP195" s="123">
        <f t="shared" ca="1" si="171"/>
        <v>450459.37954025547</v>
      </c>
      <c r="AQ195" s="121"/>
      <c r="AR195" s="126">
        <f ca="1">IF(LiabIntType1="Fixed",LiabFxdRate1,OFFSET(Vectors!$D$6,Vectors!A195,MATCH(LiabLoanIndex1,lstInterestRates,0))+LiabMarg1)</f>
        <v>7.9369000000000051E-2</v>
      </c>
      <c r="AS195" s="122">
        <f t="shared" ca="1" si="172"/>
        <v>0</v>
      </c>
      <c r="AT195" s="124">
        <f t="shared" ca="1" si="173"/>
        <v>0</v>
      </c>
      <c r="AU195" s="123">
        <f t="shared" ca="1" si="174"/>
        <v>0</v>
      </c>
      <c r="AV195" s="123">
        <f t="shared" ca="1" si="150"/>
        <v>0</v>
      </c>
      <c r="AW195" s="123">
        <f t="shared" ca="1" si="175"/>
        <v>0</v>
      </c>
      <c r="AX195" s="124">
        <f t="shared" ca="1" si="176"/>
        <v>450459.37954025547</v>
      </c>
      <c r="AY195" s="121"/>
      <c r="AZ195" s="122">
        <f t="shared" ca="1" si="151"/>
        <v>0</v>
      </c>
      <c r="BA195" s="124">
        <f t="shared" ca="1" si="177"/>
        <v>0</v>
      </c>
      <c r="BB195" s="123">
        <f t="shared" ca="1" si="178"/>
        <v>0</v>
      </c>
      <c r="BC195" s="123">
        <f t="shared" ca="1" si="152"/>
        <v>0</v>
      </c>
      <c r="BD195" s="123">
        <f t="shared" ca="1" si="179"/>
        <v>0</v>
      </c>
      <c r="BE195" s="124">
        <f t="shared" ca="1" si="180"/>
        <v>450459.37954025547</v>
      </c>
      <c r="BF195" s="121"/>
      <c r="BG195" s="123">
        <f t="shared" si="153"/>
        <v>1000000</v>
      </c>
      <c r="BH195" s="123">
        <f t="shared" ca="1" si="181"/>
        <v>1000000</v>
      </c>
      <c r="BI195" s="123">
        <f t="shared" ca="1" si="182"/>
        <v>0</v>
      </c>
      <c r="BJ195" s="123">
        <f t="shared" ca="1" si="183"/>
        <v>0</v>
      </c>
      <c r="BK195" s="123">
        <f t="shared" ca="1" si="140"/>
        <v>1000000</v>
      </c>
      <c r="BL195" s="123">
        <f t="shared" ca="1" si="184"/>
        <v>450459.37954025547</v>
      </c>
      <c r="BM195" s="121"/>
      <c r="BN195" s="126">
        <f ca="1">IF(LiabIntType2="Fixed",LiabFxdRate2,OFFSET(Vectors!$D$6,Vectors!A195,MATCH(LiabLoanIndex2,lstInterestRates,0))+LiabMarg2)</f>
        <v>0.04</v>
      </c>
      <c r="BO195" s="122">
        <f t="shared" ca="1" si="185"/>
        <v>31325.822230306254</v>
      </c>
      <c r="BP195" s="124">
        <f t="shared" ca="1" si="186"/>
        <v>31325.822230306254</v>
      </c>
      <c r="BQ195" s="123">
        <f t="shared" ca="1" si="187"/>
        <v>0</v>
      </c>
      <c r="BR195" s="123">
        <f t="shared" ca="1" si="188"/>
        <v>419133.55730994919</v>
      </c>
      <c r="BS195" s="121"/>
      <c r="BT195" s="123">
        <f t="shared" ca="1" si="154"/>
        <v>26072.675641058566</v>
      </c>
      <c r="BU195" s="123">
        <f t="shared" ca="1" si="189"/>
        <v>26072.675641058566</v>
      </c>
      <c r="BV195" s="123">
        <f t="shared" ca="1" si="190"/>
        <v>0</v>
      </c>
      <c r="BW195" s="123">
        <f t="shared" ca="1" si="191"/>
        <v>393060.88166889059</v>
      </c>
      <c r="BX195" s="121"/>
      <c r="BY195" s="123">
        <f t="shared" si="192"/>
        <v>0</v>
      </c>
      <c r="BZ195" s="123">
        <f t="shared" ca="1" si="193"/>
        <v>393060.88166889059</v>
      </c>
      <c r="CA195" s="121"/>
      <c r="CB195" s="122">
        <f t="shared" ca="1" si="141"/>
        <v>0</v>
      </c>
      <c r="CC195" s="122">
        <f t="shared" ca="1" si="194"/>
        <v>0</v>
      </c>
      <c r="CD195" s="124">
        <f t="shared" ca="1" si="195"/>
        <v>0</v>
      </c>
      <c r="CE195" s="121"/>
      <c r="CF195" s="122">
        <f t="shared" ca="1" si="142"/>
        <v>9371673.9934508186</v>
      </c>
      <c r="CG195" s="124">
        <f t="shared" ca="1" si="196"/>
        <v>31325.822230306254</v>
      </c>
      <c r="CH195" s="123">
        <f t="shared" ca="1" si="197"/>
        <v>26072.675641058566</v>
      </c>
      <c r="CI195" s="121"/>
      <c r="CJ195" s="123">
        <f t="shared" ca="1" si="198"/>
        <v>522437.98538706475</v>
      </c>
      <c r="CK195" s="123">
        <f t="shared" ca="1" si="199"/>
        <v>522437.98538706475</v>
      </c>
      <c r="CL195" s="123">
        <f t="shared" ca="1" si="200"/>
        <v>0</v>
      </c>
      <c r="CM195" s="121"/>
      <c r="CN195" s="62">
        <f t="shared" ca="1" si="201"/>
        <v>254295.3294354782</v>
      </c>
      <c r="CO195" s="62" t="b">
        <f t="shared" si="202"/>
        <v>1</v>
      </c>
      <c r="CP195" s="126">
        <f t="shared" ca="1" si="203"/>
        <v>5.249999999999983E-3</v>
      </c>
      <c r="CQ195" s="120"/>
      <c r="CR195" s="120"/>
      <c r="CS195" s="120"/>
      <c r="CT195" s="120"/>
      <c r="CU195" s="120"/>
      <c r="CV195" s="120"/>
      <c r="CW195" s="120"/>
      <c r="CX195" s="120"/>
      <c r="CY195" s="120"/>
      <c r="CZ195" s="120"/>
      <c r="DA195" s="120"/>
      <c r="DB195" s="120"/>
      <c r="DC195" s="120"/>
      <c r="DD195" s="120"/>
      <c r="DE195" s="116"/>
      <c r="DF195" s="116"/>
      <c r="DG195" s="116"/>
      <c r="DH195" s="116"/>
      <c r="DI195" s="116"/>
      <c r="DJ195" s="116"/>
      <c r="DK195" s="116"/>
      <c r="DL195" s="116"/>
      <c r="DM195" s="116"/>
      <c r="DN195" s="116"/>
    </row>
    <row r="196" spans="1:118" x14ac:dyDescent="0.2">
      <c r="A196" s="27">
        <v>190</v>
      </c>
      <c r="B196" s="29">
        <f t="shared" si="136"/>
        <v>44896</v>
      </c>
      <c r="C196" s="30">
        <f t="shared" si="137"/>
        <v>8.3333333333333329E-2</v>
      </c>
      <c r="D196" s="55"/>
      <c r="E196" s="62">
        <f t="shared" ca="1" si="155"/>
        <v>77386085.258638591</v>
      </c>
      <c r="F196" s="63">
        <f ca="1">IF(AssetIntType1="Fixed",AssetFxdRate1,IF(A196=1,OFFSET(Vectors!$D$6,A196,MATCH(AssetFltIndx1,lstInterestRates,0)),IF(MOD($A196,AssetRateReset1)=0,MAX(MIN(OFFSET(Vectors!$D$6,A196,MATCH(AssetFltIndx1,lstInterestRates,0)),(F195-AssetMarg1)+AssetPdCapFl1,AssetLifeCap1-AssetMarg1),(F195-AssetMarg1)-AssetPdCapFl1,AssetLifeFloor1-AssetMarg1),F195)))+AssetMarg1</f>
        <v>0.09</v>
      </c>
      <c r="G196" s="62">
        <f t="shared" ca="1" si="143"/>
        <v>804622.61694478267</v>
      </c>
      <c r="H196" s="62">
        <f t="shared" ca="1" si="156"/>
        <v>580395.63943978946</v>
      </c>
      <c r="I196" s="62">
        <f t="shared" ca="1" si="157"/>
        <v>224226.97750499321</v>
      </c>
      <c r="J196" s="62">
        <f t="shared" ca="1" si="138"/>
        <v>77161858.281133592</v>
      </c>
      <c r="K196" s="55"/>
      <c r="L196" s="62">
        <f t="shared" ca="1" si="158"/>
        <v>31202289.149107482</v>
      </c>
      <c r="M196" s="68">
        <f ca="1">IF(pdrLossTime1="",OFFSET(Vectors!$AE$6,A196+_Age1,MATCH(SDA_Loss,lstSDA,0)),OFFSET(Vectors!$X$6,A196+_Age1,MATCH(pdrLossTime1,lstDefaultCurve,0)))</f>
        <v>2.7777777777777779E-5</v>
      </c>
      <c r="N196" s="62">
        <f t="shared" ca="1" si="144"/>
        <v>2777.7777777777778</v>
      </c>
      <c r="O196" s="67">
        <f t="shared" ca="1" si="159"/>
        <v>0.77161858281133588</v>
      </c>
      <c r="P196" s="68">
        <f ca="1">OFFSET(Vectors!$L$6,A196+_Age1,MATCH(pdrPrepay1,lstPrepayCurve,0))*pdrPrepayStress1</f>
        <v>5.1430128318229462E-3</v>
      </c>
      <c r="Q196" s="62">
        <f t="shared" ca="1" si="160"/>
        <v>160008.79906791844</v>
      </c>
      <c r="R196" s="62">
        <f t="shared" ca="1" si="161"/>
        <v>90400.904904869079</v>
      </c>
      <c r="S196" s="69">
        <f t="shared" ca="1" si="162"/>
        <v>0.09</v>
      </c>
      <c r="T196" s="62">
        <f t="shared" ca="1" si="163"/>
        <v>233996.3352849728</v>
      </c>
      <c r="U196" s="62">
        <f t="shared" ca="1" si="145"/>
        <v>1111.1111111111111</v>
      </c>
      <c r="V196" s="62">
        <f t="shared" ca="1" si="139"/>
        <v>30949101.667356919</v>
      </c>
      <c r="W196" s="55"/>
      <c r="X196" s="62">
        <f t="shared" ca="1" si="164"/>
        <v>485517.15036887146</v>
      </c>
      <c r="Y196" s="55"/>
      <c r="Z196" s="118" t="b">
        <v>0</v>
      </c>
      <c r="AA196" s="120" t="b">
        <f t="shared" si="146"/>
        <v>0</v>
      </c>
      <c r="AB196" s="120" t="b">
        <f t="shared" si="147"/>
        <v>1</v>
      </c>
      <c r="AC196" s="120" t="b">
        <f t="shared" ca="1" si="148"/>
        <v>0</v>
      </c>
      <c r="AD196" s="121"/>
      <c r="AE196" s="129">
        <v>5713074.6182642328</v>
      </c>
      <c r="AF196" s="69">
        <f ca="1">IF(Swap_Active="No",0,OFFSET(Vectors!$D$6,Vectors!A196,MATCH(Swap_In,lstInterestRates,0)))</f>
        <v>6.9369000000000056E-2</v>
      </c>
      <c r="AG196" s="62">
        <f t="shared" ca="1" si="165"/>
        <v>33025.856099530989</v>
      </c>
      <c r="AH196" s="69">
        <f ca="1">IF(Swap_Active="No",0,OFFSET(Vectors!$D$6,Vectors!A196,MATCH(Swap_Out,lstInterestRates,0)))</f>
        <v>0.04</v>
      </c>
      <c r="AI196" s="62">
        <f t="shared" ca="1" si="166"/>
        <v>19043.582060880777</v>
      </c>
      <c r="AJ196" s="62">
        <f t="shared" ca="1" si="167"/>
        <v>13982.274038650212</v>
      </c>
      <c r="AK196" s="62">
        <f t="shared" ca="1" si="168"/>
        <v>499499.42440752167</v>
      </c>
      <c r="AL196" s="121"/>
      <c r="AM196" s="123">
        <f t="shared" ca="1" si="149"/>
        <v>52003.815248512466</v>
      </c>
      <c r="AN196" s="124">
        <f t="shared" ca="1" si="169"/>
        <v>52003.815248512466</v>
      </c>
      <c r="AO196" s="125">
        <f t="shared" ca="1" si="170"/>
        <v>0</v>
      </c>
      <c r="AP196" s="123">
        <f t="shared" ca="1" si="171"/>
        <v>447495.60915900918</v>
      </c>
      <c r="AQ196" s="121"/>
      <c r="AR196" s="126">
        <f ca="1">IF(LiabIntType1="Fixed",LiabFxdRate1,OFFSET(Vectors!$D$6,Vectors!A196,MATCH(LiabLoanIndex1,lstInterestRates,0))+LiabMarg1)</f>
        <v>7.9369000000000051E-2</v>
      </c>
      <c r="AS196" s="122">
        <f t="shared" ca="1" si="172"/>
        <v>0</v>
      </c>
      <c r="AT196" s="124">
        <f t="shared" ca="1" si="173"/>
        <v>0</v>
      </c>
      <c r="AU196" s="123">
        <f t="shared" ca="1" si="174"/>
        <v>0</v>
      </c>
      <c r="AV196" s="123">
        <f t="shared" ca="1" si="150"/>
        <v>0</v>
      </c>
      <c r="AW196" s="123">
        <f t="shared" ca="1" si="175"/>
        <v>0</v>
      </c>
      <c r="AX196" s="124">
        <f t="shared" ca="1" si="176"/>
        <v>447495.60915900918</v>
      </c>
      <c r="AY196" s="121"/>
      <c r="AZ196" s="122">
        <f t="shared" ca="1" si="151"/>
        <v>0</v>
      </c>
      <c r="BA196" s="124">
        <f t="shared" ca="1" si="177"/>
        <v>0</v>
      </c>
      <c r="BB196" s="123">
        <f t="shared" ca="1" si="178"/>
        <v>0</v>
      </c>
      <c r="BC196" s="123">
        <f t="shared" ca="1" si="152"/>
        <v>0</v>
      </c>
      <c r="BD196" s="123">
        <f t="shared" ca="1" si="179"/>
        <v>0</v>
      </c>
      <c r="BE196" s="124">
        <f t="shared" ca="1" si="180"/>
        <v>447495.60915900918</v>
      </c>
      <c r="BF196" s="121"/>
      <c r="BG196" s="123">
        <f t="shared" si="153"/>
        <v>1000000</v>
      </c>
      <c r="BH196" s="123">
        <f t="shared" ca="1" si="181"/>
        <v>1000000</v>
      </c>
      <c r="BI196" s="123">
        <f t="shared" ca="1" si="182"/>
        <v>0</v>
      </c>
      <c r="BJ196" s="123">
        <f t="shared" ca="1" si="183"/>
        <v>0</v>
      </c>
      <c r="BK196" s="123">
        <f t="shared" ca="1" si="140"/>
        <v>1000000</v>
      </c>
      <c r="BL196" s="123">
        <f t="shared" ca="1" si="184"/>
        <v>447495.60915900918</v>
      </c>
      <c r="BM196" s="121"/>
      <c r="BN196" s="126">
        <f ca="1">IF(LiabIntType2="Fixed",LiabFxdRate2,OFFSET(Vectors!$D$6,Vectors!A196,MATCH(LiabLoanIndex2,lstInterestRates,0))+LiabMarg2)</f>
        <v>0.04</v>
      </c>
      <c r="BO196" s="122">
        <f t="shared" ca="1" si="185"/>
        <v>31238.913311502725</v>
      </c>
      <c r="BP196" s="124">
        <f t="shared" ca="1" si="186"/>
        <v>31238.913311502725</v>
      </c>
      <c r="BQ196" s="123">
        <f t="shared" ca="1" si="187"/>
        <v>0</v>
      </c>
      <c r="BR196" s="123">
        <f t="shared" ca="1" si="188"/>
        <v>416256.69584750646</v>
      </c>
      <c r="BS196" s="121"/>
      <c r="BT196" s="123">
        <f t="shared" ca="1" si="154"/>
        <v>25959.088995906433</v>
      </c>
      <c r="BU196" s="123">
        <f t="shared" ca="1" si="189"/>
        <v>25959.088995906433</v>
      </c>
      <c r="BV196" s="123">
        <f t="shared" ca="1" si="190"/>
        <v>0</v>
      </c>
      <c r="BW196" s="123">
        <f t="shared" ca="1" si="191"/>
        <v>390297.60685160005</v>
      </c>
      <c r="BX196" s="121"/>
      <c r="BY196" s="123">
        <f t="shared" si="192"/>
        <v>0</v>
      </c>
      <c r="BZ196" s="123">
        <f t="shared" ca="1" si="193"/>
        <v>390297.60685160005</v>
      </c>
      <c r="CA196" s="121"/>
      <c r="CB196" s="122">
        <f t="shared" ca="1" si="141"/>
        <v>0</v>
      </c>
      <c r="CC196" s="122">
        <f t="shared" ca="1" si="194"/>
        <v>0</v>
      </c>
      <c r="CD196" s="124">
        <f t="shared" ca="1" si="195"/>
        <v>0</v>
      </c>
      <c r="CE196" s="121"/>
      <c r="CF196" s="122">
        <f t="shared" ca="1" si="142"/>
        <v>9345714.904454913</v>
      </c>
      <c r="CG196" s="124">
        <f t="shared" ca="1" si="196"/>
        <v>31238.913311502725</v>
      </c>
      <c r="CH196" s="123">
        <f t="shared" ca="1" si="197"/>
        <v>25959.088995906433</v>
      </c>
      <c r="CI196" s="121"/>
      <c r="CJ196" s="123">
        <f t="shared" ca="1" si="198"/>
        <v>518543.00646840245</v>
      </c>
      <c r="CK196" s="123">
        <f t="shared" ca="1" si="199"/>
        <v>518543.00646840245</v>
      </c>
      <c r="CL196" s="123">
        <f t="shared" ca="1" si="200"/>
        <v>0</v>
      </c>
      <c r="CM196" s="121"/>
      <c r="CN196" s="62">
        <f t="shared" ca="1" si="201"/>
        <v>253187.48175056529</v>
      </c>
      <c r="CO196" s="62" t="b">
        <f t="shared" si="202"/>
        <v>1</v>
      </c>
      <c r="CP196" s="126">
        <f t="shared" ca="1" si="203"/>
        <v>5.2777777777777606E-3</v>
      </c>
      <c r="CQ196" s="120"/>
      <c r="CR196" s="120"/>
      <c r="CS196" s="120"/>
      <c r="CT196" s="120"/>
      <c r="CU196" s="120"/>
      <c r="CV196" s="120"/>
      <c r="CW196" s="120"/>
      <c r="CX196" s="120"/>
      <c r="CY196" s="120"/>
      <c r="CZ196" s="120"/>
      <c r="DA196" s="120"/>
      <c r="DB196" s="120"/>
      <c r="DC196" s="120"/>
      <c r="DD196" s="120"/>
      <c r="DE196" s="116"/>
      <c r="DF196" s="116"/>
      <c r="DG196" s="116"/>
      <c r="DH196" s="116"/>
      <c r="DI196" s="116"/>
      <c r="DJ196" s="116"/>
      <c r="DK196" s="116"/>
      <c r="DL196" s="116"/>
      <c r="DM196" s="116"/>
      <c r="DN196" s="116"/>
    </row>
    <row r="197" spans="1:118" x14ac:dyDescent="0.2">
      <c r="A197" s="27">
        <v>191</v>
      </c>
      <c r="B197" s="29">
        <f t="shared" si="136"/>
        <v>44927</v>
      </c>
      <c r="C197" s="30">
        <f t="shared" si="137"/>
        <v>8.3333333333333329E-2</v>
      </c>
      <c r="D197" s="55"/>
      <c r="E197" s="62">
        <f t="shared" ca="1" si="155"/>
        <v>77161858.281133592</v>
      </c>
      <c r="F197" s="63">
        <f ca="1">IF(AssetIntType1="Fixed",AssetFxdRate1,IF(A197=1,OFFSET(Vectors!$D$6,A197,MATCH(AssetFltIndx1,lstInterestRates,0)),IF(MOD($A197,AssetRateReset1)=0,MAX(MIN(OFFSET(Vectors!$D$6,A197,MATCH(AssetFltIndx1,lstInterestRates,0)),(F196-AssetMarg1)+AssetPdCapFl1,AssetLifeCap1-AssetMarg1),(F196-AssetMarg1)-AssetPdCapFl1,AssetLifeFloor1-AssetMarg1),F196)))+AssetMarg1</f>
        <v>0.09</v>
      </c>
      <c r="G197" s="62">
        <f t="shared" ca="1" si="143"/>
        <v>804622.61694478267</v>
      </c>
      <c r="H197" s="62">
        <f t="shared" ca="1" si="156"/>
        <v>578713.93710850191</v>
      </c>
      <c r="I197" s="62">
        <f t="shared" ca="1" si="157"/>
        <v>225908.67983628076</v>
      </c>
      <c r="J197" s="62">
        <f t="shared" ca="1" si="138"/>
        <v>76935949.601297304</v>
      </c>
      <c r="K197" s="55"/>
      <c r="L197" s="62">
        <f t="shared" ca="1" si="158"/>
        <v>30949101.667356919</v>
      </c>
      <c r="M197" s="68">
        <f ca="1">IF(pdrLossTime1="",OFFSET(Vectors!$AE$6,A197+_Age1,MATCH(SDA_Loss,lstSDA,0)),OFFSET(Vectors!$X$6,A197+_Age1,MATCH(pdrLossTime1,lstDefaultCurve,0)))</f>
        <v>2.7777777777777779E-5</v>
      </c>
      <c r="N197" s="62">
        <f t="shared" ca="1" si="144"/>
        <v>2777.7777777777778</v>
      </c>
      <c r="O197" s="67">
        <f t="shared" ca="1" si="159"/>
        <v>0.76935949601297304</v>
      </c>
      <c r="P197" s="68">
        <f ca="1">OFFSET(Vectors!$L$6,A197+_Age1,MATCH(pdrPrepay1,lstPrepayCurve,0))*pdrPrepayStress1</f>
        <v>5.1430128318229462E-3</v>
      </c>
      <c r="Q197" s="62">
        <f t="shared" ca="1" si="160"/>
        <v>158705.61630168883</v>
      </c>
      <c r="R197" s="62">
        <f t="shared" ca="1" si="161"/>
        <v>90602.317406734859</v>
      </c>
      <c r="S197" s="69">
        <f t="shared" ca="1" si="162"/>
        <v>0.09</v>
      </c>
      <c r="T197" s="62">
        <f t="shared" ca="1" si="163"/>
        <v>232097.42917184357</v>
      </c>
      <c r="U197" s="62">
        <f t="shared" ca="1" si="145"/>
        <v>1111.1111111111111</v>
      </c>
      <c r="V197" s="62">
        <f t="shared" ca="1" si="139"/>
        <v>30697015.955870718</v>
      </c>
      <c r="W197" s="55"/>
      <c r="X197" s="62">
        <f t="shared" ca="1" si="164"/>
        <v>482516.47399137839</v>
      </c>
      <c r="Y197" s="55"/>
      <c r="Z197" s="118" t="b">
        <v>0</v>
      </c>
      <c r="AA197" s="120" t="b">
        <f t="shared" si="146"/>
        <v>0</v>
      </c>
      <c r="AB197" s="120" t="b">
        <f t="shared" si="147"/>
        <v>1</v>
      </c>
      <c r="AC197" s="120" t="b">
        <f t="shared" ca="1" si="148"/>
        <v>0</v>
      </c>
      <c r="AD197" s="121"/>
      <c r="AE197" s="129">
        <v>5562473.3793301154</v>
      </c>
      <c r="AF197" s="69">
        <f ca="1">IF(Swap_Active="No",0,OFFSET(Vectors!$D$6,Vectors!A197,MATCH(Swap_In,lstInterestRates,0)))</f>
        <v>6.9369000000000056E-2</v>
      </c>
      <c r="AG197" s="62">
        <f t="shared" ca="1" si="165"/>
        <v>32155.267987562591</v>
      </c>
      <c r="AH197" s="69">
        <f ca="1">IF(Swap_Active="No",0,OFFSET(Vectors!$D$6,Vectors!A197,MATCH(Swap_Out,lstInterestRates,0)))</f>
        <v>0.04</v>
      </c>
      <c r="AI197" s="62">
        <f t="shared" ca="1" si="166"/>
        <v>18541.577931100386</v>
      </c>
      <c r="AJ197" s="62">
        <f t="shared" ca="1" si="167"/>
        <v>13613.690056462205</v>
      </c>
      <c r="AK197" s="62">
        <f t="shared" ca="1" si="168"/>
        <v>496130.16404784058</v>
      </c>
      <c r="AL197" s="121"/>
      <c r="AM197" s="123">
        <f t="shared" ca="1" si="149"/>
        <v>51581.836112261532</v>
      </c>
      <c r="AN197" s="124">
        <f t="shared" ca="1" si="169"/>
        <v>51581.836112261532</v>
      </c>
      <c r="AO197" s="125">
        <f t="shared" ca="1" si="170"/>
        <v>0</v>
      </c>
      <c r="AP197" s="123">
        <f t="shared" ca="1" si="171"/>
        <v>444548.32793557906</v>
      </c>
      <c r="AQ197" s="121"/>
      <c r="AR197" s="126">
        <f ca="1">IF(LiabIntType1="Fixed",LiabFxdRate1,OFFSET(Vectors!$D$6,Vectors!A197,MATCH(LiabLoanIndex1,lstInterestRates,0))+LiabMarg1)</f>
        <v>7.9369000000000051E-2</v>
      </c>
      <c r="AS197" s="122">
        <f t="shared" ca="1" si="172"/>
        <v>0</v>
      </c>
      <c r="AT197" s="124">
        <f t="shared" ca="1" si="173"/>
        <v>0</v>
      </c>
      <c r="AU197" s="123">
        <f t="shared" ca="1" si="174"/>
        <v>0</v>
      </c>
      <c r="AV197" s="123">
        <f t="shared" ca="1" si="150"/>
        <v>0</v>
      </c>
      <c r="AW197" s="123">
        <f t="shared" ca="1" si="175"/>
        <v>0</v>
      </c>
      <c r="AX197" s="124">
        <f t="shared" ca="1" si="176"/>
        <v>444548.32793557906</v>
      </c>
      <c r="AY197" s="121"/>
      <c r="AZ197" s="122">
        <f t="shared" ca="1" si="151"/>
        <v>0</v>
      </c>
      <c r="BA197" s="124">
        <f t="shared" ca="1" si="177"/>
        <v>0</v>
      </c>
      <c r="BB197" s="123">
        <f t="shared" ca="1" si="178"/>
        <v>0</v>
      </c>
      <c r="BC197" s="123">
        <f t="shared" ca="1" si="152"/>
        <v>0</v>
      </c>
      <c r="BD197" s="123">
        <f t="shared" ca="1" si="179"/>
        <v>0</v>
      </c>
      <c r="BE197" s="124">
        <f t="shared" ca="1" si="180"/>
        <v>444548.32793557906</v>
      </c>
      <c r="BF197" s="121"/>
      <c r="BG197" s="123">
        <f t="shared" si="153"/>
        <v>1000000</v>
      </c>
      <c r="BH197" s="123">
        <f t="shared" ca="1" si="181"/>
        <v>1000000</v>
      </c>
      <c r="BI197" s="123">
        <f t="shared" ca="1" si="182"/>
        <v>0</v>
      </c>
      <c r="BJ197" s="123">
        <f t="shared" ca="1" si="183"/>
        <v>0</v>
      </c>
      <c r="BK197" s="123">
        <f t="shared" ca="1" si="140"/>
        <v>1000000</v>
      </c>
      <c r="BL197" s="123">
        <f t="shared" ca="1" si="184"/>
        <v>444548.32793557906</v>
      </c>
      <c r="BM197" s="121"/>
      <c r="BN197" s="126">
        <f ca="1">IF(LiabIntType2="Fixed",LiabFxdRate2,OFFSET(Vectors!$D$6,Vectors!A197,MATCH(LiabLoanIndex2,lstInterestRates,0))+LiabMarg2)</f>
        <v>0.04</v>
      </c>
      <c r="BO197" s="122">
        <f t="shared" ca="1" si="185"/>
        <v>31152.383014849707</v>
      </c>
      <c r="BP197" s="124">
        <f t="shared" ca="1" si="186"/>
        <v>31152.383014849707</v>
      </c>
      <c r="BQ197" s="123">
        <f t="shared" ca="1" si="187"/>
        <v>0</v>
      </c>
      <c r="BR197" s="123">
        <f t="shared" ca="1" si="188"/>
        <v>413395.94492072938</v>
      </c>
      <c r="BS197" s="121"/>
      <c r="BT197" s="123">
        <f t="shared" ca="1" si="154"/>
        <v>25846.125463318196</v>
      </c>
      <c r="BU197" s="123">
        <f t="shared" ca="1" si="189"/>
        <v>25846.125463318196</v>
      </c>
      <c r="BV197" s="123">
        <f t="shared" ca="1" si="190"/>
        <v>0</v>
      </c>
      <c r="BW197" s="123">
        <f t="shared" ca="1" si="191"/>
        <v>387549.81945741118</v>
      </c>
      <c r="BX197" s="121"/>
      <c r="BY197" s="123">
        <f t="shared" si="192"/>
        <v>0</v>
      </c>
      <c r="BZ197" s="123">
        <f t="shared" ca="1" si="193"/>
        <v>387549.81945741118</v>
      </c>
      <c r="CA197" s="121"/>
      <c r="CB197" s="122">
        <f t="shared" ca="1" si="141"/>
        <v>0</v>
      </c>
      <c r="CC197" s="122">
        <f t="shared" ca="1" si="194"/>
        <v>0</v>
      </c>
      <c r="CD197" s="124">
        <f t="shared" ca="1" si="195"/>
        <v>0</v>
      </c>
      <c r="CE197" s="121"/>
      <c r="CF197" s="122">
        <f t="shared" ca="1" si="142"/>
        <v>9319868.7789915949</v>
      </c>
      <c r="CG197" s="124">
        <f t="shared" ca="1" si="196"/>
        <v>31152.383014849707</v>
      </c>
      <c r="CH197" s="123">
        <f t="shared" ca="1" si="197"/>
        <v>25846.125463318196</v>
      </c>
      <c r="CI197" s="121"/>
      <c r="CJ197" s="123">
        <f t="shared" ca="1" si="198"/>
        <v>514671.74197894096</v>
      </c>
      <c r="CK197" s="123">
        <f t="shared" ca="1" si="199"/>
        <v>514671.74197894102</v>
      </c>
      <c r="CL197" s="123">
        <f t="shared" ca="1" si="200"/>
        <v>0</v>
      </c>
      <c r="CM197" s="121"/>
      <c r="CN197" s="62">
        <f t="shared" ca="1" si="201"/>
        <v>252085.71148620147</v>
      </c>
      <c r="CO197" s="62" t="b">
        <f t="shared" si="202"/>
        <v>1</v>
      </c>
      <c r="CP197" s="126">
        <f t="shared" ca="1" si="203"/>
        <v>5.3055555555555382E-3</v>
      </c>
      <c r="CQ197" s="120"/>
      <c r="CR197" s="120"/>
      <c r="CS197" s="120"/>
      <c r="CT197" s="120"/>
      <c r="CU197" s="120"/>
      <c r="CV197" s="120"/>
      <c r="CW197" s="120"/>
      <c r="CX197" s="120"/>
      <c r="CY197" s="120"/>
      <c r="CZ197" s="120"/>
      <c r="DA197" s="120"/>
      <c r="DB197" s="120"/>
      <c r="DC197" s="120"/>
      <c r="DD197" s="120"/>
      <c r="DE197" s="116"/>
      <c r="DF197" s="116"/>
      <c r="DG197" s="116"/>
      <c r="DH197" s="116"/>
      <c r="DI197" s="116"/>
      <c r="DJ197" s="116"/>
      <c r="DK197" s="116"/>
      <c r="DL197" s="116"/>
      <c r="DM197" s="116"/>
      <c r="DN197" s="116"/>
    </row>
    <row r="198" spans="1:118" x14ac:dyDescent="0.2">
      <c r="A198" s="27">
        <v>192</v>
      </c>
      <c r="B198" s="29">
        <f t="shared" ref="B198:B261" si="204">IF(A198=0,ClosingDate,IF(A198=1,FirstPayDate,EDATE(B197,PmtFreqAdd)))</f>
        <v>44958</v>
      </c>
      <c r="C198" s="30">
        <f t="shared" ref="C198:C261" si="205">IF(A198=0,0,IF(DayCountSys="30 / 360",DAYS360(B197,B198)/360,IF(DayCountSys="Actual / 360",(B198-B197)/360,(B198-B197)/365)))</f>
        <v>8.3333333333333329E-2</v>
      </c>
      <c r="D198" s="55"/>
      <c r="E198" s="62">
        <f t="shared" ca="1" si="155"/>
        <v>76935949.601297304</v>
      </c>
      <c r="F198" s="63">
        <f ca="1">IF(AssetIntType1="Fixed",AssetFxdRate1,IF(A198=1,OFFSET(Vectors!$D$6,A198,MATCH(AssetFltIndx1,lstInterestRates,0)),IF(MOD($A198,AssetRateReset1)=0,MAX(MIN(OFFSET(Vectors!$D$6,A198,MATCH(AssetFltIndx1,lstInterestRates,0)),(F197-AssetMarg1)+AssetPdCapFl1,AssetLifeCap1-AssetMarg1),(F197-AssetMarg1)-AssetPdCapFl1,AssetLifeFloor1-AssetMarg1),F197)))+AssetMarg1</f>
        <v>0.09</v>
      </c>
      <c r="G198" s="62">
        <f t="shared" ca="1" si="143"/>
        <v>804622.61694478267</v>
      </c>
      <c r="H198" s="62">
        <f t="shared" ca="1" si="156"/>
        <v>577019.62200972973</v>
      </c>
      <c r="I198" s="62">
        <f t="shared" ca="1" si="157"/>
        <v>227602.99493505294</v>
      </c>
      <c r="J198" s="62">
        <f t="shared" ref="J198:J261" ca="1" si="206">IF(A198=0,AssetCurBal1,E198-I198)</f>
        <v>76708346.606362253</v>
      </c>
      <c r="K198" s="55"/>
      <c r="L198" s="62">
        <f t="shared" ca="1" si="158"/>
        <v>30697015.955870718</v>
      </c>
      <c r="M198" s="68">
        <f ca="1">IF(pdrLossTime1="",OFFSET(Vectors!$AE$6,A198+_Age1,MATCH(SDA_Loss,lstSDA,0)),OFFSET(Vectors!$X$6,A198+_Age1,MATCH(pdrLossTime1,lstDefaultCurve,0)))</f>
        <v>2.7777777777777779E-5</v>
      </c>
      <c r="N198" s="62">
        <f t="shared" ca="1" si="144"/>
        <v>2777.7777777777778</v>
      </c>
      <c r="O198" s="67">
        <f t="shared" ca="1" si="159"/>
        <v>0.76708346606362254</v>
      </c>
      <c r="P198" s="68">
        <f ca="1">OFFSET(Vectors!$L$6,A198+_Age1,MATCH(pdrPrepay1,lstPrepayCurve,0))*pdrPrepayStress1</f>
        <v>5.1430128318229462E-3</v>
      </c>
      <c r="Q198" s="62">
        <f t="shared" ca="1" si="160"/>
        <v>157408.09798638179</v>
      </c>
      <c r="R198" s="62">
        <f t="shared" ca="1" si="161"/>
        <v>90804.111378199857</v>
      </c>
      <c r="S198" s="69">
        <f t="shared" ca="1" si="162"/>
        <v>0.09</v>
      </c>
      <c r="T198" s="62">
        <f t="shared" ca="1" si="163"/>
        <v>230206.78633569705</v>
      </c>
      <c r="U198" s="62">
        <f t="shared" ca="1" si="145"/>
        <v>1111.1111111111111</v>
      </c>
      <c r="V198" s="62">
        <f t="shared" ref="V198:V261" ca="1" si="207">IF(A198=0,AssetCurBal1,L198-N198-Q198-R198)</f>
        <v>30446025.96872836</v>
      </c>
      <c r="W198" s="55"/>
      <c r="X198" s="62">
        <f t="shared" ca="1" si="164"/>
        <v>479530.10681138979</v>
      </c>
      <c r="Y198" s="55"/>
      <c r="Z198" s="118" t="b">
        <v>0</v>
      </c>
      <c r="AA198" s="120" t="b">
        <f t="shared" si="146"/>
        <v>0</v>
      </c>
      <c r="AB198" s="120" t="b">
        <f t="shared" si="147"/>
        <v>1</v>
      </c>
      <c r="AC198" s="120" t="b">
        <f t="shared" ca="1" si="148"/>
        <v>0</v>
      </c>
      <c r="AD198" s="121"/>
      <c r="AE198" s="129">
        <v>5413469.4887053221</v>
      </c>
      <c r="AF198" s="69">
        <f ca="1">IF(Swap_Active="No",0,OFFSET(Vectors!$D$6,Vectors!A198,MATCH(Swap_In,lstInterestRates,0)))</f>
        <v>6.9369000000000056E-2</v>
      </c>
      <c r="AG198" s="62">
        <f t="shared" ca="1" si="165"/>
        <v>31293.913746833314</v>
      </c>
      <c r="AH198" s="69">
        <f ca="1">IF(Swap_Active="No",0,OFFSET(Vectors!$D$6,Vectors!A198,MATCH(Swap_Out,lstInterestRates,0)))</f>
        <v>0.04</v>
      </c>
      <c r="AI198" s="62">
        <f t="shared" ca="1" si="166"/>
        <v>18044.898295684405</v>
      </c>
      <c r="AJ198" s="62">
        <f t="shared" ca="1" si="167"/>
        <v>13249.015451148909</v>
      </c>
      <c r="AK198" s="62">
        <f t="shared" ca="1" si="168"/>
        <v>492779.1222625387</v>
      </c>
      <c r="AL198" s="121"/>
      <c r="AM198" s="123">
        <f t="shared" ca="1" si="149"/>
        <v>51161.69325978453</v>
      </c>
      <c r="AN198" s="124">
        <f t="shared" ca="1" si="169"/>
        <v>51161.69325978453</v>
      </c>
      <c r="AO198" s="125">
        <f t="shared" ca="1" si="170"/>
        <v>0</v>
      </c>
      <c r="AP198" s="123">
        <f t="shared" ca="1" si="171"/>
        <v>441617.42900275416</v>
      </c>
      <c r="AQ198" s="121"/>
      <c r="AR198" s="126">
        <f ca="1">IF(LiabIntType1="Fixed",LiabFxdRate1,OFFSET(Vectors!$D$6,Vectors!A198,MATCH(LiabLoanIndex1,lstInterestRates,0))+LiabMarg1)</f>
        <v>7.9369000000000051E-2</v>
      </c>
      <c r="AS198" s="122">
        <f t="shared" ca="1" si="172"/>
        <v>0</v>
      </c>
      <c r="AT198" s="124">
        <f t="shared" ca="1" si="173"/>
        <v>0</v>
      </c>
      <c r="AU198" s="123">
        <f t="shared" ca="1" si="174"/>
        <v>0</v>
      </c>
      <c r="AV198" s="123">
        <f t="shared" ca="1" si="150"/>
        <v>0</v>
      </c>
      <c r="AW198" s="123">
        <f t="shared" ca="1" si="175"/>
        <v>0</v>
      </c>
      <c r="AX198" s="124">
        <f t="shared" ca="1" si="176"/>
        <v>441617.42900275416</v>
      </c>
      <c r="AY198" s="121"/>
      <c r="AZ198" s="122">
        <f t="shared" ca="1" si="151"/>
        <v>0</v>
      </c>
      <c r="BA198" s="124">
        <f t="shared" ca="1" si="177"/>
        <v>0</v>
      </c>
      <c r="BB198" s="123">
        <f t="shared" ca="1" si="178"/>
        <v>0</v>
      </c>
      <c r="BC198" s="123">
        <f t="shared" ca="1" si="152"/>
        <v>0</v>
      </c>
      <c r="BD198" s="123">
        <f t="shared" ca="1" si="179"/>
        <v>0</v>
      </c>
      <c r="BE198" s="124">
        <f t="shared" ca="1" si="180"/>
        <v>441617.42900275416</v>
      </c>
      <c r="BF198" s="121"/>
      <c r="BG198" s="123">
        <f t="shared" si="153"/>
        <v>1000000</v>
      </c>
      <c r="BH198" s="123">
        <f t="shared" ca="1" si="181"/>
        <v>1000000</v>
      </c>
      <c r="BI198" s="123">
        <f t="shared" ca="1" si="182"/>
        <v>0</v>
      </c>
      <c r="BJ198" s="123">
        <f t="shared" ca="1" si="183"/>
        <v>0</v>
      </c>
      <c r="BK198" s="123">
        <f t="shared" ref="BK198:BK261" ca="1" si="208">IF(A198=0,AssetCurBal1*RsrvPercent,BH198-BI198+BJ198)</f>
        <v>1000000</v>
      </c>
      <c r="BL198" s="123">
        <f t="shared" ca="1" si="184"/>
        <v>441617.42900275416</v>
      </c>
      <c r="BM198" s="121"/>
      <c r="BN198" s="126">
        <f ca="1">IF(LiabIntType2="Fixed",LiabFxdRate2,OFFSET(Vectors!$D$6,Vectors!A198,MATCH(LiabLoanIndex2,lstInterestRates,0))+LiabMarg2)</f>
        <v>0.04</v>
      </c>
      <c r="BO198" s="122">
        <f t="shared" ca="1" si="185"/>
        <v>31066.229263305315</v>
      </c>
      <c r="BP198" s="124">
        <f t="shared" ca="1" si="186"/>
        <v>31066.229263305315</v>
      </c>
      <c r="BQ198" s="123">
        <f t="shared" ca="1" si="187"/>
        <v>0</v>
      </c>
      <c r="BR198" s="123">
        <f t="shared" ca="1" si="188"/>
        <v>410551.19973944884</v>
      </c>
      <c r="BS198" s="121"/>
      <c r="BT198" s="123">
        <f t="shared" ca="1" si="154"/>
        <v>25733.78181362386</v>
      </c>
      <c r="BU198" s="123">
        <f t="shared" ca="1" si="189"/>
        <v>25733.78181362386</v>
      </c>
      <c r="BV198" s="123">
        <f t="shared" ca="1" si="190"/>
        <v>0</v>
      </c>
      <c r="BW198" s="123">
        <f t="shared" ca="1" si="191"/>
        <v>384817.41792582499</v>
      </c>
      <c r="BX198" s="121"/>
      <c r="BY198" s="123">
        <f t="shared" si="192"/>
        <v>0</v>
      </c>
      <c r="BZ198" s="123">
        <f t="shared" ca="1" si="193"/>
        <v>384817.41792582499</v>
      </c>
      <c r="CA198" s="121"/>
      <c r="CB198" s="122">
        <f t="shared" ref="CB198:CB261" ca="1" si="209">IF(A198=0,V198*LiabAdvRate1,CB197-CD198)</f>
        <v>0</v>
      </c>
      <c r="CC198" s="122">
        <f t="shared" ca="1" si="194"/>
        <v>0</v>
      </c>
      <c r="CD198" s="124">
        <f t="shared" ca="1" si="195"/>
        <v>0</v>
      </c>
      <c r="CE198" s="121"/>
      <c r="CF198" s="122">
        <f t="shared" ref="CF198:CF261" ca="1" si="210">IF(A198=0,V198*LiabAdvRate2,CF197-CH198)</f>
        <v>9294134.9971779715</v>
      </c>
      <c r="CG198" s="124">
        <f t="shared" ca="1" si="196"/>
        <v>31066.229263305315</v>
      </c>
      <c r="CH198" s="123">
        <f t="shared" ca="1" si="197"/>
        <v>25733.78181362386</v>
      </c>
      <c r="CI198" s="121"/>
      <c r="CJ198" s="123">
        <f t="shared" ca="1" si="198"/>
        <v>510824.02055822313</v>
      </c>
      <c r="CK198" s="123">
        <f t="shared" ca="1" si="199"/>
        <v>510824.02055822313</v>
      </c>
      <c r="CL198" s="123">
        <f t="shared" ca="1" si="200"/>
        <v>0</v>
      </c>
      <c r="CM198" s="121"/>
      <c r="CN198" s="62">
        <f t="shared" ca="1" si="201"/>
        <v>250989.98714235943</v>
      </c>
      <c r="CO198" s="62" t="b">
        <f t="shared" si="202"/>
        <v>1</v>
      </c>
      <c r="CP198" s="126">
        <f t="shared" ca="1" si="203"/>
        <v>5.3333333333333158E-3</v>
      </c>
      <c r="CQ198" s="120"/>
      <c r="CR198" s="120"/>
      <c r="CS198" s="120"/>
      <c r="CT198" s="120"/>
      <c r="CU198" s="120"/>
      <c r="CV198" s="120"/>
      <c r="CW198" s="120"/>
      <c r="CX198" s="120"/>
      <c r="CY198" s="120"/>
      <c r="CZ198" s="120"/>
      <c r="DA198" s="120"/>
      <c r="DB198" s="120"/>
      <c r="DC198" s="120"/>
      <c r="DD198" s="120"/>
      <c r="DE198" s="116"/>
      <c r="DF198" s="116"/>
      <c r="DG198" s="116"/>
      <c r="DH198" s="116"/>
      <c r="DI198" s="116"/>
      <c r="DJ198" s="116"/>
      <c r="DK198" s="116"/>
      <c r="DL198" s="116"/>
      <c r="DM198" s="116"/>
      <c r="DN198" s="116"/>
    </row>
    <row r="199" spans="1:118" x14ac:dyDescent="0.2">
      <c r="A199" s="27">
        <v>193</v>
      </c>
      <c r="B199" s="29">
        <f t="shared" si="204"/>
        <v>44986</v>
      </c>
      <c r="C199" s="30">
        <f t="shared" si="205"/>
        <v>8.3333333333333329E-2</v>
      </c>
      <c r="D199" s="55"/>
      <c r="E199" s="62">
        <f t="shared" ca="1" si="155"/>
        <v>76708346.606362253</v>
      </c>
      <c r="F199" s="63">
        <f ca="1">IF(AssetIntType1="Fixed",AssetFxdRate1,IF(A199=1,OFFSET(Vectors!$D$6,A199,MATCH(AssetFltIndx1,lstInterestRates,0)),IF(MOD($A199,AssetRateReset1)=0,MAX(MIN(OFFSET(Vectors!$D$6,A199,MATCH(AssetFltIndx1,lstInterestRates,0)),(F198-AssetMarg1)+AssetPdCapFl1,AssetLifeCap1-AssetMarg1),(F198-AssetMarg1)-AssetPdCapFl1,AssetLifeFloor1-AssetMarg1),F198)))+AssetMarg1</f>
        <v>0.09</v>
      </c>
      <c r="G199" s="62">
        <f t="shared" ref="G199:G262" ca="1" si="211">IF(J198&lt;=G198,H199+E199,-PMT(F199*C199,OrgTerm1,AssetOrgBal1))</f>
        <v>804622.61694478267</v>
      </c>
      <c r="H199" s="62">
        <f t="shared" ca="1" si="156"/>
        <v>575312.59954771691</v>
      </c>
      <c r="I199" s="62">
        <f t="shared" ca="1" si="157"/>
        <v>229310.01739706576</v>
      </c>
      <c r="J199" s="62">
        <f t="shared" ca="1" si="206"/>
        <v>76479036.588965192</v>
      </c>
      <c r="K199" s="55"/>
      <c r="L199" s="62">
        <f t="shared" ca="1" si="158"/>
        <v>30446025.96872836</v>
      </c>
      <c r="M199" s="68">
        <f ca="1">IF(pdrLossTime1="",OFFSET(Vectors!$AE$6,A199+_Age1,MATCH(SDA_Loss,lstSDA,0)),OFFSET(Vectors!$X$6,A199+_Age1,MATCH(pdrLossTime1,lstDefaultCurve,0)))</f>
        <v>2.7777777777777779E-5</v>
      </c>
      <c r="N199" s="62">
        <f t="shared" ref="N199:N262" ca="1" si="212">MIN(L199,IF(pdrLossTime1="",L199*M199,$L$7*M199))</f>
        <v>2777.7777777777778</v>
      </c>
      <c r="O199" s="67">
        <f t="shared" ca="1" si="159"/>
        <v>0.76479036588965188</v>
      </c>
      <c r="P199" s="68">
        <f ca="1">OFFSET(Vectors!$L$6,A199+_Age1,MATCH(pdrPrepay1,lstPrepayCurve,0))*pdrPrepayStress1</f>
        <v>5.1430128318229462E-3</v>
      </c>
      <c r="Q199" s="62">
        <f t="shared" ca="1" si="160"/>
        <v>156116.21302901366</v>
      </c>
      <c r="R199" s="62">
        <f t="shared" ca="1" si="161"/>
        <v>91006.286553322425</v>
      </c>
      <c r="S199" s="69">
        <f t="shared" ca="1" si="162"/>
        <v>0.09</v>
      </c>
      <c r="T199" s="62">
        <f t="shared" ca="1" si="163"/>
        <v>228324.36143212937</v>
      </c>
      <c r="U199" s="62">
        <f t="shared" ref="U199:U262" ca="1" si="213">IF(A199&lt;=pdrRecovLag1,0,OFFSET(N199,-pdrRecovLag1,0)*pdrRecovRate1)</f>
        <v>1111.1111111111111</v>
      </c>
      <c r="V199" s="62">
        <f t="shared" ca="1" si="207"/>
        <v>30196125.691368248</v>
      </c>
      <c r="W199" s="55"/>
      <c r="X199" s="62">
        <f t="shared" ca="1" si="164"/>
        <v>476557.97212557658</v>
      </c>
      <c r="Y199" s="55"/>
      <c r="Z199" s="118" t="b">
        <v>0</v>
      </c>
      <c r="AA199" s="120" t="b">
        <f t="shared" ref="AA199:AA262" si="214">IF(GlobalTrigger="Yes",TRUE,FALSE)</f>
        <v>0</v>
      </c>
      <c r="AB199" s="120" t="b">
        <f t="shared" ref="AB199:AB262" si="215">IF(AND(A199&gt;=PostDefTriggerMo,PostDefTriggerMo&lt;&gt;0),TRUE,FALSE)</f>
        <v>1</v>
      </c>
      <c r="AC199" s="120" t="b">
        <f t="shared" ref="AC199:AC262" ca="1" si="216">IF(CP199&gt;Trigger_Def,TRUE,FALSE)</f>
        <v>0</v>
      </c>
      <c r="AD199" s="121"/>
      <c r="AE199" s="129">
        <v>5266046.8015066655</v>
      </c>
      <c r="AF199" s="69">
        <f ca="1">IF(Swap_Active="No",0,OFFSET(Vectors!$D$6,Vectors!A199,MATCH(Swap_In,lstInterestRates,0)))</f>
        <v>6.9369000000000056E-2</v>
      </c>
      <c r="AG199" s="62">
        <f t="shared" ca="1" si="165"/>
        <v>30441.700047809678</v>
      </c>
      <c r="AH199" s="69">
        <f ca="1">IF(Swap_Active="No",0,OFFSET(Vectors!$D$6,Vectors!A199,MATCH(Swap_Out,lstInterestRates,0)))</f>
        <v>0.04</v>
      </c>
      <c r="AI199" s="62">
        <f t="shared" ca="1" si="166"/>
        <v>17553.48933835555</v>
      </c>
      <c r="AJ199" s="62">
        <f t="shared" ca="1" si="167"/>
        <v>12888.210709454128</v>
      </c>
      <c r="AK199" s="62">
        <f t="shared" ca="1" si="168"/>
        <v>489446.18283503072</v>
      </c>
      <c r="AL199" s="121"/>
      <c r="AM199" s="123">
        <f t="shared" ref="AM199:AM262" ca="1" si="217">(C199*AssetFee*L199)+(C199*LiabFees1*CB198)+(C199*LiabFees2*CF198)</f>
        <v>50743.376614547262</v>
      </c>
      <c r="AN199" s="124">
        <f t="shared" ca="1" si="169"/>
        <v>50743.376614547262</v>
      </c>
      <c r="AO199" s="125">
        <f t="shared" ca="1" si="170"/>
        <v>0</v>
      </c>
      <c r="AP199" s="123">
        <f t="shared" ca="1" si="171"/>
        <v>438702.80622048344</v>
      </c>
      <c r="AQ199" s="121"/>
      <c r="AR199" s="126">
        <f ca="1">IF(LiabIntType1="Fixed",LiabFxdRate1,OFFSET(Vectors!$D$6,Vectors!A199,MATCH(LiabLoanIndex1,lstInterestRates,0))+LiabMarg1)</f>
        <v>7.9369000000000051E-2</v>
      </c>
      <c r="AS199" s="122">
        <f t="shared" ca="1" si="172"/>
        <v>0</v>
      </c>
      <c r="AT199" s="124">
        <f t="shared" ca="1" si="173"/>
        <v>0</v>
      </c>
      <c r="AU199" s="123">
        <f t="shared" ca="1" si="174"/>
        <v>0</v>
      </c>
      <c r="AV199" s="123">
        <f t="shared" ref="AV199:AV262" ca="1" si="218">IF(LiabReserveOnOff1="No",0,MIN(AU199,BH199))</f>
        <v>0</v>
      </c>
      <c r="AW199" s="123">
        <f t="shared" ca="1" si="175"/>
        <v>0</v>
      </c>
      <c r="AX199" s="124">
        <f t="shared" ca="1" si="176"/>
        <v>438702.80622048344</v>
      </c>
      <c r="AY199" s="121"/>
      <c r="AZ199" s="122">
        <f t="shared" ref="AZ199:AZ262" ca="1" si="219">IF(OR(Z199, AB199,AC199),MIN(AX199,AX199+BH199-AV199,CB198),IF(LiabPrinType1="Sequential",MIN((N199+Q199+R199),CB198),MIN((N199+Q199+R199)*LiabAdvRate1,CB198)))</f>
        <v>0</v>
      </c>
      <c r="BA199" s="124">
        <f t="shared" ca="1" si="177"/>
        <v>0</v>
      </c>
      <c r="BB199" s="123">
        <f t="shared" ca="1" si="178"/>
        <v>0</v>
      </c>
      <c r="BC199" s="123">
        <f t="shared" ref="BC199:BC262" ca="1" si="220">IF(LiabReserveOnOff1="No",0,MIN(BB199,BH199-AV199))</f>
        <v>0</v>
      </c>
      <c r="BD199" s="123">
        <f t="shared" ca="1" si="179"/>
        <v>0</v>
      </c>
      <c r="BE199" s="124">
        <f t="shared" ca="1" si="180"/>
        <v>438702.80622048344</v>
      </c>
      <c r="BF199" s="121"/>
      <c r="BG199" s="123">
        <f t="shared" ref="BG199:BG262" si="221">AssetCurBal1*RsrvPercent</f>
        <v>1000000</v>
      </c>
      <c r="BH199" s="123">
        <f t="shared" ca="1" si="181"/>
        <v>1000000</v>
      </c>
      <c r="BI199" s="123">
        <f t="shared" ca="1" si="182"/>
        <v>0</v>
      </c>
      <c r="BJ199" s="123">
        <f t="shared" ca="1" si="183"/>
        <v>0</v>
      </c>
      <c r="BK199" s="123">
        <f t="shared" ca="1" si="208"/>
        <v>1000000</v>
      </c>
      <c r="BL199" s="123">
        <f t="shared" ca="1" si="184"/>
        <v>438702.80622048344</v>
      </c>
      <c r="BM199" s="121"/>
      <c r="BN199" s="126">
        <f ca="1">IF(LiabIntType2="Fixed",LiabFxdRate2,OFFSET(Vectors!$D$6,Vectors!A199,MATCH(LiabLoanIndex2,lstInterestRates,0))+LiabMarg2)</f>
        <v>0.04</v>
      </c>
      <c r="BO199" s="122">
        <f t="shared" ca="1" si="185"/>
        <v>30980.449990593235</v>
      </c>
      <c r="BP199" s="124">
        <f t="shared" ca="1" si="186"/>
        <v>30980.449990593235</v>
      </c>
      <c r="BQ199" s="123">
        <f t="shared" ca="1" si="187"/>
        <v>0</v>
      </c>
      <c r="BR199" s="123">
        <f t="shared" ca="1" si="188"/>
        <v>407722.3562298902</v>
      </c>
      <c r="BS199" s="121"/>
      <c r="BT199" s="123">
        <f t="shared" ref="BT199:BT262" ca="1" si="222">IF(AND(LiabPrinType2="Sequential",CB198&gt;0),0,IF(LiabPrinType2="Sequential",MIN((N199+Q199+R199),CF198),MIN((N199+Q199+R199)*LiabAdvRate2,CF198)))</f>
        <v>25622.054831620495</v>
      </c>
      <c r="BU199" s="123">
        <f t="shared" ca="1" si="189"/>
        <v>25622.054831620495</v>
      </c>
      <c r="BV199" s="123">
        <f t="shared" ca="1" si="190"/>
        <v>0</v>
      </c>
      <c r="BW199" s="123">
        <f t="shared" ca="1" si="191"/>
        <v>382100.30139826972</v>
      </c>
      <c r="BX199" s="121"/>
      <c r="BY199" s="123">
        <f t="shared" si="192"/>
        <v>0</v>
      </c>
      <c r="BZ199" s="123">
        <f t="shared" ca="1" si="193"/>
        <v>382100.30139826972</v>
      </c>
      <c r="CA199" s="121"/>
      <c r="CB199" s="122">
        <f t="shared" ca="1" si="209"/>
        <v>0</v>
      </c>
      <c r="CC199" s="122">
        <f t="shared" ca="1" si="194"/>
        <v>0</v>
      </c>
      <c r="CD199" s="124">
        <f t="shared" ca="1" si="195"/>
        <v>0</v>
      </c>
      <c r="CE199" s="121"/>
      <c r="CF199" s="122">
        <f t="shared" ca="1" si="210"/>
        <v>9268512.9423463512</v>
      </c>
      <c r="CG199" s="124">
        <f t="shared" ca="1" si="196"/>
        <v>30980.449990593235</v>
      </c>
      <c r="CH199" s="123">
        <f t="shared" ca="1" si="197"/>
        <v>25622.054831620495</v>
      </c>
      <c r="CI199" s="121"/>
      <c r="CJ199" s="123">
        <f t="shared" ca="1" si="198"/>
        <v>506999.67217338627</v>
      </c>
      <c r="CK199" s="123">
        <f t="shared" ca="1" si="199"/>
        <v>506999.67217338627</v>
      </c>
      <c r="CL199" s="123">
        <f t="shared" ca="1" si="200"/>
        <v>0</v>
      </c>
      <c r="CM199" s="121"/>
      <c r="CN199" s="62">
        <f t="shared" ca="1" si="201"/>
        <v>249900.27736011386</v>
      </c>
      <c r="CO199" s="62" t="b">
        <f t="shared" si="202"/>
        <v>1</v>
      </c>
      <c r="CP199" s="126">
        <f t="shared" ca="1" si="203"/>
        <v>5.3611111111110934E-3</v>
      </c>
      <c r="CQ199" s="120"/>
      <c r="CR199" s="120"/>
      <c r="CS199" s="120"/>
      <c r="CT199" s="120"/>
      <c r="CU199" s="120"/>
      <c r="CV199" s="120"/>
      <c r="CW199" s="120"/>
      <c r="CX199" s="120"/>
      <c r="CY199" s="120"/>
      <c r="CZ199" s="120"/>
      <c r="DA199" s="120"/>
      <c r="DB199" s="120"/>
      <c r="DC199" s="120"/>
      <c r="DD199" s="120"/>
      <c r="DE199" s="116"/>
      <c r="DF199" s="116"/>
      <c r="DG199" s="116"/>
      <c r="DH199" s="116"/>
      <c r="DI199" s="116"/>
      <c r="DJ199" s="116"/>
      <c r="DK199" s="116"/>
      <c r="DL199" s="116"/>
      <c r="DM199" s="116"/>
      <c r="DN199" s="116"/>
    </row>
    <row r="200" spans="1:118" x14ac:dyDescent="0.2">
      <c r="A200" s="27">
        <v>194</v>
      </c>
      <c r="B200" s="29">
        <f t="shared" si="204"/>
        <v>45017</v>
      </c>
      <c r="C200" s="30">
        <f t="shared" si="205"/>
        <v>8.3333333333333329E-2</v>
      </c>
      <c r="D200" s="55"/>
      <c r="E200" s="62">
        <f t="shared" ref="E200:E263" ca="1" si="223">J199</f>
        <v>76479036.588965192</v>
      </c>
      <c r="F200" s="63">
        <f ca="1">IF(AssetIntType1="Fixed",AssetFxdRate1,IF(A200=1,OFFSET(Vectors!$D$6,A200,MATCH(AssetFltIndx1,lstInterestRates,0)),IF(MOD($A200,AssetRateReset1)=0,MAX(MIN(OFFSET(Vectors!$D$6,A200,MATCH(AssetFltIndx1,lstInterestRates,0)),(F199-AssetMarg1)+AssetPdCapFl1,AssetLifeCap1-AssetMarg1),(F199-AssetMarg1)-AssetPdCapFl1,AssetLifeFloor1-AssetMarg1),F199)))+AssetMarg1</f>
        <v>0.09</v>
      </c>
      <c r="G200" s="62">
        <f t="shared" ca="1" si="211"/>
        <v>804622.61694478267</v>
      </c>
      <c r="H200" s="62">
        <f t="shared" ref="H200:H263" ca="1" si="224">F200*C200*E200</f>
        <v>573592.77441723889</v>
      </c>
      <c r="I200" s="62">
        <f t="shared" ref="I200:I263" ca="1" si="225">G200-H200</f>
        <v>231029.84252754378</v>
      </c>
      <c r="J200" s="62">
        <f t="shared" ca="1" si="206"/>
        <v>76248006.746437654</v>
      </c>
      <c r="K200" s="55"/>
      <c r="L200" s="62">
        <f t="shared" ref="L200:L263" ca="1" si="226">V199</f>
        <v>30196125.691368248</v>
      </c>
      <c r="M200" s="68">
        <f ca="1">IF(pdrLossTime1="",OFFSET(Vectors!$AE$6,A200+_Age1,MATCH(SDA_Loss,lstSDA,0)),OFFSET(Vectors!$X$6,A200+_Age1,MATCH(pdrLossTime1,lstDefaultCurve,0)))</f>
        <v>2.7777777777777779E-5</v>
      </c>
      <c r="N200" s="62">
        <f t="shared" ca="1" si="212"/>
        <v>2777.7777777777778</v>
      </c>
      <c r="O200" s="67">
        <f t="shared" ref="O200:O263" ca="1" si="227">IF(A200=0,1,J200/$J$6)</f>
        <v>0.76248006746437658</v>
      </c>
      <c r="P200" s="68">
        <f ca="1">OFFSET(Vectors!$L$6,A200+_Age1,MATCH(pdrPrepay1,lstPrepayCurve,0))*pdrPrepayStress1</f>
        <v>5.1430128318229462E-3</v>
      </c>
      <c r="Q200" s="62">
        <f t="shared" ref="Q200:Q263" ca="1" si="228">IF(L200=0,0,MAX(MIN((L200-N200),L200*O200/O199*P200),0))</f>
        <v>154829.93049798851</v>
      </c>
      <c r="R200" s="62">
        <f t="shared" ref="R200:R263" ca="1" si="229">(L200-N200)*(1-O200/O199)</f>
        <v>91208.842644628865</v>
      </c>
      <c r="S200" s="69">
        <f t="shared" ref="S200:S263" ca="1" si="230">F200</f>
        <v>0.09</v>
      </c>
      <c r="T200" s="62">
        <f t="shared" ref="T200:T263" ca="1" si="231">S200*C200*(L200-N200)</f>
        <v>226450.10935192852</v>
      </c>
      <c r="U200" s="62">
        <f t="shared" ca="1" si="213"/>
        <v>1111.1111111111111</v>
      </c>
      <c r="V200" s="62">
        <f t="shared" ca="1" si="207"/>
        <v>29947309.140447855</v>
      </c>
      <c r="W200" s="55"/>
      <c r="X200" s="62">
        <f t="shared" ref="X200:X263" ca="1" si="232">Q200+R200+T200+U200</f>
        <v>473599.99360565701</v>
      </c>
      <c r="Y200" s="55"/>
      <c r="Z200" s="118" t="b">
        <v>0</v>
      </c>
      <c r="AA200" s="120" t="b">
        <f t="shared" si="214"/>
        <v>0</v>
      </c>
      <c r="AB200" s="120" t="b">
        <f t="shared" si="215"/>
        <v>1</v>
      </c>
      <c r="AC200" s="120" t="b">
        <f t="shared" ca="1" si="216"/>
        <v>0</v>
      </c>
      <c r="AD200" s="121"/>
      <c r="AE200" s="129">
        <v>5120189.3355995361</v>
      </c>
      <c r="AF200" s="69">
        <f ca="1">IF(Swap_Active="No",0,OFFSET(Vectors!$D$6,Vectors!A200,MATCH(Swap_In,lstInterestRates,0)))</f>
        <v>6.9369000000000056E-2</v>
      </c>
      <c r="AG200" s="62">
        <f t="shared" ref="AG200:AG263" ca="1" si="233">AE200*AF200*C200</f>
        <v>29598.534501767041</v>
      </c>
      <c r="AH200" s="69">
        <f ca="1">IF(Swap_Active="No",0,OFFSET(Vectors!$D$6,Vectors!A200,MATCH(Swap_Out,lstInterestRates,0)))</f>
        <v>0.04</v>
      </c>
      <c r="AI200" s="62">
        <f t="shared" ref="AI200:AI263" ca="1" si="234">AE200*AH200*C200</f>
        <v>17067.297785331786</v>
      </c>
      <c r="AJ200" s="62">
        <f t="shared" ref="AJ200:AJ263" ca="1" si="235">AG200-AI200</f>
        <v>12531.236716435254</v>
      </c>
      <c r="AK200" s="62">
        <f t="shared" ref="AK200:AK263" ca="1" si="236">X200+AJ200</f>
        <v>486131.23032209225</v>
      </c>
      <c r="AL200" s="121"/>
      <c r="AM200" s="123">
        <f t="shared" ca="1" si="217"/>
        <v>50326.876152280412</v>
      </c>
      <c r="AN200" s="124">
        <f t="shared" ref="AN200:AN263" ca="1" si="237">MIN(X200,AM200)</f>
        <v>50326.876152280412</v>
      </c>
      <c r="AO200" s="125">
        <f t="shared" ref="AO200:AO263" ca="1" si="238">AM200-AN200</f>
        <v>0</v>
      </c>
      <c r="AP200" s="123">
        <f t="shared" ref="AP200:AP263" ca="1" si="239">AK200-AN200</f>
        <v>435804.35416981182</v>
      </c>
      <c r="AQ200" s="121"/>
      <c r="AR200" s="126">
        <f ca="1">IF(LiabIntType1="Fixed",LiabFxdRate1,OFFSET(Vectors!$D$6,Vectors!A200,MATCH(LiabLoanIndex1,lstInterestRates,0))+LiabMarg1)</f>
        <v>7.9369000000000051E-2</v>
      </c>
      <c r="AS200" s="122">
        <f t="shared" ref="AS200:AS263" ca="1" si="240">C200*AR200*CB199</f>
        <v>0</v>
      </c>
      <c r="AT200" s="124">
        <f t="shared" ref="AT200:AT263" ca="1" si="241">MIN(AP200,AS200)</f>
        <v>0</v>
      </c>
      <c r="AU200" s="123">
        <f t="shared" ref="AU200:AU263" ca="1" si="242">AS200-AT200</f>
        <v>0</v>
      </c>
      <c r="AV200" s="123">
        <f t="shared" ca="1" si="218"/>
        <v>0</v>
      </c>
      <c r="AW200" s="123">
        <f t="shared" ref="AW200:AW263" ca="1" si="243">AU200-AV200</f>
        <v>0</v>
      </c>
      <c r="AX200" s="124">
        <f t="shared" ref="AX200:AX263" ca="1" si="244">AP200-AT200</f>
        <v>435804.35416981182</v>
      </c>
      <c r="AY200" s="121"/>
      <c r="AZ200" s="122">
        <f t="shared" ca="1" si="219"/>
        <v>0</v>
      </c>
      <c r="BA200" s="124">
        <f t="shared" ref="BA200:BA263" ca="1" si="245">MIN(AX200,AZ200)</f>
        <v>0</v>
      </c>
      <c r="BB200" s="123">
        <f t="shared" ref="BB200:BB263" ca="1" si="246">AZ200-BA200</f>
        <v>0</v>
      </c>
      <c r="BC200" s="123">
        <f t="shared" ca="1" si="220"/>
        <v>0</v>
      </c>
      <c r="BD200" s="123">
        <f t="shared" ref="BD200:BD263" ca="1" si="247">BB200-BC200</f>
        <v>0</v>
      </c>
      <c r="BE200" s="124">
        <f t="shared" ref="BE200:BE263" ca="1" si="248">AX200-BA200</f>
        <v>435804.35416981182</v>
      </c>
      <c r="BF200" s="121"/>
      <c r="BG200" s="123">
        <f t="shared" si="221"/>
        <v>1000000</v>
      </c>
      <c r="BH200" s="123">
        <f t="shared" ref="BH200:BH263" ca="1" si="249">BK199</f>
        <v>1000000</v>
      </c>
      <c r="BI200" s="123">
        <f t="shared" ref="BI200:BI263" ca="1" si="250">AV200+BC200</f>
        <v>0</v>
      </c>
      <c r="BJ200" s="123">
        <f t="shared" ref="BJ200:BJ263" ca="1" si="251">IF(CB199&lt;1,0,MAX(MIN(BG200-BH200,BE200),0))</f>
        <v>0</v>
      </c>
      <c r="BK200" s="123">
        <f t="shared" ca="1" si="208"/>
        <v>1000000</v>
      </c>
      <c r="BL200" s="123">
        <f t="shared" ref="BL200:BL263" ca="1" si="252">BE200-BJ200</f>
        <v>435804.35416981182</v>
      </c>
      <c r="BM200" s="121"/>
      <c r="BN200" s="126">
        <f ca="1">IF(LiabIntType2="Fixed",LiabFxdRate2,OFFSET(Vectors!$D$6,Vectors!A200,MATCH(LiabLoanIndex2,lstInterestRates,0))+LiabMarg2)</f>
        <v>0.04</v>
      </c>
      <c r="BO200" s="122">
        <f t="shared" ref="BO200:BO263" ca="1" si="253">C200*BN200*CF199</f>
        <v>30895.043141154503</v>
      </c>
      <c r="BP200" s="124">
        <f t="shared" ref="BP200:BP263" ca="1" si="254">MIN(BL200,BO200)</f>
        <v>30895.043141154503</v>
      </c>
      <c r="BQ200" s="123">
        <f t="shared" ref="BQ200:BQ263" ca="1" si="255">BO200-BP200</f>
        <v>0</v>
      </c>
      <c r="BR200" s="123">
        <f t="shared" ref="BR200:BR263" ca="1" si="256">BL200-BP200</f>
        <v>404909.31102865731</v>
      </c>
      <c r="BS200" s="121"/>
      <c r="BT200" s="123">
        <f t="shared" ca="1" si="222"/>
        <v>25510.941316444456</v>
      </c>
      <c r="BU200" s="123">
        <f t="shared" ref="BU200:BU263" ca="1" si="257">MIN(BR200,BT200)</f>
        <v>25510.941316444456</v>
      </c>
      <c r="BV200" s="123">
        <f t="shared" ref="BV200:BV263" ca="1" si="258">BT200-BU200</f>
        <v>0</v>
      </c>
      <c r="BW200" s="123">
        <f t="shared" ref="BW200:BW263" ca="1" si="259">BR200-BU200</f>
        <v>379398.36971221282</v>
      </c>
      <c r="BX200" s="121"/>
      <c r="BY200" s="123">
        <f t="shared" ref="BY200:BY263" si="260">IF(AA200,MIN(BW200,CB199-BA200),0)</f>
        <v>0</v>
      </c>
      <c r="BZ200" s="123">
        <f t="shared" ref="BZ200:BZ263" ca="1" si="261">BW200-BY200</f>
        <v>379398.36971221282</v>
      </c>
      <c r="CA200" s="121"/>
      <c r="CB200" s="122">
        <f t="shared" ca="1" si="209"/>
        <v>0</v>
      </c>
      <c r="CC200" s="122">
        <f t="shared" ref="CC200:CC263" ca="1" si="262">AT200+AV200</f>
        <v>0</v>
      </c>
      <c r="CD200" s="124">
        <f t="shared" ref="CD200:CD263" ca="1" si="263">BA200+BC200+BY200</f>
        <v>0</v>
      </c>
      <c r="CE200" s="121"/>
      <c r="CF200" s="122">
        <f t="shared" ca="1" si="210"/>
        <v>9243002.0010299068</v>
      </c>
      <c r="CG200" s="124">
        <f t="shared" ref="CG200:CG263" ca="1" si="264">BP200</f>
        <v>30895.043141154503</v>
      </c>
      <c r="CH200" s="123">
        <f t="shared" ref="CH200:CH263" ca="1" si="265">BU200</f>
        <v>25510.941316444456</v>
      </c>
      <c r="CI200" s="121"/>
      <c r="CJ200" s="123">
        <f t="shared" ref="CJ200:CJ263" ca="1" si="266">Q200+R200+T200+U200+AG200+BI200</f>
        <v>503198.52810742403</v>
      </c>
      <c r="CK200" s="123">
        <f t="shared" ref="CK200:CK263" ca="1" si="267">AI200+AN200+AT200+AV200+BA200+BC200+BJ200+BP200+BU200+BY200+BZ200</f>
        <v>503198.52810742398</v>
      </c>
      <c r="CL200" s="123">
        <f t="shared" ref="CL200:CL263" ca="1" si="268">CJ200-CK200</f>
        <v>0</v>
      </c>
      <c r="CM200" s="121"/>
      <c r="CN200" s="62">
        <f t="shared" ref="CN200:CN263" ca="1" si="269">N200+Q200+R200</f>
        <v>248816.55092039515</v>
      </c>
      <c r="CO200" s="62" t="b">
        <f t="shared" ref="CO200:CO263" si="270">OR(Z200:AB200)</f>
        <v>1</v>
      </c>
      <c r="CP200" s="126">
        <f t="shared" ref="CP200:CP263" ca="1" si="271">N200/$L$7+CP199</f>
        <v>5.388888888888871E-3</v>
      </c>
      <c r="CQ200" s="120"/>
      <c r="CR200" s="120"/>
      <c r="CS200" s="120"/>
      <c r="CT200" s="120"/>
      <c r="CU200" s="120"/>
      <c r="CV200" s="120"/>
      <c r="CW200" s="120"/>
      <c r="CX200" s="120"/>
      <c r="CY200" s="120"/>
      <c r="CZ200" s="120"/>
      <c r="DA200" s="120"/>
      <c r="DB200" s="120"/>
      <c r="DC200" s="120"/>
      <c r="DD200" s="120"/>
      <c r="DE200" s="116"/>
      <c r="DF200" s="116"/>
      <c r="DG200" s="116"/>
      <c r="DH200" s="116"/>
      <c r="DI200" s="116"/>
      <c r="DJ200" s="116"/>
      <c r="DK200" s="116"/>
      <c r="DL200" s="116"/>
      <c r="DM200" s="116"/>
      <c r="DN200" s="116"/>
    </row>
    <row r="201" spans="1:118" x14ac:dyDescent="0.2">
      <c r="A201" s="27">
        <v>195</v>
      </c>
      <c r="B201" s="29">
        <f t="shared" si="204"/>
        <v>45047</v>
      </c>
      <c r="C201" s="30">
        <f t="shared" si="205"/>
        <v>8.3333333333333329E-2</v>
      </c>
      <c r="D201" s="55"/>
      <c r="E201" s="62">
        <f t="shared" ca="1" si="223"/>
        <v>76248006.746437654</v>
      </c>
      <c r="F201" s="63">
        <f ca="1">IF(AssetIntType1="Fixed",AssetFxdRate1,IF(A201=1,OFFSET(Vectors!$D$6,A201,MATCH(AssetFltIndx1,lstInterestRates,0)),IF(MOD($A201,AssetRateReset1)=0,MAX(MIN(OFFSET(Vectors!$D$6,A201,MATCH(AssetFltIndx1,lstInterestRates,0)),(F200-AssetMarg1)+AssetPdCapFl1,AssetLifeCap1-AssetMarg1),(F200-AssetMarg1)-AssetPdCapFl1,AssetLifeFloor1-AssetMarg1),F200)))+AssetMarg1</f>
        <v>0.09</v>
      </c>
      <c r="G201" s="62">
        <f t="shared" ca="1" si="211"/>
        <v>804622.61694478267</v>
      </c>
      <c r="H201" s="62">
        <f t="shared" ca="1" si="224"/>
        <v>571860.05059828237</v>
      </c>
      <c r="I201" s="62">
        <f t="shared" ca="1" si="225"/>
        <v>232762.5663465003</v>
      </c>
      <c r="J201" s="62">
        <f t="shared" ca="1" si="206"/>
        <v>76015244.180091158</v>
      </c>
      <c r="K201" s="55"/>
      <c r="L201" s="62">
        <f t="shared" ca="1" si="226"/>
        <v>29947309.140447855</v>
      </c>
      <c r="M201" s="68">
        <f ca="1">IF(pdrLossTime1="",OFFSET(Vectors!$AE$6,A201+_Age1,MATCH(SDA_Loss,lstSDA,0)),OFFSET(Vectors!$X$6,A201+_Age1,MATCH(pdrLossTime1,lstDefaultCurve,0)))</f>
        <v>2.7777777777777779E-5</v>
      </c>
      <c r="N201" s="62">
        <f t="shared" ca="1" si="212"/>
        <v>2777.7777777777778</v>
      </c>
      <c r="O201" s="67">
        <f t="shared" ca="1" si="227"/>
        <v>0.76015244180091157</v>
      </c>
      <c r="P201" s="68">
        <f ca="1">OFFSET(Vectors!$L$6,A201+_Age1,MATCH(pdrPrepay1,lstPrepayCurve,0))*pdrPrepayStress1</f>
        <v>5.1430128318229462E-3</v>
      </c>
      <c r="Q201" s="62">
        <f t="shared" ca="1" si="228"/>
        <v>153549.21962238124</v>
      </c>
      <c r="R201" s="62">
        <f t="shared" ca="1" si="229"/>
        <v>91411.779342599868</v>
      </c>
      <c r="S201" s="69">
        <f t="shared" ca="1" si="230"/>
        <v>0.09</v>
      </c>
      <c r="T201" s="62">
        <f t="shared" ca="1" si="231"/>
        <v>224583.98522002558</v>
      </c>
      <c r="U201" s="62">
        <f t="shared" ca="1" si="213"/>
        <v>1111.1111111111111</v>
      </c>
      <c r="V201" s="62">
        <f t="shared" ca="1" si="207"/>
        <v>29699570.363705099</v>
      </c>
      <c r="W201" s="55"/>
      <c r="X201" s="62">
        <f t="shared" ca="1" si="232"/>
        <v>470656.09529611783</v>
      </c>
      <c r="Y201" s="55"/>
      <c r="Z201" s="118" t="b">
        <v>0</v>
      </c>
      <c r="AA201" s="120" t="b">
        <f t="shared" si="214"/>
        <v>0</v>
      </c>
      <c r="AB201" s="120" t="b">
        <f t="shared" si="215"/>
        <v>1</v>
      </c>
      <c r="AC201" s="120" t="b">
        <f t="shared" ca="1" si="216"/>
        <v>0</v>
      </c>
      <c r="AD201" s="121"/>
      <c r="AE201" s="129">
        <v>4975881.2699826676</v>
      </c>
      <c r="AF201" s="69">
        <f ca="1">IF(Swap_Active="No",0,OFFSET(Vectors!$D$6,Vectors!A201,MATCH(Swap_In,lstInterestRates,0)))</f>
        <v>6.9369000000000056E-2</v>
      </c>
      <c r="AG201" s="62">
        <f t="shared" ca="1" si="233"/>
        <v>28764.325651452327</v>
      </c>
      <c r="AH201" s="69">
        <f ca="1">IF(Swap_Active="No",0,OFFSET(Vectors!$D$6,Vectors!A201,MATCH(Swap_Out,lstInterestRates,0)))</f>
        <v>0.04</v>
      </c>
      <c r="AI201" s="62">
        <f t="shared" ca="1" si="234"/>
        <v>16586.270899942225</v>
      </c>
      <c r="AJ201" s="62">
        <f t="shared" ca="1" si="235"/>
        <v>12178.054751510103</v>
      </c>
      <c r="AK201" s="62">
        <f t="shared" ca="1" si="236"/>
        <v>482834.15004762792</v>
      </c>
      <c r="AL201" s="121"/>
      <c r="AM201" s="123">
        <f t="shared" ca="1" si="217"/>
        <v>49912.181900746422</v>
      </c>
      <c r="AN201" s="124">
        <f t="shared" ca="1" si="237"/>
        <v>49912.181900746422</v>
      </c>
      <c r="AO201" s="125">
        <f t="shared" ca="1" si="238"/>
        <v>0</v>
      </c>
      <c r="AP201" s="123">
        <f t="shared" ca="1" si="239"/>
        <v>432921.9681468815</v>
      </c>
      <c r="AQ201" s="121"/>
      <c r="AR201" s="126">
        <f ca="1">IF(LiabIntType1="Fixed",LiabFxdRate1,OFFSET(Vectors!$D$6,Vectors!A201,MATCH(LiabLoanIndex1,lstInterestRates,0))+LiabMarg1)</f>
        <v>7.9369000000000051E-2</v>
      </c>
      <c r="AS201" s="122">
        <f t="shared" ca="1" si="240"/>
        <v>0</v>
      </c>
      <c r="AT201" s="124">
        <f t="shared" ca="1" si="241"/>
        <v>0</v>
      </c>
      <c r="AU201" s="123">
        <f t="shared" ca="1" si="242"/>
        <v>0</v>
      </c>
      <c r="AV201" s="123">
        <f t="shared" ca="1" si="218"/>
        <v>0</v>
      </c>
      <c r="AW201" s="123">
        <f t="shared" ca="1" si="243"/>
        <v>0</v>
      </c>
      <c r="AX201" s="124">
        <f t="shared" ca="1" si="244"/>
        <v>432921.9681468815</v>
      </c>
      <c r="AY201" s="121"/>
      <c r="AZ201" s="122">
        <f t="shared" ca="1" si="219"/>
        <v>0</v>
      </c>
      <c r="BA201" s="124">
        <f t="shared" ca="1" si="245"/>
        <v>0</v>
      </c>
      <c r="BB201" s="123">
        <f t="shared" ca="1" si="246"/>
        <v>0</v>
      </c>
      <c r="BC201" s="123">
        <f t="shared" ca="1" si="220"/>
        <v>0</v>
      </c>
      <c r="BD201" s="123">
        <f t="shared" ca="1" si="247"/>
        <v>0</v>
      </c>
      <c r="BE201" s="124">
        <f t="shared" ca="1" si="248"/>
        <v>432921.9681468815</v>
      </c>
      <c r="BF201" s="121"/>
      <c r="BG201" s="123">
        <f t="shared" si="221"/>
        <v>1000000</v>
      </c>
      <c r="BH201" s="123">
        <f t="shared" ca="1" si="249"/>
        <v>1000000</v>
      </c>
      <c r="BI201" s="123">
        <f t="shared" ca="1" si="250"/>
        <v>0</v>
      </c>
      <c r="BJ201" s="123">
        <f t="shared" ca="1" si="251"/>
        <v>0</v>
      </c>
      <c r="BK201" s="123">
        <f t="shared" ca="1" si="208"/>
        <v>1000000</v>
      </c>
      <c r="BL201" s="123">
        <f t="shared" ca="1" si="252"/>
        <v>432921.9681468815</v>
      </c>
      <c r="BM201" s="121"/>
      <c r="BN201" s="126">
        <f ca="1">IF(LiabIntType2="Fixed",LiabFxdRate2,OFFSET(Vectors!$D$6,Vectors!A201,MATCH(LiabLoanIndex2,lstInterestRates,0))+LiabMarg2)</f>
        <v>0.04</v>
      </c>
      <c r="BO201" s="122">
        <f t="shared" ca="1" si="253"/>
        <v>30810.006670099687</v>
      </c>
      <c r="BP201" s="124">
        <f t="shared" ca="1" si="254"/>
        <v>30810.006670099687</v>
      </c>
      <c r="BQ201" s="123">
        <f t="shared" ca="1" si="255"/>
        <v>0</v>
      </c>
      <c r="BR201" s="123">
        <f t="shared" ca="1" si="256"/>
        <v>402111.96147678181</v>
      </c>
      <c r="BS201" s="121"/>
      <c r="BT201" s="123">
        <f t="shared" ca="1" si="222"/>
        <v>25400.438081445209</v>
      </c>
      <c r="BU201" s="123">
        <f t="shared" ca="1" si="257"/>
        <v>25400.438081445209</v>
      </c>
      <c r="BV201" s="123">
        <f t="shared" ca="1" si="258"/>
        <v>0</v>
      </c>
      <c r="BW201" s="123">
        <f t="shared" ca="1" si="259"/>
        <v>376711.52339533658</v>
      </c>
      <c r="BX201" s="121"/>
      <c r="BY201" s="123">
        <f t="shared" si="260"/>
        <v>0</v>
      </c>
      <c r="BZ201" s="123">
        <f t="shared" ca="1" si="261"/>
        <v>376711.52339533658</v>
      </c>
      <c r="CA201" s="121"/>
      <c r="CB201" s="122">
        <f t="shared" ca="1" si="209"/>
        <v>0</v>
      </c>
      <c r="CC201" s="122">
        <f t="shared" ca="1" si="262"/>
        <v>0</v>
      </c>
      <c r="CD201" s="124">
        <f t="shared" ca="1" si="263"/>
        <v>0</v>
      </c>
      <c r="CE201" s="121"/>
      <c r="CF201" s="122">
        <f t="shared" ca="1" si="210"/>
        <v>9217601.5629484616</v>
      </c>
      <c r="CG201" s="124">
        <f t="shared" ca="1" si="264"/>
        <v>30810.006670099687</v>
      </c>
      <c r="CH201" s="123">
        <f t="shared" ca="1" si="265"/>
        <v>25400.438081445209</v>
      </c>
      <c r="CI201" s="121"/>
      <c r="CJ201" s="123">
        <f t="shared" ca="1" si="266"/>
        <v>499420.42094757018</v>
      </c>
      <c r="CK201" s="123">
        <f t="shared" ca="1" si="267"/>
        <v>499420.42094757012</v>
      </c>
      <c r="CL201" s="123">
        <f t="shared" ca="1" si="268"/>
        <v>0</v>
      </c>
      <c r="CM201" s="121"/>
      <c r="CN201" s="62">
        <f t="shared" ca="1" si="269"/>
        <v>247738.77674275887</v>
      </c>
      <c r="CO201" s="62" t="b">
        <f t="shared" si="270"/>
        <v>1</v>
      </c>
      <c r="CP201" s="126">
        <f t="shared" ca="1" si="271"/>
        <v>5.4166666666666486E-3</v>
      </c>
      <c r="CQ201" s="120"/>
      <c r="CR201" s="120"/>
      <c r="CS201" s="120"/>
      <c r="CT201" s="120"/>
      <c r="CU201" s="120"/>
      <c r="CV201" s="120"/>
      <c r="CW201" s="120"/>
      <c r="CX201" s="120"/>
      <c r="CY201" s="120"/>
      <c r="CZ201" s="120"/>
      <c r="DA201" s="120"/>
      <c r="DB201" s="120"/>
      <c r="DC201" s="120"/>
      <c r="DD201" s="120"/>
      <c r="DE201" s="116"/>
      <c r="DF201" s="116"/>
      <c r="DG201" s="116"/>
      <c r="DH201" s="116"/>
      <c r="DI201" s="116"/>
      <c r="DJ201" s="116"/>
      <c r="DK201" s="116"/>
      <c r="DL201" s="116"/>
      <c r="DM201" s="116"/>
      <c r="DN201" s="116"/>
    </row>
    <row r="202" spans="1:118" x14ac:dyDescent="0.2">
      <c r="A202" s="27">
        <v>196</v>
      </c>
      <c r="B202" s="29">
        <f t="shared" si="204"/>
        <v>45078</v>
      </c>
      <c r="C202" s="30">
        <f t="shared" si="205"/>
        <v>8.3333333333333329E-2</v>
      </c>
      <c r="D202" s="55"/>
      <c r="E202" s="62">
        <f t="shared" ca="1" si="223"/>
        <v>76015244.180091158</v>
      </c>
      <c r="F202" s="63">
        <f ca="1">IF(AssetIntType1="Fixed",AssetFxdRate1,IF(A202=1,OFFSET(Vectors!$D$6,A202,MATCH(AssetFltIndx1,lstInterestRates,0)),IF(MOD($A202,AssetRateReset1)=0,MAX(MIN(OFFSET(Vectors!$D$6,A202,MATCH(AssetFltIndx1,lstInterestRates,0)),(F201-AssetMarg1)+AssetPdCapFl1,AssetLifeCap1-AssetMarg1),(F201-AssetMarg1)-AssetPdCapFl1,AssetLifeFloor1-AssetMarg1),F201)))+AssetMarg1</f>
        <v>0.09</v>
      </c>
      <c r="G202" s="62">
        <f t="shared" ca="1" si="211"/>
        <v>804622.61694478267</v>
      </c>
      <c r="H202" s="62">
        <f t="shared" ca="1" si="224"/>
        <v>570114.3313506837</v>
      </c>
      <c r="I202" s="62">
        <f t="shared" ca="1" si="225"/>
        <v>234508.28559409897</v>
      </c>
      <c r="J202" s="62">
        <f t="shared" ca="1" si="206"/>
        <v>75780735.894497052</v>
      </c>
      <c r="K202" s="55"/>
      <c r="L202" s="62">
        <f t="shared" ca="1" si="226"/>
        <v>29699570.363705099</v>
      </c>
      <c r="M202" s="68">
        <f ca="1">IF(pdrLossTime1="",OFFSET(Vectors!$AE$6,A202+_Age1,MATCH(SDA_Loss,lstSDA,0)),OFFSET(Vectors!$X$6,A202+_Age1,MATCH(pdrLossTime1,lstDefaultCurve,0)))</f>
        <v>2.7777777777777779E-5</v>
      </c>
      <c r="N202" s="62">
        <f t="shared" ca="1" si="212"/>
        <v>2777.7777777777778</v>
      </c>
      <c r="O202" s="67">
        <f t="shared" ca="1" si="227"/>
        <v>0.75780735894497053</v>
      </c>
      <c r="P202" s="68">
        <f ca="1">OFFSET(Vectors!$L$6,A202+_Age1,MATCH(pdrPrepay1,lstPrepayCurve,0))*pdrPrepayStress1</f>
        <v>5.1430128318229462E-3</v>
      </c>
      <c r="Q202" s="62">
        <f t="shared" ca="1" si="228"/>
        <v>152274.04979122788</v>
      </c>
      <c r="R202" s="62">
        <f t="shared" ca="1" si="229"/>
        <v>91615.096315028903</v>
      </c>
      <c r="S202" s="69">
        <f t="shared" ca="1" si="230"/>
        <v>0.09</v>
      </c>
      <c r="T202" s="62">
        <f t="shared" ca="1" si="231"/>
        <v>222725.94439445491</v>
      </c>
      <c r="U202" s="62">
        <f t="shared" ca="1" si="213"/>
        <v>1111.1111111111111</v>
      </c>
      <c r="V202" s="62">
        <f t="shared" ca="1" si="207"/>
        <v>29452903.439821064</v>
      </c>
      <c r="W202" s="55"/>
      <c r="X202" s="62">
        <f t="shared" ca="1" si="232"/>
        <v>467726.20161182282</v>
      </c>
      <c r="Y202" s="55"/>
      <c r="Z202" s="118" t="b">
        <v>0</v>
      </c>
      <c r="AA202" s="120" t="b">
        <f t="shared" si="214"/>
        <v>0</v>
      </c>
      <c r="AB202" s="120" t="b">
        <f t="shared" si="215"/>
        <v>1</v>
      </c>
      <c r="AC202" s="120" t="b">
        <f t="shared" ca="1" si="216"/>
        <v>0</v>
      </c>
      <c r="AD202" s="121"/>
      <c r="AE202" s="129">
        <v>4833106.9431894002</v>
      </c>
      <c r="AF202" s="69">
        <f ca="1">IF(Swap_Active="No",0,OFFSET(Vectors!$D$6,Vectors!A202,MATCH(Swap_In,lstInterestRates,0)))</f>
        <v>6.9369000000000056E-2</v>
      </c>
      <c r="AG202" s="62">
        <f t="shared" ca="1" si="233"/>
        <v>27938.98296184215</v>
      </c>
      <c r="AH202" s="69">
        <f ca="1">IF(Swap_Active="No",0,OFFSET(Vectors!$D$6,Vectors!A202,MATCH(Swap_Out,lstInterestRates,0)))</f>
        <v>0.04</v>
      </c>
      <c r="AI202" s="62">
        <f t="shared" ca="1" si="234"/>
        <v>16110.356477297999</v>
      </c>
      <c r="AJ202" s="62">
        <f t="shared" ca="1" si="235"/>
        <v>11828.626484544151</v>
      </c>
      <c r="AK202" s="62">
        <f t="shared" ca="1" si="236"/>
        <v>479554.82809636695</v>
      </c>
      <c r="AL202" s="121"/>
      <c r="AM202" s="123">
        <f t="shared" ca="1" si="217"/>
        <v>49499.283939508496</v>
      </c>
      <c r="AN202" s="124">
        <f t="shared" ca="1" si="237"/>
        <v>49499.283939508496</v>
      </c>
      <c r="AO202" s="125">
        <f t="shared" ca="1" si="238"/>
        <v>0</v>
      </c>
      <c r="AP202" s="123">
        <f t="shared" ca="1" si="239"/>
        <v>430055.54415685846</v>
      </c>
      <c r="AQ202" s="121"/>
      <c r="AR202" s="126">
        <f ca="1">IF(LiabIntType1="Fixed",LiabFxdRate1,OFFSET(Vectors!$D$6,Vectors!A202,MATCH(LiabLoanIndex1,lstInterestRates,0))+LiabMarg1)</f>
        <v>7.9369000000000051E-2</v>
      </c>
      <c r="AS202" s="122">
        <f t="shared" ca="1" si="240"/>
        <v>0</v>
      </c>
      <c r="AT202" s="124">
        <f t="shared" ca="1" si="241"/>
        <v>0</v>
      </c>
      <c r="AU202" s="123">
        <f t="shared" ca="1" si="242"/>
        <v>0</v>
      </c>
      <c r="AV202" s="123">
        <f t="shared" ca="1" si="218"/>
        <v>0</v>
      </c>
      <c r="AW202" s="123">
        <f t="shared" ca="1" si="243"/>
        <v>0</v>
      </c>
      <c r="AX202" s="124">
        <f t="shared" ca="1" si="244"/>
        <v>430055.54415685846</v>
      </c>
      <c r="AY202" s="121"/>
      <c r="AZ202" s="122">
        <f t="shared" ca="1" si="219"/>
        <v>0</v>
      </c>
      <c r="BA202" s="124">
        <f t="shared" ca="1" si="245"/>
        <v>0</v>
      </c>
      <c r="BB202" s="123">
        <f t="shared" ca="1" si="246"/>
        <v>0</v>
      </c>
      <c r="BC202" s="123">
        <f t="shared" ca="1" si="220"/>
        <v>0</v>
      </c>
      <c r="BD202" s="123">
        <f t="shared" ca="1" si="247"/>
        <v>0</v>
      </c>
      <c r="BE202" s="124">
        <f t="shared" ca="1" si="248"/>
        <v>430055.54415685846</v>
      </c>
      <c r="BF202" s="121"/>
      <c r="BG202" s="123">
        <f t="shared" si="221"/>
        <v>1000000</v>
      </c>
      <c r="BH202" s="123">
        <f t="shared" ca="1" si="249"/>
        <v>1000000</v>
      </c>
      <c r="BI202" s="123">
        <f t="shared" ca="1" si="250"/>
        <v>0</v>
      </c>
      <c r="BJ202" s="123">
        <f t="shared" ca="1" si="251"/>
        <v>0</v>
      </c>
      <c r="BK202" s="123">
        <f t="shared" ca="1" si="208"/>
        <v>1000000</v>
      </c>
      <c r="BL202" s="123">
        <f t="shared" ca="1" si="252"/>
        <v>430055.54415685846</v>
      </c>
      <c r="BM202" s="121"/>
      <c r="BN202" s="126">
        <f ca="1">IF(LiabIntType2="Fixed",LiabFxdRate2,OFFSET(Vectors!$D$6,Vectors!A202,MATCH(LiabLoanIndex2,lstInterestRates,0))+LiabMarg2)</f>
        <v>0.04</v>
      </c>
      <c r="BO202" s="122">
        <f t="shared" ca="1" si="253"/>
        <v>30725.338543161535</v>
      </c>
      <c r="BP202" s="124">
        <f t="shared" ca="1" si="254"/>
        <v>30725.338543161535</v>
      </c>
      <c r="BQ202" s="123">
        <f t="shared" ca="1" si="255"/>
        <v>0</v>
      </c>
      <c r="BR202" s="123">
        <f t="shared" ca="1" si="256"/>
        <v>399330.20561369695</v>
      </c>
      <c r="BS202" s="121"/>
      <c r="BT202" s="123">
        <f t="shared" ca="1" si="222"/>
        <v>25290.541954046806</v>
      </c>
      <c r="BU202" s="123">
        <f t="shared" ca="1" si="257"/>
        <v>25290.541954046806</v>
      </c>
      <c r="BV202" s="123">
        <f t="shared" ca="1" si="258"/>
        <v>0</v>
      </c>
      <c r="BW202" s="123">
        <f t="shared" ca="1" si="259"/>
        <v>374039.66365965013</v>
      </c>
      <c r="BX202" s="121"/>
      <c r="BY202" s="123">
        <f t="shared" si="260"/>
        <v>0</v>
      </c>
      <c r="BZ202" s="123">
        <f t="shared" ca="1" si="261"/>
        <v>374039.66365965013</v>
      </c>
      <c r="CA202" s="121"/>
      <c r="CB202" s="122">
        <f t="shared" ca="1" si="209"/>
        <v>0</v>
      </c>
      <c r="CC202" s="122">
        <f t="shared" ca="1" si="262"/>
        <v>0</v>
      </c>
      <c r="CD202" s="124">
        <f t="shared" ca="1" si="263"/>
        <v>0</v>
      </c>
      <c r="CE202" s="121"/>
      <c r="CF202" s="122">
        <f t="shared" ca="1" si="210"/>
        <v>9192311.0209944155</v>
      </c>
      <c r="CG202" s="124">
        <f t="shared" ca="1" si="264"/>
        <v>30725.338543161535</v>
      </c>
      <c r="CH202" s="123">
        <f t="shared" ca="1" si="265"/>
        <v>25290.541954046806</v>
      </c>
      <c r="CI202" s="121"/>
      <c r="CJ202" s="123">
        <f t="shared" ca="1" si="266"/>
        <v>495665.18457366497</v>
      </c>
      <c r="CK202" s="123">
        <f t="shared" ca="1" si="267"/>
        <v>495665.18457366497</v>
      </c>
      <c r="CL202" s="123">
        <f t="shared" ca="1" si="268"/>
        <v>0</v>
      </c>
      <c r="CM202" s="121"/>
      <c r="CN202" s="62">
        <f t="shared" ca="1" si="269"/>
        <v>246666.92388403456</v>
      </c>
      <c r="CO202" s="62" t="b">
        <f t="shared" si="270"/>
        <v>1</v>
      </c>
      <c r="CP202" s="126">
        <f t="shared" ca="1" si="271"/>
        <v>5.4444444444444262E-3</v>
      </c>
      <c r="CQ202" s="120"/>
      <c r="CR202" s="120"/>
      <c r="CS202" s="120"/>
      <c r="CT202" s="120"/>
      <c r="CU202" s="120"/>
      <c r="CV202" s="120"/>
      <c r="CW202" s="120"/>
      <c r="CX202" s="120"/>
      <c r="CY202" s="120"/>
      <c r="CZ202" s="120"/>
      <c r="DA202" s="120"/>
      <c r="DB202" s="120"/>
      <c r="DC202" s="120"/>
      <c r="DD202" s="120"/>
      <c r="DE202" s="116"/>
      <c r="DF202" s="116"/>
      <c r="DG202" s="116"/>
      <c r="DH202" s="116"/>
      <c r="DI202" s="116"/>
      <c r="DJ202" s="116"/>
      <c r="DK202" s="116"/>
      <c r="DL202" s="116"/>
      <c r="DM202" s="116"/>
      <c r="DN202" s="116"/>
    </row>
    <row r="203" spans="1:118" x14ac:dyDescent="0.2">
      <c r="A203" s="27">
        <v>197</v>
      </c>
      <c r="B203" s="29">
        <f t="shared" si="204"/>
        <v>45108</v>
      </c>
      <c r="C203" s="30">
        <f t="shared" si="205"/>
        <v>8.3333333333333329E-2</v>
      </c>
      <c r="D203" s="55"/>
      <c r="E203" s="62">
        <f t="shared" ca="1" si="223"/>
        <v>75780735.894497052</v>
      </c>
      <c r="F203" s="63">
        <f ca="1">IF(AssetIntType1="Fixed",AssetFxdRate1,IF(A203=1,OFFSET(Vectors!$D$6,A203,MATCH(AssetFltIndx1,lstInterestRates,0)),IF(MOD($A203,AssetRateReset1)=0,MAX(MIN(OFFSET(Vectors!$D$6,A203,MATCH(AssetFltIndx1,lstInterestRates,0)),(F202-AssetMarg1)+AssetPdCapFl1,AssetLifeCap1-AssetMarg1),(F202-AssetMarg1)-AssetPdCapFl1,AssetLifeFloor1-AssetMarg1),F202)))+AssetMarg1</f>
        <v>0.09</v>
      </c>
      <c r="G203" s="62">
        <f t="shared" ca="1" si="211"/>
        <v>804622.61694478267</v>
      </c>
      <c r="H203" s="62">
        <f t="shared" ca="1" si="224"/>
        <v>568355.51920872787</v>
      </c>
      <c r="I203" s="62">
        <f t="shared" ca="1" si="225"/>
        <v>236267.0977360548</v>
      </c>
      <c r="J203" s="62">
        <f t="shared" ca="1" si="206"/>
        <v>75544468.796760991</v>
      </c>
      <c r="K203" s="55"/>
      <c r="L203" s="62">
        <f t="shared" ca="1" si="226"/>
        <v>29452903.439821064</v>
      </c>
      <c r="M203" s="68">
        <f ca="1">IF(pdrLossTime1="",OFFSET(Vectors!$AE$6,A203+_Age1,MATCH(SDA_Loss,lstSDA,0)),OFFSET(Vectors!$X$6,A203+_Age1,MATCH(pdrLossTime1,lstDefaultCurve,0)))</f>
        <v>2.7777777777777779E-5</v>
      </c>
      <c r="N203" s="62">
        <f t="shared" ca="1" si="212"/>
        <v>2777.7777777777778</v>
      </c>
      <c r="O203" s="67">
        <f t="shared" ca="1" si="227"/>
        <v>0.75544468796760988</v>
      </c>
      <c r="P203" s="68">
        <f ca="1">OFFSET(Vectors!$L$6,A203+_Age1,MATCH(pdrPrepay1,lstPrepayCurve,0))*pdrPrepayStress1</f>
        <v>5.1430128318229462E-3</v>
      </c>
      <c r="Q203" s="62">
        <f t="shared" ca="1" si="228"/>
        <v>151004.39055282227</v>
      </c>
      <c r="R203" s="62">
        <f t="shared" ca="1" si="229"/>
        <v>91818.79320650197</v>
      </c>
      <c r="S203" s="69">
        <f t="shared" ca="1" si="230"/>
        <v>0.09</v>
      </c>
      <c r="T203" s="62">
        <f t="shared" ca="1" si="231"/>
        <v>220875.94246532465</v>
      </c>
      <c r="U203" s="62">
        <f t="shared" ca="1" si="213"/>
        <v>1111.1111111111111</v>
      </c>
      <c r="V203" s="62">
        <f t="shared" ca="1" si="207"/>
        <v>29207302.478283964</v>
      </c>
      <c r="W203" s="55"/>
      <c r="X203" s="62">
        <f t="shared" ca="1" si="232"/>
        <v>464810.23733576003</v>
      </c>
      <c r="Y203" s="55"/>
      <c r="Z203" s="118" t="b">
        <v>0</v>
      </c>
      <c r="AA203" s="120" t="b">
        <f t="shared" si="214"/>
        <v>0</v>
      </c>
      <c r="AB203" s="120" t="b">
        <f t="shared" si="215"/>
        <v>1</v>
      </c>
      <c r="AC203" s="120" t="b">
        <f t="shared" ca="1" si="216"/>
        <v>0</v>
      </c>
      <c r="AD203" s="121"/>
      <c r="AE203" s="129">
        <v>4691850.8517053006</v>
      </c>
      <c r="AF203" s="69">
        <f ca="1">IF(Swap_Active="No",0,OFFSET(Vectors!$D$6,Vectors!A203,MATCH(Swap_In,lstInterestRates,0)))</f>
        <v>6.9369000000000056E-2</v>
      </c>
      <c r="AG203" s="62">
        <f t="shared" ca="1" si="233"/>
        <v>27122.416810995437</v>
      </c>
      <c r="AH203" s="69">
        <f ca="1">IF(Swap_Active="No",0,OFFSET(Vectors!$D$6,Vectors!A203,MATCH(Swap_Out,lstInterestRates,0)))</f>
        <v>0.04</v>
      </c>
      <c r="AI203" s="62">
        <f t="shared" ca="1" si="234"/>
        <v>15639.502839017669</v>
      </c>
      <c r="AJ203" s="62">
        <f t="shared" ca="1" si="235"/>
        <v>11482.913971977769</v>
      </c>
      <c r="AK203" s="62">
        <f t="shared" ca="1" si="236"/>
        <v>476293.1513077378</v>
      </c>
      <c r="AL203" s="121"/>
      <c r="AM203" s="123">
        <f t="shared" ca="1" si="217"/>
        <v>49088.172399701769</v>
      </c>
      <c r="AN203" s="124">
        <f t="shared" ca="1" si="237"/>
        <v>49088.172399701769</v>
      </c>
      <c r="AO203" s="125">
        <f t="shared" ca="1" si="238"/>
        <v>0</v>
      </c>
      <c r="AP203" s="123">
        <f t="shared" ca="1" si="239"/>
        <v>427204.97890803602</v>
      </c>
      <c r="AQ203" s="121"/>
      <c r="AR203" s="126">
        <f ca="1">IF(LiabIntType1="Fixed",LiabFxdRate1,OFFSET(Vectors!$D$6,Vectors!A203,MATCH(LiabLoanIndex1,lstInterestRates,0))+LiabMarg1)</f>
        <v>7.9369000000000051E-2</v>
      </c>
      <c r="AS203" s="122">
        <f t="shared" ca="1" si="240"/>
        <v>0</v>
      </c>
      <c r="AT203" s="124">
        <f t="shared" ca="1" si="241"/>
        <v>0</v>
      </c>
      <c r="AU203" s="123">
        <f t="shared" ca="1" si="242"/>
        <v>0</v>
      </c>
      <c r="AV203" s="123">
        <f t="shared" ca="1" si="218"/>
        <v>0</v>
      </c>
      <c r="AW203" s="123">
        <f t="shared" ca="1" si="243"/>
        <v>0</v>
      </c>
      <c r="AX203" s="124">
        <f t="shared" ca="1" si="244"/>
        <v>427204.97890803602</v>
      </c>
      <c r="AY203" s="121"/>
      <c r="AZ203" s="122">
        <f t="shared" ca="1" si="219"/>
        <v>0</v>
      </c>
      <c r="BA203" s="124">
        <f t="shared" ca="1" si="245"/>
        <v>0</v>
      </c>
      <c r="BB203" s="123">
        <f t="shared" ca="1" si="246"/>
        <v>0</v>
      </c>
      <c r="BC203" s="123">
        <f t="shared" ca="1" si="220"/>
        <v>0</v>
      </c>
      <c r="BD203" s="123">
        <f t="shared" ca="1" si="247"/>
        <v>0</v>
      </c>
      <c r="BE203" s="124">
        <f t="shared" ca="1" si="248"/>
        <v>427204.97890803602</v>
      </c>
      <c r="BF203" s="121"/>
      <c r="BG203" s="123">
        <f t="shared" si="221"/>
        <v>1000000</v>
      </c>
      <c r="BH203" s="123">
        <f t="shared" ca="1" si="249"/>
        <v>1000000</v>
      </c>
      <c r="BI203" s="123">
        <f t="shared" ca="1" si="250"/>
        <v>0</v>
      </c>
      <c r="BJ203" s="123">
        <f t="shared" ca="1" si="251"/>
        <v>0</v>
      </c>
      <c r="BK203" s="123">
        <f t="shared" ca="1" si="208"/>
        <v>1000000</v>
      </c>
      <c r="BL203" s="123">
        <f t="shared" ca="1" si="252"/>
        <v>427204.97890803602</v>
      </c>
      <c r="BM203" s="121"/>
      <c r="BN203" s="126">
        <f ca="1">IF(LiabIntType2="Fixed",LiabFxdRate2,OFFSET(Vectors!$D$6,Vectors!A203,MATCH(LiabLoanIndex2,lstInterestRates,0))+LiabMarg2)</f>
        <v>0.04</v>
      </c>
      <c r="BO203" s="122">
        <f t="shared" ca="1" si="253"/>
        <v>30641.03673664805</v>
      </c>
      <c r="BP203" s="124">
        <f t="shared" ca="1" si="254"/>
        <v>30641.03673664805</v>
      </c>
      <c r="BQ203" s="123">
        <f t="shared" ca="1" si="255"/>
        <v>0</v>
      </c>
      <c r="BR203" s="123">
        <f t="shared" ca="1" si="256"/>
        <v>396563.94217138796</v>
      </c>
      <c r="BS203" s="121"/>
      <c r="BT203" s="123">
        <f t="shared" ca="1" si="222"/>
        <v>25181.249775622404</v>
      </c>
      <c r="BU203" s="123">
        <f t="shared" ca="1" si="257"/>
        <v>25181.249775622404</v>
      </c>
      <c r="BV203" s="123">
        <f t="shared" ca="1" si="258"/>
        <v>0</v>
      </c>
      <c r="BW203" s="123">
        <f t="shared" ca="1" si="259"/>
        <v>371382.69239576557</v>
      </c>
      <c r="BX203" s="121"/>
      <c r="BY203" s="123">
        <f t="shared" si="260"/>
        <v>0</v>
      </c>
      <c r="BZ203" s="123">
        <f t="shared" ca="1" si="261"/>
        <v>371382.69239576557</v>
      </c>
      <c r="CA203" s="121"/>
      <c r="CB203" s="122">
        <f t="shared" ca="1" si="209"/>
        <v>0</v>
      </c>
      <c r="CC203" s="122">
        <f t="shared" ca="1" si="262"/>
        <v>0</v>
      </c>
      <c r="CD203" s="124">
        <f t="shared" ca="1" si="263"/>
        <v>0</v>
      </c>
      <c r="CE203" s="121"/>
      <c r="CF203" s="122">
        <f t="shared" ca="1" si="210"/>
        <v>9167129.7712187935</v>
      </c>
      <c r="CG203" s="124">
        <f t="shared" ca="1" si="264"/>
        <v>30641.03673664805</v>
      </c>
      <c r="CH203" s="123">
        <f t="shared" ca="1" si="265"/>
        <v>25181.249775622404</v>
      </c>
      <c r="CI203" s="121"/>
      <c r="CJ203" s="123">
        <f t="shared" ca="1" si="266"/>
        <v>491932.65414675546</v>
      </c>
      <c r="CK203" s="123">
        <f t="shared" ca="1" si="267"/>
        <v>491932.65414675546</v>
      </c>
      <c r="CL203" s="123">
        <f t="shared" ca="1" si="268"/>
        <v>0</v>
      </c>
      <c r="CM203" s="121"/>
      <c r="CN203" s="62">
        <f t="shared" ca="1" si="269"/>
        <v>245600.961537102</v>
      </c>
      <c r="CO203" s="62" t="b">
        <f t="shared" si="270"/>
        <v>1</v>
      </c>
      <c r="CP203" s="126">
        <f t="shared" ca="1" si="271"/>
        <v>5.4722222222222039E-3</v>
      </c>
      <c r="CQ203" s="120"/>
      <c r="CR203" s="120"/>
      <c r="CS203" s="120"/>
      <c r="CT203" s="120"/>
      <c r="CU203" s="120"/>
      <c r="CV203" s="120"/>
      <c r="CW203" s="120"/>
      <c r="CX203" s="120"/>
      <c r="CY203" s="120"/>
      <c r="CZ203" s="120"/>
      <c r="DA203" s="120"/>
      <c r="DB203" s="120"/>
      <c r="DC203" s="120"/>
      <c r="DD203" s="120"/>
      <c r="DE203" s="116"/>
      <c r="DF203" s="116"/>
      <c r="DG203" s="116"/>
      <c r="DH203" s="116"/>
      <c r="DI203" s="116"/>
      <c r="DJ203" s="116"/>
      <c r="DK203" s="116"/>
      <c r="DL203" s="116"/>
      <c r="DM203" s="116"/>
      <c r="DN203" s="116"/>
    </row>
    <row r="204" spans="1:118" x14ac:dyDescent="0.2">
      <c r="A204" s="27">
        <v>198</v>
      </c>
      <c r="B204" s="29">
        <f t="shared" si="204"/>
        <v>45139</v>
      </c>
      <c r="C204" s="30">
        <f t="shared" si="205"/>
        <v>8.3333333333333329E-2</v>
      </c>
      <c r="D204" s="55"/>
      <c r="E204" s="62">
        <f t="shared" ca="1" si="223"/>
        <v>75544468.796760991</v>
      </c>
      <c r="F204" s="63">
        <f ca="1">IF(AssetIntType1="Fixed",AssetFxdRate1,IF(A204=1,OFFSET(Vectors!$D$6,A204,MATCH(AssetFltIndx1,lstInterestRates,0)),IF(MOD($A204,AssetRateReset1)=0,MAX(MIN(OFFSET(Vectors!$D$6,A204,MATCH(AssetFltIndx1,lstInterestRates,0)),(F203-AssetMarg1)+AssetPdCapFl1,AssetLifeCap1-AssetMarg1),(F203-AssetMarg1)-AssetPdCapFl1,AssetLifeFloor1-AssetMarg1),F203)))+AssetMarg1</f>
        <v>0.09</v>
      </c>
      <c r="G204" s="62">
        <f t="shared" ca="1" si="211"/>
        <v>804622.61694478267</v>
      </c>
      <c r="H204" s="62">
        <f t="shared" ca="1" si="224"/>
        <v>566583.51597570744</v>
      </c>
      <c r="I204" s="62">
        <f t="shared" ca="1" si="225"/>
        <v>238039.10096907523</v>
      </c>
      <c r="J204" s="62">
        <f t="shared" ca="1" si="206"/>
        <v>75306429.695791915</v>
      </c>
      <c r="K204" s="55"/>
      <c r="L204" s="62">
        <f t="shared" ca="1" si="226"/>
        <v>29207302.478283964</v>
      </c>
      <c r="M204" s="68">
        <f ca="1">IF(pdrLossTime1="",OFFSET(Vectors!$AE$6,A204+_Age1,MATCH(SDA_Loss,lstSDA,0)),OFFSET(Vectors!$X$6,A204+_Age1,MATCH(pdrLossTime1,lstDefaultCurve,0)))</f>
        <v>2.7777777777777779E-5</v>
      </c>
      <c r="N204" s="62">
        <f t="shared" ca="1" si="212"/>
        <v>2777.7777777777778</v>
      </c>
      <c r="O204" s="67">
        <f t="shared" ca="1" si="227"/>
        <v>0.7530642969579191</v>
      </c>
      <c r="P204" s="68">
        <f ca="1">OFFSET(Vectors!$L$6,A204+_Age1,MATCH(pdrPrepay1,lstPrepayCurve,0))*pdrPrepayStress1</f>
        <v>5.1430128318229462E-3</v>
      </c>
      <c r="Q204" s="62">
        <f t="shared" ca="1" si="228"/>
        <v>149740.21161401947</v>
      </c>
      <c r="R204" s="62">
        <f t="shared" ca="1" si="229"/>
        <v>92022.869637755779</v>
      </c>
      <c r="S204" s="69">
        <f t="shared" ca="1" si="230"/>
        <v>0.09</v>
      </c>
      <c r="T204" s="62">
        <f t="shared" ca="1" si="231"/>
        <v>219033.9352537964</v>
      </c>
      <c r="U204" s="62">
        <f t="shared" ca="1" si="213"/>
        <v>1111.1111111111111</v>
      </c>
      <c r="V204" s="62">
        <f t="shared" ca="1" si="207"/>
        <v>28962761.61925441</v>
      </c>
      <c r="W204" s="55"/>
      <c r="X204" s="62">
        <f t="shared" ca="1" si="232"/>
        <v>461908.12761668279</v>
      </c>
      <c r="Y204" s="55"/>
      <c r="Z204" s="118" t="b">
        <v>0</v>
      </c>
      <c r="AA204" s="120" t="b">
        <f t="shared" si="214"/>
        <v>0</v>
      </c>
      <c r="AB204" s="120" t="b">
        <f t="shared" si="215"/>
        <v>1</v>
      </c>
      <c r="AC204" s="120" t="b">
        <f t="shared" ca="1" si="216"/>
        <v>0</v>
      </c>
      <c r="AD204" s="121"/>
      <c r="AE204" s="129">
        <v>4552097.6484019468</v>
      </c>
      <c r="AF204" s="69">
        <f ca="1">IF(Swap_Active="No",0,OFFSET(Vectors!$D$6,Vectors!A204,MATCH(Swap_In,lstInterestRates,0)))</f>
        <v>6.9369000000000056E-2</v>
      </c>
      <c r="AG204" s="62">
        <f t="shared" ca="1" si="233"/>
        <v>26314.538480999574</v>
      </c>
      <c r="AH204" s="69">
        <f ca="1">IF(Swap_Active="No",0,OFFSET(Vectors!$D$6,Vectors!A204,MATCH(Swap_Out,lstInterestRates,0)))</f>
        <v>0.04</v>
      </c>
      <c r="AI204" s="62">
        <f t="shared" ca="1" si="234"/>
        <v>15173.65882800649</v>
      </c>
      <c r="AJ204" s="62">
        <f t="shared" ca="1" si="235"/>
        <v>11140.879652993084</v>
      </c>
      <c r="AK204" s="62">
        <f t="shared" ca="1" si="236"/>
        <v>473049.00726967584</v>
      </c>
      <c r="AL204" s="121"/>
      <c r="AM204" s="123">
        <f t="shared" ca="1" si="217"/>
        <v>48678.837463806602</v>
      </c>
      <c r="AN204" s="124">
        <f t="shared" ca="1" si="237"/>
        <v>48678.837463806602</v>
      </c>
      <c r="AO204" s="125">
        <f t="shared" ca="1" si="238"/>
        <v>0</v>
      </c>
      <c r="AP204" s="123">
        <f t="shared" ca="1" si="239"/>
        <v>424370.16980586923</v>
      </c>
      <c r="AQ204" s="121"/>
      <c r="AR204" s="126">
        <f ca="1">IF(LiabIntType1="Fixed",LiabFxdRate1,OFFSET(Vectors!$D$6,Vectors!A204,MATCH(LiabLoanIndex1,lstInterestRates,0))+LiabMarg1)</f>
        <v>7.9369000000000051E-2</v>
      </c>
      <c r="AS204" s="122">
        <f t="shared" ca="1" si="240"/>
        <v>0</v>
      </c>
      <c r="AT204" s="124">
        <f t="shared" ca="1" si="241"/>
        <v>0</v>
      </c>
      <c r="AU204" s="123">
        <f t="shared" ca="1" si="242"/>
        <v>0</v>
      </c>
      <c r="AV204" s="123">
        <f t="shared" ca="1" si="218"/>
        <v>0</v>
      </c>
      <c r="AW204" s="123">
        <f t="shared" ca="1" si="243"/>
        <v>0</v>
      </c>
      <c r="AX204" s="124">
        <f t="shared" ca="1" si="244"/>
        <v>424370.16980586923</v>
      </c>
      <c r="AY204" s="121"/>
      <c r="AZ204" s="122">
        <f t="shared" ca="1" si="219"/>
        <v>0</v>
      </c>
      <c r="BA204" s="124">
        <f t="shared" ca="1" si="245"/>
        <v>0</v>
      </c>
      <c r="BB204" s="123">
        <f t="shared" ca="1" si="246"/>
        <v>0</v>
      </c>
      <c r="BC204" s="123">
        <f t="shared" ca="1" si="220"/>
        <v>0</v>
      </c>
      <c r="BD204" s="123">
        <f t="shared" ca="1" si="247"/>
        <v>0</v>
      </c>
      <c r="BE204" s="124">
        <f t="shared" ca="1" si="248"/>
        <v>424370.16980586923</v>
      </c>
      <c r="BF204" s="121"/>
      <c r="BG204" s="123">
        <f t="shared" si="221"/>
        <v>1000000</v>
      </c>
      <c r="BH204" s="123">
        <f t="shared" ca="1" si="249"/>
        <v>1000000</v>
      </c>
      <c r="BI204" s="123">
        <f t="shared" ca="1" si="250"/>
        <v>0</v>
      </c>
      <c r="BJ204" s="123">
        <f t="shared" ca="1" si="251"/>
        <v>0</v>
      </c>
      <c r="BK204" s="123">
        <f t="shared" ca="1" si="208"/>
        <v>1000000</v>
      </c>
      <c r="BL204" s="123">
        <f t="shared" ca="1" si="252"/>
        <v>424370.16980586923</v>
      </c>
      <c r="BM204" s="121"/>
      <c r="BN204" s="126">
        <f ca="1">IF(LiabIntType2="Fixed",LiabFxdRate2,OFFSET(Vectors!$D$6,Vectors!A204,MATCH(LiabLoanIndex2,lstInterestRates,0))+LiabMarg2)</f>
        <v>0.04</v>
      </c>
      <c r="BO204" s="122">
        <f t="shared" ca="1" si="253"/>
        <v>30557.099237395978</v>
      </c>
      <c r="BP204" s="124">
        <f t="shared" ca="1" si="254"/>
        <v>30557.099237395978</v>
      </c>
      <c r="BQ204" s="123">
        <f t="shared" ca="1" si="255"/>
        <v>0</v>
      </c>
      <c r="BR204" s="123">
        <f t="shared" ca="1" si="256"/>
        <v>393813.07056847325</v>
      </c>
      <c r="BS204" s="121"/>
      <c r="BT204" s="123">
        <f t="shared" ca="1" si="222"/>
        <v>25072.558401357073</v>
      </c>
      <c r="BU204" s="123">
        <f t="shared" ca="1" si="257"/>
        <v>25072.558401357073</v>
      </c>
      <c r="BV204" s="123">
        <f t="shared" ca="1" si="258"/>
        <v>0</v>
      </c>
      <c r="BW204" s="123">
        <f t="shared" ca="1" si="259"/>
        <v>368740.51216711616</v>
      </c>
      <c r="BX204" s="121"/>
      <c r="BY204" s="123">
        <f t="shared" si="260"/>
        <v>0</v>
      </c>
      <c r="BZ204" s="123">
        <f t="shared" ca="1" si="261"/>
        <v>368740.51216711616</v>
      </c>
      <c r="CA204" s="121"/>
      <c r="CB204" s="122">
        <f t="shared" ca="1" si="209"/>
        <v>0</v>
      </c>
      <c r="CC204" s="122">
        <f t="shared" ca="1" si="262"/>
        <v>0</v>
      </c>
      <c r="CD204" s="124">
        <f t="shared" ca="1" si="263"/>
        <v>0</v>
      </c>
      <c r="CE204" s="121"/>
      <c r="CF204" s="122">
        <f t="shared" ca="1" si="210"/>
        <v>9142057.2128174361</v>
      </c>
      <c r="CG204" s="124">
        <f t="shared" ca="1" si="264"/>
        <v>30557.099237395978</v>
      </c>
      <c r="CH204" s="123">
        <f t="shared" ca="1" si="265"/>
        <v>25072.558401357073</v>
      </c>
      <c r="CI204" s="121"/>
      <c r="CJ204" s="123">
        <f t="shared" ca="1" si="266"/>
        <v>488222.66609768238</v>
      </c>
      <c r="CK204" s="123">
        <f t="shared" ca="1" si="267"/>
        <v>488222.66609768232</v>
      </c>
      <c r="CL204" s="123">
        <f t="shared" ca="1" si="268"/>
        <v>0</v>
      </c>
      <c r="CM204" s="121"/>
      <c r="CN204" s="62">
        <f t="shared" ca="1" si="269"/>
        <v>244540.85902955302</v>
      </c>
      <c r="CO204" s="62" t="b">
        <f t="shared" si="270"/>
        <v>1</v>
      </c>
      <c r="CP204" s="126">
        <f t="shared" ca="1" si="271"/>
        <v>5.4999999999999815E-3</v>
      </c>
      <c r="CQ204" s="120"/>
      <c r="CR204" s="120"/>
      <c r="CS204" s="120"/>
      <c r="CT204" s="120"/>
      <c r="CU204" s="120"/>
      <c r="CV204" s="120"/>
      <c r="CW204" s="120"/>
      <c r="CX204" s="120"/>
      <c r="CY204" s="120"/>
      <c r="CZ204" s="120"/>
      <c r="DA204" s="120"/>
      <c r="DB204" s="120"/>
      <c r="DC204" s="120"/>
      <c r="DD204" s="120"/>
      <c r="DE204" s="116"/>
      <c r="DF204" s="116"/>
      <c r="DG204" s="116"/>
      <c r="DH204" s="116"/>
      <c r="DI204" s="116"/>
      <c r="DJ204" s="116"/>
      <c r="DK204" s="116"/>
      <c r="DL204" s="116"/>
      <c r="DM204" s="116"/>
      <c r="DN204" s="116"/>
    </row>
    <row r="205" spans="1:118" x14ac:dyDescent="0.2">
      <c r="A205" s="27">
        <v>199</v>
      </c>
      <c r="B205" s="29">
        <f t="shared" si="204"/>
        <v>45170</v>
      </c>
      <c r="C205" s="30">
        <f t="shared" si="205"/>
        <v>8.3333333333333329E-2</v>
      </c>
      <c r="D205" s="55"/>
      <c r="E205" s="62">
        <f t="shared" ca="1" si="223"/>
        <v>75306429.695791915</v>
      </c>
      <c r="F205" s="63">
        <f ca="1">IF(AssetIntType1="Fixed",AssetFxdRate1,IF(A205=1,OFFSET(Vectors!$D$6,A205,MATCH(AssetFltIndx1,lstInterestRates,0)),IF(MOD($A205,AssetRateReset1)=0,MAX(MIN(OFFSET(Vectors!$D$6,A205,MATCH(AssetFltIndx1,lstInterestRates,0)),(F204-AssetMarg1)+AssetPdCapFl1,AssetLifeCap1-AssetMarg1),(F204-AssetMarg1)-AssetPdCapFl1,AssetLifeFloor1-AssetMarg1),F204)))+AssetMarg1</f>
        <v>0.09</v>
      </c>
      <c r="G205" s="62">
        <f t="shared" ca="1" si="211"/>
        <v>804622.61694478267</v>
      </c>
      <c r="H205" s="62">
        <f t="shared" ca="1" si="224"/>
        <v>564798.2227184393</v>
      </c>
      <c r="I205" s="62">
        <f t="shared" ca="1" si="225"/>
        <v>239824.39422634337</v>
      </c>
      <c r="J205" s="62">
        <f t="shared" ca="1" si="206"/>
        <v>75066605.301565573</v>
      </c>
      <c r="K205" s="55"/>
      <c r="L205" s="62">
        <f t="shared" ca="1" si="226"/>
        <v>28962761.61925441</v>
      </c>
      <c r="M205" s="68">
        <f ca="1">IF(pdrLossTime1="",OFFSET(Vectors!$AE$6,A205+_Age1,MATCH(SDA_Loss,lstSDA,0)),OFFSET(Vectors!$X$6,A205+_Age1,MATCH(pdrLossTime1,lstDefaultCurve,0)))</f>
        <v>2.7777777777777779E-5</v>
      </c>
      <c r="N205" s="62">
        <f t="shared" ca="1" si="212"/>
        <v>2777.7777777777778</v>
      </c>
      <c r="O205" s="67">
        <f t="shared" ca="1" si="227"/>
        <v>0.7506660530156557</v>
      </c>
      <c r="P205" s="68">
        <f ca="1">OFFSET(Vectors!$L$6,A205+_Age1,MATCH(pdrPrepay1,lstPrepayCurve,0))*pdrPrepayStress1</f>
        <v>5.1430128318229462E-3</v>
      </c>
      <c r="Q205" s="62">
        <f t="shared" ca="1" si="228"/>
        <v>148481.48283954599</v>
      </c>
      <c r="R205" s="62">
        <f t="shared" ca="1" si="229"/>
        <v>92227.325205073925</v>
      </c>
      <c r="S205" s="69">
        <f t="shared" ca="1" si="230"/>
        <v>0.09</v>
      </c>
      <c r="T205" s="62">
        <f t="shared" ca="1" si="231"/>
        <v>217199.87881107474</v>
      </c>
      <c r="U205" s="62">
        <f t="shared" ca="1" si="213"/>
        <v>1111.1111111111111</v>
      </c>
      <c r="V205" s="62">
        <f t="shared" ca="1" si="207"/>
        <v>28719275.033432014</v>
      </c>
      <c r="W205" s="55"/>
      <c r="X205" s="62">
        <f t="shared" ca="1" si="232"/>
        <v>459019.79796680575</v>
      </c>
      <c r="Y205" s="55"/>
      <c r="Z205" s="118" t="b">
        <v>0</v>
      </c>
      <c r="AA205" s="120" t="b">
        <f t="shared" si="214"/>
        <v>0</v>
      </c>
      <c r="AB205" s="120" t="b">
        <f t="shared" si="215"/>
        <v>1</v>
      </c>
      <c r="AC205" s="120" t="b">
        <f t="shared" ca="1" si="216"/>
        <v>0</v>
      </c>
      <c r="AD205" s="121"/>
      <c r="AE205" s="129">
        <v>4413832.1409867601</v>
      </c>
      <c r="AF205" s="69">
        <f ca="1">IF(Swap_Active="No",0,OFFSET(Vectors!$D$6,Vectors!A205,MATCH(Swap_In,lstInterestRates,0)))</f>
        <v>6.9369000000000056E-2</v>
      </c>
      <c r="AG205" s="62">
        <f t="shared" ca="1" si="233"/>
        <v>25515.260149009235</v>
      </c>
      <c r="AH205" s="69">
        <f ca="1">IF(Swap_Active="No",0,OFFSET(Vectors!$D$6,Vectors!A205,MATCH(Swap_Out,lstInterestRates,0)))</f>
        <v>0.04</v>
      </c>
      <c r="AI205" s="62">
        <f t="shared" ca="1" si="234"/>
        <v>14712.773803289201</v>
      </c>
      <c r="AJ205" s="62">
        <f t="shared" ca="1" si="235"/>
        <v>10802.486345720034</v>
      </c>
      <c r="AK205" s="62">
        <f t="shared" ca="1" si="236"/>
        <v>469822.28431252576</v>
      </c>
      <c r="AL205" s="121"/>
      <c r="AM205" s="123">
        <f t="shared" ca="1" si="217"/>
        <v>48271.269365424014</v>
      </c>
      <c r="AN205" s="124">
        <f t="shared" ca="1" si="237"/>
        <v>48271.269365424014</v>
      </c>
      <c r="AO205" s="125">
        <f t="shared" ca="1" si="238"/>
        <v>0</v>
      </c>
      <c r="AP205" s="123">
        <f t="shared" ca="1" si="239"/>
        <v>421551.01494710176</v>
      </c>
      <c r="AQ205" s="121"/>
      <c r="AR205" s="126">
        <f ca="1">IF(LiabIntType1="Fixed",LiabFxdRate1,OFFSET(Vectors!$D$6,Vectors!A205,MATCH(LiabLoanIndex1,lstInterestRates,0))+LiabMarg1)</f>
        <v>7.9369000000000051E-2</v>
      </c>
      <c r="AS205" s="122">
        <f t="shared" ca="1" si="240"/>
        <v>0</v>
      </c>
      <c r="AT205" s="124">
        <f t="shared" ca="1" si="241"/>
        <v>0</v>
      </c>
      <c r="AU205" s="123">
        <f t="shared" ca="1" si="242"/>
        <v>0</v>
      </c>
      <c r="AV205" s="123">
        <f t="shared" ca="1" si="218"/>
        <v>0</v>
      </c>
      <c r="AW205" s="123">
        <f t="shared" ca="1" si="243"/>
        <v>0</v>
      </c>
      <c r="AX205" s="124">
        <f t="shared" ca="1" si="244"/>
        <v>421551.01494710176</v>
      </c>
      <c r="AY205" s="121"/>
      <c r="AZ205" s="122">
        <f t="shared" ca="1" si="219"/>
        <v>0</v>
      </c>
      <c r="BA205" s="124">
        <f t="shared" ca="1" si="245"/>
        <v>0</v>
      </c>
      <c r="BB205" s="123">
        <f t="shared" ca="1" si="246"/>
        <v>0</v>
      </c>
      <c r="BC205" s="123">
        <f t="shared" ca="1" si="220"/>
        <v>0</v>
      </c>
      <c r="BD205" s="123">
        <f t="shared" ca="1" si="247"/>
        <v>0</v>
      </c>
      <c r="BE205" s="124">
        <f t="shared" ca="1" si="248"/>
        <v>421551.01494710176</v>
      </c>
      <c r="BF205" s="121"/>
      <c r="BG205" s="123">
        <f t="shared" si="221"/>
        <v>1000000</v>
      </c>
      <c r="BH205" s="123">
        <f t="shared" ca="1" si="249"/>
        <v>1000000</v>
      </c>
      <c r="BI205" s="123">
        <f t="shared" ca="1" si="250"/>
        <v>0</v>
      </c>
      <c r="BJ205" s="123">
        <f t="shared" ca="1" si="251"/>
        <v>0</v>
      </c>
      <c r="BK205" s="123">
        <f t="shared" ca="1" si="208"/>
        <v>1000000</v>
      </c>
      <c r="BL205" s="123">
        <f t="shared" ca="1" si="252"/>
        <v>421551.01494710176</v>
      </c>
      <c r="BM205" s="121"/>
      <c r="BN205" s="126">
        <f ca="1">IF(LiabIntType2="Fixed",LiabFxdRate2,OFFSET(Vectors!$D$6,Vectors!A205,MATCH(LiabLoanIndex2,lstInterestRates,0))+LiabMarg2)</f>
        <v>0.04</v>
      </c>
      <c r="BO205" s="122">
        <f t="shared" ca="1" si="253"/>
        <v>30473.524042724785</v>
      </c>
      <c r="BP205" s="124">
        <f t="shared" ca="1" si="254"/>
        <v>30473.524042724785</v>
      </c>
      <c r="BQ205" s="123">
        <f t="shared" ca="1" si="255"/>
        <v>0</v>
      </c>
      <c r="BR205" s="123">
        <f t="shared" ca="1" si="256"/>
        <v>391077.49090437696</v>
      </c>
      <c r="BS205" s="121"/>
      <c r="BT205" s="123">
        <f t="shared" ca="1" si="222"/>
        <v>24964.464700115132</v>
      </c>
      <c r="BU205" s="123">
        <f t="shared" ca="1" si="257"/>
        <v>24964.464700115132</v>
      </c>
      <c r="BV205" s="123">
        <f t="shared" ca="1" si="258"/>
        <v>0</v>
      </c>
      <c r="BW205" s="123">
        <f t="shared" ca="1" si="259"/>
        <v>366113.02620426181</v>
      </c>
      <c r="BX205" s="121"/>
      <c r="BY205" s="123">
        <f t="shared" si="260"/>
        <v>0</v>
      </c>
      <c r="BZ205" s="123">
        <f t="shared" ca="1" si="261"/>
        <v>366113.02620426181</v>
      </c>
      <c r="CA205" s="121"/>
      <c r="CB205" s="122">
        <f t="shared" ca="1" si="209"/>
        <v>0</v>
      </c>
      <c r="CC205" s="122">
        <f t="shared" ca="1" si="262"/>
        <v>0</v>
      </c>
      <c r="CD205" s="124">
        <f t="shared" ca="1" si="263"/>
        <v>0</v>
      </c>
      <c r="CE205" s="121"/>
      <c r="CF205" s="122">
        <f t="shared" ca="1" si="210"/>
        <v>9117092.7481173202</v>
      </c>
      <c r="CG205" s="124">
        <f t="shared" ca="1" si="264"/>
        <v>30473.524042724785</v>
      </c>
      <c r="CH205" s="123">
        <f t="shared" ca="1" si="265"/>
        <v>24964.464700115132</v>
      </c>
      <c r="CI205" s="121"/>
      <c r="CJ205" s="123">
        <f t="shared" ca="1" si="266"/>
        <v>484535.05811581499</v>
      </c>
      <c r="CK205" s="123">
        <f t="shared" ca="1" si="267"/>
        <v>484535.05811581493</v>
      </c>
      <c r="CL205" s="123">
        <f t="shared" ca="1" si="268"/>
        <v>0</v>
      </c>
      <c r="CM205" s="121"/>
      <c r="CN205" s="62">
        <f t="shared" ca="1" si="269"/>
        <v>243486.5858223977</v>
      </c>
      <c r="CO205" s="62" t="b">
        <f t="shared" si="270"/>
        <v>1</v>
      </c>
      <c r="CP205" s="126">
        <f t="shared" ca="1" si="271"/>
        <v>5.5277777777777591E-3</v>
      </c>
      <c r="CQ205" s="120"/>
      <c r="CR205" s="120"/>
      <c r="CS205" s="120"/>
      <c r="CT205" s="120"/>
      <c r="CU205" s="120"/>
      <c r="CV205" s="120"/>
      <c r="CW205" s="120"/>
      <c r="CX205" s="120"/>
      <c r="CY205" s="120"/>
      <c r="CZ205" s="120"/>
      <c r="DA205" s="120"/>
      <c r="DB205" s="120"/>
      <c r="DC205" s="120"/>
      <c r="DD205" s="120"/>
      <c r="DE205" s="116"/>
      <c r="DF205" s="116"/>
      <c r="DG205" s="116"/>
      <c r="DH205" s="116"/>
      <c r="DI205" s="116"/>
      <c r="DJ205" s="116"/>
      <c r="DK205" s="116"/>
      <c r="DL205" s="116"/>
      <c r="DM205" s="116"/>
      <c r="DN205" s="116"/>
    </row>
    <row r="206" spans="1:118" x14ac:dyDescent="0.2">
      <c r="A206" s="27">
        <v>200</v>
      </c>
      <c r="B206" s="29">
        <f t="shared" si="204"/>
        <v>45200</v>
      </c>
      <c r="C206" s="30">
        <f t="shared" si="205"/>
        <v>8.3333333333333329E-2</v>
      </c>
      <c r="D206" s="55"/>
      <c r="E206" s="62">
        <f t="shared" ca="1" si="223"/>
        <v>75066605.301565573</v>
      </c>
      <c r="F206" s="63">
        <f ca="1">IF(AssetIntType1="Fixed",AssetFxdRate1,IF(A206=1,OFFSET(Vectors!$D$6,A206,MATCH(AssetFltIndx1,lstInterestRates,0)),IF(MOD($A206,AssetRateReset1)=0,MAX(MIN(OFFSET(Vectors!$D$6,A206,MATCH(AssetFltIndx1,lstInterestRates,0)),(F205-AssetMarg1)+AssetPdCapFl1,AssetLifeCap1-AssetMarg1),(F205-AssetMarg1)-AssetPdCapFl1,AssetLifeFloor1-AssetMarg1),F205)))+AssetMarg1</f>
        <v>0.09</v>
      </c>
      <c r="G206" s="62">
        <f t="shared" ca="1" si="211"/>
        <v>804622.61694478267</v>
      </c>
      <c r="H206" s="62">
        <f t="shared" ca="1" si="224"/>
        <v>562999.53976174176</v>
      </c>
      <c r="I206" s="62">
        <f t="shared" ca="1" si="225"/>
        <v>241623.07718304091</v>
      </c>
      <c r="J206" s="62">
        <f t="shared" ca="1" si="206"/>
        <v>74824982.224382535</v>
      </c>
      <c r="K206" s="55"/>
      <c r="L206" s="62">
        <f t="shared" ca="1" si="226"/>
        <v>28719275.033432014</v>
      </c>
      <c r="M206" s="68">
        <f ca="1">IF(pdrLossTime1="",OFFSET(Vectors!$AE$6,A206+_Age1,MATCH(SDA_Loss,lstSDA,0)),OFFSET(Vectors!$X$6,A206+_Age1,MATCH(pdrLossTime1,lstDefaultCurve,0)))</f>
        <v>2.7777777777777779E-5</v>
      </c>
      <c r="N206" s="62">
        <f t="shared" ca="1" si="212"/>
        <v>2777.7777777777778</v>
      </c>
      <c r="O206" s="67">
        <f t="shared" ca="1" si="227"/>
        <v>0.7482498222438253</v>
      </c>
      <c r="P206" s="68">
        <f ca="1">OFFSET(Vectors!$L$6,A206+_Age1,MATCH(pdrPrepay1,lstPrepayCurve,0))*pdrPrepayStress1</f>
        <v>5.1430128318229462E-3</v>
      </c>
      <c r="Q206" s="62">
        <f t="shared" ca="1" si="228"/>
        <v>147228.17425131684</v>
      </c>
      <c r="R206" s="62">
        <f t="shared" ca="1" si="229"/>
        <v>92432.159479640788</v>
      </c>
      <c r="S206" s="69">
        <f t="shared" ca="1" si="230"/>
        <v>0.09</v>
      </c>
      <c r="T206" s="62">
        <f t="shared" ca="1" si="231"/>
        <v>215373.72941740678</v>
      </c>
      <c r="U206" s="62">
        <f t="shared" ca="1" si="213"/>
        <v>1111.1111111111111</v>
      </c>
      <c r="V206" s="62">
        <f t="shared" ca="1" si="207"/>
        <v>28476836.92192328</v>
      </c>
      <c r="W206" s="55"/>
      <c r="X206" s="62">
        <f t="shared" ca="1" si="232"/>
        <v>456145.17425947555</v>
      </c>
      <c r="Y206" s="55"/>
      <c r="Z206" s="118" t="b">
        <v>0</v>
      </c>
      <c r="AA206" s="120" t="b">
        <f t="shared" si="214"/>
        <v>0</v>
      </c>
      <c r="AB206" s="120" t="b">
        <f t="shared" si="215"/>
        <v>1</v>
      </c>
      <c r="AC206" s="120" t="b">
        <f t="shared" ca="1" si="216"/>
        <v>0</v>
      </c>
      <c r="AD206" s="121"/>
      <c r="AE206" s="129">
        <v>4277039.2904687431</v>
      </c>
      <c r="AF206" s="69">
        <f ca="1">IF(Swap_Active="No",0,OFFSET(Vectors!$D$6,Vectors!A206,MATCH(Swap_In,lstInterestRates,0)))</f>
        <v>6.9369000000000056E-2</v>
      </c>
      <c r="AG206" s="62">
        <f t="shared" ca="1" si="233"/>
        <v>24724.494878377205</v>
      </c>
      <c r="AH206" s="69">
        <f ca="1">IF(Swap_Active="No",0,OFFSET(Vectors!$D$6,Vectors!A206,MATCH(Swap_Out,lstInterestRates,0)))</f>
        <v>0.04</v>
      </c>
      <c r="AI206" s="62">
        <f t="shared" ca="1" si="234"/>
        <v>14256.797634895811</v>
      </c>
      <c r="AJ206" s="62">
        <f t="shared" ca="1" si="235"/>
        <v>10467.697243481394</v>
      </c>
      <c r="AK206" s="62">
        <f t="shared" ca="1" si="236"/>
        <v>466612.87150295696</v>
      </c>
      <c r="AL206" s="121"/>
      <c r="AM206" s="123">
        <f t="shared" ca="1" si="217"/>
        <v>47865.458389053354</v>
      </c>
      <c r="AN206" s="124">
        <f t="shared" ca="1" si="237"/>
        <v>47865.458389053354</v>
      </c>
      <c r="AO206" s="125">
        <f t="shared" ca="1" si="238"/>
        <v>0</v>
      </c>
      <c r="AP206" s="123">
        <f t="shared" ca="1" si="239"/>
        <v>418747.4131139036</v>
      </c>
      <c r="AQ206" s="121"/>
      <c r="AR206" s="126">
        <f ca="1">IF(LiabIntType1="Fixed",LiabFxdRate1,OFFSET(Vectors!$D$6,Vectors!A206,MATCH(LiabLoanIndex1,lstInterestRates,0))+LiabMarg1)</f>
        <v>7.9369000000000051E-2</v>
      </c>
      <c r="AS206" s="122">
        <f t="shared" ca="1" si="240"/>
        <v>0</v>
      </c>
      <c r="AT206" s="124">
        <f t="shared" ca="1" si="241"/>
        <v>0</v>
      </c>
      <c r="AU206" s="123">
        <f t="shared" ca="1" si="242"/>
        <v>0</v>
      </c>
      <c r="AV206" s="123">
        <f t="shared" ca="1" si="218"/>
        <v>0</v>
      </c>
      <c r="AW206" s="123">
        <f t="shared" ca="1" si="243"/>
        <v>0</v>
      </c>
      <c r="AX206" s="124">
        <f t="shared" ca="1" si="244"/>
        <v>418747.4131139036</v>
      </c>
      <c r="AY206" s="121"/>
      <c r="AZ206" s="122">
        <f t="shared" ca="1" si="219"/>
        <v>0</v>
      </c>
      <c r="BA206" s="124">
        <f t="shared" ca="1" si="245"/>
        <v>0</v>
      </c>
      <c r="BB206" s="123">
        <f t="shared" ca="1" si="246"/>
        <v>0</v>
      </c>
      <c r="BC206" s="123">
        <f t="shared" ca="1" si="220"/>
        <v>0</v>
      </c>
      <c r="BD206" s="123">
        <f t="shared" ca="1" si="247"/>
        <v>0</v>
      </c>
      <c r="BE206" s="124">
        <f t="shared" ca="1" si="248"/>
        <v>418747.4131139036</v>
      </c>
      <c r="BF206" s="121"/>
      <c r="BG206" s="123">
        <f t="shared" si="221"/>
        <v>1000000</v>
      </c>
      <c r="BH206" s="123">
        <f t="shared" ca="1" si="249"/>
        <v>1000000</v>
      </c>
      <c r="BI206" s="123">
        <f t="shared" ca="1" si="250"/>
        <v>0</v>
      </c>
      <c r="BJ206" s="123">
        <f t="shared" ca="1" si="251"/>
        <v>0</v>
      </c>
      <c r="BK206" s="123">
        <f t="shared" ca="1" si="208"/>
        <v>1000000</v>
      </c>
      <c r="BL206" s="123">
        <f t="shared" ca="1" si="252"/>
        <v>418747.4131139036</v>
      </c>
      <c r="BM206" s="121"/>
      <c r="BN206" s="126">
        <f ca="1">IF(LiabIntType2="Fixed",LiabFxdRate2,OFFSET(Vectors!$D$6,Vectors!A206,MATCH(LiabLoanIndex2,lstInterestRates,0))+LiabMarg2)</f>
        <v>0.04</v>
      </c>
      <c r="BO206" s="122">
        <f t="shared" ca="1" si="253"/>
        <v>30390.309160391065</v>
      </c>
      <c r="BP206" s="124">
        <f t="shared" ca="1" si="254"/>
        <v>30390.309160391065</v>
      </c>
      <c r="BQ206" s="123">
        <f t="shared" ca="1" si="255"/>
        <v>0</v>
      </c>
      <c r="BR206" s="123">
        <f t="shared" ca="1" si="256"/>
        <v>388357.10395351256</v>
      </c>
      <c r="BS206" s="121"/>
      <c r="BT206" s="123">
        <f t="shared" ca="1" si="222"/>
        <v>24856.965554303904</v>
      </c>
      <c r="BU206" s="123">
        <f t="shared" ca="1" si="257"/>
        <v>24856.965554303904</v>
      </c>
      <c r="BV206" s="123">
        <f t="shared" ca="1" si="258"/>
        <v>0</v>
      </c>
      <c r="BW206" s="123">
        <f t="shared" ca="1" si="259"/>
        <v>363500.13839920866</v>
      </c>
      <c r="BX206" s="121"/>
      <c r="BY206" s="123">
        <f t="shared" si="260"/>
        <v>0</v>
      </c>
      <c r="BZ206" s="123">
        <f t="shared" ca="1" si="261"/>
        <v>363500.13839920866</v>
      </c>
      <c r="CA206" s="121"/>
      <c r="CB206" s="122">
        <f t="shared" ca="1" si="209"/>
        <v>0</v>
      </c>
      <c r="CC206" s="122">
        <f t="shared" ca="1" si="262"/>
        <v>0</v>
      </c>
      <c r="CD206" s="124">
        <f t="shared" ca="1" si="263"/>
        <v>0</v>
      </c>
      <c r="CE206" s="121"/>
      <c r="CF206" s="122">
        <f t="shared" ca="1" si="210"/>
        <v>9092235.7825630158</v>
      </c>
      <c r="CG206" s="124">
        <f t="shared" ca="1" si="264"/>
        <v>30390.309160391065</v>
      </c>
      <c r="CH206" s="123">
        <f t="shared" ca="1" si="265"/>
        <v>24856.965554303904</v>
      </c>
      <c r="CI206" s="121"/>
      <c r="CJ206" s="123">
        <f t="shared" ca="1" si="266"/>
        <v>480869.66913785273</v>
      </c>
      <c r="CK206" s="123">
        <f t="shared" ca="1" si="267"/>
        <v>480869.66913785279</v>
      </c>
      <c r="CL206" s="123">
        <f t="shared" ca="1" si="268"/>
        <v>0</v>
      </c>
      <c r="CM206" s="121"/>
      <c r="CN206" s="62">
        <f t="shared" ca="1" si="269"/>
        <v>242438.1115087354</v>
      </c>
      <c r="CO206" s="62" t="b">
        <f t="shared" si="270"/>
        <v>1</v>
      </c>
      <c r="CP206" s="126">
        <f t="shared" ca="1" si="271"/>
        <v>5.5555555555555367E-3</v>
      </c>
      <c r="CQ206" s="120"/>
      <c r="CR206" s="120"/>
      <c r="CS206" s="120"/>
      <c r="CT206" s="120"/>
      <c r="CU206" s="120"/>
      <c r="CV206" s="120"/>
      <c r="CW206" s="120"/>
      <c r="CX206" s="120"/>
      <c r="CY206" s="120"/>
      <c r="CZ206" s="120"/>
      <c r="DA206" s="120"/>
      <c r="DB206" s="120"/>
      <c r="DC206" s="120"/>
      <c r="DD206" s="120"/>
      <c r="DE206" s="116"/>
      <c r="DF206" s="116"/>
      <c r="DG206" s="116"/>
      <c r="DH206" s="116"/>
      <c r="DI206" s="116"/>
      <c r="DJ206" s="116"/>
      <c r="DK206" s="116"/>
      <c r="DL206" s="116"/>
      <c r="DM206" s="116"/>
      <c r="DN206" s="116"/>
    </row>
    <row r="207" spans="1:118" x14ac:dyDescent="0.2">
      <c r="A207" s="27">
        <v>201</v>
      </c>
      <c r="B207" s="29">
        <f t="shared" si="204"/>
        <v>45231</v>
      </c>
      <c r="C207" s="30">
        <f t="shared" si="205"/>
        <v>8.3333333333333329E-2</v>
      </c>
      <c r="D207" s="55"/>
      <c r="E207" s="62">
        <f t="shared" ca="1" si="223"/>
        <v>74824982.224382535</v>
      </c>
      <c r="F207" s="63">
        <f ca="1">IF(AssetIntType1="Fixed",AssetFxdRate1,IF(A207=1,OFFSET(Vectors!$D$6,A207,MATCH(AssetFltIndx1,lstInterestRates,0)),IF(MOD($A207,AssetRateReset1)=0,MAX(MIN(OFFSET(Vectors!$D$6,A207,MATCH(AssetFltIndx1,lstInterestRates,0)),(F206-AssetMarg1)+AssetPdCapFl1,AssetLifeCap1-AssetMarg1),(F206-AssetMarg1)-AssetPdCapFl1,AssetLifeFloor1-AssetMarg1),F206)))+AssetMarg1</f>
        <v>0.09</v>
      </c>
      <c r="G207" s="62">
        <f t="shared" ca="1" si="211"/>
        <v>804622.61694478267</v>
      </c>
      <c r="H207" s="62">
        <f t="shared" ca="1" si="224"/>
        <v>561187.36668286903</v>
      </c>
      <c r="I207" s="62">
        <f t="shared" ca="1" si="225"/>
        <v>243435.25026191364</v>
      </c>
      <c r="J207" s="62">
        <f t="shared" ca="1" si="206"/>
        <v>74581546.974120617</v>
      </c>
      <c r="K207" s="55"/>
      <c r="L207" s="62">
        <f t="shared" ca="1" si="226"/>
        <v>28476836.92192328</v>
      </c>
      <c r="M207" s="68">
        <f ca="1">IF(pdrLossTime1="",OFFSET(Vectors!$AE$6,A207+_Age1,MATCH(SDA_Loss,lstSDA,0)),OFFSET(Vectors!$X$6,A207+_Age1,MATCH(pdrLossTime1,lstDefaultCurve,0)))</f>
        <v>2.7777777777777779E-5</v>
      </c>
      <c r="N207" s="62">
        <f t="shared" ca="1" si="212"/>
        <v>2777.7777777777778</v>
      </c>
      <c r="O207" s="67">
        <f t="shared" ca="1" si="227"/>
        <v>0.74581546974120616</v>
      </c>
      <c r="P207" s="68">
        <f ca="1">OFFSET(Vectors!$L$6,A207+_Age1,MATCH(pdrPrepay1,lstPrepayCurve,0))*pdrPrepayStress1</f>
        <v>5.1430128318229462E-3</v>
      </c>
      <c r="Q207" s="62">
        <f t="shared" ca="1" si="228"/>
        <v>145980.25602775958</v>
      </c>
      <c r="R207" s="62">
        <f t="shared" ca="1" si="229"/>
        <v>92637.372006871301</v>
      </c>
      <c r="S207" s="69">
        <f t="shared" ca="1" si="230"/>
        <v>0.09</v>
      </c>
      <c r="T207" s="62">
        <f t="shared" ca="1" si="231"/>
        <v>213555.44358109127</v>
      </c>
      <c r="U207" s="62">
        <f t="shared" ca="1" si="213"/>
        <v>1111.1111111111111</v>
      </c>
      <c r="V207" s="62">
        <f t="shared" ca="1" si="207"/>
        <v>28235441.516110875</v>
      </c>
      <c r="W207" s="55"/>
      <c r="X207" s="62">
        <f t="shared" ca="1" si="232"/>
        <v>453284.18272683327</v>
      </c>
      <c r="Y207" s="55"/>
      <c r="Z207" s="118" t="b">
        <v>0</v>
      </c>
      <c r="AA207" s="120" t="b">
        <f t="shared" si="214"/>
        <v>0</v>
      </c>
      <c r="AB207" s="120" t="b">
        <f t="shared" si="215"/>
        <v>1</v>
      </c>
      <c r="AC207" s="120" t="b">
        <f t="shared" ca="1" si="216"/>
        <v>0</v>
      </c>
      <c r="AD207" s="121"/>
      <c r="AE207" s="129">
        <v>4141704.2096399334</v>
      </c>
      <c r="AF207" s="69">
        <f ca="1">IF(Swap_Active="No",0,OFFSET(Vectors!$D$6,Vectors!A207,MATCH(Swap_In,lstInterestRates,0)))</f>
        <v>6.9369000000000056E-2</v>
      </c>
      <c r="AG207" s="62">
        <f t="shared" ca="1" si="233"/>
        <v>23942.15660987606</v>
      </c>
      <c r="AH207" s="69">
        <f ca="1">IF(Swap_Active="No",0,OFFSET(Vectors!$D$6,Vectors!A207,MATCH(Swap_Out,lstInterestRates,0)))</f>
        <v>0.04</v>
      </c>
      <c r="AI207" s="62">
        <f t="shared" ca="1" si="234"/>
        <v>13805.680698799779</v>
      </c>
      <c r="AJ207" s="62">
        <f t="shared" ca="1" si="235"/>
        <v>10136.475911076281</v>
      </c>
      <c r="AK207" s="62">
        <f t="shared" ca="1" si="236"/>
        <v>463420.65863790957</v>
      </c>
      <c r="AL207" s="121"/>
      <c r="AM207" s="123">
        <f t="shared" ca="1" si="217"/>
        <v>47461.394869872129</v>
      </c>
      <c r="AN207" s="124">
        <f t="shared" ca="1" si="237"/>
        <v>47461.394869872129</v>
      </c>
      <c r="AO207" s="125">
        <f t="shared" ca="1" si="238"/>
        <v>0</v>
      </c>
      <c r="AP207" s="123">
        <f t="shared" ca="1" si="239"/>
        <v>415959.26376803743</v>
      </c>
      <c r="AQ207" s="121"/>
      <c r="AR207" s="126">
        <f ca="1">IF(LiabIntType1="Fixed",LiabFxdRate1,OFFSET(Vectors!$D$6,Vectors!A207,MATCH(LiabLoanIndex1,lstInterestRates,0))+LiabMarg1)</f>
        <v>7.9369000000000051E-2</v>
      </c>
      <c r="AS207" s="122">
        <f t="shared" ca="1" si="240"/>
        <v>0</v>
      </c>
      <c r="AT207" s="124">
        <f t="shared" ca="1" si="241"/>
        <v>0</v>
      </c>
      <c r="AU207" s="123">
        <f t="shared" ca="1" si="242"/>
        <v>0</v>
      </c>
      <c r="AV207" s="123">
        <f t="shared" ca="1" si="218"/>
        <v>0</v>
      </c>
      <c r="AW207" s="123">
        <f t="shared" ca="1" si="243"/>
        <v>0</v>
      </c>
      <c r="AX207" s="124">
        <f t="shared" ca="1" si="244"/>
        <v>415959.26376803743</v>
      </c>
      <c r="AY207" s="121"/>
      <c r="AZ207" s="122">
        <f t="shared" ca="1" si="219"/>
        <v>0</v>
      </c>
      <c r="BA207" s="124">
        <f t="shared" ca="1" si="245"/>
        <v>0</v>
      </c>
      <c r="BB207" s="123">
        <f t="shared" ca="1" si="246"/>
        <v>0</v>
      </c>
      <c r="BC207" s="123">
        <f t="shared" ca="1" si="220"/>
        <v>0</v>
      </c>
      <c r="BD207" s="123">
        <f t="shared" ca="1" si="247"/>
        <v>0</v>
      </c>
      <c r="BE207" s="124">
        <f t="shared" ca="1" si="248"/>
        <v>415959.26376803743</v>
      </c>
      <c r="BF207" s="121"/>
      <c r="BG207" s="123">
        <f t="shared" si="221"/>
        <v>1000000</v>
      </c>
      <c r="BH207" s="123">
        <f t="shared" ca="1" si="249"/>
        <v>1000000</v>
      </c>
      <c r="BI207" s="123">
        <f t="shared" ca="1" si="250"/>
        <v>0</v>
      </c>
      <c r="BJ207" s="123">
        <f t="shared" ca="1" si="251"/>
        <v>0</v>
      </c>
      <c r="BK207" s="123">
        <f t="shared" ca="1" si="208"/>
        <v>1000000</v>
      </c>
      <c r="BL207" s="123">
        <f t="shared" ca="1" si="252"/>
        <v>415959.26376803743</v>
      </c>
      <c r="BM207" s="121"/>
      <c r="BN207" s="126">
        <f ca="1">IF(LiabIntType2="Fixed",LiabFxdRate2,OFFSET(Vectors!$D$6,Vectors!A207,MATCH(LiabLoanIndex2,lstInterestRates,0))+LiabMarg2)</f>
        <v>0.04</v>
      </c>
      <c r="BO207" s="122">
        <f t="shared" ca="1" si="253"/>
        <v>30307.452608543383</v>
      </c>
      <c r="BP207" s="124">
        <f t="shared" ca="1" si="254"/>
        <v>30307.452608543383</v>
      </c>
      <c r="BQ207" s="123">
        <f t="shared" ca="1" si="255"/>
        <v>0</v>
      </c>
      <c r="BR207" s="123">
        <f t="shared" ca="1" si="256"/>
        <v>385651.81115949404</v>
      </c>
      <c r="BS207" s="121"/>
      <c r="BT207" s="123">
        <f t="shared" ca="1" si="222"/>
        <v>24750.057859735691</v>
      </c>
      <c r="BU207" s="123">
        <f t="shared" ca="1" si="257"/>
        <v>24750.057859735691</v>
      </c>
      <c r="BV207" s="123">
        <f t="shared" ca="1" si="258"/>
        <v>0</v>
      </c>
      <c r="BW207" s="123">
        <f t="shared" ca="1" si="259"/>
        <v>360901.75329975836</v>
      </c>
      <c r="BX207" s="121"/>
      <c r="BY207" s="123">
        <f t="shared" si="260"/>
        <v>0</v>
      </c>
      <c r="BZ207" s="123">
        <f t="shared" ca="1" si="261"/>
        <v>360901.75329975836</v>
      </c>
      <c r="CA207" s="121"/>
      <c r="CB207" s="122">
        <f t="shared" ca="1" si="209"/>
        <v>0</v>
      </c>
      <c r="CC207" s="122">
        <f t="shared" ca="1" si="262"/>
        <v>0</v>
      </c>
      <c r="CD207" s="124">
        <f t="shared" ca="1" si="263"/>
        <v>0</v>
      </c>
      <c r="CE207" s="121"/>
      <c r="CF207" s="122">
        <f t="shared" ca="1" si="210"/>
        <v>9067485.7247032803</v>
      </c>
      <c r="CG207" s="124">
        <f t="shared" ca="1" si="264"/>
        <v>30307.452608543383</v>
      </c>
      <c r="CH207" s="123">
        <f t="shared" ca="1" si="265"/>
        <v>24750.057859735691</v>
      </c>
      <c r="CI207" s="121"/>
      <c r="CJ207" s="123">
        <f t="shared" ca="1" si="266"/>
        <v>477226.33933670935</v>
      </c>
      <c r="CK207" s="123">
        <f t="shared" ca="1" si="267"/>
        <v>477226.33933670935</v>
      </c>
      <c r="CL207" s="123">
        <f t="shared" ca="1" si="268"/>
        <v>0</v>
      </c>
      <c r="CM207" s="121"/>
      <c r="CN207" s="62">
        <f t="shared" ca="1" si="269"/>
        <v>241395.40581240866</v>
      </c>
      <c r="CO207" s="62" t="b">
        <f t="shared" si="270"/>
        <v>1</v>
      </c>
      <c r="CP207" s="126">
        <f t="shared" ca="1" si="271"/>
        <v>5.5833333333333143E-3</v>
      </c>
      <c r="CQ207" s="120"/>
      <c r="CR207" s="120"/>
      <c r="CS207" s="120"/>
      <c r="CT207" s="120"/>
      <c r="CU207" s="120"/>
      <c r="CV207" s="120"/>
      <c r="CW207" s="120"/>
      <c r="CX207" s="120"/>
      <c r="CY207" s="120"/>
      <c r="CZ207" s="120"/>
      <c r="DA207" s="120"/>
      <c r="DB207" s="120"/>
      <c r="DC207" s="120"/>
      <c r="DD207" s="120"/>
      <c r="DE207" s="116"/>
      <c r="DF207" s="116"/>
      <c r="DG207" s="116"/>
      <c r="DH207" s="116"/>
      <c r="DI207" s="116"/>
      <c r="DJ207" s="116"/>
      <c r="DK207" s="116"/>
      <c r="DL207" s="116"/>
      <c r="DM207" s="116"/>
      <c r="DN207" s="116"/>
    </row>
    <row r="208" spans="1:118" x14ac:dyDescent="0.2">
      <c r="A208" s="27">
        <v>202</v>
      </c>
      <c r="B208" s="29">
        <f t="shared" si="204"/>
        <v>45261</v>
      </c>
      <c r="C208" s="30">
        <f t="shared" si="205"/>
        <v>8.3333333333333329E-2</v>
      </c>
      <c r="D208" s="55"/>
      <c r="E208" s="62">
        <f t="shared" ca="1" si="223"/>
        <v>74581546.974120617</v>
      </c>
      <c r="F208" s="63">
        <f ca="1">IF(AssetIntType1="Fixed",AssetFxdRate1,IF(A208=1,OFFSET(Vectors!$D$6,A208,MATCH(AssetFltIndx1,lstInterestRates,0)),IF(MOD($A208,AssetRateReset1)=0,MAX(MIN(OFFSET(Vectors!$D$6,A208,MATCH(AssetFltIndx1,lstInterestRates,0)),(F207-AssetMarg1)+AssetPdCapFl1,AssetLifeCap1-AssetMarg1),(F207-AssetMarg1)-AssetPdCapFl1,AssetLifeFloor1-AssetMarg1),F207)))+AssetMarg1</f>
        <v>0.09</v>
      </c>
      <c r="G208" s="62">
        <f t="shared" ca="1" si="211"/>
        <v>804622.61694478267</v>
      </c>
      <c r="H208" s="62">
        <f t="shared" ca="1" si="224"/>
        <v>559361.60230590461</v>
      </c>
      <c r="I208" s="62">
        <f t="shared" ca="1" si="225"/>
        <v>245261.01463887806</v>
      </c>
      <c r="J208" s="62">
        <f t="shared" ca="1" si="206"/>
        <v>74336285.959481746</v>
      </c>
      <c r="K208" s="55"/>
      <c r="L208" s="62">
        <f t="shared" ca="1" si="226"/>
        <v>28235441.516110875</v>
      </c>
      <c r="M208" s="68">
        <f ca="1">IF(pdrLossTime1="",OFFSET(Vectors!$AE$6,A208+_Age1,MATCH(SDA_Loss,lstSDA,0)),OFFSET(Vectors!$X$6,A208+_Age1,MATCH(pdrLossTime1,lstDefaultCurve,0)))</f>
        <v>2.7777777777777779E-5</v>
      </c>
      <c r="N208" s="62">
        <f t="shared" ca="1" si="212"/>
        <v>2777.7777777777778</v>
      </c>
      <c r="O208" s="67">
        <f t="shared" ca="1" si="227"/>
        <v>0.7433628595948174</v>
      </c>
      <c r="P208" s="68">
        <f ca="1">OFFSET(Vectors!$L$6,A208+_Age1,MATCH(pdrPrepay1,lstPrepayCurve,0))*pdrPrepayStress1</f>
        <v>5.1430128318229462E-3</v>
      </c>
      <c r="Q208" s="62">
        <f t="shared" ca="1" si="228"/>
        <v>144737.69850314522</v>
      </c>
      <c r="R208" s="62">
        <f t="shared" ca="1" si="229"/>
        <v>92842.962305736088</v>
      </c>
      <c r="S208" s="69">
        <f t="shared" ca="1" si="230"/>
        <v>0.09</v>
      </c>
      <c r="T208" s="62">
        <f t="shared" ca="1" si="231"/>
        <v>211744.97803749822</v>
      </c>
      <c r="U208" s="62">
        <f t="shared" ca="1" si="213"/>
        <v>1111.1111111111111</v>
      </c>
      <c r="V208" s="62">
        <f t="shared" ca="1" si="207"/>
        <v>27995083.077524219</v>
      </c>
      <c r="W208" s="55"/>
      <c r="X208" s="62">
        <f t="shared" ca="1" si="232"/>
        <v>450436.74995749065</v>
      </c>
      <c r="Y208" s="55"/>
      <c r="Z208" s="118" t="b">
        <v>0</v>
      </c>
      <c r="AA208" s="120" t="b">
        <f t="shared" si="214"/>
        <v>0</v>
      </c>
      <c r="AB208" s="120" t="b">
        <f t="shared" si="215"/>
        <v>1</v>
      </c>
      <c r="AC208" s="120" t="b">
        <f t="shared" ca="1" si="216"/>
        <v>0</v>
      </c>
      <c r="AD208" s="121"/>
      <c r="AE208" s="129">
        <v>4007812.1615724768</v>
      </c>
      <c r="AF208" s="69">
        <f ca="1">IF(Swap_Active="No",0,OFFSET(Vectors!$D$6,Vectors!A208,MATCH(Swap_In,lstInterestRates,0)))</f>
        <v>6.9369000000000056E-2</v>
      </c>
      <c r="AG208" s="62">
        <f t="shared" ca="1" si="233"/>
        <v>23168.160153010111</v>
      </c>
      <c r="AH208" s="69">
        <f ca="1">IF(Swap_Active="No",0,OFFSET(Vectors!$D$6,Vectors!A208,MATCH(Swap_Out,lstInterestRates,0)))</f>
        <v>0.04</v>
      </c>
      <c r="AI208" s="62">
        <f t="shared" ca="1" si="234"/>
        <v>13359.373871908256</v>
      </c>
      <c r="AJ208" s="62">
        <f t="shared" ca="1" si="235"/>
        <v>9808.7862811018549</v>
      </c>
      <c r="AK208" s="62">
        <f t="shared" ca="1" si="236"/>
        <v>460245.53623859253</v>
      </c>
      <c r="AL208" s="121"/>
      <c r="AM208" s="123">
        <f t="shared" ca="1" si="217"/>
        <v>47059.069193518124</v>
      </c>
      <c r="AN208" s="124">
        <f t="shared" ca="1" si="237"/>
        <v>47059.069193518124</v>
      </c>
      <c r="AO208" s="125">
        <f t="shared" ca="1" si="238"/>
        <v>0</v>
      </c>
      <c r="AP208" s="123">
        <f t="shared" ca="1" si="239"/>
        <v>413186.46704507439</v>
      </c>
      <c r="AQ208" s="121"/>
      <c r="AR208" s="126">
        <f ca="1">IF(LiabIntType1="Fixed",LiabFxdRate1,OFFSET(Vectors!$D$6,Vectors!A208,MATCH(LiabLoanIndex1,lstInterestRates,0))+LiabMarg1)</f>
        <v>7.9369000000000051E-2</v>
      </c>
      <c r="AS208" s="122">
        <f t="shared" ca="1" si="240"/>
        <v>0</v>
      </c>
      <c r="AT208" s="124">
        <f t="shared" ca="1" si="241"/>
        <v>0</v>
      </c>
      <c r="AU208" s="123">
        <f t="shared" ca="1" si="242"/>
        <v>0</v>
      </c>
      <c r="AV208" s="123">
        <f t="shared" ca="1" si="218"/>
        <v>0</v>
      </c>
      <c r="AW208" s="123">
        <f t="shared" ca="1" si="243"/>
        <v>0</v>
      </c>
      <c r="AX208" s="124">
        <f t="shared" ca="1" si="244"/>
        <v>413186.46704507439</v>
      </c>
      <c r="AY208" s="121"/>
      <c r="AZ208" s="122">
        <f t="shared" ca="1" si="219"/>
        <v>0</v>
      </c>
      <c r="BA208" s="124">
        <f t="shared" ca="1" si="245"/>
        <v>0</v>
      </c>
      <c r="BB208" s="123">
        <f t="shared" ca="1" si="246"/>
        <v>0</v>
      </c>
      <c r="BC208" s="123">
        <f t="shared" ca="1" si="220"/>
        <v>0</v>
      </c>
      <c r="BD208" s="123">
        <f t="shared" ca="1" si="247"/>
        <v>0</v>
      </c>
      <c r="BE208" s="124">
        <f t="shared" ca="1" si="248"/>
        <v>413186.46704507439</v>
      </c>
      <c r="BF208" s="121"/>
      <c r="BG208" s="123">
        <f t="shared" si="221"/>
        <v>1000000</v>
      </c>
      <c r="BH208" s="123">
        <f t="shared" ca="1" si="249"/>
        <v>1000000</v>
      </c>
      <c r="BI208" s="123">
        <f t="shared" ca="1" si="250"/>
        <v>0</v>
      </c>
      <c r="BJ208" s="123">
        <f t="shared" ca="1" si="251"/>
        <v>0</v>
      </c>
      <c r="BK208" s="123">
        <f t="shared" ca="1" si="208"/>
        <v>1000000</v>
      </c>
      <c r="BL208" s="123">
        <f t="shared" ca="1" si="252"/>
        <v>413186.46704507439</v>
      </c>
      <c r="BM208" s="121"/>
      <c r="BN208" s="126">
        <f ca="1">IF(LiabIntType2="Fixed",LiabFxdRate2,OFFSET(Vectors!$D$6,Vectors!A208,MATCH(LiabLoanIndex2,lstInterestRates,0))+LiabMarg2)</f>
        <v>0.04</v>
      </c>
      <c r="BO208" s="122">
        <f t="shared" ca="1" si="253"/>
        <v>30224.952415677599</v>
      </c>
      <c r="BP208" s="124">
        <f t="shared" ca="1" si="254"/>
        <v>30224.952415677599</v>
      </c>
      <c r="BQ208" s="123">
        <f t="shared" ca="1" si="255"/>
        <v>0</v>
      </c>
      <c r="BR208" s="123">
        <f t="shared" ca="1" si="256"/>
        <v>382961.51462939678</v>
      </c>
      <c r="BS208" s="121"/>
      <c r="BT208" s="123">
        <f t="shared" ca="1" si="222"/>
        <v>24643.738525489967</v>
      </c>
      <c r="BU208" s="123">
        <f t="shared" ca="1" si="257"/>
        <v>24643.738525489967</v>
      </c>
      <c r="BV208" s="123">
        <f t="shared" ca="1" si="258"/>
        <v>0</v>
      </c>
      <c r="BW208" s="123">
        <f t="shared" ca="1" si="259"/>
        <v>358317.7761039068</v>
      </c>
      <c r="BX208" s="121"/>
      <c r="BY208" s="123">
        <f t="shared" si="260"/>
        <v>0</v>
      </c>
      <c r="BZ208" s="123">
        <f t="shared" ca="1" si="261"/>
        <v>358317.7761039068</v>
      </c>
      <c r="CA208" s="121"/>
      <c r="CB208" s="122">
        <f t="shared" ca="1" si="209"/>
        <v>0</v>
      </c>
      <c r="CC208" s="122">
        <f t="shared" ca="1" si="262"/>
        <v>0</v>
      </c>
      <c r="CD208" s="124">
        <f t="shared" ca="1" si="263"/>
        <v>0</v>
      </c>
      <c r="CE208" s="121"/>
      <c r="CF208" s="122">
        <f t="shared" ca="1" si="210"/>
        <v>9042841.9861777909</v>
      </c>
      <c r="CG208" s="124">
        <f t="shared" ca="1" si="264"/>
        <v>30224.952415677599</v>
      </c>
      <c r="CH208" s="123">
        <f t="shared" ca="1" si="265"/>
        <v>24643.738525489967</v>
      </c>
      <c r="CI208" s="121"/>
      <c r="CJ208" s="123">
        <f t="shared" ca="1" si="266"/>
        <v>473604.91011050076</v>
      </c>
      <c r="CK208" s="123">
        <f t="shared" ca="1" si="267"/>
        <v>473604.91011050076</v>
      </c>
      <c r="CL208" s="123">
        <f t="shared" ca="1" si="268"/>
        <v>0</v>
      </c>
      <c r="CM208" s="121"/>
      <c r="CN208" s="62">
        <f t="shared" ca="1" si="269"/>
        <v>240358.43858665909</v>
      </c>
      <c r="CO208" s="62" t="b">
        <f t="shared" si="270"/>
        <v>1</v>
      </c>
      <c r="CP208" s="126">
        <f t="shared" ca="1" si="271"/>
        <v>5.6111111111110919E-3</v>
      </c>
      <c r="CQ208" s="120"/>
      <c r="CR208" s="120"/>
      <c r="CS208" s="120"/>
      <c r="CT208" s="120"/>
      <c r="CU208" s="120"/>
      <c r="CV208" s="120"/>
      <c r="CW208" s="120"/>
      <c r="CX208" s="120"/>
      <c r="CY208" s="120"/>
      <c r="CZ208" s="120"/>
      <c r="DA208" s="120"/>
      <c r="DB208" s="120"/>
      <c r="DC208" s="120"/>
      <c r="DD208" s="120"/>
      <c r="DE208" s="116"/>
      <c r="DF208" s="116"/>
      <c r="DG208" s="116"/>
      <c r="DH208" s="116"/>
      <c r="DI208" s="116"/>
      <c r="DJ208" s="116"/>
      <c r="DK208" s="116"/>
      <c r="DL208" s="116"/>
      <c r="DM208" s="116"/>
      <c r="DN208" s="116"/>
    </row>
    <row r="209" spans="1:118" x14ac:dyDescent="0.2">
      <c r="A209" s="27">
        <v>203</v>
      </c>
      <c r="B209" s="29">
        <f t="shared" si="204"/>
        <v>45292</v>
      </c>
      <c r="C209" s="30">
        <f t="shared" si="205"/>
        <v>8.3333333333333329E-2</v>
      </c>
      <c r="D209" s="55"/>
      <c r="E209" s="62">
        <f t="shared" ca="1" si="223"/>
        <v>74336285.959481746</v>
      </c>
      <c r="F209" s="63">
        <f ca="1">IF(AssetIntType1="Fixed",AssetFxdRate1,IF(A209=1,OFFSET(Vectors!$D$6,A209,MATCH(AssetFltIndx1,lstInterestRates,0)),IF(MOD($A209,AssetRateReset1)=0,MAX(MIN(OFFSET(Vectors!$D$6,A209,MATCH(AssetFltIndx1,lstInterestRates,0)),(F208-AssetMarg1)+AssetPdCapFl1,AssetLifeCap1-AssetMarg1),(F208-AssetMarg1)-AssetPdCapFl1,AssetLifeFloor1-AssetMarg1),F208)))+AssetMarg1</f>
        <v>0.09</v>
      </c>
      <c r="G209" s="62">
        <f t="shared" ca="1" si="211"/>
        <v>804622.61694478267</v>
      </c>
      <c r="H209" s="62">
        <f t="shared" ca="1" si="224"/>
        <v>557522.14469611307</v>
      </c>
      <c r="I209" s="62">
        <f t="shared" ca="1" si="225"/>
        <v>247100.4722486696</v>
      </c>
      <c r="J209" s="62">
        <f t="shared" ca="1" si="206"/>
        <v>74089185.487233073</v>
      </c>
      <c r="K209" s="55"/>
      <c r="L209" s="62">
        <f t="shared" ca="1" si="226"/>
        <v>27995083.077524219</v>
      </c>
      <c r="M209" s="68">
        <f ca="1">IF(pdrLossTime1="",OFFSET(Vectors!$AE$6,A209+_Age1,MATCH(SDA_Loss,lstSDA,0)),OFFSET(Vectors!$X$6,A209+_Age1,MATCH(pdrLossTime1,lstDefaultCurve,0)))</f>
        <v>2.7777777777777779E-5</v>
      </c>
      <c r="N209" s="62">
        <f t="shared" ca="1" si="212"/>
        <v>2777.7777777777778</v>
      </c>
      <c r="O209" s="67">
        <f t="shared" ca="1" si="227"/>
        <v>0.74089185487233078</v>
      </c>
      <c r="P209" s="68">
        <f ca="1">OFFSET(Vectors!$L$6,A209+_Age1,MATCH(pdrPrepay1,lstPrepayCurve,0))*pdrPrepayStress1</f>
        <v>5.1430128318229462E-3</v>
      </c>
      <c r="Q209" s="62">
        <f t="shared" ca="1" si="228"/>
        <v>143500.47216692631</v>
      </c>
      <c r="R209" s="62">
        <f t="shared" ca="1" si="229"/>
        <v>93048.929868062769</v>
      </c>
      <c r="S209" s="69">
        <f t="shared" ca="1" si="230"/>
        <v>0.09</v>
      </c>
      <c r="T209" s="62">
        <f t="shared" ca="1" si="231"/>
        <v>209942.28974809832</v>
      </c>
      <c r="U209" s="62">
        <f t="shared" ca="1" si="213"/>
        <v>1111.1111111111111</v>
      </c>
      <c r="V209" s="62">
        <f t="shared" ca="1" si="207"/>
        <v>27755755.897711456</v>
      </c>
      <c r="W209" s="55"/>
      <c r="X209" s="62">
        <f t="shared" ca="1" si="232"/>
        <v>447602.80289419857</v>
      </c>
      <c r="Y209" s="55"/>
      <c r="Z209" s="118" t="b">
        <v>0</v>
      </c>
      <c r="AA209" s="120" t="b">
        <f t="shared" si="214"/>
        <v>0</v>
      </c>
      <c r="AB209" s="120" t="b">
        <f t="shared" si="215"/>
        <v>1</v>
      </c>
      <c r="AC209" s="120" t="b">
        <f t="shared" ca="1" si="216"/>
        <v>0</v>
      </c>
      <c r="AD209" s="121"/>
      <c r="AE209" s="129">
        <v>3875348.5581311435</v>
      </c>
      <c r="AF209" s="69">
        <f ca="1">IF(Swap_Active="No",0,OFFSET(Vectors!$D$6,Vectors!A209,MATCH(Swap_In,lstInterestRates,0)))</f>
        <v>6.9369000000000056E-2</v>
      </c>
      <c r="AG209" s="62">
        <f t="shared" ca="1" si="233"/>
        <v>22402.421177416625</v>
      </c>
      <c r="AH209" s="69">
        <f ca="1">IF(Swap_Active="No",0,OFFSET(Vectors!$D$6,Vectors!A209,MATCH(Swap_Out,lstInterestRates,0)))</f>
        <v>0.04</v>
      </c>
      <c r="AI209" s="62">
        <f t="shared" ca="1" si="234"/>
        <v>12917.828527103811</v>
      </c>
      <c r="AJ209" s="62">
        <f t="shared" ca="1" si="235"/>
        <v>9484.5926503128139</v>
      </c>
      <c r="AK209" s="62">
        <f t="shared" ca="1" si="236"/>
        <v>457087.39554451138</v>
      </c>
      <c r="AL209" s="121"/>
      <c r="AM209" s="123">
        <f t="shared" ca="1" si="217"/>
        <v>46658.471795873695</v>
      </c>
      <c r="AN209" s="124">
        <f t="shared" ca="1" si="237"/>
        <v>46658.471795873695</v>
      </c>
      <c r="AO209" s="125">
        <f t="shared" ca="1" si="238"/>
        <v>0</v>
      </c>
      <c r="AP209" s="123">
        <f t="shared" ca="1" si="239"/>
        <v>410428.92374863767</v>
      </c>
      <c r="AQ209" s="121"/>
      <c r="AR209" s="126">
        <f ca="1">IF(LiabIntType1="Fixed",LiabFxdRate1,OFFSET(Vectors!$D$6,Vectors!A209,MATCH(LiabLoanIndex1,lstInterestRates,0))+LiabMarg1)</f>
        <v>7.9369000000000051E-2</v>
      </c>
      <c r="AS209" s="122">
        <f t="shared" ca="1" si="240"/>
        <v>0</v>
      </c>
      <c r="AT209" s="124">
        <f t="shared" ca="1" si="241"/>
        <v>0</v>
      </c>
      <c r="AU209" s="123">
        <f t="shared" ca="1" si="242"/>
        <v>0</v>
      </c>
      <c r="AV209" s="123">
        <f t="shared" ca="1" si="218"/>
        <v>0</v>
      </c>
      <c r="AW209" s="123">
        <f t="shared" ca="1" si="243"/>
        <v>0</v>
      </c>
      <c r="AX209" s="124">
        <f t="shared" ca="1" si="244"/>
        <v>410428.92374863767</v>
      </c>
      <c r="AY209" s="121"/>
      <c r="AZ209" s="122">
        <f t="shared" ca="1" si="219"/>
        <v>0</v>
      </c>
      <c r="BA209" s="124">
        <f t="shared" ca="1" si="245"/>
        <v>0</v>
      </c>
      <c r="BB209" s="123">
        <f t="shared" ca="1" si="246"/>
        <v>0</v>
      </c>
      <c r="BC209" s="123">
        <f t="shared" ca="1" si="220"/>
        <v>0</v>
      </c>
      <c r="BD209" s="123">
        <f t="shared" ca="1" si="247"/>
        <v>0</v>
      </c>
      <c r="BE209" s="124">
        <f t="shared" ca="1" si="248"/>
        <v>410428.92374863767</v>
      </c>
      <c r="BF209" s="121"/>
      <c r="BG209" s="123">
        <f t="shared" si="221"/>
        <v>1000000</v>
      </c>
      <c r="BH209" s="123">
        <f t="shared" ca="1" si="249"/>
        <v>1000000</v>
      </c>
      <c r="BI209" s="123">
        <f t="shared" ca="1" si="250"/>
        <v>0</v>
      </c>
      <c r="BJ209" s="123">
        <f t="shared" ca="1" si="251"/>
        <v>0</v>
      </c>
      <c r="BK209" s="123">
        <f t="shared" ca="1" si="208"/>
        <v>1000000</v>
      </c>
      <c r="BL209" s="123">
        <f t="shared" ca="1" si="252"/>
        <v>410428.92374863767</v>
      </c>
      <c r="BM209" s="121"/>
      <c r="BN209" s="126">
        <f ca="1">IF(LiabIntType2="Fixed",LiabFxdRate2,OFFSET(Vectors!$D$6,Vectors!A209,MATCH(LiabLoanIndex2,lstInterestRates,0))+LiabMarg2)</f>
        <v>0.04</v>
      </c>
      <c r="BO209" s="122">
        <f t="shared" ca="1" si="253"/>
        <v>30142.806620592633</v>
      </c>
      <c r="BP209" s="124">
        <f t="shared" ca="1" si="254"/>
        <v>30142.806620592633</v>
      </c>
      <c r="BQ209" s="123">
        <f t="shared" ca="1" si="255"/>
        <v>0</v>
      </c>
      <c r="BR209" s="123">
        <f t="shared" ca="1" si="256"/>
        <v>380286.11712804501</v>
      </c>
      <c r="BS209" s="121"/>
      <c r="BT209" s="123">
        <f t="shared" ca="1" si="222"/>
        <v>24538.00447377389</v>
      </c>
      <c r="BU209" s="123">
        <f t="shared" ca="1" si="257"/>
        <v>24538.00447377389</v>
      </c>
      <c r="BV209" s="123">
        <f t="shared" ca="1" si="258"/>
        <v>0</v>
      </c>
      <c r="BW209" s="123">
        <f t="shared" ca="1" si="259"/>
        <v>355748.11265427113</v>
      </c>
      <c r="BX209" s="121"/>
      <c r="BY209" s="123">
        <f t="shared" si="260"/>
        <v>0</v>
      </c>
      <c r="BZ209" s="123">
        <f t="shared" ca="1" si="261"/>
        <v>355748.11265427113</v>
      </c>
      <c r="CA209" s="121"/>
      <c r="CB209" s="122">
        <f t="shared" ca="1" si="209"/>
        <v>0</v>
      </c>
      <c r="CC209" s="122">
        <f t="shared" ca="1" si="262"/>
        <v>0</v>
      </c>
      <c r="CD209" s="124">
        <f t="shared" ca="1" si="263"/>
        <v>0</v>
      </c>
      <c r="CE209" s="121"/>
      <c r="CF209" s="122">
        <f t="shared" ca="1" si="210"/>
        <v>9018303.9817040171</v>
      </c>
      <c r="CG209" s="124">
        <f t="shared" ca="1" si="264"/>
        <v>30142.806620592633</v>
      </c>
      <c r="CH209" s="123">
        <f t="shared" ca="1" si="265"/>
        <v>24538.00447377389</v>
      </c>
      <c r="CI209" s="121"/>
      <c r="CJ209" s="123">
        <f t="shared" ca="1" si="266"/>
        <v>470005.2240716152</v>
      </c>
      <c r="CK209" s="123">
        <f t="shared" ca="1" si="267"/>
        <v>470005.22407161514</v>
      </c>
      <c r="CL209" s="123">
        <f t="shared" ca="1" si="268"/>
        <v>0</v>
      </c>
      <c r="CM209" s="121"/>
      <c r="CN209" s="62">
        <f t="shared" ca="1" si="269"/>
        <v>239327.17981276684</v>
      </c>
      <c r="CO209" s="62" t="b">
        <f t="shared" si="270"/>
        <v>1</v>
      </c>
      <c r="CP209" s="126">
        <f t="shared" ca="1" si="271"/>
        <v>5.6388888888888695E-3</v>
      </c>
      <c r="CQ209" s="120"/>
      <c r="CR209" s="120"/>
      <c r="CS209" s="120"/>
      <c r="CT209" s="120"/>
      <c r="CU209" s="120"/>
      <c r="CV209" s="120"/>
      <c r="CW209" s="120"/>
      <c r="CX209" s="120"/>
      <c r="CY209" s="120"/>
      <c r="CZ209" s="120"/>
      <c r="DA209" s="120"/>
      <c r="DB209" s="120"/>
      <c r="DC209" s="120"/>
      <c r="DD209" s="120"/>
      <c r="DE209" s="116"/>
      <c r="DF209" s="116"/>
      <c r="DG209" s="116"/>
      <c r="DH209" s="116"/>
      <c r="DI209" s="116"/>
      <c r="DJ209" s="116"/>
      <c r="DK209" s="116"/>
      <c r="DL209" s="116"/>
      <c r="DM209" s="116"/>
      <c r="DN209" s="116"/>
    </row>
    <row r="210" spans="1:118" x14ac:dyDescent="0.2">
      <c r="A210" s="27">
        <v>204</v>
      </c>
      <c r="B210" s="29">
        <f t="shared" si="204"/>
        <v>45323</v>
      </c>
      <c r="C210" s="30">
        <f t="shared" si="205"/>
        <v>8.3333333333333329E-2</v>
      </c>
      <c r="D210" s="55"/>
      <c r="E210" s="62">
        <f t="shared" ca="1" si="223"/>
        <v>74089185.487233073</v>
      </c>
      <c r="F210" s="63">
        <f ca="1">IF(AssetIntType1="Fixed",AssetFxdRate1,IF(A210=1,OFFSET(Vectors!$D$6,A210,MATCH(AssetFltIndx1,lstInterestRates,0)),IF(MOD($A210,AssetRateReset1)=0,MAX(MIN(OFFSET(Vectors!$D$6,A210,MATCH(AssetFltIndx1,lstInterestRates,0)),(F209-AssetMarg1)+AssetPdCapFl1,AssetLifeCap1-AssetMarg1),(F209-AssetMarg1)-AssetPdCapFl1,AssetLifeFloor1-AssetMarg1),F209)))+AssetMarg1</f>
        <v>0.09</v>
      </c>
      <c r="G210" s="62">
        <f t="shared" ca="1" si="211"/>
        <v>804622.61694478267</v>
      </c>
      <c r="H210" s="62">
        <f t="shared" ca="1" si="224"/>
        <v>555668.89115424803</v>
      </c>
      <c r="I210" s="62">
        <f t="shared" ca="1" si="225"/>
        <v>248953.72579053463</v>
      </c>
      <c r="J210" s="62">
        <f t="shared" ca="1" si="206"/>
        <v>73840231.761442542</v>
      </c>
      <c r="K210" s="55"/>
      <c r="L210" s="62">
        <f t="shared" ca="1" si="226"/>
        <v>27755755.897711456</v>
      </c>
      <c r="M210" s="68">
        <f ca="1">IF(pdrLossTime1="",OFFSET(Vectors!$AE$6,A210+_Age1,MATCH(SDA_Loss,lstSDA,0)),OFFSET(Vectors!$X$6,A210+_Age1,MATCH(pdrLossTime1,lstDefaultCurve,0)))</f>
        <v>2.7777777777777779E-5</v>
      </c>
      <c r="N210" s="62">
        <f t="shared" ca="1" si="212"/>
        <v>2777.7777777777778</v>
      </c>
      <c r="O210" s="67">
        <f t="shared" ca="1" si="227"/>
        <v>0.73840231761442543</v>
      </c>
      <c r="P210" s="68">
        <f ca="1">OFFSET(Vectors!$L$6,A210+_Age1,MATCH(pdrPrepay1,lstPrepayCurve,0))*pdrPrepayStress1</f>
        <v>5.1430128318229462E-3</v>
      </c>
      <c r="Q210" s="62">
        <f t="shared" ca="1" si="228"/>
        <v>142268.54766308196</v>
      </c>
      <c r="R210" s="62">
        <f t="shared" ca="1" si="229"/>
        <v>93255.274157808017</v>
      </c>
      <c r="S210" s="69">
        <f t="shared" ca="1" si="230"/>
        <v>0.09</v>
      </c>
      <c r="T210" s="62">
        <f t="shared" ca="1" si="231"/>
        <v>208147.33589950259</v>
      </c>
      <c r="U210" s="62">
        <f t="shared" ca="1" si="213"/>
        <v>1111.1111111111111</v>
      </c>
      <c r="V210" s="62">
        <f t="shared" ca="1" si="207"/>
        <v>27517454.298112791</v>
      </c>
      <c r="W210" s="55"/>
      <c r="X210" s="62">
        <f t="shared" ca="1" si="232"/>
        <v>444782.26883150369</v>
      </c>
      <c r="Y210" s="55"/>
      <c r="Z210" s="118" t="b">
        <v>0</v>
      </c>
      <c r="AA210" s="120" t="b">
        <f t="shared" si="214"/>
        <v>0</v>
      </c>
      <c r="AB210" s="120" t="b">
        <f t="shared" si="215"/>
        <v>1</v>
      </c>
      <c r="AC210" s="120" t="b">
        <f t="shared" ca="1" si="216"/>
        <v>0</v>
      </c>
      <c r="AD210" s="121"/>
      <c r="AE210" s="129">
        <v>3744298.958501162</v>
      </c>
      <c r="AF210" s="69">
        <f ca="1">IF(Swap_Active="No",0,OFFSET(Vectors!$D$6,Vectors!A210,MATCH(Swap_In,lstInterestRates,0)))</f>
        <v>6.9369000000000056E-2</v>
      </c>
      <c r="AG210" s="62">
        <f t="shared" ca="1" si="233"/>
        <v>21644.856204355608</v>
      </c>
      <c r="AH210" s="69">
        <f ca="1">IF(Swap_Active="No",0,OFFSET(Vectors!$D$6,Vectors!A210,MATCH(Swap_Out,lstInterestRates,0)))</f>
        <v>0.04</v>
      </c>
      <c r="AI210" s="62">
        <f t="shared" ca="1" si="234"/>
        <v>12480.996528337208</v>
      </c>
      <c r="AJ210" s="62">
        <f t="shared" ca="1" si="235"/>
        <v>9163.8596760184009</v>
      </c>
      <c r="AK210" s="62">
        <f t="shared" ca="1" si="236"/>
        <v>453946.12850752211</v>
      </c>
      <c r="AL210" s="121"/>
      <c r="AM210" s="123">
        <f t="shared" ca="1" si="217"/>
        <v>46259.593162852427</v>
      </c>
      <c r="AN210" s="124">
        <f t="shared" ca="1" si="237"/>
        <v>46259.593162852427</v>
      </c>
      <c r="AO210" s="125">
        <f t="shared" ca="1" si="238"/>
        <v>0</v>
      </c>
      <c r="AP210" s="123">
        <f t="shared" ca="1" si="239"/>
        <v>407686.53534466971</v>
      </c>
      <c r="AQ210" s="121"/>
      <c r="AR210" s="126">
        <f ca="1">IF(LiabIntType1="Fixed",LiabFxdRate1,OFFSET(Vectors!$D$6,Vectors!A210,MATCH(LiabLoanIndex1,lstInterestRates,0))+LiabMarg1)</f>
        <v>7.9369000000000051E-2</v>
      </c>
      <c r="AS210" s="122">
        <f t="shared" ca="1" si="240"/>
        <v>0</v>
      </c>
      <c r="AT210" s="124">
        <f t="shared" ca="1" si="241"/>
        <v>0</v>
      </c>
      <c r="AU210" s="123">
        <f t="shared" ca="1" si="242"/>
        <v>0</v>
      </c>
      <c r="AV210" s="123">
        <f t="shared" ca="1" si="218"/>
        <v>0</v>
      </c>
      <c r="AW210" s="123">
        <f t="shared" ca="1" si="243"/>
        <v>0</v>
      </c>
      <c r="AX210" s="124">
        <f t="shared" ca="1" si="244"/>
        <v>407686.53534466971</v>
      </c>
      <c r="AY210" s="121"/>
      <c r="AZ210" s="122">
        <f t="shared" ca="1" si="219"/>
        <v>0</v>
      </c>
      <c r="BA210" s="124">
        <f t="shared" ca="1" si="245"/>
        <v>0</v>
      </c>
      <c r="BB210" s="123">
        <f t="shared" ca="1" si="246"/>
        <v>0</v>
      </c>
      <c r="BC210" s="123">
        <f t="shared" ca="1" si="220"/>
        <v>0</v>
      </c>
      <c r="BD210" s="123">
        <f t="shared" ca="1" si="247"/>
        <v>0</v>
      </c>
      <c r="BE210" s="124">
        <f t="shared" ca="1" si="248"/>
        <v>407686.53534466971</v>
      </c>
      <c r="BF210" s="121"/>
      <c r="BG210" s="123">
        <f t="shared" si="221"/>
        <v>1000000</v>
      </c>
      <c r="BH210" s="123">
        <f t="shared" ca="1" si="249"/>
        <v>1000000</v>
      </c>
      <c r="BI210" s="123">
        <f t="shared" ca="1" si="250"/>
        <v>0</v>
      </c>
      <c r="BJ210" s="123">
        <f t="shared" ca="1" si="251"/>
        <v>0</v>
      </c>
      <c r="BK210" s="123">
        <f t="shared" ca="1" si="208"/>
        <v>1000000</v>
      </c>
      <c r="BL210" s="123">
        <f t="shared" ca="1" si="252"/>
        <v>407686.53534466971</v>
      </c>
      <c r="BM210" s="121"/>
      <c r="BN210" s="126">
        <f ca="1">IF(LiabIntType2="Fixed",LiabFxdRate2,OFFSET(Vectors!$D$6,Vectors!A210,MATCH(LiabLoanIndex2,lstInterestRates,0))+LiabMarg2)</f>
        <v>0.04</v>
      </c>
      <c r="BO210" s="122">
        <f t="shared" ca="1" si="253"/>
        <v>30061.013272346721</v>
      </c>
      <c r="BP210" s="124">
        <f t="shared" ca="1" si="254"/>
        <v>30061.013272346721</v>
      </c>
      <c r="BQ210" s="123">
        <f t="shared" ca="1" si="255"/>
        <v>0</v>
      </c>
      <c r="BR210" s="123">
        <f t="shared" ca="1" si="256"/>
        <v>377625.52207232302</v>
      </c>
      <c r="BS210" s="121"/>
      <c r="BT210" s="123">
        <f t="shared" ca="1" si="222"/>
        <v>24432.852639780504</v>
      </c>
      <c r="BU210" s="123">
        <f t="shared" ca="1" si="257"/>
        <v>24432.852639780504</v>
      </c>
      <c r="BV210" s="123">
        <f t="shared" ca="1" si="258"/>
        <v>0</v>
      </c>
      <c r="BW210" s="123">
        <f t="shared" ca="1" si="259"/>
        <v>353192.66943254252</v>
      </c>
      <c r="BX210" s="121"/>
      <c r="BY210" s="123">
        <f t="shared" si="260"/>
        <v>0</v>
      </c>
      <c r="BZ210" s="123">
        <f t="shared" ca="1" si="261"/>
        <v>353192.66943254252</v>
      </c>
      <c r="CA210" s="121"/>
      <c r="CB210" s="122">
        <f t="shared" ca="1" si="209"/>
        <v>0</v>
      </c>
      <c r="CC210" s="122">
        <f t="shared" ca="1" si="262"/>
        <v>0</v>
      </c>
      <c r="CD210" s="124">
        <f t="shared" ca="1" si="263"/>
        <v>0</v>
      </c>
      <c r="CE210" s="121"/>
      <c r="CF210" s="122">
        <f t="shared" ca="1" si="210"/>
        <v>8993871.1290642358</v>
      </c>
      <c r="CG210" s="124">
        <f t="shared" ca="1" si="264"/>
        <v>30061.013272346721</v>
      </c>
      <c r="CH210" s="123">
        <f t="shared" ca="1" si="265"/>
        <v>24432.852639780504</v>
      </c>
      <c r="CI210" s="121"/>
      <c r="CJ210" s="123">
        <f t="shared" ca="1" si="266"/>
        <v>466427.1250358593</v>
      </c>
      <c r="CK210" s="123">
        <f t="shared" ca="1" si="267"/>
        <v>466427.12503585941</v>
      </c>
      <c r="CL210" s="123">
        <f t="shared" ca="1" si="268"/>
        <v>0</v>
      </c>
      <c r="CM210" s="121"/>
      <c r="CN210" s="62">
        <f t="shared" ca="1" si="269"/>
        <v>238301.59959866776</v>
      </c>
      <c r="CO210" s="62" t="b">
        <f t="shared" si="270"/>
        <v>1</v>
      </c>
      <c r="CP210" s="126">
        <f t="shared" ca="1" si="271"/>
        <v>5.6666666666666471E-3</v>
      </c>
      <c r="CQ210" s="120"/>
      <c r="CR210" s="120"/>
      <c r="CS210" s="120"/>
      <c r="CT210" s="120"/>
      <c r="CU210" s="120"/>
      <c r="CV210" s="120"/>
      <c r="CW210" s="120"/>
      <c r="CX210" s="120"/>
      <c r="CY210" s="120"/>
      <c r="CZ210" s="120"/>
      <c r="DA210" s="120"/>
      <c r="DB210" s="120"/>
      <c r="DC210" s="120"/>
      <c r="DD210" s="120"/>
      <c r="DE210" s="116"/>
      <c r="DF210" s="116"/>
      <c r="DG210" s="116"/>
      <c r="DH210" s="116"/>
      <c r="DI210" s="116"/>
      <c r="DJ210" s="116"/>
      <c r="DK210" s="116"/>
      <c r="DL210" s="116"/>
      <c r="DM210" s="116"/>
      <c r="DN210" s="116"/>
    </row>
    <row r="211" spans="1:118" x14ac:dyDescent="0.2">
      <c r="A211" s="27">
        <v>205</v>
      </c>
      <c r="B211" s="29">
        <f t="shared" si="204"/>
        <v>45352</v>
      </c>
      <c r="C211" s="30">
        <f t="shared" si="205"/>
        <v>8.3333333333333329E-2</v>
      </c>
      <c r="D211" s="55"/>
      <c r="E211" s="62">
        <f t="shared" ca="1" si="223"/>
        <v>73840231.761442542</v>
      </c>
      <c r="F211" s="63">
        <f ca="1">IF(AssetIntType1="Fixed",AssetFxdRate1,IF(A211=1,OFFSET(Vectors!$D$6,A211,MATCH(AssetFltIndx1,lstInterestRates,0)),IF(MOD($A211,AssetRateReset1)=0,MAX(MIN(OFFSET(Vectors!$D$6,A211,MATCH(AssetFltIndx1,lstInterestRates,0)),(F210-AssetMarg1)+AssetPdCapFl1,AssetLifeCap1-AssetMarg1),(F210-AssetMarg1)-AssetPdCapFl1,AssetLifeFloor1-AssetMarg1),F210)))+AssetMarg1</f>
        <v>0.09</v>
      </c>
      <c r="G211" s="62">
        <f t="shared" ca="1" si="211"/>
        <v>804622.61694478267</v>
      </c>
      <c r="H211" s="62">
        <f t="shared" ca="1" si="224"/>
        <v>553801.73821081908</v>
      </c>
      <c r="I211" s="62">
        <f t="shared" ca="1" si="225"/>
        <v>250820.87873396359</v>
      </c>
      <c r="J211" s="62">
        <f t="shared" ca="1" si="206"/>
        <v>73589410.882708579</v>
      </c>
      <c r="K211" s="55"/>
      <c r="L211" s="62">
        <f t="shared" ca="1" si="226"/>
        <v>27517454.298112791</v>
      </c>
      <c r="M211" s="68">
        <f ca="1">IF(pdrLossTime1="",OFFSET(Vectors!$AE$6,A211+_Age1,MATCH(SDA_Loss,lstSDA,0)),OFFSET(Vectors!$X$6,A211+_Age1,MATCH(pdrLossTime1,lstDefaultCurve,0)))</f>
        <v>2.7777777777777779E-5</v>
      </c>
      <c r="N211" s="62">
        <f t="shared" ca="1" si="212"/>
        <v>2777.7777777777778</v>
      </c>
      <c r="O211" s="67">
        <f t="shared" ca="1" si="227"/>
        <v>0.73589410882708584</v>
      </c>
      <c r="P211" s="68">
        <f ca="1">OFFSET(Vectors!$L$6,A211+_Age1,MATCH(pdrPrepay1,lstPrepayCurve,0))*pdrPrepayStress1</f>
        <v>5.1430128318229462E-3</v>
      </c>
      <c r="Q211" s="62">
        <f t="shared" ca="1" si="228"/>
        <v>141041.89578947032</v>
      </c>
      <c r="R211" s="62">
        <f t="shared" ca="1" si="229"/>
        <v>93461.994610297275</v>
      </c>
      <c r="S211" s="69">
        <f t="shared" ca="1" si="230"/>
        <v>0.09</v>
      </c>
      <c r="T211" s="62">
        <f t="shared" ca="1" si="231"/>
        <v>206360.07390251261</v>
      </c>
      <c r="U211" s="62">
        <f t="shared" ca="1" si="213"/>
        <v>1111.1111111111111</v>
      </c>
      <c r="V211" s="62">
        <f t="shared" ca="1" si="207"/>
        <v>27280172.629935246</v>
      </c>
      <c r="W211" s="55"/>
      <c r="X211" s="62">
        <f t="shared" ca="1" si="232"/>
        <v>441975.07541339134</v>
      </c>
      <c r="Y211" s="55"/>
      <c r="Z211" s="118" t="b">
        <v>0</v>
      </c>
      <c r="AA211" s="120" t="b">
        <f t="shared" si="214"/>
        <v>0</v>
      </c>
      <c r="AB211" s="120" t="b">
        <f t="shared" si="215"/>
        <v>1</v>
      </c>
      <c r="AC211" s="120" t="b">
        <f t="shared" ca="1" si="216"/>
        <v>0</v>
      </c>
      <c r="AD211" s="121"/>
      <c r="AE211" s="129">
        <v>3614649.0677312356</v>
      </c>
      <c r="AF211" s="69">
        <f ca="1">IF(Swap_Active="No",0,OFFSET(Vectors!$D$6,Vectors!A211,MATCH(Swap_In,lstInterestRates,0)))</f>
        <v>6.9369000000000056E-2</v>
      </c>
      <c r="AG211" s="62">
        <f t="shared" ca="1" si="233"/>
        <v>20895.382598287357</v>
      </c>
      <c r="AH211" s="69">
        <f ca="1">IF(Swap_Active="No",0,OFFSET(Vectors!$D$6,Vectors!A211,MATCH(Swap_Out,lstInterestRates,0)))</f>
        <v>0.04</v>
      </c>
      <c r="AI211" s="62">
        <f t="shared" ca="1" si="234"/>
        <v>12048.830225770786</v>
      </c>
      <c r="AJ211" s="62">
        <f t="shared" ca="1" si="235"/>
        <v>8846.5523725165713</v>
      </c>
      <c r="AK211" s="62">
        <f t="shared" ca="1" si="236"/>
        <v>450821.62778590794</v>
      </c>
      <c r="AL211" s="121"/>
      <c r="AM211" s="123">
        <f t="shared" ca="1" si="217"/>
        <v>45862.423830187981</v>
      </c>
      <c r="AN211" s="124">
        <f t="shared" ca="1" si="237"/>
        <v>45862.423830187981</v>
      </c>
      <c r="AO211" s="125">
        <f t="shared" ca="1" si="238"/>
        <v>0</v>
      </c>
      <c r="AP211" s="123">
        <f t="shared" ca="1" si="239"/>
        <v>404959.20395571995</v>
      </c>
      <c r="AQ211" s="121"/>
      <c r="AR211" s="126">
        <f ca="1">IF(LiabIntType1="Fixed",LiabFxdRate1,OFFSET(Vectors!$D$6,Vectors!A211,MATCH(LiabLoanIndex1,lstInterestRates,0))+LiabMarg1)</f>
        <v>7.9369000000000051E-2</v>
      </c>
      <c r="AS211" s="122">
        <f t="shared" ca="1" si="240"/>
        <v>0</v>
      </c>
      <c r="AT211" s="124">
        <f t="shared" ca="1" si="241"/>
        <v>0</v>
      </c>
      <c r="AU211" s="123">
        <f t="shared" ca="1" si="242"/>
        <v>0</v>
      </c>
      <c r="AV211" s="123">
        <f t="shared" ca="1" si="218"/>
        <v>0</v>
      </c>
      <c r="AW211" s="123">
        <f t="shared" ca="1" si="243"/>
        <v>0</v>
      </c>
      <c r="AX211" s="124">
        <f t="shared" ca="1" si="244"/>
        <v>404959.20395571995</v>
      </c>
      <c r="AY211" s="121"/>
      <c r="AZ211" s="122">
        <f t="shared" ca="1" si="219"/>
        <v>0</v>
      </c>
      <c r="BA211" s="124">
        <f t="shared" ca="1" si="245"/>
        <v>0</v>
      </c>
      <c r="BB211" s="123">
        <f t="shared" ca="1" si="246"/>
        <v>0</v>
      </c>
      <c r="BC211" s="123">
        <f t="shared" ca="1" si="220"/>
        <v>0</v>
      </c>
      <c r="BD211" s="123">
        <f t="shared" ca="1" si="247"/>
        <v>0</v>
      </c>
      <c r="BE211" s="124">
        <f t="shared" ca="1" si="248"/>
        <v>404959.20395571995</v>
      </c>
      <c r="BF211" s="121"/>
      <c r="BG211" s="123">
        <f t="shared" si="221"/>
        <v>1000000</v>
      </c>
      <c r="BH211" s="123">
        <f t="shared" ca="1" si="249"/>
        <v>1000000</v>
      </c>
      <c r="BI211" s="123">
        <f t="shared" ca="1" si="250"/>
        <v>0</v>
      </c>
      <c r="BJ211" s="123">
        <f t="shared" ca="1" si="251"/>
        <v>0</v>
      </c>
      <c r="BK211" s="123">
        <f t="shared" ca="1" si="208"/>
        <v>1000000</v>
      </c>
      <c r="BL211" s="123">
        <f t="shared" ca="1" si="252"/>
        <v>404959.20395571995</v>
      </c>
      <c r="BM211" s="121"/>
      <c r="BN211" s="126">
        <f ca="1">IF(LiabIntType2="Fixed",LiabFxdRate2,OFFSET(Vectors!$D$6,Vectors!A211,MATCH(LiabLoanIndex2,lstInterestRates,0))+LiabMarg2)</f>
        <v>0.04</v>
      </c>
      <c r="BO211" s="122">
        <f t="shared" ca="1" si="253"/>
        <v>29979.570430214117</v>
      </c>
      <c r="BP211" s="124">
        <f t="shared" ca="1" si="254"/>
        <v>29979.570430214117</v>
      </c>
      <c r="BQ211" s="123">
        <f t="shared" ca="1" si="255"/>
        <v>0</v>
      </c>
      <c r="BR211" s="123">
        <f t="shared" ca="1" si="256"/>
        <v>374979.63352550584</v>
      </c>
      <c r="BS211" s="121"/>
      <c r="BT211" s="123">
        <f t="shared" ca="1" si="222"/>
        <v>24328.279971544394</v>
      </c>
      <c r="BU211" s="123">
        <f t="shared" ca="1" si="257"/>
        <v>24328.279971544394</v>
      </c>
      <c r="BV211" s="123">
        <f t="shared" ca="1" si="258"/>
        <v>0</v>
      </c>
      <c r="BW211" s="123">
        <f t="shared" ca="1" si="259"/>
        <v>350651.35355396144</v>
      </c>
      <c r="BX211" s="121"/>
      <c r="BY211" s="123">
        <f t="shared" si="260"/>
        <v>0</v>
      </c>
      <c r="BZ211" s="123">
        <f t="shared" ca="1" si="261"/>
        <v>350651.35355396144</v>
      </c>
      <c r="CA211" s="121"/>
      <c r="CB211" s="122">
        <f t="shared" ca="1" si="209"/>
        <v>0</v>
      </c>
      <c r="CC211" s="122">
        <f t="shared" ca="1" si="262"/>
        <v>0</v>
      </c>
      <c r="CD211" s="124">
        <f t="shared" ca="1" si="263"/>
        <v>0</v>
      </c>
      <c r="CE211" s="121"/>
      <c r="CF211" s="122">
        <f t="shared" ca="1" si="210"/>
        <v>8969542.8490926921</v>
      </c>
      <c r="CG211" s="124">
        <f t="shared" ca="1" si="264"/>
        <v>29979.570430214117</v>
      </c>
      <c r="CH211" s="123">
        <f t="shared" ca="1" si="265"/>
        <v>24328.279971544394</v>
      </c>
      <c r="CI211" s="121"/>
      <c r="CJ211" s="123">
        <f t="shared" ca="1" si="266"/>
        <v>462870.45801167871</v>
      </c>
      <c r="CK211" s="123">
        <f t="shared" ca="1" si="267"/>
        <v>462870.45801167871</v>
      </c>
      <c r="CL211" s="123">
        <f t="shared" ca="1" si="268"/>
        <v>0</v>
      </c>
      <c r="CM211" s="121"/>
      <c r="CN211" s="62">
        <f t="shared" ca="1" si="269"/>
        <v>237281.66817754536</v>
      </c>
      <c r="CO211" s="62" t="b">
        <f t="shared" si="270"/>
        <v>1</v>
      </c>
      <c r="CP211" s="126">
        <f t="shared" ca="1" si="271"/>
        <v>5.6944444444444247E-3</v>
      </c>
      <c r="CQ211" s="120"/>
      <c r="CR211" s="120"/>
      <c r="CS211" s="120"/>
      <c r="CT211" s="120"/>
      <c r="CU211" s="120"/>
      <c r="CV211" s="120"/>
      <c r="CW211" s="120"/>
      <c r="CX211" s="120"/>
      <c r="CY211" s="120"/>
      <c r="CZ211" s="120"/>
      <c r="DA211" s="120"/>
      <c r="DB211" s="120"/>
      <c r="DC211" s="120"/>
      <c r="DD211" s="120"/>
      <c r="DE211" s="116"/>
      <c r="DF211" s="116"/>
      <c r="DG211" s="116"/>
      <c r="DH211" s="116"/>
      <c r="DI211" s="116"/>
      <c r="DJ211" s="116"/>
      <c r="DK211" s="116"/>
      <c r="DL211" s="116"/>
      <c r="DM211" s="116"/>
      <c r="DN211" s="116"/>
    </row>
    <row r="212" spans="1:118" x14ac:dyDescent="0.2">
      <c r="A212" s="27">
        <v>206</v>
      </c>
      <c r="B212" s="29">
        <f t="shared" si="204"/>
        <v>45383</v>
      </c>
      <c r="C212" s="30">
        <f t="shared" si="205"/>
        <v>8.3333333333333329E-2</v>
      </c>
      <c r="D212" s="55"/>
      <c r="E212" s="62">
        <f t="shared" ca="1" si="223"/>
        <v>73589410.882708579</v>
      </c>
      <c r="F212" s="63">
        <f ca="1">IF(AssetIntType1="Fixed",AssetFxdRate1,IF(A212=1,OFFSET(Vectors!$D$6,A212,MATCH(AssetFltIndx1,lstInterestRates,0)),IF(MOD($A212,AssetRateReset1)=0,MAX(MIN(OFFSET(Vectors!$D$6,A212,MATCH(AssetFltIndx1,lstInterestRates,0)),(F211-AssetMarg1)+AssetPdCapFl1,AssetLifeCap1-AssetMarg1),(F211-AssetMarg1)-AssetPdCapFl1,AssetLifeFloor1-AssetMarg1),F211)))+AssetMarg1</f>
        <v>0.09</v>
      </c>
      <c r="G212" s="62">
        <f t="shared" ca="1" si="211"/>
        <v>804622.61694478267</v>
      </c>
      <c r="H212" s="62">
        <f t="shared" ca="1" si="224"/>
        <v>551920.58162031427</v>
      </c>
      <c r="I212" s="62">
        <f t="shared" ca="1" si="225"/>
        <v>252702.03532446839</v>
      </c>
      <c r="J212" s="62">
        <f t="shared" ca="1" si="206"/>
        <v>73336708.84738411</v>
      </c>
      <c r="K212" s="55"/>
      <c r="L212" s="62">
        <f t="shared" ca="1" si="226"/>
        <v>27280172.629935246</v>
      </c>
      <c r="M212" s="68">
        <f ca="1">IF(pdrLossTime1="",OFFSET(Vectors!$AE$6,A212+_Age1,MATCH(SDA_Loss,lstSDA,0)),OFFSET(Vectors!$X$6,A212+_Age1,MATCH(pdrLossTime1,lstDefaultCurve,0)))</f>
        <v>2.7777777777777779E-5</v>
      </c>
      <c r="N212" s="62">
        <f t="shared" ca="1" si="212"/>
        <v>2777.7777777777778</v>
      </c>
      <c r="O212" s="67">
        <f t="shared" ca="1" si="227"/>
        <v>0.73336708847384113</v>
      </c>
      <c r="P212" s="68">
        <f ca="1">OFFSET(Vectors!$L$6,A212+_Age1,MATCH(pdrPrepay1,lstPrepayCurve,0))*pdrPrepayStress1</f>
        <v>5.1430128318229462E-3</v>
      </c>
      <c r="Q212" s="62">
        <f t="shared" ca="1" si="228"/>
        <v>139820.48749718812</v>
      </c>
      <c r="R212" s="62">
        <f t="shared" ca="1" si="229"/>
        <v>93669.090631475861</v>
      </c>
      <c r="S212" s="69">
        <f t="shared" ca="1" si="230"/>
        <v>0.09</v>
      </c>
      <c r="T212" s="62">
        <f t="shared" ca="1" si="231"/>
        <v>204580.46139118102</v>
      </c>
      <c r="U212" s="62">
        <f t="shared" ca="1" si="213"/>
        <v>1111.1111111111111</v>
      </c>
      <c r="V212" s="62">
        <f t="shared" ca="1" si="207"/>
        <v>27043905.274028804</v>
      </c>
      <c r="W212" s="55"/>
      <c r="X212" s="62">
        <f t="shared" ca="1" si="232"/>
        <v>439181.15063095617</v>
      </c>
      <c r="Y212" s="55"/>
      <c r="Z212" s="118" t="b">
        <v>0</v>
      </c>
      <c r="AA212" s="120" t="b">
        <f t="shared" si="214"/>
        <v>0</v>
      </c>
      <c r="AB212" s="120" t="b">
        <f t="shared" si="215"/>
        <v>1</v>
      </c>
      <c r="AC212" s="120" t="b">
        <f t="shared" ca="1" si="216"/>
        <v>0</v>
      </c>
      <c r="AD212" s="121"/>
      <c r="AE212" s="129">
        <v>3486384.7352915849</v>
      </c>
      <c r="AF212" s="69">
        <f ca="1">IF(Swap_Active="No",0,OFFSET(Vectors!$D$6,Vectors!A212,MATCH(Swap_In,lstInterestRates,0)))</f>
        <v>6.9369000000000056E-2</v>
      </c>
      <c r="AG212" s="62">
        <f t="shared" ca="1" si="233"/>
        <v>20153.918558536843</v>
      </c>
      <c r="AH212" s="69">
        <f ca="1">IF(Swap_Active="No",0,OFFSET(Vectors!$D$6,Vectors!A212,MATCH(Swap_Out,lstInterestRates,0)))</f>
        <v>0.04</v>
      </c>
      <c r="AI212" s="62">
        <f t="shared" ca="1" si="234"/>
        <v>11621.28245097195</v>
      </c>
      <c r="AJ212" s="62">
        <f t="shared" ca="1" si="235"/>
        <v>8532.6361075648929</v>
      </c>
      <c r="AK212" s="62">
        <f t="shared" ca="1" si="236"/>
        <v>447713.78673852107</v>
      </c>
      <c r="AL212" s="121"/>
      <c r="AM212" s="123">
        <f t="shared" ca="1" si="217"/>
        <v>45466.954383225406</v>
      </c>
      <c r="AN212" s="124">
        <f t="shared" ca="1" si="237"/>
        <v>45466.954383225406</v>
      </c>
      <c r="AO212" s="125">
        <f t="shared" ca="1" si="238"/>
        <v>0</v>
      </c>
      <c r="AP212" s="123">
        <f t="shared" ca="1" si="239"/>
        <v>402246.83235529566</v>
      </c>
      <c r="AQ212" s="121"/>
      <c r="AR212" s="126">
        <f ca="1">IF(LiabIntType1="Fixed",LiabFxdRate1,OFFSET(Vectors!$D$6,Vectors!A212,MATCH(LiabLoanIndex1,lstInterestRates,0))+LiabMarg1)</f>
        <v>7.9369000000000051E-2</v>
      </c>
      <c r="AS212" s="122">
        <f t="shared" ca="1" si="240"/>
        <v>0</v>
      </c>
      <c r="AT212" s="124">
        <f t="shared" ca="1" si="241"/>
        <v>0</v>
      </c>
      <c r="AU212" s="123">
        <f t="shared" ca="1" si="242"/>
        <v>0</v>
      </c>
      <c r="AV212" s="123">
        <f t="shared" ca="1" si="218"/>
        <v>0</v>
      </c>
      <c r="AW212" s="123">
        <f t="shared" ca="1" si="243"/>
        <v>0</v>
      </c>
      <c r="AX212" s="124">
        <f t="shared" ca="1" si="244"/>
        <v>402246.83235529566</v>
      </c>
      <c r="AY212" s="121"/>
      <c r="AZ212" s="122">
        <f t="shared" ca="1" si="219"/>
        <v>0</v>
      </c>
      <c r="BA212" s="124">
        <f t="shared" ca="1" si="245"/>
        <v>0</v>
      </c>
      <c r="BB212" s="123">
        <f t="shared" ca="1" si="246"/>
        <v>0</v>
      </c>
      <c r="BC212" s="123">
        <f t="shared" ca="1" si="220"/>
        <v>0</v>
      </c>
      <c r="BD212" s="123">
        <f t="shared" ca="1" si="247"/>
        <v>0</v>
      </c>
      <c r="BE212" s="124">
        <f t="shared" ca="1" si="248"/>
        <v>402246.83235529566</v>
      </c>
      <c r="BF212" s="121"/>
      <c r="BG212" s="123">
        <f t="shared" si="221"/>
        <v>1000000</v>
      </c>
      <c r="BH212" s="123">
        <f t="shared" ca="1" si="249"/>
        <v>1000000</v>
      </c>
      <c r="BI212" s="123">
        <f t="shared" ca="1" si="250"/>
        <v>0</v>
      </c>
      <c r="BJ212" s="123">
        <f t="shared" ca="1" si="251"/>
        <v>0</v>
      </c>
      <c r="BK212" s="123">
        <f t="shared" ca="1" si="208"/>
        <v>1000000</v>
      </c>
      <c r="BL212" s="123">
        <f t="shared" ca="1" si="252"/>
        <v>402246.83235529566</v>
      </c>
      <c r="BM212" s="121"/>
      <c r="BN212" s="126">
        <f ca="1">IF(LiabIntType2="Fixed",LiabFxdRate2,OFFSET(Vectors!$D$6,Vectors!A212,MATCH(LiabLoanIndex2,lstInterestRates,0))+LiabMarg2)</f>
        <v>0.04</v>
      </c>
      <c r="BO212" s="122">
        <f t="shared" ca="1" si="253"/>
        <v>29898.476163642306</v>
      </c>
      <c r="BP212" s="124">
        <f t="shared" ca="1" si="254"/>
        <v>29898.476163642306</v>
      </c>
      <c r="BQ212" s="123">
        <f t="shared" ca="1" si="255"/>
        <v>0</v>
      </c>
      <c r="BR212" s="123">
        <f t="shared" ca="1" si="256"/>
        <v>372348.35619165335</v>
      </c>
      <c r="BS212" s="121"/>
      <c r="BT212" s="123">
        <f t="shared" ca="1" si="222"/>
        <v>24224.283429799259</v>
      </c>
      <c r="BU212" s="123">
        <f t="shared" ca="1" si="257"/>
        <v>24224.283429799259</v>
      </c>
      <c r="BV212" s="123">
        <f t="shared" ca="1" si="258"/>
        <v>0</v>
      </c>
      <c r="BW212" s="123">
        <f t="shared" ca="1" si="259"/>
        <v>348124.0727618541</v>
      </c>
      <c r="BX212" s="121"/>
      <c r="BY212" s="123">
        <f t="shared" si="260"/>
        <v>0</v>
      </c>
      <c r="BZ212" s="123">
        <f t="shared" ca="1" si="261"/>
        <v>348124.0727618541</v>
      </c>
      <c r="CA212" s="121"/>
      <c r="CB212" s="122">
        <f t="shared" ca="1" si="209"/>
        <v>0</v>
      </c>
      <c r="CC212" s="122">
        <f t="shared" ca="1" si="262"/>
        <v>0</v>
      </c>
      <c r="CD212" s="124">
        <f t="shared" ca="1" si="263"/>
        <v>0</v>
      </c>
      <c r="CE212" s="121"/>
      <c r="CF212" s="122">
        <f t="shared" ca="1" si="210"/>
        <v>8945318.5656628925</v>
      </c>
      <c r="CG212" s="124">
        <f t="shared" ca="1" si="264"/>
        <v>29898.476163642306</v>
      </c>
      <c r="CH212" s="123">
        <f t="shared" ca="1" si="265"/>
        <v>24224.283429799259</v>
      </c>
      <c r="CI212" s="121"/>
      <c r="CJ212" s="123">
        <f t="shared" ca="1" si="266"/>
        <v>459335.06918949302</v>
      </c>
      <c r="CK212" s="123">
        <f t="shared" ca="1" si="267"/>
        <v>459335.06918949302</v>
      </c>
      <c r="CL212" s="123">
        <f t="shared" ca="1" si="268"/>
        <v>0</v>
      </c>
      <c r="CM212" s="121"/>
      <c r="CN212" s="62">
        <f t="shared" ca="1" si="269"/>
        <v>236267.35590644175</v>
      </c>
      <c r="CO212" s="62" t="b">
        <f t="shared" si="270"/>
        <v>1</v>
      </c>
      <c r="CP212" s="126">
        <f t="shared" ca="1" si="271"/>
        <v>5.7222222222222023E-3</v>
      </c>
      <c r="CQ212" s="120"/>
      <c r="CR212" s="120"/>
      <c r="CS212" s="120"/>
      <c r="CT212" s="120"/>
      <c r="CU212" s="120"/>
      <c r="CV212" s="120"/>
      <c r="CW212" s="120"/>
      <c r="CX212" s="120"/>
      <c r="CY212" s="120"/>
      <c r="CZ212" s="120"/>
      <c r="DA212" s="120"/>
      <c r="DB212" s="120"/>
      <c r="DC212" s="120"/>
      <c r="DD212" s="120"/>
      <c r="DE212" s="116"/>
      <c r="DF212" s="116"/>
      <c r="DG212" s="116"/>
      <c r="DH212" s="116"/>
      <c r="DI212" s="116"/>
      <c r="DJ212" s="116"/>
      <c r="DK212" s="116"/>
      <c r="DL212" s="116"/>
      <c r="DM212" s="116"/>
      <c r="DN212" s="116"/>
    </row>
    <row r="213" spans="1:118" x14ac:dyDescent="0.2">
      <c r="A213" s="27">
        <v>207</v>
      </c>
      <c r="B213" s="29">
        <f t="shared" si="204"/>
        <v>45413</v>
      </c>
      <c r="C213" s="30">
        <f t="shared" si="205"/>
        <v>8.3333333333333329E-2</v>
      </c>
      <c r="D213" s="55"/>
      <c r="E213" s="62">
        <f t="shared" ca="1" si="223"/>
        <v>73336708.84738411</v>
      </c>
      <c r="F213" s="63">
        <f ca="1">IF(AssetIntType1="Fixed",AssetFxdRate1,IF(A213=1,OFFSET(Vectors!$D$6,A213,MATCH(AssetFltIndx1,lstInterestRates,0)),IF(MOD($A213,AssetRateReset1)=0,MAX(MIN(OFFSET(Vectors!$D$6,A213,MATCH(AssetFltIndx1,lstInterestRates,0)),(F212-AssetMarg1)+AssetPdCapFl1,AssetLifeCap1-AssetMarg1),(F212-AssetMarg1)-AssetPdCapFl1,AssetLifeFloor1-AssetMarg1),F212)))+AssetMarg1</f>
        <v>0.09</v>
      </c>
      <c r="G213" s="62">
        <f t="shared" ca="1" si="211"/>
        <v>804622.61694478267</v>
      </c>
      <c r="H213" s="62">
        <f t="shared" ca="1" si="224"/>
        <v>550025.31635538081</v>
      </c>
      <c r="I213" s="62">
        <f t="shared" ca="1" si="225"/>
        <v>254597.30058940186</v>
      </c>
      <c r="J213" s="62">
        <f t="shared" ca="1" si="206"/>
        <v>73082111.546794713</v>
      </c>
      <c r="K213" s="55"/>
      <c r="L213" s="62">
        <f t="shared" ca="1" si="226"/>
        <v>27043905.274028804</v>
      </c>
      <c r="M213" s="68">
        <f ca="1">IF(pdrLossTime1="",OFFSET(Vectors!$AE$6,A213+_Age1,MATCH(SDA_Loss,lstSDA,0)),OFFSET(Vectors!$X$6,A213+_Age1,MATCH(pdrLossTime1,lstDefaultCurve,0)))</f>
        <v>2.7777777777777779E-5</v>
      </c>
      <c r="N213" s="62">
        <f t="shared" ca="1" si="212"/>
        <v>2777.7777777777778</v>
      </c>
      <c r="O213" s="67">
        <f t="shared" ca="1" si="227"/>
        <v>0.73082111546794715</v>
      </c>
      <c r="P213" s="68">
        <f ca="1">OFFSET(Vectors!$L$6,A213+_Age1,MATCH(pdrPrepay1,lstPrepayCurve,0))*pdrPrepayStress1</f>
        <v>5.1430128318229462E-3</v>
      </c>
      <c r="Q213" s="62">
        <f t="shared" ca="1" si="228"/>
        <v>138604.29388993784</v>
      </c>
      <c r="R213" s="62">
        <f t="shared" ca="1" si="229"/>
        <v>93876.561597089007</v>
      </c>
      <c r="S213" s="69">
        <f t="shared" ca="1" si="230"/>
        <v>0.09</v>
      </c>
      <c r="T213" s="62">
        <f t="shared" ca="1" si="231"/>
        <v>202808.45622188269</v>
      </c>
      <c r="U213" s="62">
        <f t="shared" ca="1" si="213"/>
        <v>1111.1111111111111</v>
      </c>
      <c r="V213" s="62">
        <f t="shared" ca="1" si="207"/>
        <v>26808646.640764002</v>
      </c>
      <c r="W213" s="55"/>
      <c r="X213" s="62">
        <f t="shared" ca="1" si="232"/>
        <v>436400.4228200207</v>
      </c>
      <c r="Y213" s="55"/>
      <c r="Z213" s="118" t="b">
        <v>0</v>
      </c>
      <c r="AA213" s="120" t="b">
        <f t="shared" si="214"/>
        <v>0</v>
      </c>
      <c r="AB213" s="120" t="b">
        <f t="shared" si="215"/>
        <v>1</v>
      </c>
      <c r="AC213" s="120" t="b">
        <f t="shared" ca="1" si="216"/>
        <v>0</v>
      </c>
      <c r="AD213" s="121"/>
      <c r="AE213" s="129">
        <v>3359491.9536469001</v>
      </c>
      <c r="AF213" s="69">
        <f ca="1">IF(Swap_Active="No",0,OFFSET(Vectors!$D$6,Vectors!A213,MATCH(Swap_In,lstInterestRates,0)))</f>
        <v>6.9369000000000056E-2</v>
      </c>
      <c r="AG213" s="62">
        <f t="shared" ca="1" si="233"/>
        <v>19420.383111044332</v>
      </c>
      <c r="AH213" s="69">
        <f ca="1">IF(Swap_Active="No",0,OFFSET(Vectors!$D$6,Vectors!A213,MATCH(Swap_Out,lstInterestRates,0)))</f>
        <v>0.04</v>
      </c>
      <c r="AI213" s="62">
        <f t="shared" ca="1" si="234"/>
        <v>11198.306512156334</v>
      </c>
      <c r="AJ213" s="62">
        <f t="shared" ca="1" si="235"/>
        <v>8222.0765988879975</v>
      </c>
      <c r="AK213" s="62">
        <f t="shared" ca="1" si="236"/>
        <v>444622.49941890867</v>
      </c>
      <c r="AL213" s="121"/>
      <c r="AM213" s="123">
        <f t="shared" ca="1" si="217"/>
        <v>45073.175456714671</v>
      </c>
      <c r="AN213" s="124">
        <f t="shared" ca="1" si="237"/>
        <v>45073.175456714671</v>
      </c>
      <c r="AO213" s="125">
        <f t="shared" ca="1" si="238"/>
        <v>0</v>
      </c>
      <c r="AP213" s="123">
        <f t="shared" ca="1" si="239"/>
        <v>399549.32396219403</v>
      </c>
      <c r="AQ213" s="121"/>
      <c r="AR213" s="126">
        <f ca="1">IF(LiabIntType1="Fixed",LiabFxdRate1,OFFSET(Vectors!$D$6,Vectors!A213,MATCH(LiabLoanIndex1,lstInterestRates,0))+LiabMarg1)</f>
        <v>7.9369000000000051E-2</v>
      </c>
      <c r="AS213" s="122">
        <f t="shared" ca="1" si="240"/>
        <v>0</v>
      </c>
      <c r="AT213" s="124">
        <f t="shared" ca="1" si="241"/>
        <v>0</v>
      </c>
      <c r="AU213" s="123">
        <f t="shared" ca="1" si="242"/>
        <v>0</v>
      </c>
      <c r="AV213" s="123">
        <f t="shared" ca="1" si="218"/>
        <v>0</v>
      </c>
      <c r="AW213" s="123">
        <f t="shared" ca="1" si="243"/>
        <v>0</v>
      </c>
      <c r="AX213" s="124">
        <f t="shared" ca="1" si="244"/>
        <v>399549.32396219403</v>
      </c>
      <c r="AY213" s="121"/>
      <c r="AZ213" s="122">
        <f t="shared" ca="1" si="219"/>
        <v>0</v>
      </c>
      <c r="BA213" s="124">
        <f t="shared" ca="1" si="245"/>
        <v>0</v>
      </c>
      <c r="BB213" s="123">
        <f t="shared" ca="1" si="246"/>
        <v>0</v>
      </c>
      <c r="BC213" s="123">
        <f t="shared" ca="1" si="220"/>
        <v>0</v>
      </c>
      <c r="BD213" s="123">
        <f t="shared" ca="1" si="247"/>
        <v>0</v>
      </c>
      <c r="BE213" s="124">
        <f t="shared" ca="1" si="248"/>
        <v>399549.32396219403</v>
      </c>
      <c r="BF213" s="121"/>
      <c r="BG213" s="123">
        <f t="shared" si="221"/>
        <v>1000000</v>
      </c>
      <c r="BH213" s="123">
        <f t="shared" ca="1" si="249"/>
        <v>1000000</v>
      </c>
      <c r="BI213" s="123">
        <f t="shared" ca="1" si="250"/>
        <v>0</v>
      </c>
      <c r="BJ213" s="123">
        <f t="shared" ca="1" si="251"/>
        <v>0</v>
      </c>
      <c r="BK213" s="123">
        <f t="shared" ca="1" si="208"/>
        <v>1000000</v>
      </c>
      <c r="BL213" s="123">
        <f t="shared" ca="1" si="252"/>
        <v>399549.32396219403</v>
      </c>
      <c r="BM213" s="121"/>
      <c r="BN213" s="126">
        <f ca="1">IF(LiabIntType2="Fixed",LiabFxdRate2,OFFSET(Vectors!$D$6,Vectors!A213,MATCH(LiabLoanIndex2,lstInterestRates,0))+LiabMarg2)</f>
        <v>0.04</v>
      </c>
      <c r="BO213" s="122">
        <f t="shared" ca="1" si="253"/>
        <v>29817.728552209639</v>
      </c>
      <c r="BP213" s="124">
        <f t="shared" ca="1" si="254"/>
        <v>29817.728552209639</v>
      </c>
      <c r="BQ213" s="123">
        <f t="shared" ca="1" si="255"/>
        <v>0</v>
      </c>
      <c r="BR213" s="123">
        <f t="shared" ca="1" si="256"/>
        <v>369731.59540998441</v>
      </c>
      <c r="BS213" s="121"/>
      <c r="BT213" s="123">
        <f t="shared" ca="1" si="222"/>
        <v>24120.859987828924</v>
      </c>
      <c r="BU213" s="123">
        <f t="shared" ca="1" si="257"/>
        <v>24120.859987828924</v>
      </c>
      <c r="BV213" s="123">
        <f t="shared" ca="1" si="258"/>
        <v>0</v>
      </c>
      <c r="BW213" s="123">
        <f t="shared" ca="1" si="259"/>
        <v>345610.73542215547</v>
      </c>
      <c r="BX213" s="121"/>
      <c r="BY213" s="123">
        <f t="shared" si="260"/>
        <v>0</v>
      </c>
      <c r="BZ213" s="123">
        <f t="shared" ca="1" si="261"/>
        <v>345610.73542215547</v>
      </c>
      <c r="CA213" s="121"/>
      <c r="CB213" s="122">
        <f t="shared" ca="1" si="209"/>
        <v>0</v>
      </c>
      <c r="CC213" s="122">
        <f t="shared" ca="1" si="262"/>
        <v>0</v>
      </c>
      <c r="CD213" s="124">
        <f t="shared" ca="1" si="263"/>
        <v>0</v>
      </c>
      <c r="CE213" s="121"/>
      <c r="CF213" s="122">
        <f t="shared" ca="1" si="210"/>
        <v>8921197.7056750637</v>
      </c>
      <c r="CG213" s="124">
        <f t="shared" ca="1" si="264"/>
        <v>29817.728552209639</v>
      </c>
      <c r="CH213" s="123">
        <f t="shared" ca="1" si="265"/>
        <v>24120.859987828924</v>
      </c>
      <c r="CI213" s="121"/>
      <c r="CJ213" s="123">
        <f t="shared" ca="1" si="266"/>
        <v>455820.80593106506</v>
      </c>
      <c r="CK213" s="123">
        <f t="shared" ca="1" si="267"/>
        <v>455820.80593106506</v>
      </c>
      <c r="CL213" s="123">
        <f t="shared" ca="1" si="268"/>
        <v>0</v>
      </c>
      <c r="CM213" s="121"/>
      <c r="CN213" s="62">
        <f t="shared" ca="1" si="269"/>
        <v>235258.63326480461</v>
      </c>
      <c r="CO213" s="62" t="b">
        <f t="shared" si="270"/>
        <v>1</v>
      </c>
      <c r="CP213" s="126">
        <f t="shared" ca="1" si="271"/>
        <v>5.74999999999998E-3</v>
      </c>
      <c r="CQ213" s="120"/>
      <c r="CR213" s="120"/>
      <c r="CS213" s="120"/>
      <c r="CT213" s="120"/>
      <c r="CU213" s="120"/>
      <c r="CV213" s="120"/>
      <c r="CW213" s="120"/>
      <c r="CX213" s="120"/>
      <c r="CY213" s="120"/>
      <c r="CZ213" s="120"/>
      <c r="DA213" s="120"/>
      <c r="DB213" s="120"/>
      <c r="DC213" s="120"/>
      <c r="DD213" s="120"/>
      <c r="DE213" s="116"/>
      <c r="DF213" s="116"/>
      <c r="DG213" s="116"/>
      <c r="DH213" s="116"/>
      <c r="DI213" s="116"/>
      <c r="DJ213" s="116"/>
      <c r="DK213" s="116"/>
      <c r="DL213" s="116"/>
      <c r="DM213" s="116"/>
      <c r="DN213" s="116"/>
    </row>
    <row r="214" spans="1:118" x14ac:dyDescent="0.2">
      <c r="A214" s="27">
        <v>208</v>
      </c>
      <c r="B214" s="29">
        <f t="shared" si="204"/>
        <v>45444</v>
      </c>
      <c r="C214" s="30">
        <f t="shared" si="205"/>
        <v>8.3333333333333329E-2</v>
      </c>
      <c r="D214" s="55"/>
      <c r="E214" s="62">
        <f t="shared" ca="1" si="223"/>
        <v>73082111.546794713</v>
      </c>
      <c r="F214" s="63">
        <f ca="1">IF(AssetIntType1="Fixed",AssetFxdRate1,IF(A214=1,OFFSET(Vectors!$D$6,A214,MATCH(AssetFltIndx1,lstInterestRates,0)),IF(MOD($A214,AssetRateReset1)=0,MAX(MIN(OFFSET(Vectors!$D$6,A214,MATCH(AssetFltIndx1,lstInterestRates,0)),(F213-AssetMarg1)+AssetPdCapFl1,AssetLifeCap1-AssetMarg1),(F213-AssetMarg1)-AssetPdCapFl1,AssetLifeFloor1-AssetMarg1),F213)))+AssetMarg1</f>
        <v>0.09</v>
      </c>
      <c r="G214" s="62">
        <f t="shared" ca="1" si="211"/>
        <v>804622.61694478267</v>
      </c>
      <c r="H214" s="62">
        <f t="shared" ca="1" si="224"/>
        <v>548115.83660096035</v>
      </c>
      <c r="I214" s="62">
        <f t="shared" ca="1" si="225"/>
        <v>256506.78034382232</v>
      </c>
      <c r="J214" s="62">
        <f t="shared" ca="1" si="206"/>
        <v>72825604.766450897</v>
      </c>
      <c r="K214" s="55"/>
      <c r="L214" s="62">
        <f t="shared" ca="1" si="226"/>
        <v>26808646.640764002</v>
      </c>
      <c r="M214" s="68">
        <f ca="1">IF(pdrLossTime1="",OFFSET(Vectors!$AE$6,A214+_Age1,MATCH(SDA_Loss,lstSDA,0)),OFFSET(Vectors!$X$6,A214+_Age1,MATCH(pdrLossTime1,lstDefaultCurve,0)))</f>
        <v>2.7777777777777779E-5</v>
      </c>
      <c r="N214" s="62">
        <f t="shared" ca="1" si="212"/>
        <v>2777.7777777777778</v>
      </c>
      <c r="O214" s="67">
        <f t="shared" ca="1" si="227"/>
        <v>0.72825604766450902</v>
      </c>
      <c r="P214" s="68">
        <f ca="1">OFFSET(Vectors!$L$6,A214+_Age1,MATCH(pdrPrepay1,lstPrepayCurve,0))*pdrPrepayStress1</f>
        <v>5.1430128318229462E-3</v>
      </c>
      <c r="Q214" s="62">
        <f t="shared" ca="1" si="228"/>
        <v>137393.28622340219</v>
      </c>
      <c r="R214" s="62">
        <f t="shared" ca="1" si="229"/>
        <v>94084.406851879714</v>
      </c>
      <c r="S214" s="69">
        <f t="shared" ca="1" si="230"/>
        <v>0.09</v>
      </c>
      <c r="T214" s="62">
        <f t="shared" ca="1" si="231"/>
        <v>201044.01647239667</v>
      </c>
      <c r="U214" s="62">
        <f t="shared" ca="1" si="213"/>
        <v>1111.1111111111111</v>
      </c>
      <c r="V214" s="62">
        <f t="shared" ca="1" si="207"/>
        <v>26574391.169910945</v>
      </c>
      <c r="W214" s="55"/>
      <c r="X214" s="62">
        <f t="shared" ca="1" si="232"/>
        <v>433632.82065878971</v>
      </c>
      <c r="Y214" s="55"/>
      <c r="Z214" s="118" t="b">
        <v>0</v>
      </c>
      <c r="AA214" s="120" t="b">
        <f t="shared" si="214"/>
        <v>0</v>
      </c>
      <c r="AB214" s="120" t="b">
        <f t="shared" si="215"/>
        <v>1</v>
      </c>
      <c r="AC214" s="120" t="b">
        <f t="shared" ca="1" si="216"/>
        <v>0</v>
      </c>
      <c r="AD214" s="121"/>
      <c r="AE214" s="129">
        <v>3233956.8568440611</v>
      </c>
      <c r="AF214" s="69">
        <f ca="1">IF(Swap_Active="No",0,OFFSET(Vectors!$D$6,Vectors!A214,MATCH(Swap_In,lstInterestRates,0)))</f>
        <v>6.9369000000000056E-2</v>
      </c>
      <c r="AG214" s="62">
        <f t="shared" ca="1" si="233"/>
        <v>18694.696100201319</v>
      </c>
      <c r="AH214" s="69">
        <f ca="1">IF(Swap_Active="No",0,OFFSET(Vectors!$D$6,Vectors!A214,MATCH(Swap_Out,lstInterestRates,0)))</f>
        <v>0.04</v>
      </c>
      <c r="AI214" s="62">
        <f t="shared" ca="1" si="234"/>
        <v>10779.856189480204</v>
      </c>
      <c r="AJ214" s="62">
        <f t="shared" ca="1" si="235"/>
        <v>7914.8399107211153</v>
      </c>
      <c r="AK214" s="62">
        <f t="shared" ca="1" si="236"/>
        <v>441547.66056951083</v>
      </c>
      <c r="AL214" s="121"/>
      <c r="AM214" s="123">
        <f t="shared" ca="1" si="217"/>
        <v>44681.077734606668</v>
      </c>
      <c r="AN214" s="124">
        <f t="shared" ca="1" si="237"/>
        <v>44681.077734606668</v>
      </c>
      <c r="AO214" s="125">
        <f t="shared" ca="1" si="238"/>
        <v>0</v>
      </c>
      <c r="AP214" s="123">
        <f t="shared" ca="1" si="239"/>
        <v>396866.58283490414</v>
      </c>
      <c r="AQ214" s="121"/>
      <c r="AR214" s="126">
        <f ca="1">IF(LiabIntType1="Fixed",LiabFxdRate1,OFFSET(Vectors!$D$6,Vectors!A214,MATCH(LiabLoanIndex1,lstInterestRates,0))+LiabMarg1)</f>
        <v>7.9369000000000051E-2</v>
      </c>
      <c r="AS214" s="122">
        <f t="shared" ca="1" si="240"/>
        <v>0</v>
      </c>
      <c r="AT214" s="124">
        <f t="shared" ca="1" si="241"/>
        <v>0</v>
      </c>
      <c r="AU214" s="123">
        <f t="shared" ca="1" si="242"/>
        <v>0</v>
      </c>
      <c r="AV214" s="123">
        <f t="shared" ca="1" si="218"/>
        <v>0</v>
      </c>
      <c r="AW214" s="123">
        <f t="shared" ca="1" si="243"/>
        <v>0</v>
      </c>
      <c r="AX214" s="124">
        <f t="shared" ca="1" si="244"/>
        <v>396866.58283490414</v>
      </c>
      <c r="AY214" s="121"/>
      <c r="AZ214" s="122">
        <f t="shared" ca="1" si="219"/>
        <v>0</v>
      </c>
      <c r="BA214" s="124">
        <f t="shared" ca="1" si="245"/>
        <v>0</v>
      </c>
      <c r="BB214" s="123">
        <f t="shared" ca="1" si="246"/>
        <v>0</v>
      </c>
      <c r="BC214" s="123">
        <f t="shared" ca="1" si="220"/>
        <v>0</v>
      </c>
      <c r="BD214" s="123">
        <f t="shared" ca="1" si="247"/>
        <v>0</v>
      </c>
      <c r="BE214" s="124">
        <f t="shared" ca="1" si="248"/>
        <v>396866.58283490414</v>
      </c>
      <c r="BF214" s="121"/>
      <c r="BG214" s="123">
        <f t="shared" si="221"/>
        <v>1000000</v>
      </c>
      <c r="BH214" s="123">
        <f t="shared" ca="1" si="249"/>
        <v>1000000</v>
      </c>
      <c r="BI214" s="123">
        <f t="shared" ca="1" si="250"/>
        <v>0</v>
      </c>
      <c r="BJ214" s="123">
        <f t="shared" ca="1" si="251"/>
        <v>0</v>
      </c>
      <c r="BK214" s="123">
        <f t="shared" ca="1" si="208"/>
        <v>1000000</v>
      </c>
      <c r="BL214" s="123">
        <f t="shared" ca="1" si="252"/>
        <v>396866.58283490414</v>
      </c>
      <c r="BM214" s="121"/>
      <c r="BN214" s="126">
        <f ca="1">IF(LiabIntType2="Fixed",LiabFxdRate2,OFFSET(Vectors!$D$6,Vectors!A214,MATCH(LiabLoanIndex2,lstInterestRates,0))+LiabMarg2)</f>
        <v>0.04</v>
      </c>
      <c r="BO214" s="122">
        <f t="shared" ca="1" si="253"/>
        <v>29737.325685583543</v>
      </c>
      <c r="BP214" s="124">
        <f t="shared" ca="1" si="254"/>
        <v>29737.325685583543</v>
      </c>
      <c r="BQ214" s="123">
        <f t="shared" ca="1" si="255"/>
        <v>0</v>
      </c>
      <c r="BR214" s="123">
        <f t="shared" ca="1" si="256"/>
        <v>367129.25714932062</v>
      </c>
      <c r="BS214" s="121"/>
      <c r="BT214" s="123">
        <f t="shared" ca="1" si="222"/>
        <v>24018.006631320997</v>
      </c>
      <c r="BU214" s="123">
        <f t="shared" ca="1" si="257"/>
        <v>24018.006631320997</v>
      </c>
      <c r="BV214" s="123">
        <f t="shared" ca="1" si="258"/>
        <v>0</v>
      </c>
      <c r="BW214" s="123">
        <f t="shared" ca="1" si="259"/>
        <v>343111.25051799964</v>
      </c>
      <c r="BX214" s="121"/>
      <c r="BY214" s="123">
        <f t="shared" si="260"/>
        <v>0</v>
      </c>
      <c r="BZ214" s="123">
        <f t="shared" ca="1" si="261"/>
        <v>343111.25051799964</v>
      </c>
      <c r="CA214" s="121"/>
      <c r="CB214" s="122">
        <f t="shared" ca="1" si="209"/>
        <v>0</v>
      </c>
      <c r="CC214" s="122">
        <f t="shared" ca="1" si="262"/>
        <v>0</v>
      </c>
      <c r="CD214" s="124">
        <f t="shared" ca="1" si="263"/>
        <v>0</v>
      </c>
      <c r="CE214" s="121"/>
      <c r="CF214" s="122">
        <f t="shared" ca="1" si="210"/>
        <v>8897179.6990437433</v>
      </c>
      <c r="CG214" s="124">
        <f t="shared" ca="1" si="264"/>
        <v>29737.325685583543</v>
      </c>
      <c r="CH214" s="123">
        <f t="shared" ca="1" si="265"/>
        <v>24018.006631320997</v>
      </c>
      <c r="CI214" s="121"/>
      <c r="CJ214" s="123">
        <f t="shared" ca="1" si="266"/>
        <v>452327.51675899106</v>
      </c>
      <c r="CK214" s="123">
        <f t="shared" ca="1" si="267"/>
        <v>452327.51675899106</v>
      </c>
      <c r="CL214" s="123">
        <f t="shared" ca="1" si="268"/>
        <v>0</v>
      </c>
      <c r="CM214" s="121"/>
      <c r="CN214" s="62">
        <f t="shared" ca="1" si="269"/>
        <v>234255.47085305967</v>
      </c>
      <c r="CO214" s="62" t="b">
        <f t="shared" si="270"/>
        <v>1</v>
      </c>
      <c r="CP214" s="126">
        <f t="shared" ca="1" si="271"/>
        <v>5.7777777777777576E-3</v>
      </c>
      <c r="CQ214" s="120"/>
      <c r="CR214" s="120"/>
      <c r="CS214" s="120"/>
      <c r="CT214" s="120"/>
      <c r="CU214" s="120"/>
      <c r="CV214" s="120"/>
      <c r="CW214" s="120"/>
      <c r="CX214" s="120"/>
      <c r="CY214" s="120"/>
      <c r="CZ214" s="120"/>
      <c r="DA214" s="120"/>
      <c r="DB214" s="120"/>
      <c r="DC214" s="120"/>
      <c r="DD214" s="120"/>
      <c r="DE214" s="116"/>
      <c r="DF214" s="116"/>
      <c r="DG214" s="116"/>
      <c r="DH214" s="116"/>
      <c r="DI214" s="116"/>
      <c r="DJ214" s="116"/>
      <c r="DK214" s="116"/>
      <c r="DL214" s="116"/>
      <c r="DM214" s="116"/>
      <c r="DN214" s="116"/>
    </row>
    <row r="215" spans="1:118" x14ac:dyDescent="0.2">
      <c r="A215" s="27">
        <v>209</v>
      </c>
      <c r="B215" s="29">
        <f t="shared" si="204"/>
        <v>45474</v>
      </c>
      <c r="C215" s="30">
        <f t="shared" si="205"/>
        <v>8.3333333333333329E-2</v>
      </c>
      <c r="D215" s="55"/>
      <c r="E215" s="62">
        <f t="shared" ca="1" si="223"/>
        <v>72825604.766450897</v>
      </c>
      <c r="F215" s="63">
        <f ca="1">IF(AssetIntType1="Fixed",AssetFxdRate1,IF(A215=1,OFFSET(Vectors!$D$6,A215,MATCH(AssetFltIndx1,lstInterestRates,0)),IF(MOD($A215,AssetRateReset1)=0,MAX(MIN(OFFSET(Vectors!$D$6,A215,MATCH(AssetFltIndx1,lstInterestRates,0)),(F214-AssetMarg1)+AssetPdCapFl1,AssetLifeCap1-AssetMarg1),(F214-AssetMarg1)-AssetPdCapFl1,AssetLifeFloor1-AssetMarg1),F214)))+AssetMarg1</f>
        <v>0.09</v>
      </c>
      <c r="G215" s="62">
        <f t="shared" ca="1" si="211"/>
        <v>804622.61694478267</v>
      </c>
      <c r="H215" s="62">
        <f t="shared" ca="1" si="224"/>
        <v>546192.03574838175</v>
      </c>
      <c r="I215" s="62">
        <f t="shared" ca="1" si="225"/>
        <v>258430.58119640092</v>
      </c>
      <c r="J215" s="62">
        <f t="shared" ca="1" si="206"/>
        <v>72567174.185254499</v>
      </c>
      <c r="K215" s="55"/>
      <c r="L215" s="62">
        <f t="shared" ca="1" si="226"/>
        <v>26574391.169910945</v>
      </c>
      <c r="M215" s="68">
        <f ca="1">IF(pdrLossTime1="",OFFSET(Vectors!$AE$6,A215+_Age1,MATCH(SDA_Loss,lstSDA,0)),OFFSET(Vectors!$X$6,A215+_Age1,MATCH(pdrLossTime1,lstDefaultCurve,0)))</f>
        <v>2.7777777777777779E-5</v>
      </c>
      <c r="N215" s="62">
        <f t="shared" ca="1" si="212"/>
        <v>2777.7777777777778</v>
      </c>
      <c r="O215" s="67">
        <f t="shared" ca="1" si="227"/>
        <v>0.72567174185254502</v>
      </c>
      <c r="P215" s="68">
        <f ca="1">OFFSET(Vectors!$L$6,A215+_Age1,MATCH(pdrPrepay1,lstPrepayCurve,0))*pdrPrepayStress1</f>
        <v>5.1430128318229462E-3</v>
      </c>
      <c r="Q215" s="62">
        <f t="shared" ca="1" si="228"/>
        <v>136187.43590462598</v>
      </c>
      <c r="R215" s="62">
        <f t="shared" ca="1" si="229"/>
        <v>94292.625708731721</v>
      </c>
      <c r="S215" s="69">
        <f t="shared" ca="1" si="230"/>
        <v>0.09</v>
      </c>
      <c r="T215" s="62">
        <f t="shared" ca="1" si="231"/>
        <v>199287.10044099877</v>
      </c>
      <c r="U215" s="62">
        <f t="shared" ca="1" si="213"/>
        <v>1111.1111111111111</v>
      </c>
      <c r="V215" s="62">
        <f t="shared" ca="1" si="207"/>
        <v>26341133.33051981</v>
      </c>
      <c r="W215" s="55"/>
      <c r="X215" s="62">
        <f t="shared" ca="1" si="232"/>
        <v>430878.27316546754</v>
      </c>
      <c r="Y215" s="55"/>
      <c r="Z215" s="118" t="b">
        <v>0</v>
      </c>
      <c r="AA215" s="120" t="b">
        <f t="shared" si="214"/>
        <v>0</v>
      </c>
      <c r="AB215" s="120" t="b">
        <f t="shared" si="215"/>
        <v>1</v>
      </c>
      <c r="AC215" s="120" t="b">
        <f t="shared" ca="1" si="216"/>
        <v>0</v>
      </c>
      <c r="AD215" s="121"/>
      <c r="AE215" s="129">
        <v>3109765.7191144954</v>
      </c>
      <c r="AF215" s="69">
        <f ca="1">IF(Swap_Active="No",0,OFFSET(Vectors!$D$6,Vectors!A215,MATCH(Swap_In,lstInterestRates,0)))</f>
        <v>6.9369000000000056E-2</v>
      </c>
      <c r="AG215" s="62">
        <f t="shared" ca="1" si="233"/>
        <v>17976.778180771133</v>
      </c>
      <c r="AH215" s="69">
        <f ca="1">IF(Swap_Active="No",0,OFFSET(Vectors!$D$6,Vectors!A215,MATCH(Swap_Out,lstInterestRates,0)))</f>
        <v>0.04</v>
      </c>
      <c r="AI215" s="62">
        <f t="shared" ca="1" si="234"/>
        <v>10365.885730381651</v>
      </c>
      <c r="AJ215" s="62">
        <f t="shared" ca="1" si="235"/>
        <v>7610.8924503894814</v>
      </c>
      <c r="AK215" s="62">
        <f t="shared" ca="1" si="236"/>
        <v>438489.165615857</v>
      </c>
      <c r="AL215" s="121"/>
      <c r="AM215" s="123">
        <f t="shared" ca="1" si="217"/>
        <v>44290.65194985157</v>
      </c>
      <c r="AN215" s="124">
        <f t="shared" ca="1" si="237"/>
        <v>44290.65194985157</v>
      </c>
      <c r="AO215" s="125">
        <f t="shared" ca="1" si="238"/>
        <v>0</v>
      </c>
      <c r="AP215" s="123">
        <f t="shared" ca="1" si="239"/>
        <v>394198.51366600546</v>
      </c>
      <c r="AQ215" s="121"/>
      <c r="AR215" s="126">
        <f ca="1">IF(LiabIntType1="Fixed",LiabFxdRate1,OFFSET(Vectors!$D$6,Vectors!A215,MATCH(LiabLoanIndex1,lstInterestRates,0))+LiabMarg1)</f>
        <v>7.9369000000000051E-2</v>
      </c>
      <c r="AS215" s="122">
        <f t="shared" ca="1" si="240"/>
        <v>0</v>
      </c>
      <c r="AT215" s="124">
        <f t="shared" ca="1" si="241"/>
        <v>0</v>
      </c>
      <c r="AU215" s="123">
        <f t="shared" ca="1" si="242"/>
        <v>0</v>
      </c>
      <c r="AV215" s="123">
        <f t="shared" ca="1" si="218"/>
        <v>0</v>
      </c>
      <c r="AW215" s="123">
        <f t="shared" ca="1" si="243"/>
        <v>0</v>
      </c>
      <c r="AX215" s="124">
        <f t="shared" ca="1" si="244"/>
        <v>394198.51366600546</v>
      </c>
      <c r="AY215" s="121"/>
      <c r="AZ215" s="122">
        <f t="shared" ca="1" si="219"/>
        <v>0</v>
      </c>
      <c r="BA215" s="124">
        <f t="shared" ca="1" si="245"/>
        <v>0</v>
      </c>
      <c r="BB215" s="123">
        <f t="shared" ca="1" si="246"/>
        <v>0</v>
      </c>
      <c r="BC215" s="123">
        <f t="shared" ca="1" si="220"/>
        <v>0</v>
      </c>
      <c r="BD215" s="123">
        <f t="shared" ca="1" si="247"/>
        <v>0</v>
      </c>
      <c r="BE215" s="124">
        <f t="shared" ca="1" si="248"/>
        <v>394198.51366600546</v>
      </c>
      <c r="BF215" s="121"/>
      <c r="BG215" s="123">
        <f t="shared" si="221"/>
        <v>1000000</v>
      </c>
      <c r="BH215" s="123">
        <f t="shared" ca="1" si="249"/>
        <v>1000000</v>
      </c>
      <c r="BI215" s="123">
        <f t="shared" ca="1" si="250"/>
        <v>0</v>
      </c>
      <c r="BJ215" s="123">
        <f t="shared" ca="1" si="251"/>
        <v>0</v>
      </c>
      <c r="BK215" s="123">
        <f t="shared" ca="1" si="208"/>
        <v>1000000</v>
      </c>
      <c r="BL215" s="123">
        <f t="shared" ca="1" si="252"/>
        <v>394198.51366600546</v>
      </c>
      <c r="BM215" s="121"/>
      <c r="BN215" s="126">
        <f ca="1">IF(LiabIntType2="Fixed",LiabFxdRate2,OFFSET(Vectors!$D$6,Vectors!A215,MATCH(LiabLoanIndex2,lstInterestRates,0))+LiabMarg2)</f>
        <v>0.04</v>
      </c>
      <c r="BO215" s="122">
        <f t="shared" ca="1" si="253"/>
        <v>29657.265663479142</v>
      </c>
      <c r="BP215" s="124">
        <f t="shared" ca="1" si="254"/>
        <v>29657.265663479142</v>
      </c>
      <c r="BQ215" s="123">
        <f t="shared" ca="1" si="255"/>
        <v>0</v>
      </c>
      <c r="BR215" s="123">
        <f t="shared" ca="1" si="256"/>
        <v>364541.24800252629</v>
      </c>
      <c r="BS215" s="121"/>
      <c r="BT215" s="123">
        <f t="shared" ca="1" si="222"/>
        <v>23915.720358215603</v>
      </c>
      <c r="BU215" s="123">
        <f t="shared" ca="1" si="257"/>
        <v>23915.720358215603</v>
      </c>
      <c r="BV215" s="123">
        <f t="shared" ca="1" si="258"/>
        <v>0</v>
      </c>
      <c r="BW215" s="123">
        <f t="shared" ca="1" si="259"/>
        <v>340625.52764431067</v>
      </c>
      <c r="BX215" s="121"/>
      <c r="BY215" s="123">
        <f t="shared" si="260"/>
        <v>0</v>
      </c>
      <c r="BZ215" s="123">
        <f t="shared" ca="1" si="261"/>
        <v>340625.52764431067</v>
      </c>
      <c r="CA215" s="121"/>
      <c r="CB215" s="122">
        <f t="shared" ca="1" si="209"/>
        <v>0</v>
      </c>
      <c r="CC215" s="122">
        <f t="shared" ca="1" si="262"/>
        <v>0</v>
      </c>
      <c r="CD215" s="124">
        <f t="shared" ca="1" si="263"/>
        <v>0</v>
      </c>
      <c r="CE215" s="121"/>
      <c r="CF215" s="122">
        <f t="shared" ca="1" si="210"/>
        <v>8873263.978685528</v>
      </c>
      <c r="CG215" s="124">
        <f t="shared" ca="1" si="264"/>
        <v>29657.265663479142</v>
      </c>
      <c r="CH215" s="123">
        <f t="shared" ca="1" si="265"/>
        <v>23915.720358215603</v>
      </c>
      <c r="CI215" s="121"/>
      <c r="CJ215" s="123">
        <f t="shared" ca="1" si="266"/>
        <v>448855.0513462387</v>
      </c>
      <c r="CK215" s="123">
        <f t="shared" ca="1" si="267"/>
        <v>448855.05134623864</v>
      </c>
      <c r="CL215" s="123">
        <f t="shared" ca="1" si="268"/>
        <v>0</v>
      </c>
      <c r="CM215" s="121"/>
      <c r="CN215" s="62">
        <f t="shared" ca="1" si="269"/>
        <v>233257.83939113549</v>
      </c>
      <c r="CO215" s="62" t="b">
        <f t="shared" si="270"/>
        <v>1</v>
      </c>
      <c r="CP215" s="126">
        <f t="shared" ca="1" si="271"/>
        <v>5.8055555555555352E-3</v>
      </c>
      <c r="CQ215" s="120"/>
      <c r="CR215" s="120"/>
      <c r="CS215" s="120"/>
      <c r="CT215" s="120"/>
      <c r="CU215" s="120"/>
      <c r="CV215" s="120"/>
      <c r="CW215" s="120"/>
      <c r="CX215" s="120"/>
      <c r="CY215" s="120"/>
      <c r="CZ215" s="120"/>
      <c r="DA215" s="120"/>
      <c r="DB215" s="120"/>
      <c r="DC215" s="120"/>
      <c r="DD215" s="120"/>
      <c r="DE215" s="116"/>
      <c r="DF215" s="116"/>
      <c r="DG215" s="116"/>
      <c r="DH215" s="116"/>
      <c r="DI215" s="116"/>
      <c r="DJ215" s="116"/>
      <c r="DK215" s="116"/>
      <c r="DL215" s="116"/>
      <c r="DM215" s="116"/>
      <c r="DN215" s="116"/>
    </row>
    <row r="216" spans="1:118" x14ac:dyDescent="0.2">
      <c r="A216" s="27">
        <v>210</v>
      </c>
      <c r="B216" s="29">
        <f t="shared" si="204"/>
        <v>45505</v>
      </c>
      <c r="C216" s="30">
        <f t="shared" si="205"/>
        <v>8.3333333333333329E-2</v>
      </c>
      <c r="D216" s="55"/>
      <c r="E216" s="62">
        <f t="shared" ca="1" si="223"/>
        <v>72567174.185254499</v>
      </c>
      <c r="F216" s="63">
        <f ca="1">IF(AssetIntType1="Fixed",AssetFxdRate1,IF(A216=1,OFFSET(Vectors!$D$6,A216,MATCH(AssetFltIndx1,lstInterestRates,0)),IF(MOD($A216,AssetRateReset1)=0,MAX(MIN(OFFSET(Vectors!$D$6,A216,MATCH(AssetFltIndx1,lstInterestRates,0)),(F215-AssetMarg1)+AssetPdCapFl1,AssetLifeCap1-AssetMarg1),(F215-AssetMarg1)-AssetPdCapFl1,AssetLifeFloor1-AssetMarg1),F215)))+AssetMarg1</f>
        <v>0.09</v>
      </c>
      <c r="G216" s="62">
        <f t="shared" ca="1" si="211"/>
        <v>804622.61694478267</v>
      </c>
      <c r="H216" s="62">
        <f t="shared" ca="1" si="224"/>
        <v>544253.80638940877</v>
      </c>
      <c r="I216" s="62">
        <f t="shared" ca="1" si="225"/>
        <v>260368.8105553739</v>
      </c>
      <c r="J216" s="62">
        <f t="shared" ca="1" si="206"/>
        <v>72306805.374699131</v>
      </c>
      <c r="K216" s="55"/>
      <c r="L216" s="62">
        <f t="shared" ca="1" si="226"/>
        <v>26341133.33051981</v>
      </c>
      <c r="M216" s="68">
        <f ca="1">IF(pdrLossTime1="",OFFSET(Vectors!$AE$6,A216+_Age1,MATCH(SDA_Loss,lstSDA,0)),OFFSET(Vectors!$X$6,A216+_Age1,MATCH(pdrLossTime1,lstDefaultCurve,0)))</f>
        <v>2.7777777777777779E-5</v>
      </c>
      <c r="N216" s="62">
        <f t="shared" ca="1" si="212"/>
        <v>2777.7777777777778</v>
      </c>
      <c r="O216" s="67">
        <f t="shared" ca="1" si="227"/>
        <v>0.72306805374699135</v>
      </c>
      <c r="P216" s="68">
        <f ca="1">OFFSET(Vectors!$L$6,A216+_Age1,MATCH(pdrPrepay1,lstPrepayCurve,0))*pdrPrepayStress1</f>
        <v>5.1430128318229462E-3</v>
      </c>
      <c r="Q216" s="62">
        <f t="shared" ca="1" si="228"/>
        <v>134986.71449140625</v>
      </c>
      <c r="R216" s="62">
        <f t="shared" ca="1" si="229"/>
        <v>94501.217447780451</v>
      </c>
      <c r="S216" s="69">
        <f t="shared" ca="1" si="230"/>
        <v>0.09</v>
      </c>
      <c r="T216" s="62">
        <f t="shared" ca="1" si="231"/>
        <v>197537.66664556524</v>
      </c>
      <c r="U216" s="62">
        <f t="shared" ca="1" si="213"/>
        <v>1111.1111111111111</v>
      </c>
      <c r="V216" s="62">
        <f t="shared" ca="1" si="207"/>
        <v>26108867.62080285</v>
      </c>
      <c r="W216" s="55"/>
      <c r="X216" s="62">
        <f t="shared" ca="1" si="232"/>
        <v>428136.70969586307</v>
      </c>
      <c r="Y216" s="55"/>
      <c r="Z216" s="118" t="b">
        <v>0</v>
      </c>
      <c r="AA216" s="120" t="b">
        <f t="shared" si="214"/>
        <v>0</v>
      </c>
      <c r="AB216" s="120" t="b">
        <f t="shared" si="215"/>
        <v>1</v>
      </c>
      <c r="AC216" s="120" t="b">
        <f t="shared" ca="1" si="216"/>
        <v>0</v>
      </c>
      <c r="AD216" s="121"/>
      <c r="AE216" s="129">
        <v>2986904.953491054</v>
      </c>
      <c r="AF216" s="69">
        <f ca="1">IF(Swap_Active="No",0,OFFSET(Vectors!$D$6,Vectors!A216,MATCH(Swap_In,lstInterestRates,0)))</f>
        <v>6.9369000000000056E-2</v>
      </c>
      <c r="AG216" s="62">
        <f t="shared" ca="1" si="233"/>
        <v>17266.550809893422</v>
      </c>
      <c r="AH216" s="69">
        <f ca="1">IF(Swap_Active="No",0,OFFSET(Vectors!$D$6,Vectors!A216,MATCH(Swap_Out,lstInterestRates,0)))</f>
        <v>0.04</v>
      </c>
      <c r="AI216" s="62">
        <f t="shared" ca="1" si="234"/>
        <v>9956.3498449701801</v>
      </c>
      <c r="AJ216" s="62">
        <f t="shared" ca="1" si="235"/>
        <v>7310.2009649232423</v>
      </c>
      <c r="AK216" s="62">
        <f t="shared" ca="1" si="236"/>
        <v>435446.91066078632</v>
      </c>
      <c r="AL216" s="121"/>
      <c r="AM216" s="123">
        <f t="shared" ca="1" si="217"/>
        <v>43901.888884199681</v>
      </c>
      <c r="AN216" s="124">
        <f t="shared" ca="1" si="237"/>
        <v>43901.888884199681</v>
      </c>
      <c r="AO216" s="125">
        <f t="shared" ca="1" si="238"/>
        <v>0</v>
      </c>
      <c r="AP216" s="123">
        <f t="shared" ca="1" si="239"/>
        <v>391545.02177658665</v>
      </c>
      <c r="AQ216" s="121"/>
      <c r="AR216" s="126">
        <f ca="1">IF(LiabIntType1="Fixed",LiabFxdRate1,OFFSET(Vectors!$D$6,Vectors!A216,MATCH(LiabLoanIndex1,lstInterestRates,0))+LiabMarg1)</f>
        <v>7.9369000000000051E-2</v>
      </c>
      <c r="AS216" s="122">
        <f t="shared" ca="1" si="240"/>
        <v>0</v>
      </c>
      <c r="AT216" s="124">
        <f t="shared" ca="1" si="241"/>
        <v>0</v>
      </c>
      <c r="AU216" s="123">
        <f t="shared" ca="1" si="242"/>
        <v>0</v>
      </c>
      <c r="AV216" s="123">
        <f t="shared" ca="1" si="218"/>
        <v>0</v>
      </c>
      <c r="AW216" s="123">
        <f t="shared" ca="1" si="243"/>
        <v>0</v>
      </c>
      <c r="AX216" s="124">
        <f t="shared" ca="1" si="244"/>
        <v>391545.02177658665</v>
      </c>
      <c r="AY216" s="121"/>
      <c r="AZ216" s="122">
        <f t="shared" ca="1" si="219"/>
        <v>0</v>
      </c>
      <c r="BA216" s="124">
        <f t="shared" ca="1" si="245"/>
        <v>0</v>
      </c>
      <c r="BB216" s="123">
        <f t="shared" ca="1" si="246"/>
        <v>0</v>
      </c>
      <c r="BC216" s="123">
        <f t="shared" ca="1" si="220"/>
        <v>0</v>
      </c>
      <c r="BD216" s="123">
        <f t="shared" ca="1" si="247"/>
        <v>0</v>
      </c>
      <c r="BE216" s="124">
        <f t="shared" ca="1" si="248"/>
        <v>391545.02177658665</v>
      </c>
      <c r="BF216" s="121"/>
      <c r="BG216" s="123">
        <f t="shared" si="221"/>
        <v>1000000</v>
      </c>
      <c r="BH216" s="123">
        <f t="shared" ca="1" si="249"/>
        <v>1000000</v>
      </c>
      <c r="BI216" s="123">
        <f t="shared" ca="1" si="250"/>
        <v>0</v>
      </c>
      <c r="BJ216" s="123">
        <f t="shared" ca="1" si="251"/>
        <v>0</v>
      </c>
      <c r="BK216" s="123">
        <f t="shared" ca="1" si="208"/>
        <v>1000000</v>
      </c>
      <c r="BL216" s="123">
        <f t="shared" ca="1" si="252"/>
        <v>391545.02177658665</v>
      </c>
      <c r="BM216" s="121"/>
      <c r="BN216" s="126">
        <f ca="1">IF(LiabIntType2="Fixed",LiabFxdRate2,OFFSET(Vectors!$D$6,Vectors!A216,MATCH(LiabLoanIndex2,lstInterestRates,0))+LiabMarg2)</f>
        <v>0.04</v>
      </c>
      <c r="BO216" s="122">
        <f t="shared" ca="1" si="253"/>
        <v>29577.546595618423</v>
      </c>
      <c r="BP216" s="124">
        <f t="shared" ca="1" si="254"/>
        <v>29577.546595618423</v>
      </c>
      <c r="BQ216" s="123">
        <f t="shared" ca="1" si="255"/>
        <v>0</v>
      </c>
      <c r="BR216" s="123">
        <f t="shared" ca="1" si="256"/>
        <v>361967.47518096823</v>
      </c>
      <c r="BS216" s="121"/>
      <c r="BT216" s="123">
        <f t="shared" ca="1" si="222"/>
        <v>23813.99817855169</v>
      </c>
      <c r="BU216" s="123">
        <f t="shared" ca="1" si="257"/>
        <v>23813.99817855169</v>
      </c>
      <c r="BV216" s="123">
        <f t="shared" ca="1" si="258"/>
        <v>0</v>
      </c>
      <c r="BW216" s="123">
        <f t="shared" ca="1" si="259"/>
        <v>338153.47700241656</v>
      </c>
      <c r="BX216" s="121"/>
      <c r="BY216" s="123">
        <f t="shared" si="260"/>
        <v>0</v>
      </c>
      <c r="BZ216" s="123">
        <f t="shared" ca="1" si="261"/>
        <v>338153.47700241656</v>
      </c>
      <c r="CA216" s="121"/>
      <c r="CB216" s="122">
        <f t="shared" ca="1" si="209"/>
        <v>0</v>
      </c>
      <c r="CC216" s="122">
        <f t="shared" ca="1" si="262"/>
        <v>0</v>
      </c>
      <c r="CD216" s="124">
        <f t="shared" ca="1" si="263"/>
        <v>0</v>
      </c>
      <c r="CE216" s="121"/>
      <c r="CF216" s="122">
        <f t="shared" ca="1" si="210"/>
        <v>8849449.9805069771</v>
      </c>
      <c r="CG216" s="124">
        <f t="shared" ca="1" si="264"/>
        <v>29577.546595618423</v>
      </c>
      <c r="CH216" s="123">
        <f t="shared" ca="1" si="265"/>
        <v>23813.99817855169</v>
      </c>
      <c r="CI216" s="121"/>
      <c r="CJ216" s="123">
        <f t="shared" ca="1" si="266"/>
        <v>445403.26050575648</v>
      </c>
      <c r="CK216" s="123">
        <f t="shared" ca="1" si="267"/>
        <v>445403.26050575654</v>
      </c>
      <c r="CL216" s="123">
        <f t="shared" ca="1" si="268"/>
        <v>0</v>
      </c>
      <c r="CM216" s="121"/>
      <c r="CN216" s="62">
        <f t="shared" ca="1" si="269"/>
        <v>232265.70971696448</v>
      </c>
      <c r="CO216" s="62" t="b">
        <f t="shared" si="270"/>
        <v>1</v>
      </c>
      <c r="CP216" s="126">
        <f t="shared" ca="1" si="271"/>
        <v>5.8333333333333128E-3</v>
      </c>
      <c r="CQ216" s="120"/>
      <c r="CR216" s="120"/>
      <c r="CS216" s="120"/>
      <c r="CT216" s="120"/>
      <c r="CU216" s="120"/>
      <c r="CV216" s="120"/>
      <c r="CW216" s="120"/>
      <c r="CX216" s="120"/>
      <c r="CY216" s="120"/>
      <c r="CZ216" s="120"/>
      <c r="DA216" s="120"/>
      <c r="DB216" s="120"/>
      <c r="DC216" s="120"/>
      <c r="DD216" s="120"/>
      <c r="DE216" s="116"/>
      <c r="DF216" s="116"/>
      <c r="DG216" s="116"/>
      <c r="DH216" s="116"/>
      <c r="DI216" s="116"/>
      <c r="DJ216" s="116"/>
      <c r="DK216" s="116"/>
      <c r="DL216" s="116"/>
      <c r="DM216" s="116"/>
      <c r="DN216" s="116"/>
    </row>
    <row r="217" spans="1:118" x14ac:dyDescent="0.2">
      <c r="A217" s="27">
        <v>211</v>
      </c>
      <c r="B217" s="29">
        <f t="shared" si="204"/>
        <v>45536</v>
      </c>
      <c r="C217" s="30">
        <f t="shared" si="205"/>
        <v>8.3333333333333329E-2</v>
      </c>
      <c r="D217" s="55"/>
      <c r="E217" s="62">
        <f t="shared" ca="1" si="223"/>
        <v>72306805.374699131</v>
      </c>
      <c r="F217" s="63">
        <f ca="1">IF(AssetIntType1="Fixed",AssetFxdRate1,IF(A217=1,OFFSET(Vectors!$D$6,A217,MATCH(AssetFltIndx1,lstInterestRates,0)),IF(MOD($A217,AssetRateReset1)=0,MAX(MIN(OFFSET(Vectors!$D$6,A217,MATCH(AssetFltIndx1,lstInterestRates,0)),(F216-AssetMarg1)+AssetPdCapFl1,AssetLifeCap1-AssetMarg1),(F216-AssetMarg1)-AssetPdCapFl1,AssetLifeFloor1-AssetMarg1),F216)))+AssetMarg1</f>
        <v>0.09</v>
      </c>
      <c r="G217" s="62">
        <f t="shared" ca="1" si="211"/>
        <v>804622.61694478267</v>
      </c>
      <c r="H217" s="62">
        <f t="shared" ca="1" si="224"/>
        <v>542301.04031024349</v>
      </c>
      <c r="I217" s="62">
        <f t="shared" ca="1" si="225"/>
        <v>262321.57663453917</v>
      </c>
      <c r="J217" s="62">
        <f t="shared" ca="1" si="206"/>
        <v>72044483.79806459</v>
      </c>
      <c r="K217" s="55"/>
      <c r="L217" s="62">
        <f t="shared" ca="1" si="226"/>
        <v>26108867.62080285</v>
      </c>
      <c r="M217" s="68">
        <f ca="1">IF(pdrLossTime1="",OFFSET(Vectors!$AE$6,A217+_Age1,MATCH(SDA_Loss,lstSDA,0)),OFFSET(Vectors!$X$6,A217+_Age1,MATCH(pdrLossTime1,lstDefaultCurve,0)))</f>
        <v>2.7777777777777779E-5</v>
      </c>
      <c r="N217" s="62">
        <f t="shared" ca="1" si="212"/>
        <v>2777.7777777777778</v>
      </c>
      <c r="O217" s="67">
        <f t="shared" ca="1" si="227"/>
        <v>0.72044483798064585</v>
      </c>
      <c r="P217" s="68">
        <f ca="1">OFFSET(Vectors!$L$6,A217+_Age1,MATCH(pdrPrepay1,lstPrepayCurve,0))*pdrPrepayStress1</f>
        <v>5.1430128318229462E-3</v>
      </c>
      <c r="Q217" s="62">
        <f t="shared" ca="1" si="228"/>
        <v>133791.0936916896</v>
      </c>
      <c r="R217" s="62">
        <f t="shared" ca="1" si="229"/>
        <v>94710.181315543203</v>
      </c>
      <c r="S217" s="69">
        <f t="shared" ca="1" si="230"/>
        <v>0.09</v>
      </c>
      <c r="T217" s="62">
        <f t="shared" ca="1" si="231"/>
        <v>195795.67382268806</v>
      </c>
      <c r="U217" s="62">
        <f t="shared" ca="1" si="213"/>
        <v>1111.1111111111111</v>
      </c>
      <c r="V217" s="62">
        <f t="shared" ca="1" si="207"/>
        <v>25877588.56801784</v>
      </c>
      <c r="W217" s="55"/>
      <c r="X217" s="62">
        <f t="shared" ca="1" si="232"/>
        <v>425408.05994103197</v>
      </c>
      <c r="Y217" s="55"/>
      <c r="Z217" s="118" t="b">
        <v>0</v>
      </c>
      <c r="AA217" s="120" t="b">
        <f t="shared" si="214"/>
        <v>0</v>
      </c>
      <c r="AB217" s="120" t="b">
        <f t="shared" si="215"/>
        <v>1</v>
      </c>
      <c r="AC217" s="120" t="b">
        <f t="shared" ca="1" si="216"/>
        <v>0</v>
      </c>
      <c r="AD217" s="121"/>
      <c r="AE217" s="129">
        <v>2865361.1104392507</v>
      </c>
      <c r="AF217" s="69">
        <f ca="1">IF(Swap_Active="No",0,OFFSET(Vectors!$D$6,Vectors!A217,MATCH(Swap_In,lstInterestRates,0)))</f>
        <v>6.9369000000000056E-2</v>
      </c>
      <c r="AG217" s="62">
        <f t="shared" ca="1" si="233"/>
        <v>16563.936239171711</v>
      </c>
      <c r="AH217" s="69">
        <f ca="1">IF(Swap_Active="No",0,OFFSET(Vectors!$D$6,Vectors!A217,MATCH(Swap_Out,lstInterestRates,0)))</f>
        <v>0.04</v>
      </c>
      <c r="AI217" s="62">
        <f t="shared" ca="1" si="234"/>
        <v>9551.2037014641683</v>
      </c>
      <c r="AJ217" s="62">
        <f t="shared" ca="1" si="235"/>
        <v>7012.7325377075431</v>
      </c>
      <c r="AK217" s="62">
        <f t="shared" ca="1" si="236"/>
        <v>432420.79247873952</v>
      </c>
      <c r="AL217" s="121"/>
      <c r="AM217" s="123">
        <f t="shared" ca="1" si="217"/>
        <v>43514.779368004747</v>
      </c>
      <c r="AN217" s="124">
        <f t="shared" ca="1" si="237"/>
        <v>43514.779368004747</v>
      </c>
      <c r="AO217" s="125">
        <f t="shared" ca="1" si="238"/>
        <v>0</v>
      </c>
      <c r="AP217" s="123">
        <f t="shared" ca="1" si="239"/>
        <v>388906.01311073476</v>
      </c>
      <c r="AQ217" s="121"/>
      <c r="AR217" s="126">
        <f ca="1">IF(LiabIntType1="Fixed",LiabFxdRate1,OFFSET(Vectors!$D$6,Vectors!A217,MATCH(LiabLoanIndex1,lstInterestRates,0))+LiabMarg1)</f>
        <v>7.9369000000000051E-2</v>
      </c>
      <c r="AS217" s="122">
        <f t="shared" ca="1" si="240"/>
        <v>0</v>
      </c>
      <c r="AT217" s="124">
        <f t="shared" ca="1" si="241"/>
        <v>0</v>
      </c>
      <c r="AU217" s="123">
        <f t="shared" ca="1" si="242"/>
        <v>0</v>
      </c>
      <c r="AV217" s="123">
        <f t="shared" ca="1" si="218"/>
        <v>0</v>
      </c>
      <c r="AW217" s="123">
        <f t="shared" ca="1" si="243"/>
        <v>0</v>
      </c>
      <c r="AX217" s="124">
        <f t="shared" ca="1" si="244"/>
        <v>388906.01311073476</v>
      </c>
      <c r="AY217" s="121"/>
      <c r="AZ217" s="122">
        <f t="shared" ca="1" si="219"/>
        <v>0</v>
      </c>
      <c r="BA217" s="124">
        <f t="shared" ca="1" si="245"/>
        <v>0</v>
      </c>
      <c r="BB217" s="123">
        <f t="shared" ca="1" si="246"/>
        <v>0</v>
      </c>
      <c r="BC217" s="123">
        <f t="shared" ca="1" si="220"/>
        <v>0</v>
      </c>
      <c r="BD217" s="123">
        <f t="shared" ca="1" si="247"/>
        <v>0</v>
      </c>
      <c r="BE217" s="124">
        <f t="shared" ca="1" si="248"/>
        <v>388906.01311073476</v>
      </c>
      <c r="BF217" s="121"/>
      <c r="BG217" s="123">
        <f t="shared" si="221"/>
        <v>1000000</v>
      </c>
      <c r="BH217" s="123">
        <f t="shared" ca="1" si="249"/>
        <v>1000000</v>
      </c>
      <c r="BI217" s="123">
        <f t="shared" ca="1" si="250"/>
        <v>0</v>
      </c>
      <c r="BJ217" s="123">
        <f t="shared" ca="1" si="251"/>
        <v>0</v>
      </c>
      <c r="BK217" s="123">
        <f t="shared" ca="1" si="208"/>
        <v>1000000</v>
      </c>
      <c r="BL217" s="123">
        <f t="shared" ca="1" si="252"/>
        <v>388906.01311073476</v>
      </c>
      <c r="BM217" s="121"/>
      <c r="BN217" s="126">
        <f ca="1">IF(LiabIntType2="Fixed",LiabFxdRate2,OFFSET(Vectors!$D$6,Vectors!A217,MATCH(LiabLoanIndex2,lstInterestRates,0))+LiabMarg2)</f>
        <v>0.04</v>
      </c>
      <c r="BO217" s="122">
        <f t="shared" ca="1" si="253"/>
        <v>29498.166601689922</v>
      </c>
      <c r="BP217" s="124">
        <f t="shared" ca="1" si="254"/>
        <v>29498.166601689922</v>
      </c>
      <c r="BQ217" s="123">
        <f t="shared" ca="1" si="255"/>
        <v>0</v>
      </c>
      <c r="BR217" s="123">
        <f t="shared" ca="1" si="256"/>
        <v>359407.84650904482</v>
      </c>
      <c r="BS217" s="121"/>
      <c r="BT217" s="123">
        <f t="shared" ca="1" si="222"/>
        <v>23712.837114316088</v>
      </c>
      <c r="BU217" s="123">
        <f t="shared" ca="1" si="257"/>
        <v>23712.837114316088</v>
      </c>
      <c r="BV217" s="123">
        <f t="shared" ca="1" si="258"/>
        <v>0</v>
      </c>
      <c r="BW217" s="123">
        <f t="shared" ca="1" si="259"/>
        <v>335695.00939472875</v>
      </c>
      <c r="BX217" s="121"/>
      <c r="BY217" s="123">
        <f t="shared" si="260"/>
        <v>0</v>
      </c>
      <c r="BZ217" s="123">
        <f t="shared" ca="1" si="261"/>
        <v>335695.00939472875</v>
      </c>
      <c r="CA217" s="121"/>
      <c r="CB217" s="122">
        <f t="shared" ca="1" si="209"/>
        <v>0</v>
      </c>
      <c r="CC217" s="122">
        <f t="shared" ca="1" si="262"/>
        <v>0</v>
      </c>
      <c r="CD217" s="124">
        <f t="shared" ca="1" si="263"/>
        <v>0</v>
      </c>
      <c r="CE217" s="121"/>
      <c r="CF217" s="122">
        <f t="shared" ca="1" si="210"/>
        <v>8825737.1433926616</v>
      </c>
      <c r="CG217" s="124">
        <f t="shared" ca="1" si="264"/>
        <v>29498.166601689922</v>
      </c>
      <c r="CH217" s="123">
        <f t="shared" ca="1" si="265"/>
        <v>23712.837114316088</v>
      </c>
      <c r="CI217" s="121"/>
      <c r="CJ217" s="123">
        <f t="shared" ca="1" si="266"/>
        <v>441971.99618020369</v>
      </c>
      <c r="CK217" s="123">
        <f t="shared" ca="1" si="267"/>
        <v>441971.99618020369</v>
      </c>
      <c r="CL217" s="123">
        <f t="shared" ca="1" si="268"/>
        <v>0</v>
      </c>
      <c r="CM217" s="121"/>
      <c r="CN217" s="62">
        <f t="shared" ca="1" si="269"/>
        <v>231279.0527850106</v>
      </c>
      <c r="CO217" s="62" t="b">
        <f t="shared" si="270"/>
        <v>1</v>
      </c>
      <c r="CP217" s="126">
        <f t="shared" ca="1" si="271"/>
        <v>5.8611111111110904E-3</v>
      </c>
      <c r="CQ217" s="120"/>
      <c r="CR217" s="120"/>
      <c r="CS217" s="120"/>
      <c r="CT217" s="120"/>
      <c r="CU217" s="120"/>
      <c r="CV217" s="120"/>
      <c r="CW217" s="120"/>
      <c r="CX217" s="120"/>
      <c r="CY217" s="120"/>
      <c r="CZ217" s="120"/>
      <c r="DA217" s="120"/>
      <c r="DB217" s="120"/>
      <c r="DC217" s="120"/>
      <c r="DD217" s="120"/>
      <c r="DE217" s="116"/>
      <c r="DF217" s="116"/>
      <c r="DG217" s="116"/>
      <c r="DH217" s="116"/>
      <c r="DI217" s="116"/>
      <c r="DJ217" s="116"/>
      <c r="DK217" s="116"/>
      <c r="DL217" s="116"/>
      <c r="DM217" s="116"/>
      <c r="DN217" s="116"/>
    </row>
    <row r="218" spans="1:118" x14ac:dyDescent="0.2">
      <c r="A218" s="27">
        <v>212</v>
      </c>
      <c r="B218" s="29">
        <f t="shared" si="204"/>
        <v>45566</v>
      </c>
      <c r="C218" s="30">
        <f t="shared" si="205"/>
        <v>8.3333333333333329E-2</v>
      </c>
      <c r="D218" s="55"/>
      <c r="E218" s="62">
        <f t="shared" ca="1" si="223"/>
        <v>72044483.79806459</v>
      </c>
      <c r="F218" s="63">
        <f ca="1">IF(AssetIntType1="Fixed",AssetFxdRate1,IF(A218=1,OFFSET(Vectors!$D$6,A218,MATCH(AssetFltIndx1,lstInterestRates,0)),IF(MOD($A218,AssetRateReset1)=0,MAX(MIN(OFFSET(Vectors!$D$6,A218,MATCH(AssetFltIndx1,lstInterestRates,0)),(F217-AssetMarg1)+AssetPdCapFl1,AssetLifeCap1-AssetMarg1),(F217-AssetMarg1)-AssetPdCapFl1,AssetLifeFloor1-AssetMarg1),F217)))+AssetMarg1</f>
        <v>0.09</v>
      </c>
      <c r="G218" s="62">
        <f t="shared" ca="1" si="211"/>
        <v>804622.61694478267</v>
      </c>
      <c r="H218" s="62">
        <f t="shared" ca="1" si="224"/>
        <v>540333.6284854844</v>
      </c>
      <c r="I218" s="62">
        <f t="shared" ca="1" si="225"/>
        <v>264288.98845929827</v>
      </c>
      <c r="J218" s="62">
        <f t="shared" ca="1" si="206"/>
        <v>71780194.809605286</v>
      </c>
      <c r="K218" s="55"/>
      <c r="L218" s="62">
        <f t="shared" ca="1" si="226"/>
        <v>25877588.56801784</v>
      </c>
      <c r="M218" s="68">
        <f ca="1">IF(pdrLossTime1="",OFFSET(Vectors!$AE$6,A218+_Age1,MATCH(SDA_Loss,lstSDA,0)),OFFSET(Vectors!$X$6,A218+_Age1,MATCH(pdrLossTime1,lstDefaultCurve,0)))</f>
        <v>2.7777777777777779E-5</v>
      </c>
      <c r="N218" s="62">
        <f t="shared" ca="1" si="212"/>
        <v>2777.7777777777778</v>
      </c>
      <c r="O218" s="67">
        <f t="shared" ca="1" si="227"/>
        <v>0.7178019480960528</v>
      </c>
      <c r="P218" s="68">
        <f ca="1">OFFSET(Vectors!$L$6,A218+_Age1,MATCH(pdrPrepay1,lstPrepayCurve,0))*pdrPrepayStress1</f>
        <v>5.1430128318229462E-3</v>
      </c>
      <c r="Q218" s="62">
        <f t="shared" ca="1" si="228"/>
        <v>132600.54536297769</v>
      </c>
      <c r="R218" s="62">
        <f t="shared" ca="1" si="229"/>
        <v>94919.51652392972</v>
      </c>
      <c r="S218" s="69">
        <f t="shared" ca="1" si="230"/>
        <v>0.09</v>
      </c>
      <c r="T218" s="62">
        <f t="shared" ca="1" si="231"/>
        <v>194061.08092680047</v>
      </c>
      <c r="U218" s="62">
        <f t="shared" ca="1" si="213"/>
        <v>1111.1111111111111</v>
      </c>
      <c r="V218" s="62">
        <f t="shared" ca="1" si="207"/>
        <v>25647290.728353154</v>
      </c>
      <c r="W218" s="55"/>
      <c r="X218" s="62">
        <f t="shared" ca="1" si="232"/>
        <v>422692.253924819</v>
      </c>
      <c r="Y218" s="55"/>
      <c r="Z218" s="118" t="b">
        <v>0</v>
      </c>
      <c r="AA218" s="120" t="b">
        <f t="shared" si="214"/>
        <v>0</v>
      </c>
      <c r="AB218" s="120" t="b">
        <f t="shared" si="215"/>
        <v>1</v>
      </c>
      <c r="AC218" s="120" t="b">
        <f t="shared" ca="1" si="216"/>
        <v>0</v>
      </c>
      <c r="AD218" s="121"/>
      <c r="AE218" s="129">
        <v>2745120.8765027849</v>
      </c>
      <c r="AF218" s="69">
        <f ca="1">IF(Swap_Active="No",0,OFFSET(Vectors!$D$6,Vectors!A218,MATCH(Swap_In,lstInterestRates,0)))</f>
        <v>6.9369000000000056E-2</v>
      </c>
      <c r="AG218" s="62">
        <f t="shared" ca="1" si="233"/>
        <v>15868.857506843487</v>
      </c>
      <c r="AH218" s="69">
        <f ca="1">IF(Swap_Active="No",0,OFFSET(Vectors!$D$6,Vectors!A218,MATCH(Swap_Out,lstInterestRates,0)))</f>
        <v>0.04</v>
      </c>
      <c r="AI218" s="62">
        <f t="shared" ca="1" si="234"/>
        <v>9150.4029216759482</v>
      </c>
      <c r="AJ218" s="62">
        <f t="shared" ca="1" si="235"/>
        <v>6718.4545851675393</v>
      </c>
      <c r="AK218" s="62">
        <f t="shared" ca="1" si="236"/>
        <v>429410.70850998652</v>
      </c>
      <c r="AL218" s="121"/>
      <c r="AM218" s="123">
        <f t="shared" ca="1" si="217"/>
        <v>43129.314280029728</v>
      </c>
      <c r="AN218" s="124">
        <f t="shared" ca="1" si="237"/>
        <v>43129.314280029728</v>
      </c>
      <c r="AO218" s="125">
        <f t="shared" ca="1" si="238"/>
        <v>0</v>
      </c>
      <c r="AP218" s="123">
        <f t="shared" ca="1" si="239"/>
        <v>386281.39422995679</v>
      </c>
      <c r="AQ218" s="121"/>
      <c r="AR218" s="126">
        <f ca="1">IF(LiabIntType1="Fixed",LiabFxdRate1,OFFSET(Vectors!$D$6,Vectors!A218,MATCH(LiabLoanIndex1,lstInterestRates,0))+LiabMarg1)</f>
        <v>7.9369000000000051E-2</v>
      </c>
      <c r="AS218" s="122">
        <f t="shared" ca="1" si="240"/>
        <v>0</v>
      </c>
      <c r="AT218" s="124">
        <f t="shared" ca="1" si="241"/>
        <v>0</v>
      </c>
      <c r="AU218" s="123">
        <f t="shared" ca="1" si="242"/>
        <v>0</v>
      </c>
      <c r="AV218" s="123">
        <f t="shared" ca="1" si="218"/>
        <v>0</v>
      </c>
      <c r="AW218" s="123">
        <f t="shared" ca="1" si="243"/>
        <v>0</v>
      </c>
      <c r="AX218" s="124">
        <f t="shared" ca="1" si="244"/>
        <v>386281.39422995679</v>
      </c>
      <c r="AY218" s="121"/>
      <c r="AZ218" s="122">
        <f t="shared" ca="1" si="219"/>
        <v>0</v>
      </c>
      <c r="BA218" s="124">
        <f t="shared" ca="1" si="245"/>
        <v>0</v>
      </c>
      <c r="BB218" s="123">
        <f t="shared" ca="1" si="246"/>
        <v>0</v>
      </c>
      <c r="BC218" s="123">
        <f t="shared" ca="1" si="220"/>
        <v>0</v>
      </c>
      <c r="BD218" s="123">
        <f t="shared" ca="1" si="247"/>
        <v>0</v>
      </c>
      <c r="BE218" s="124">
        <f t="shared" ca="1" si="248"/>
        <v>386281.39422995679</v>
      </c>
      <c r="BF218" s="121"/>
      <c r="BG218" s="123">
        <f t="shared" si="221"/>
        <v>1000000</v>
      </c>
      <c r="BH218" s="123">
        <f t="shared" ca="1" si="249"/>
        <v>1000000</v>
      </c>
      <c r="BI218" s="123">
        <f t="shared" ca="1" si="250"/>
        <v>0</v>
      </c>
      <c r="BJ218" s="123">
        <f t="shared" ca="1" si="251"/>
        <v>0</v>
      </c>
      <c r="BK218" s="123">
        <f t="shared" ca="1" si="208"/>
        <v>1000000</v>
      </c>
      <c r="BL218" s="123">
        <f t="shared" ca="1" si="252"/>
        <v>386281.39422995679</v>
      </c>
      <c r="BM218" s="121"/>
      <c r="BN218" s="126">
        <f ca="1">IF(LiabIntType2="Fixed",LiabFxdRate2,OFFSET(Vectors!$D$6,Vectors!A218,MATCH(LiabLoanIndex2,lstInterestRates,0))+LiabMarg2)</f>
        <v>0.04</v>
      </c>
      <c r="BO218" s="122">
        <f t="shared" ca="1" si="253"/>
        <v>29419.123811308869</v>
      </c>
      <c r="BP218" s="124">
        <f t="shared" ca="1" si="254"/>
        <v>29419.123811308869</v>
      </c>
      <c r="BQ218" s="123">
        <f t="shared" ca="1" si="255"/>
        <v>0</v>
      </c>
      <c r="BR218" s="123">
        <f t="shared" ca="1" si="256"/>
        <v>356862.27041864791</v>
      </c>
      <c r="BS218" s="121"/>
      <c r="BT218" s="123">
        <f t="shared" ca="1" si="222"/>
        <v>23612.234199281087</v>
      </c>
      <c r="BU218" s="123">
        <f t="shared" ca="1" si="257"/>
        <v>23612.234199281087</v>
      </c>
      <c r="BV218" s="123">
        <f t="shared" ca="1" si="258"/>
        <v>0</v>
      </c>
      <c r="BW218" s="123">
        <f t="shared" ca="1" si="259"/>
        <v>333250.03621936683</v>
      </c>
      <c r="BX218" s="121"/>
      <c r="BY218" s="123">
        <f t="shared" si="260"/>
        <v>0</v>
      </c>
      <c r="BZ218" s="123">
        <f t="shared" ca="1" si="261"/>
        <v>333250.03621936683</v>
      </c>
      <c r="CA218" s="121"/>
      <c r="CB218" s="122">
        <f t="shared" ca="1" si="209"/>
        <v>0</v>
      </c>
      <c r="CC218" s="122">
        <f t="shared" ca="1" si="262"/>
        <v>0</v>
      </c>
      <c r="CD218" s="124">
        <f t="shared" ca="1" si="263"/>
        <v>0</v>
      </c>
      <c r="CE218" s="121"/>
      <c r="CF218" s="122">
        <f t="shared" ca="1" si="210"/>
        <v>8802124.9091933798</v>
      </c>
      <c r="CG218" s="124">
        <f t="shared" ca="1" si="264"/>
        <v>29419.123811308869</v>
      </c>
      <c r="CH218" s="123">
        <f t="shared" ca="1" si="265"/>
        <v>23612.234199281087</v>
      </c>
      <c r="CI218" s="121"/>
      <c r="CJ218" s="123">
        <f t="shared" ca="1" si="266"/>
        <v>438561.11143166246</v>
      </c>
      <c r="CK218" s="123">
        <f t="shared" ca="1" si="267"/>
        <v>438561.11143166246</v>
      </c>
      <c r="CL218" s="123">
        <f t="shared" ca="1" si="268"/>
        <v>0</v>
      </c>
      <c r="CM218" s="121"/>
      <c r="CN218" s="62">
        <f t="shared" ca="1" si="269"/>
        <v>230297.83966468519</v>
      </c>
      <c r="CO218" s="62" t="b">
        <f t="shared" si="270"/>
        <v>1</v>
      </c>
      <c r="CP218" s="126">
        <f t="shared" ca="1" si="271"/>
        <v>5.888888888888868E-3</v>
      </c>
      <c r="CQ218" s="120"/>
      <c r="CR218" s="120"/>
      <c r="CS218" s="120"/>
      <c r="CT218" s="120"/>
      <c r="CU218" s="120"/>
      <c r="CV218" s="120"/>
      <c r="CW218" s="120"/>
      <c r="CX218" s="120"/>
      <c r="CY218" s="120"/>
      <c r="CZ218" s="120"/>
      <c r="DA218" s="120"/>
      <c r="DB218" s="120"/>
      <c r="DC218" s="120"/>
      <c r="DD218" s="120"/>
      <c r="DE218" s="116"/>
      <c r="DF218" s="116"/>
      <c r="DG218" s="116"/>
      <c r="DH218" s="116"/>
      <c r="DI218" s="116"/>
      <c r="DJ218" s="116"/>
      <c r="DK218" s="116"/>
      <c r="DL218" s="116"/>
      <c r="DM218" s="116"/>
      <c r="DN218" s="116"/>
    </row>
    <row r="219" spans="1:118" x14ac:dyDescent="0.2">
      <c r="A219" s="27">
        <v>213</v>
      </c>
      <c r="B219" s="29">
        <f t="shared" si="204"/>
        <v>45597</v>
      </c>
      <c r="C219" s="30">
        <f t="shared" si="205"/>
        <v>8.3333333333333329E-2</v>
      </c>
      <c r="D219" s="55"/>
      <c r="E219" s="62">
        <f t="shared" ca="1" si="223"/>
        <v>71780194.809605286</v>
      </c>
      <c r="F219" s="63">
        <f ca="1">IF(AssetIntType1="Fixed",AssetFxdRate1,IF(A219=1,OFFSET(Vectors!$D$6,A219,MATCH(AssetFltIndx1,lstInterestRates,0)),IF(MOD($A219,AssetRateReset1)=0,MAX(MIN(OFFSET(Vectors!$D$6,A219,MATCH(AssetFltIndx1,lstInterestRates,0)),(F218-AssetMarg1)+AssetPdCapFl1,AssetLifeCap1-AssetMarg1),(F218-AssetMarg1)-AssetPdCapFl1,AssetLifeFloor1-AssetMarg1),F218)))+AssetMarg1</f>
        <v>0.09</v>
      </c>
      <c r="G219" s="62">
        <f t="shared" ca="1" si="211"/>
        <v>804622.61694478267</v>
      </c>
      <c r="H219" s="62">
        <f t="shared" ca="1" si="224"/>
        <v>538351.46107203967</v>
      </c>
      <c r="I219" s="62">
        <f t="shared" ca="1" si="225"/>
        <v>266271.15587274299</v>
      </c>
      <c r="J219" s="62">
        <f t="shared" ca="1" si="206"/>
        <v>71513923.653732538</v>
      </c>
      <c r="K219" s="55"/>
      <c r="L219" s="62">
        <f t="shared" ca="1" si="226"/>
        <v>25647290.728353154</v>
      </c>
      <c r="M219" s="68">
        <f ca="1">IF(pdrLossTime1="",OFFSET(Vectors!$AE$6,A219+_Age1,MATCH(SDA_Loss,lstSDA,0)),OFFSET(Vectors!$X$6,A219+_Age1,MATCH(pdrLossTime1,lstDefaultCurve,0)))</f>
        <v>2.7777777777777779E-5</v>
      </c>
      <c r="N219" s="62">
        <f t="shared" ca="1" si="212"/>
        <v>2777.7777777777778</v>
      </c>
      <c r="O219" s="67">
        <f t="shared" ca="1" si="227"/>
        <v>0.71513923653732536</v>
      </c>
      <c r="P219" s="68">
        <f ca="1">OFFSET(Vectors!$L$6,A219+_Age1,MATCH(pdrPrepay1,lstPrepayCurve,0))*pdrPrepayStress1</f>
        <v>5.1430128318229462E-3</v>
      </c>
      <c r="Q219" s="62">
        <f t="shared" ca="1" si="228"/>
        <v>131415.04151174074</v>
      </c>
      <c r="R219" s="62">
        <f t="shared" ca="1" si="229"/>
        <v>95129.222249330254</v>
      </c>
      <c r="S219" s="69">
        <f t="shared" ca="1" si="230"/>
        <v>0.09</v>
      </c>
      <c r="T219" s="62">
        <f t="shared" ca="1" si="231"/>
        <v>192333.84712931531</v>
      </c>
      <c r="U219" s="62">
        <f t="shared" ca="1" si="213"/>
        <v>1111.1111111111111</v>
      </c>
      <c r="V219" s="62">
        <f t="shared" ca="1" si="207"/>
        <v>25417968.686814308</v>
      </c>
      <c r="W219" s="55"/>
      <c r="X219" s="62">
        <f t="shared" ca="1" si="232"/>
        <v>419989.2220014974</v>
      </c>
      <c r="Y219" s="55"/>
      <c r="Z219" s="118" t="b">
        <v>0</v>
      </c>
      <c r="AA219" s="120" t="b">
        <f t="shared" si="214"/>
        <v>0</v>
      </c>
      <c r="AB219" s="120" t="b">
        <f t="shared" si="215"/>
        <v>1</v>
      </c>
      <c r="AC219" s="120" t="b">
        <f t="shared" ca="1" si="216"/>
        <v>0</v>
      </c>
      <c r="AD219" s="121"/>
      <c r="AE219" s="129">
        <v>2626171.0729631614</v>
      </c>
      <c r="AF219" s="69">
        <f ca="1">IF(Swap_Active="No",0,OFFSET(Vectors!$D$6,Vectors!A219,MATCH(Swap_In,lstInterestRates,0)))</f>
        <v>6.9369000000000056E-2</v>
      </c>
      <c r="AG219" s="62">
        <f t="shared" ca="1" si="233"/>
        <v>15181.238430031808</v>
      </c>
      <c r="AH219" s="69">
        <f ca="1">IF(Swap_Active="No",0,OFFSET(Vectors!$D$6,Vectors!A219,MATCH(Swap_Out,lstInterestRates,0)))</f>
        <v>0.04</v>
      </c>
      <c r="AI219" s="62">
        <f t="shared" ca="1" si="234"/>
        <v>8753.9035765438712</v>
      </c>
      <c r="AJ219" s="62">
        <f t="shared" ca="1" si="235"/>
        <v>6427.3348534879369</v>
      </c>
      <c r="AK219" s="62">
        <f t="shared" ca="1" si="236"/>
        <v>426416.55685498536</v>
      </c>
      <c r="AL219" s="121"/>
      <c r="AM219" s="123">
        <f t="shared" ca="1" si="217"/>
        <v>42745.484547255255</v>
      </c>
      <c r="AN219" s="124">
        <f t="shared" ca="1" si="237"/>
        <v>42745.484547255255</v>
      </c>
      <c r="AO219" s="125">
        <f t="shared" ca="1" si="238"/>
        <v>0</v>
      </c>
      <c r="AP219" s="123">
        <f t="shared" ca="1" si="239"/>
        <v>383671.07230773009</v>
      </c>
      <c r="AQ219" s="121"/>
      <c r="AR219" s="126">
        <f ca="1">IF(LiabIntType1="Fixed",LiabFxdRate1,OFFSET(Vectors!$D$6,Vectors!A219,MATCH(LiabLoanIndex1,lstInterestRates,0))+LiabMarg1)</f>
        <v>7.9369000000000051E-2</v>
      </c>
      <c r="AS219" s="122">
        <f t="shared" ca="1" si="240"/>
        <v>0</v>
      </c>
      <c r="AT219" s="124">
        <f t="shared" ca="1" si="241"/>
        <v>0</v>
      </c>
      <c r="AU219" s="123">
        <f t="shared" ca="1" si="242"/>
        <v>0</v>
      </c>
      <c r="AV219" s="123">
        <f t="shared" ca="1" si="218"/>
        <v>0</v>
      </c>
      <c r="AW219" s="123">
        <f t="shared" ca="1" si="243"/>
        <v>0</v>
      </c>
      <c r="AX219" s="124">
        <f t="shared" ca="1" si="244"/>
        <v>383671.07230773009</v>
      </c>
      <c r="AY219" s="121"/>
      <c r="AZ219" s="122">
        <f t="shared" ca="1" si="219"/>
        <v>0</v>
      </c>
      <c r="BA219" s="124">
        <f t="shared" ca="1" si="245"/>
        <v>0</v>
      </c>
      <c r="BB219" s="123">
        <f t="shared" ca="1" si="246"/>
        <v>0</v>
      </c>
      <c r="BC219" s="123">
        <f t="shared" ca="1" si="220"/>
        <v>0</v>
      </c>
      <c r="BD219" s="123">
        <f t="shared" ca="1" si="247"/>
        <v>0</v>
      </c>
      <c r="BE219" s="124">
        <f t="shared" ca="1" si="248"/>
        <v>383671.07230773009</v>
      </c>
      <c r="BF219" s="121"/>
      <c r="BG219" s="123">
        <f t="shared" si="221"/>
        <v>1000000</v>
      </c>
      <c r="BH219" s="123">
        <f t="shared" ca="1" si="249"/>
        <v>1000000</v>
      </c>
      <c r="BI219" s="123">
        <f t="shared" ca="1" si="250"/>
        <v>0</v>
      </c>
      <c r="BJ219" s="123">
        <f t="shared" ca="1" si="251"/>
        <v>0</v>
      </c>
      <c r="BK219" s="123">
        <f t="shared" ca="1" si="208"/>
        <v>1000000</v>
      </c>
      <c r="BL219" s="123">
        <f t="shared" ca="1" si="252"/>
        <v>383671.07230773009</v>
      </c>
      <c r="BM219" s="121"/>
      <c r="BN219" s="126">
        <f ca="1">IF(LiabIntType2="Fixed",LiabFxdRate2,OFFSET(Vectors!$D$6,Vectors!A219,MATCH(LiabLoanIndex2,lstInterestRates,0))+LiabMarg2)</f>
        <v>0.04</v>
      </c>
      <c r="BO219" s="122">
        <f t="shared" ca="1" si="253"/>
        <v>29340.416363977929</v>
      </c>
      <c r="BP219" s="124">
        <f t="shared" ca="1" si="254"/>
        <v>29340.416363977929</v>
      </c>
      <c r="BQ219" s="123">
        <f t="shared" ca="1" si="255"/>
        <v>0</v>
      </c>
      <c r="BR219" s="123">
        <f t="shared" ca="1" si="256"/>
        <v>354330.65594375215</v>
      </c>
      <c r="BS219" s="121"/>
      <c r="BT219" s="123">
        <f t="shared" ca="1" si="222"/>
        <v>23512.18647885081</v>
      </c>
      <c r="BU219" s="123">
        <f t="shared" ca="1" si="257"/>
        <v>23512.18647885081</v>
      </c>
      <c r="BV219" s="123">
        <f t="shared" ca="1" si="258"/>
        <v>0</v>
      </c>
      <c r="BW219" s="123">
        <f t="shared" ca="1" si="259"/>
        <v>330818.46946490137</v>
      </c>
      <c r="BX219" s="121"/>
      <c r="BY219" s="123">
        <f t="shared" si="260"/>
        <v>0</v>
      </c>
      <c r="BZ219" s="123">
        <f t="shared" ca="1" si="261"/>
        <v>330818.46946490137</v>
      </c>
      <c r="CA219" s="121"/>
      <c r="CB219" s="122">
        <f t="shared" ca="1" si="209"/>
        <v>0</v>
      </c>
      <c r="CC219" s="122">
        <f t="shared" ca="1" si="262"/>
        <v>0</v>
      </c>
      <c r="CD219" s="124">
        <f t="shared" ca="1" si="263"/>
        <v>0</v>
      </c>
      <c r="CE219" s="121"/>
      <c r="CF219" s="122">
        <f t="shared" ca="1" si="210"/>
        <v>8778612.7227145284</v>
      </c>
      <c r="CG219" s="124">
        <f t="shared" ca="1" si="264"/>
        <v>29340.416363977929</v>
      </c>
      <c r="CH219" s="123">
        <f t="shared" ca="1" si="265"/>
        <v>23512.18647885081</v>
      </c>
      <c r="CI219" s="121"/>
      <c r="CJ219" s="123">
        <f t="shared" ca="1" si="266"/>
        <v>435170.46043152921</v>
      </c>
      <c r="CK219" s="123">
        <f t="shared" ca="1" si="267"/>
        <v>435170.46043152921</v>
      </c>
      <c r="CL219" s="123">
        <f t="shared" ca="1" si="268"/>
        <v>0</v>
      </c>
      <c r="CM219" s="121"/>
      <c r="CN219" s="62">
        <f t="shared" ca="1" si="269"/>
        <v>229322.04153884877</v>
      </c>
      <c r="CO219" s="62" t="b">
        <f t="shared" si="270"/>
        <v>1</v>
      </c>
      <c r="CP219" s="126">
        <f t="shared" ca="1" si="271"/>
        <v>5.9166666666666456E-3</v>
      </c>
      <c r="CQ219" s="120"/>
      <c r="CR219" s="120"/>
      <c r="CS219" s="120"/>
      <c r="CT219" s="120"/>
      <c r="CU219" s="120"/>
      <c r="CV219" s="120"/>
      <c r="CW219" s="120"/>
      <c r="CX219" s="120"/>
      <c r="CY219" s="120"/>
      <c r="CZ219" s="120"/>
      <c r="DA219" s="120"/>
      <c r="DB219" s="120"/>
      <c r="DC219" s="120"/>
      <c r="DD219" s="120"/>
      <c r="DE219" s="116"/>
      <c r="DF219" s="116"/>
      <c r="DG219" s="116"/>
      <c r="DH219" s="116"/>
      <c r="DI219" s="116"/>
      <c r="DJ219" s="116"/>
      <c r="DK219" s="116"/>
      <c r="DL219" s="116"/>
      <c r="DM219" s="116"/>
      <c r="DN219" s="116"/>
    </row>
    <row r="220" spans="1:118" x14ac:dyDescent="0.2">
      <c r="A220" s="27">
        <v>214</v>
      </c>
      <c r="B220" s="29">
        <f t="shared" si="204"/>
        <v>45627</v>
      </c>
      <c r="C220" s="30">
        <f t="shared" si="205"/>
        <v>8.3333333333333329E-2</v>
      </c>
      <c r="D220" s="55"/>
      <c r="E220" s="62">
        <f t="shared" ca="1" si="223"/>
        <v>71513923.653732538</v>
      </c>
      <c r="F220" s="63">
        <f ca="1">IF(AssetIntType1="Fixed",AssetFxdRate1,IF(A220=1,OFFSET(Vectors!$D$6,A220,MATCH(AssetFltIndx1,lstInterestRates,0)),IF(MOD($A220,AssetRateReset1)=0,MAX(MIN(OFFSET(Vectors!$D$6,A220,MATCH(AssetFltIndx1,lstInterestRates,0)),(F219-AssetMarg1)+AssetPdCapFl1,AssetLifeCap1-AssetMarg1),(F219-AssetMarg1)-AssetPdCapFl1,AssetLifeFloor1-AssetMarg1),F219)))+AssetMarg1</f>
        <v>0.09</v>
      </c>
      <c r="G220" s="62">
        <f t="shared" ca="1" si="211"/>
        <v>804622.61694478267</v>
      </c>
      <c r="H220" s="62">
        <f t="shared" ca="1" si="224"/>
        <v>536354.42740299401</v>
      </c>
      <c r="I220" s="62">
        <f t="shared" ca="1" si="225"/>
        <v>268268.18954178866</v>
      </c>
      <c r="J220" s="62">
        <f t="shared" ca="1" si="206"/>
        <v>71245655.464190751</v>
      </c>
      <c r="K220" s="55"/>
      <c r="L220" s="62">
        <f t="shared" ca="1" si="226"/>
        <v>25417968.686814308</v>
      </c>
      <c r="M220" s="68">
        <f ca="1">IF(pdrLossTime1="",OFFSET(Vectors!$AE$6,A220+_Age1,MATCH(SDA_Loss,lstSDA,0)),OFFSET(Vectors!$X$6,A220+_Age1,MATCH(pdrLossTime1,lstDefaultCurve,0)))</f>
        <v>2.7777777777777779E-5</v>
      </c>
      <c r="N220" s="62">
        <f t="shared" ca="1" si="212"/>
        <v>2777.7777777777778</v>
      </c>
      <c r="O220" s="67">
        <f t="shared" ca="1" si="227"/>
        <v>0.71245655464190749</v>
      </c>
      <c r="P220" s="68">
        <f ca="1">OFFSET(Vectors!$L$6,A220+_Age1,MATCH(pdrPrepay1,lstPrepayCurve,0))*pdrPrepayStress1</f>
        <v>5.1430128318229462E-3</v>
      </c>
      <c r="Q220" s="62">
        <f t="shared" ca="1" si="228"/>
        <v>130234.55429283922</v>
      </c>
      <c r="R220" s="62">
        <f t="shared" ca="1" si="229"/>
        <v>95339.297631591733</v>
      </c>
      <c r="S220" s="69">
        <f t="shared" ca="1" si="230"/>
        <v>0.09</v>
      </c>
      <c r="T220" s="62">
        <f t="shared" ca="1" si="231"/>
        <v>190613.93181777399</v>
      </c>
      <c r="U220" s="62">
        <f t="shared" ca="1" si="213"/>
        <v>1111.1111111111111</v>
      </c>
      <c r="V220" s="62">
        <f t="shared" ca="1" si="207"/>
        <v>25189617.057112101</v>
      </c>
      <c r="W220" s="55"/>
      <c r="X220" s="62">
        <f t="shared" ca="1" si="232"/>
        <v>417298.89485331607</v>
      </c>
      <c r="Y220" s="55"/>
      <c r="Z220" s="118" t="b">
        <v>0</v>
      </c>
      <c r="AA220" s="120" t="b">
        <f t="shared" si="214"/>
        <v>0</v>
      </c>
      <c r="AB220" s="120" t="b">
        <f t="shared" si="215"/>
        <v>1</v>
      </c>
      <c r="AC220" s="120" t="b">
        <f t="shared" ca="1" si="216"/>
        <v>0</v>
      </c>
      <c r="AD220" s="121"/>
      <c r="AE220" s="129">
        <v>2508498.6545133647</v>
      </c>
      <c r="AF220" s="69">
        <f ca="1">IF(Swap_Active="No",0,OFFSET(Vectors!$D$6,Vectors!A220,MATCH(Swap_In,lstInterestRates,0)))</f>
        <v>6.9369000000000056E-2</v>
      </c>
      <c r="AG220" s="62">
        <f t="shared" ca="1" si="233"/>
        <v>14501.003597078143</v>
      </c>
      <c r="AH220" s="69">
        <f ca="1">IF(Swap_Active="No",0,OFFSET(Vectors!$D$6,Vectors!A220,MATCH(Swap_Out,lstInterestRates,0)))</f>
        <v>0.04</v>
      </c>
      <c r="AI220" s="62">
        <f t="shared" ca="1" si="234"/>
        <v>8361.6621817112155</v>
      </c>
      <c r="AJ220" s="62">
        <f t="shared" ca="1" si="235"/>
        <v>6139.3414153669273</v>
      </c>
      <c r="AK220" s="62">
        <f t="shared" ca="1" si="236"/>
        <v>423438.23626868299</v>
      </c>
      <c r="AL220" s="121"/>
      <c r="AM220" s="123">
        <f t="shared" ca="1" si="217"/>
        <v>42363.281144690511</v>
      </c>
      <c r="AN220" s="124">
        <f t="shared" ca="1" si="237"/>
        <v>42363.281144690511</v>
      </c>
      <c r="AO220" s="125">
        <f t="shared" ca="1" si="238"/>
        <v>0</v>
      </c>
      <c r="AP220" s="123">
        <f t="shared" ca="1" si="239"/>
        <v>381074.95512399246</v>
      </c>
      <c r="AQ220" s="121"/>
      <c r="AR220" s="126">
        <f ca="1">IF(LiabIntType1="Fixed",LiabFxdRate1,OFFSET(Vectors!$D$6,Vectors!A220,MATCH(LiabLoanIndex1,lstInterestRates,0))+LiabMarg1)</f>
        <v>7.9369000000000051E-2</v>
      </c>
      <c r="AS220" s="122">
        <f t="shared" ca="1" si="240"/>
        <v>0</v>
      </c>
      <c r="AT220" s="124">
        <f t="shared" ca="1" si="241"/>
        <v>0</v>
      </c>
      <c r="AU220" s="123">
        <f t="shared" ca="1" si="242"/>
        <v>0</v>
      </c>
      <c r="AV220" s="123">
        <f t="shared" ca="1" si="218"/>
        <v>0</v>
      </c>
      <c r="AW220" s="123">
        <f t="shared" ca="1" si="243"/>
        <v>0</v>
      </c>
      <c r="AX220" s="124">
        <f t="shared" ca="1" si="244"/>
        <v>381074.95512399246</v>
      </c>
      <c r="AY220" s="121"/>
      <c r="AZ220" s="122">
        <f t="shared" ca="1" si="219"/>
        <v>0</v>
      </c>
      <c r="BA220" s="124">
        <f t="shared" ca="1" si="245"/>
        <v>0</v>
      </c>
      <c r="BB220" s="123">
        <f t="shared" ca="1" si="246"/>
        <v>0</v>
      </c>
      <c r="BC220" s="123">
        <f t="shared" ca="1" si="220"/>
        <v>0</v>
      </c>
      <c r="BD220" s="123">
        <f t="shared" ca="1" si="247"/>
        <v>0</v>
      </c>
      <c r="BE220" s="124">
        <f t="shared" ca="1" si="248"/>
        <v>381074.95512399246</v>
      </c>
      <c r="BF220" s="121"/>
      <c r="BG220" s="123">
        <f t="shared" si="221"/>
        <v>1000000</v>
      </c>
      <c r="BH220" s="123">
        <f t="shared" ca="1" si="249"/>
        <v>1000000</v>
      </c>
      <c r="BI220" s="123">
        <f t="shared" ca="1" si="250"/>
        <v>0</v>
      </c>
      <c r="BJ220" s="123">
        <f t="shared" ca="1" si="251"/>
        <v>0</v>
      </c>
      <c r="BK220" s="123">
        <f t="shared" ca="1" si="208"/>
        <v>1000000</v>
      </c>
      <c r="BL220" s="123">
        <f t="shared" ca="1" si="252"/>
        <v>381074.95512399246</v>
      </c>
      <c r="BM220" s="121"/>
      <c r="BN220" s="126">
        <f ca="1">IF(LiabIntType2="Fixed",LiabFxdRate2,OFFSET(Vectors!$D$6,Vectors!A220,MATCH(LiabLoanIndex2,lstInterestRates,0))+LiabMarg2)</f>
        <v>0.04</v>
      </c>
      <c r="BO220" s="122">
        <f t="shared" ca="1" si="253"/>
        <v>29262.042409048427</v>
      </c>
      <c r="BP220" s="124">
        <f t="shared" ca="1" si="254"/>
        <v>29262.042409048427</v>
      </c>
      <c r="BQ220" s="123">
        <f t="shared" ca="1" si="255"/>
        <v>0</v>
      </c>
      <c r="BR220" s="123">
        <f t="shared" ca="1" si="256"/>
        <v>351812.91271494405</v>
      </c>
      <c r="BS220" s="121"/>
      <c r="BT220" s="123">
        <f t="shared" ca="1" si="222"/>
        <v>23412.691009896949</v>
      </c>
      <c r="BU220" s="123">
        <f t="shared" ca="1" si="257"/>
        <v>23412.691009896949</v>
      </c>
      <c r="BV220" s="123">
        <f t="shared" ca="1" si="258"/>
        <v>0</v>
      </c>
      <c r="BW220" s="123">
        <f t="shared" ca="1" si="259"/>
        <v>328400.22170504712</v>
      </c>
      <c r="BX220" s="121"/>
      <c r="BY220" s="123">
        <f t="shared" si="260"/>
        <v>0</v>
      </c>
      <c r="BZ220" s="123">
        <f t="shared" ca="1" si="261"/>
        <v>328400.22170504712</v>
      </c>
      <c r="CA220" s="121"/>
      <c r="CB220" s="122">
        <f t="shared" ca="1" si="209"/>
        <v>0</v>
      </c>
      <c r="CC220" s="122">
        <f t="shared" ca="1" si="262"/>
        <v>0</v>
      </c>
      <c r="CD220" s="124">
        <f t="shared" ca="1" si="263"/>
        <v>0</v>
      </c>
      <c r="CE220" s="121"/>
      <c r="CF220" s="122">
        <f t="shared" ca="1" si="210"/>
        <v>8755200.0317046307</v>
      </c>
      <c r="CG220" s="124">
        <f t="shared" ca="1" si="264"/>
        <v>29262.042409048427</v>
      </c>
      <c r="CH220" s="123">
        <f t="shared" ca="1" si="265"/>
        <v>23412.691009896949</v>
      </c>
      <c r="CI220" s="121"/>
      <c r="CJ220" s="123">
        <f t="shared" ca="1" si="266"/>
        <v>431799.89845039422</v>
      </c>
      <c r="CK220" s="123">
        <f t="shared" ca="1" si="267"/>
        <v>431799.89845039422</v>
      </c>
      <c r="CL220" s="123">
        <f t="shared" ca="1" si="268"/>
        <v>0</v>
      </c>
      <c r="CM220" s="121"/>
      <c r="CN220" s="62">
        <f t="shared" ca="1" si="269"/>
        <v>228351.62970220874</v>
      </c>
      <c r="CO220" s="62" t="b">
        <f t="shared" si="270"/>
        <v>1</v>
      </c>
      <c r="CP220" s="126">
        <f t="shared" ca="1" si="271"/>
        <v>5.9444444444444232E-3</v>
      </c>
      <c r="CQ220" s="120"/>
      <c r="CR220" s="120"/>
      <c r="CS220" s="120"/>
      <c r="CT220" s="120"/>
      <c r="CU220" s="120"/>
      <c r="CV220" s="120"/>
      <c r="CW220" s="120"/>
      <c r="CX220" s="120"/>
      <c r="CY220" s="120"/>
      <c r="CZ220" s="120"/>
      <c r="DA220" s="120"/>
      <c r="DB220" s="120"/>
      <c r="DC220" s="120"/>
      <c r="DD220" s="120"/>
      <c r="DE220" s="116"/>
      <c r="DF220" s="116"/>
      <c r="DG220" s="116"/>
      <c r="DH220" s="116"/>
      <c r="DI220" s="116"/>
      <c r="DJ220" s="116"/>
      <c r="DK220" s="116"/>
      <c r="DL220" s="116"/>
      <c r="DM220" s="116"/>
      <c r="DN220" s="116"/>
    </row>
    <row r="221" spans="1:118" x14ac:dyDescent="0.2">
      <c r="A221" s="27">
        <v>215</v>
      </c>
      <c r="B221" s="29">
        <f t="shared" si="204"/>
        <v>45658</v>
      </c>
      <c r="C221" s="30">
        <f t="shared" si="205"/>
        <v>8.3333333333333329E-2</v>
      </c>
      <c r="D221" s="55"/>
      <c r="E221" s="62">
        <f t="shared" ca="1" si="223"/>
        <v>71245655.464190751</v>
      </c>
      <c r="F221" s="63">
        <f ca="1">IF(AssetIntType1="Fixed",AssetFxdRate1,IF(A221=1,OFFSET(Vectors!$D$6,A221,MATCH(AssetFltIndx1,lstInterestRates,0)),IF(MOD($A221,AssetRateReset1)=0,MAX(MIN(OFFSET(Vectors!$D$6,A221,MATCH(AssetFltIndx1,lstInterestRates,0)),(F220-AssetMarg1)+AssetPdCapFl1,AssetLifeCap1-AssetMarg1),(F220-AssetMarg1)-AssetPdCapFl1,AssetLifeFloor1-AssetMarg1),F220)))+AssetMarg1</f>
        <v>0.09</v>
      </c>
      <c r="G221" s="62">
        <f t="shared" ca="1" si="211"/>
        <v>804622.61694478267</v>
      </c>
      <c r="H221" s="62">
        <f t="shared" ca="1" si="224"/>
        <v>534342.41598143056</v>
      </c>
      <c r="I221" s="62">
        <f t="shared" ca="1" si="225"/>
        <v>270280.20096335211</v>
      </c>
      <c r="J221" s="62">
        <f t="shared" ca="1" si="206"/>
        <v>70975375.263227403</v>
      </c>
      <c r="K221" s="55"/>
      <c r="L221" s="62">
        <f t="shared" ca="1" si="226"/>
        <v>25189617.057112101</v>
      </c>
      <c r="M221" s="68">
        <f ca="1">IF(pdrLossTime1="",OFFSET(Vectors!$AE$6,A221+_Age1,MATCH(SDA_Loss,lstSDA,0)),OFFSET(Vectors!$X$6,A221+_Age1,MATCH(pdrLossTime1,lstDefaultCurve,0)))</f>
        <v>2.7777777777777779E-5</v>
      </c>
      <c r="N221" s="62">
        <f t="shared" ca="1" si="212"/>
        <v>2777.7777777777778</v>
      </c>
      <c r="O221" s="67">
        <f t="shared" ca="1" si="227"/>
        <v>0.70975375263227403</v>
      </c>
      <c r="P221" s="68">
        <f ca="1">OFFSET(Vectors!$L$6,A221+_Age1,MATCH(pdrPrepay1,lstPrepayCurve,0))*pdrPrepayStress1</f>
        <v>5.1430128318229462E-3</v>
      </c>
      <c r="Q221" s="62">
        <f t="shared" ca="1" si="228"/>
        <v>129059.05600895369</v>
      </c>
      <c r="R221" s="62">
        <f t="shared" ca="1" si="229"/>
        <v>95549.741772978246</v>
      </c>
      <c r="S221" s="69">
        <f t="shared" ca="1" si="230"/>
        <v>0.09</v>
      </c>
      <c r="T221" s="62">
        <f t="shared" ca="1" si="231"/>
        <v>188901.29459500744</v>
      </c>
      <c r="U221" s="62">
        <f t="shared" ca="1" si="213"/>
        <v>1111.1111111111111</v>
      </c>
      <c r="V221" s="62">
        <f t="shared" ca="1" si="207"/>
        <v>24962230.481552392</v>
      </c>
      <c r="W221" s="55"/>
      <c r="X221" s="62">
        <f t="shared" ca="1" si="232"/>
        <v>414621.20348805049</v>
      </c>
      <c r="Y221" s="55"/>
      <c r="Z221" s="118" t="b">
        <v>0</v>
      </c>
      <c r="AA221" s="120" t="b">
        <f t="shared" si="214"/>
        <v>0</v>
      </c>
      <c r="AB221" s="120" t="b">
        <f t="shared" si="215"/>
        <v>1</v>
      </c>
      <c r="AC221" s="120" t="b">
        <f t="shared" ca="1" si="216"/>
        <v>0</v>
      </c>
      <c r="AD221" s="121"/>
      <c r="AE221" s="129">
        <v>2392090.7079453906</v>
      </c>
      <c r="AF221" s="69">
        <f ca="1">IF(Swap_Active="No",0,OFFSET(Vectors!$D$6,Vectors!A221,MATCH(Swap_In,lstInterestRates,0)))</f>
        <v>6.9369000000000056E-2</v>
      </c>
      <c r="AG221" s="62">
        <f t="shared" ca="1" si="233"/>
        <v>13828.078359955327</v>
      </c>
      <c r="AH221" s="69">
        <f ca="1">IF(Swap_Active="No",0,OFFSET(Vectors!$D$6,Vectors!A221,MATCH(Swap_Out,lstInterestRates,0)))</f>
        <v>0.04</v>
      </c>
      <c r="AI221" s="62">
        <f t="shared" ca="1" si="234"/>
        <v>7973.6356931513019</v>
      </c>
      <c r="AJ221" s="62">
        <f t="shared" ca="1" si="235"/>
        <v>5854.4426668040251</v>
      </c>
      <c r="AK221" s="62">
        <f t="shared" ca="1" si="236"/>
        <v>420475.6461548545</v>
      </c>
      <c r="AL221" s="121"/>
      <c r="AM221" s="123">
        <f t="shared" ca="1" si="217"/>
        <v>41982.695095186835</v>
      </c>
      <c r="AN221" s="124">
        <f t="shared" ca="1" si="237"/>
        <v>41982.695095186835</v>
      </c>
      <c r="AO221" s="125">
        <f t="shared" ca="1" si="238"/>
        <v>0</v>
      </c>
      <c r="AP221" s="123">
        <f t="shared" ca="1" si="239"/>
        <v>378492.95105966768</v>
      </c>
      <c r="AQ221" s="121"/>
      <c r="AR221" s="126">
        <f ca="1">IF(LiabIntType1="Fixed",LiabFxdRate1,OFFSET(Vectors!$D$6,Vectors!A221,MATCH(LiabLoanIndex1,lstInterestRates,0))+LiabMarg1)</f>
        <v>7.9369000000000051E-2</v>
      </c>
      <c r="AS221" s="122">
        <f t="shared" ca="1" si="240"/>
        <v>0</v>
      </c>
      <c r="AT221" s="124">
        <f t="shared" ca="1" si="241"/>
        <v>0</v>
      </c>
      <c r="AU221" s="123">
        <f t="shared" ca="1" si="242"/>
        <v>0</v>
      </c>
      <c r="AV221" s="123">
        <f t="shared" ca="1" si="218"/>
        <v>0</v>
      </c>
      <c r="AW221" s="123">
        <f t="shared" ca="1" si="243"/>
        <v>0</v>
      </c>
      <c r="AX221" s="124">
        <f t="shared" ca="1" si="244"/>
        <v>378492.95105966768</v>
      </c>
      <c r="AY221" s="121"/>
      <c r="AZ221" s="122">
        <f t="shared" ca="1" si="219"/>
        <v>0</v>
      </c>
      <c r="BA221" s="124">
        <f t="shared" ca="1" si="245"/>
        <v>0</v>
      </c>
      <c r="BB221" s="123">
        <f t="shared" ca="1" si="246"/>
        <v>0</v>
      </c>
      <c r="BC221" s="123">
        <f t="shared" ca="1" si="220"/>
        <v>0</v>
      </c>
      <c r="BD221" s="123">
        <f t="shared" ca="1" si="247"/>
        <v>0</v>
      </c>
      <c r="BE221" s="124">
        <f t="shared" ca="1" si="248"/>
        <v>378492.95105966768</v>
      </c>
      <c r="BF221" s="121"/>
      <c r="BG221" s="123">
        <f t="shared" si="221"/>
        <v>1000000</v>
      </c>
      <c r="BH221" s="123">
        <f t="shared" ca="1" si="249"/>
        <v>1000000</v>
      </c>
      <c r="BI221" s="123">
        <f t="shared" ca="1" si="250"/>
        <v>0</v>
      </c>
      <c r="BJ221" s="123">
        <f t="shared" ca="1" si="251"/>
        <v>0</v>
      </c>
      <c r="BK221" s="123">
        <f t="shared" ca="1" si="208"/>
        <v>1000000</v>
      </c>
      <c r="BL221" s="123">
        <f t="shared" ca="1" si="252"/>
        <v>378492.95105966768</v>
      </c>
      <c r="BM221" s="121"/>
      <c r="BN221" s="126">
        <f ca="1">IF(LiabIntType2="Fixed",LiabFxdRate2,OFFSET(Vectors!$D$6,Vectors!A221,MATCH(LiabLoanIndex2,lstInterestRates,0))+LiabMarg2)</f>
        <v>0.04</v>
      </c>
      <c r="BO221" s="122">
        <f t="shared" ca="1" si="253"/>
        <v>29184.000105682102</v>
      </c>
      <c r="BP221" s="124">
        <f t="shared" ca="1" si="254"/>
        <v>29184.000105682102</v>
      </c>
      <c r="BQ221" s="123">
        <f t="shared" ca="1" si="255"/>
        <v>0</v>
      </c>
      <c r="BR221" s="123">
        <f t="shared" ca="1" si="256"/>
        <v>349308.95095398556</v>
      </c>
      <c r="BS221" s="121"/>
      <c r="BT221" s="123">
        <f t="shared" ca="1" si="222"/>
        <v>23313.744860593717</v>
      </c>
      <c r="BU221" s="123">
        <f t="shared" ca="1" si="257"/>
        <v>23313.744860593717</v>
      </c>
      <c r="BV221" s="123">
        <f t="shared" ca="1" si="258"/>
        <v>0</v>
      </c>
      <c r="BW221" s="123">
        <f t="shared" ca="1" si="259"/>
        <v>325995.20609339187</v>
      </c>
      <c r="BX221" s="121"/>
      <c r="BY221" s="123">
        <f t="shared" si="260"/>
        <v>0</v>
      </c>
      <c r="BZ221" s="123">
        <f t="shared" ca="1" si="261"/>
        <v>325995.20609339187</v>
      </c>
      <c r="CA221" s="121"/>
      <c r="CB221" s="122">
        <f t="shared" ca="1" si="209"/>
        <v>0</v>
      </c>
      <c r="CC221" s="122">
        <f t="shared" ca="1" si="262"/>
        <v>0</v>
      </c>
      <c r="CD221" s="124">
        <f t="shared" ca="1" si="263"/>
        <v>0</v>
      </c>
      <c r="CE221" s="121"/>
      <c r="CF221" s="122">
        <f t="shared" ca="1" si="210"/>
        <v>8731886.2868440375</v>
      </c>
      <c r="CG221" s="124">
        <f t="shared" ca="1" si="264"/>
        <v>29184.000105682102</v>
      </c>
      <c r="CH221" s="123">
        <f t="shared" ca="1" si="265"/>
        <v>23313.744860593717</v>
      </c>
      <c r="CI221" s="121"/>
      <c r="CJ221" s="123">
        <f t="shared" ca="1" si="266"/>
        <v>428449.28184800583</v>
      </c>
      <c r="CK221" s="123">
        <f t="shared" ca="1" si="267"/>
        <v>428449.28184800583</v>
      </c>
      <c r="CL221" s="123">
        <f t="shared" ca="1" si="268"/>
        <v>0</v>
      </c>
      <c r="CM221" s="121"/>
      <c r="CN221" s="62">
        <f t="shared" ca="1" si="269"/>
        <v>227386.57555970972</v>
      </c>
      <c r="CO221" s="62" t="b">
        <f t="shared" si="270"/>
        <v>1</v>
      </c>
      <c r="CP221" s="126">
        <f t="shared" ca="1" si="271"/>
        <v>5.9722222222222008E-3</v>
      </c>
      <c r="CQ221" s="120"/>
      <c r="CR221" s="120"/>
      <c r="CS221" s="120"/>
      <c r="CT221" s="120"/>
      <c r="CU221" s="120"/>
      <c r="CV221" s="120"/>
      <c r="CW221" s="120"/>
      <c r="CX221" s="120"/>
      <c r="CY221" s="120"/>
      <c r="CZ221" s="120"/>
      <c r="DA221" s="120"/>
      <c r="DB221" s="120"/>
      <c r="DC221" s="120"/>
      <c r="DD221" s="120"/>
      <c r="DE221" s="116"/>
      <c r="DF221" s="116"/>
      <c r="DG221" s="116"/>
      <c r="DH221" s="116"/>
      <c r="DI221" s="116"/>
      <c r="DJ221" s="116"/>
      <c r="DK221" s="116"/>
      <c r="DL221" s="116"/>
      <c r="DM221" s="116"/>
      <c r="DN221" s="116"/>
    </row>
    <row r="222" spans="1:118" x14ac:dyDescent="0.2">
      <c r="A222" s="27">
        <v>216</v>
      </c>
      <c r="B222" s="29">
        <f t="shared" si="204"/>
        <v>45689</v>
      </c>
      <c r="C222" s="30">
        <f t="shared" si="205"/>
        <v>8.3333333333333329E-2</v>
      </c>
      <c r="D222" s="55"/>
      <c r="E222" s="62">
        <f t="shared" ca="1" si="223"/>
        <v>70975375.263227403</v>
      </c>
      <c r="F222" s="63">
        <f ca="1">IF(AssetIntType1="Fixed",AssetFxdRate1,IF(A222=1,OFFSET(Vectors!$D$6,A222,MATCH(AssetFltIndx1,lstInterestRates,0)),IF(MOD($A222,AssetRateReset1)=0,MAX(MIN(OFFSET(Vectors!$D$6,A222,MATCH(AssetFltIndx1,lstInterestRates,0)),(F221-AssetMarg1)+AssetPdCapFl1,AssetLifeCap1-AssetMarg1),(F221-AssetMarg1)-AssetPdCapFl1,AssetLifeFloor1-AssetMarg1),F221)))+AssetMarg1</f>
        <v>0.09</v>
      </c>
      <c r="G222" s="62">
        <f t="shared" ca="1" si="211"/>
        <v>804622.61694478267</v>
      </c>
      <c r="H222" s="62">
        <f t="shared" ca="1" si="224"/>
        <v>532315.31447420549</v>
      </c>
      <c r="I222" s="62">
        <f t="shared" ca="1" si="225"/>
        <v>272307.30247057718</v>
      </c>
      <c r="J222" s="62">
        <f t="shared" ca="1" si="206"/>
        <v>70703067.960756823</v>
      </c>
      <c r="K222" s="55"/>
      <c r="L222" s="62">
        <f t="shared" ca="1" si="226"/>
        <v>24962230.481552392</v>
      </c>
      <c r="M222" s="68">
        <f ca="1">IF(pdrLossTime1="",OFFSET(Vectors!$AE$6,A222+_Age1,MATCH(SDA_Loss,lstSDA,0)),OFFSET(Vectors!$X$6,A222+_Age1,MATCH(pdrLossTime1,lstDefaultCurve,0)))</f>
        <v>2.7777777777777779E-5</v>
      </c>
      <c r="N222" s="62">
        <f t="shared" ca="1" si="212"/>
        <v>2777.7777777777778</v>
      </c>
      <c r="O222" s="67">
        <f t="shared" ca="1" si="227"/>
        <v>0.70703067960756827</v>
      </c>
      <c r="P222" s="68">
        <f ca="1">OFFSET(Vectors!$L$6,A222+_Age1,MATCH(pdrPrepay1,lstPrepayCurve,0))*pdrPrepayStress1</f>
        <v>5.1430128318229462E-3</v>
      </c>
      <c r="Q222" s="62">
        <f t="shared" ca="1" si="228"/>
        <v>127888.51911002307</v>
      </c>
      <c r="R222" s="62">
        <f t="shared" ca="1" si="229"/>
        <v>95760.553737122696</v>
      </c>
      <c r="S222" s="69">
        <f t="shared" ca="1" si="230"/>
        <v>0.09</v>
      </c>
      <c r="T222" s="62">
        <f t="shared" ca="1" si="231"/>
        <v>187195.89527830962</v>
      </c>
      <c r="U222" s="62">
        <f t="shared" ca="1" si="213"/>
        <v>1111.1111111111111</v>
      </c>
      <c r="V222" s="62">
        <f t="shared" ca="1" si="207"/>
        <v>24735803.63092747</v>
      </c>
      <c r="W222" s="55"/>
      <c r="X222" s="62">
        <f t="shared" ca="1" si="232"/>
        <v>411956.07923656655</v>
      </c>
      <c r="Y222" s="55"/>
      <c r="Z222" s="118" t="b">
        <v>0</v>
      </c>
      <c r="AA222" s="120" t="b">
        <f t="shared" si="214"/>
        <v>0</v>
      </c>
      <c r="AB222" s="120" t="b">
        <f t="shared" si="215"/>
        <v>1</v>
      </c>
      <c r="AC222" s="120" t="b">
        <f t="shared" ca="1" si="216"/>
        <v>0</v>
      </c>
      <c r="AD222" s="121"/>
      <c r="AE222" s="129">
        <v>2276934.4508515778</v>
      </c>
      <c r="AF222" s="69">
        <f ca="1">IF(Swap_Active="No",0,OFFSET(Vectors!$D$6,Vectors!A222,MATCH(Swap_In,lstInterestRates,0)))</f>
        <v>6.9369000000000056E-2</v>
      </c>
      <c r="AG222" s="62">
        <f t="shared" ca="1" si="233"/>
        <v>13162.388826760269</v>
      </c>
      <c r="AH222" s="69">
        <f ca="1">IF(Swap_Active="No",0,OFFSET(Vectors!$D$6,Vectors!A222,MATCH(Swap_Out,lstInterestRates,0)))</f>
        <v>0.04</v>
      </c>
      <c r="AI222" s="62">
        <f t="shared" ca="1" si="234"/>
        <v>7589.781502838593</v>
      </c>
      <c r="AJ222" s="62">
        <f t="shared" ca="1" si="235"/>
        <v>5572.6073239216757</v>
      </c>
      <c r="AK222" s="62">
        <f t="shared" ca="1" si="236"/>
        <v>417528.68656048825</v>
      </c>
      <c r="AL222" s="121"/>
      <c r="AM222" s="123">
        <f t="shared" ca="1" si="217"/>
        <v>41603.717469253985</v>
      </c>
      <c r="AN222" s="124">
        <f t="shared" ca="1" si="237"/>
        <v>41603.717469253985</v>
      </c>
      <c r="AO222" s="125">
        <f t="shared" ca="1" si="238"/>
        <v>0</v>
      </c>
      <c r="AP222" s="123">
        <f t="shared" ca="1" si="239"/>
        <v>375924.96909123426</v>
      </c>
      <c r="AQ222" s="121"/>
      <c r="AR222" s="126">
        <f ca="1">IF(LiabIntType1="Fixed",LiabFxdRate1,OFFSET(Vectors!$D$6,Vectors!A222,MATCH(LiabLoanIndex1,lstInterestRates,0))+LiabMarg1)</f>
        <v>7.9369000000000051E-2</v>
      </c>
      <c r="AS222" s="122">
        <f t="shared" ca="1" si="240"/>
        <v>0</v>
      </c>
      <c r="AT222" s="124">
        <f t="shared" ca="1" si="241"/>
        <v>0</v>
      </c>
      <c r="AU222" s="123">
        <f t="shared" ca="1" si="242"/>
        <v>0</v>
      </c>
      <c r="AV222" s="123">
        <f t="shared" ca="1" si="218"/>
        <v>0</v>
      </c>
      <c r="AW222" s="123">
        <f t="shared" ca="1" si="243"/>
        <v>0</v>
      </c>
      <c r="AX222" s="124">
        <f t="shared" ca="1" si="244"/>
        <v>375924.96909123426</v>
      </c>
      <c r="AY222" s="121"/>
      <c r="AZ222" s="122">
        <f t="shared" ca="1" si="219"/>
        <v>0</v>
      </c>
      <c r="BA222" s="124">
        <f t="shared" ca="1" si="245"/>
        <v>0</v>
      </c>
      <c r="BB222" s="123">
        <f t="shared" ca="1" si="246"/>
        <v>0</v>
      </c>
      <c r="BC222" s="123">
        <f t="shared" ca="1" si="220"/>
        <v>0</v>
      </c>
      <c r="BD222" s="123">
        <f t="shared" ca="1" si="247"/>
        <v>0</v>
      </c>
      <c r="BE222" s="124">
        <f t="shared" ca="1" si="248"/>
        <v>375924.96909123426</v>
      </c>
      <c r="BF222" s="121"/>
      <c r="BG222" s="123">
        <f t="shared" si="221"/>
        <v>1000000</v>
      </c>
      <c r="BH222" s="123">
        <f t="shared" ca="1" si="249"/>
        <v>1000000</v>
      </c>
      <c r="BI222" s="123">
        <f t="shared" ca="1" si="250"/>
        <v>0</v>
      </c>
      <c r="BJ222" s="123">
        <f t="shared" ca="1" si="251"/>
        <v>0</v>
      </c>
      <c r="BK222" s="123">
        <f t="shared" ca="1" si="208"/>
        <v>1000000</v>
      </c>
      <c r="BL222" s="123">
        <f t="shared" ca="1" si="252"/>
        <v>375924.96909123426</v>
      </c>
      <c r="BM222" s="121"/>
      <c r="BN222" s="126">
        <f ca="1">IF(LiabIntType2="Fixed",LiabFxdRate2,OFFSET(Vectors!$D$6,Vectors!A222,MATCH(LiabLoanIndex2,lstInterestRates,0))+LiabMarg2)</f>
        <v>0.04</v>
      </c>
      <c r="BO222" s="122">
        <f t="shared" ca="1" si="253"/>
        <v>29106.287622813456</v>
      </c>
      <c r="BP222" s="124">
        <f t="shared" ca="1" si="254"/>
        <v>29106.287622813456</v>
      </c>
      <c r="BQ222" s="123">
        <f t="shared" ca="1" si="255"/>
        <v>0</v>
      </c>
      <c r="BR222" s="123">
        <f t="shared" ca="1" si="256"/>
        <v>346818.68146842078</v>
      </c>
      <c r="BS222" s="121"/>
      <c r="BT222" s="123">
        <f t="shared" ca="1" si="222"/>
        <v>23215.345110252787</v>
      </c>
      <c r="BU222" s="123">
        <f t="shared" ca="1" si="257"/>
        <v>23215.345110252787</v>
      </c>
      <c r="BV222" s="123">
        <f t="shared" ca="1" si="258"/>
        <v>0</v>
      </c>
      <c r="BW222" s="123">
        <f t="shared" ca="1" si="259"/>
        <v>323603.33635816799</v>
      </c>
      <c r="BX222" s="121"/>
      <c r="BY222" s="123">
        <f t="shared" si="260"/>
        <v>0</v>
      </c>
      <c r="BZ222" s="123">
        <f t="shared" ca="1" si="261"/>
        <v>323603.33635816799</v>
      </c>
      <c r="CA222" s="121"/>
      <c r="CB222" s="122">
        <f t="shared" ca="1" si="209"/>
        <v>0</v>
      </c>
      <c r="CC222" s="122">
        <f t="shared" ca="1" si="262"/>
        <v>0</v>
      </c>
      <c r="CD222" s="124">
        <f t="shared" ca="1" si="263"/>
        <v>0</v>
      </c>
      <c r="CE222" s="121"/>
      <c r="CF222" s="122">
        <f t="shared" ca="1" si="210"/>
        <v>8708670.941733785</v>
      </c>
      <c r="CG222" s="124">
        <f t="shared" ca="1" si="264"/>
        <v>29106.287622813456</v>
      </c>
      <c r="CH222" s="123">
        <f t="shared" ca="1" si="265"/>
        <v>23215.345110252787</v>
      </c>
      <c r="CI222" s="121"/>
      <c r="CJ222" s="123">
        <f t="shared" ca="1" si="266"/>
        <v>425118.46806332684</v>
      </c>
      <c r="CK222" s="123">
        <f t="shared" ca="1" si="267"/>
        <v>425118.46806332679</v>
      </c>
      <c r="CL222" s="123">
        <f t="shared" ca="1" si="268"/>
        <v>0</v>
      </c>
      <c r="CM222" s="121"/>
      <c r="CN222" s="62">
        <f t="shared" ca="1" si="269"/>
        <v>226426.85062492354</v>
      </c>
      <c r="CO222" s="62" t="b">
        <f t="shared" si="270"/>
        <v>1</v>
      </c>
      <c r="CP222" s="126">
        <f t="shared" ca="1" si="271"/>
        <v>5.9999999999999784E-3</v>
      </c>
      <c r="CQ222" s="120"/>
      <c r="CR222" s="120"/>
      <c r="CS222" s="120"/>
      <c r="CT222" s="120"/>
      <c r="CU222" s="120"/>
      <c r="CV222" s="120"/>
      <c r="CW222" s="120"/>
      <c r="CX222" s="120"/>
      <c r="CY222" s="120"/>
      <c r="CZ222" s="120"/>
      <c r="DA222" s="120"/>
      <c r="DB222" s="120"/>
      <c r="DC222" s="120"/>
      <c r="DD222" s="120"/>
      <c r="DE222" s="116"/>
      <c r="DF222" s="116"/>
      <c r="DG222" s="116"/>
      <c r="DH222" s="116"/>
      <c r="DI222" s="116"/>
      <c r="DJ222" s="116"/>
      <c r="DK222" s="116"/>
      <c r="DL222" s="116"/>
      <c r="DM222" s="116"/>
      <c r="DN222" s="116"/>
    </row>
    <row r="223" spans="1:118" x14ac:dyDescent="0.2">
      <c r="A223" s="27">
        <v>217</v>
      </c>
      <c r="B223" s="29">
        <f t="shared" si="204"/>
        <v>45717</v>
      </c>
      <c r="C223" s="30">
        <f t="shared" si="205"/>
        <v>8.3333333333333329E-2</v>
      </c>
      <c r="D223" s="55"/>
      <c r="E223" s="62">
        <f t="shared" ca="1" si="223"/>
        <v>70703067.960756823</v>
      </c>
      <c r="F223" s="63">
        <f ca="1">IF(AssetIntType1="Fixed",AssetFxdRate1,IF(A223=1,OFFSET(Vectors!$D$6,A223,MATCH(AssetFltIndx1,lstInterestRates,0)),IF(MOD($A223,AssetRateReset1)=0,MAX(MIN(OFFSET(Vectors!$D$6,A223,MATCH(AssetFltIndx1,lstInterestRates,0)),(F222-AssetMarg1)+AssetPdCapFl1,AssetLifeCap1-AssetMarg1),(F222-AssetMarg1)-AssetPdCapFl1,AssetLifeFloor1-AssetMarg1),F222)))+AssetMarg1</f>
        <v>0.09</v>
      </c>
      <c r="G223" s="62">
        <f t="shared" ca="1" si="211"/>
        <v>804622.61694478267</v>
      </c>
      <c r="H223" s="62">
        <f t="shared" ca="1" si="224"/>
        <v>530273.00970567612</v>
      </c>
      <c r="I223" s="62">
        <f t="shared" ca="1" si="225"/>
        <v>274349.60723910655</v>
      </c>
      <c r="J223" s="62">
        <f t="shared" ca="1" si="206"/>
        <v>70428718.353517711</v>
      </c>
      <c r="K223" s="55"/>
      <c r="L223" s="62">
        <f t="shared" ca="1" si="226"/>
        <v>24735803.63092747</v>
      </c>
      <c r="M223" s="68">
        <f ca="1">IF(pdrLossTime1="",OFFSET(Vectors!$AE$6,A223+_Age1,MATCH(SDA_Loss,lstSDA,0)),OFFSET(Vectors!$X$6,A223+_Age1,MATCH(pdrLossTime1,lstDefaultCurve,0)))</f>
        <v>2.7777777777777779E-5</v>
      </c>
      <c r="N223" s="62">
        <f t="shared" ca="1" si="212"/>
        <v>2777.7777777777778</v>
      </c>
      <c r="O223" s="67">
        <f t="shared" ca="1" si="227"/>
        <v>0.70428718353517716</v>
      </c>
      <c r="P223" s="68">
        <f ca="1">OFFSET(Vectors!$L$6,A223+_Age1,MATCH(pdrPrepay1,lstPrepayCurve,0))*pdrPrepayStress1</f>
        <v>5.1430128318229462E-3</v>
      </c>
      <c r="Q223" s="62">
        <f t="shared" ca="1" si="228"/>
        <v>126722.91619269163</v>
      </c>
      <c r="R223" s="62">
        <f t="shared" ca="1" si="229"/>
        <v>95971.732547909298</v>
      </c>
      <c r="S223" s="69">
        <f t="shared" ca="1" si="230"/>
        <v>0.09</v>
      </c>
      <c r="T223" s="62">
        <f t="shared" ca="1" si="231"/>
        <v>185497.6938986227</v>
      </c>
      <c r="U223" s="62">
        <f t="shared" ca="1" si="213"/>
        <v>1111.1111111111111</v>
      </c>
      <c r="V223" s="62">
        <f t="shared" ca="1" si="207"/>
        <v>24510331.204409093</v>
      </c>
      <c r="W223" s="55"/>
      <c r="X223" s="62">
        <f t="shared" ca="1" si="232"/>
        <v>409303.45375033474</v>
      </c>
      <c r="Y223" s="55"/>
      <c r="Z223" s="118" t="b">
        <v>0</v>
      </c>
      <c r="AA223" s="120" t="b">
        <f t="shared" si="214"/>
        <v>0</v>
      </c>
      <c r="AB223" s="120" t="b">
        <f t="shared" si="215"/>
        <v>1</v>
      </c>
      <c r="AC223" s="120" t="b">
        <f t="shared" ca="1" si="216"/>
        <v>0</v>
      </c>
      <c r="AD223" s="121"/>
      <c r="AE223" s="129">
        <v>2163017.2303395858</v>
      </c>
      <c r="AF223" s="69">
        <f ca="1">IF(Swap_Active="No",0,OFFSET(Vectors!$D$6,Vectors!A223,MATCH(Swap_In,lstInterestRates,0)))</f>
        <v>6.9369000000000056E-2</v>
      </c>
      <c r="AG223" s="62">
        <f t="shared" ca="1" si="233"/>
        <v>12503.861854285571</v>
      </c>
      <c r="AH223" s="69">
        <f ca="1">IF(Swap_Active="No",0,OFFSET(Vectors!$D$6,Vectors!A223,MATCH(Swap_Out,lstInterestRates,0)))</f>
        <v>0.04</v>
      </c>
      <c r="AI223" s="62">
        <f t="shared" ca="1" si="234"/>
        <v>7210.057434465286</v>
      </c>
      <c r="AJ223" s="62">
        <f t="shared" ca="1" si="235"/>
        <v>5293.8044198202851</v>
      </c>
      <c r="AK223" s="62">
        <f t="shared" ca="1" si="236"/>
        <v>414597.25817015505</v>
      </c>
      <c r="AL223" s="121"/>
      <c r="AM223" s="123">
        <f t="shared" ca="1" si="217"/>
        <v>41226.339384879117</v>
      </c>
      <c r="AN223" s="124">
        <f t="shared" ca="1" si="237"/>
        <v>41226.339384879117</v>
      </c>
      <c r="AO223" s="125">
        <f t="shared" ca="1" si="238"/>
        <v>0</v>
      </c>
      <c r="AP223" s="123">
        <f t="shared" ca="1" si="239"/>
        <v>373370.91878527595</v>
      </c>
      <c r="AQ223" s="121"/>
      <c r="AR223" s="126">
        <f ca="1">IF(LiabIntType1="Fixed",LiabFxdRate1,OFFSET(Vectors!$D$6,Vectors!A223,MATCH(LiabLoanIndex1,lstInterestRates,0))+LiabMarg1)</f>
        <v>7.9369000000000051E-2</v>
      </c>
      <c r="AS223" s="122">
        <f t="shared" ca="1" si="240"/>
        <v>0</v>
      </c>
      <c r="AT223" s="124">
        <f t="shared" ca="1" si="241"/>
        <v>0</v>
      </c>
      <c r="AU223" s="123">
        <f t="shared" ca="1" si="242"/>
        <v>0</v>
      </c>
      <c r="AV223" s="123">
        <f t="shared" ca="1" si="218"/>
        <v>0</v>
      </c>
      <c r="AW223" s="123">
        <f t="shared" ca="1" si="243"/>
        <v>0</v>
      </c>
      <c r="AX223" s="124">
        <f t="shared" ca="1" si="244"/>
        <v>373370.91878527595</v>
      </c>
      <c r="AY223" s="121"/>
      <c r="AZ223" s="122">
        <f t="shared" ca="1" si="219"/>
        <v>0</v>
      </c>
      <c r="BA223" s="124">
        <f t="shared" ca="1" si="245"/>
        <v>0</v>
      </c>
      <c r="BB223" s="123">
        <f t="shared" ca="1" si="246"/>
        <v>0</v>
      </c>
      <c r="BC223" s="123">
        <f t="shared" ca="1" si="220"/>
        <v>0</v>
      </c>
      <c r="BD223" s="123">
        <f t="shared" ca="1" si="247"/>
        <v>0</v>
      </c>
      <c r="BE223" s="124">
        <f t="shared" ca="1" si="248"/>
        <v>373370.91878527595</v>
      </c>
      <c r="BF223" s="121"/>
      <c r="BG223" s="123">
        <f t="shared" si="221"/>
        <v>1000000</v>
      </c>
      <c r="BH223" s="123">
        <f t="shared" ca="1" si="249"/>
        <v>1000000</v>
      </c>
      <c r="BI223" s="123">
        <f t="shared" ca="1" si="250"/>
        <v>0</v>
      </c>
      <c r="BJ223" s="123">
        <f t="shared" ca="1" si="251"/>
        <v>0</v>
      </c>
      <c r="BK223" s="123">
        <f t="shared" ca="1" si="208"/>
        <v>1000000</v>
      </c>
      <c r="BL223" s="123">
        <f t="shared" ca="1" si="252"/>
        <v>373370.91878527595</v>
      </c>
      <c r="BM223" s="121"/>
      <c r="BN223" s="126">
        <f ca="1">IF(LiabIntType2="Fixed",LiabFxdRate2,OFFSET(Vectors!$D$6,Vectors!A223,MATCH(LiabLoanIndex2,lstInterestRates,0))+LiabMarg2)</f>
        <v>0.04</v>
      </c>
      <c r="BO223" s="122">
        <f t="shared" ca="1" si="253"/>
        <v>29028.903139112615</v>
      </c>
      <c r="BP223" s="124">
        <f t="shared" ca="1" si="254"/>
        <v>29028.903139112615</v>
      </c>
      <c r="BQ223" s="123">
        <f t="shared" ca="1" si="255"/>
        <v>0</v>
      </c>
      <c r="BR223" s="123">
        <f t="shared" ca="1" si="256"/>
        <v>344342.01564616332</v>
      </c>
      <c r="BS223" s="121"/>
      <c r="BT223" s="123">
        <f t="shared" ca="1" si="222"/>
        <v>23117.488849151992</v>
      </c>
      <c r="BU223" s="123">
        <f t="shared" ca="1" si="257"/>
        <v>23117.488849151992</v>
      </c>
      <c r="BV223" s="123">
        <f t="shared" ca="1" si="258"/>
        <v>0</v>
      </c>
      <c r="BW223" s="123">
        <f t="shared" ca="1" si="259"/>
        <v>321224.52679701132</v>
      </c>
      <c r="BX223" s="121"/>
      <c r="BY223" s="123">
        <f t="shared" si="260"/>
        <v>0</v>
      </c>
      <c r="BZ223" s="123">
        <f t="shared" ca="1" si="261"/>
        <v>321224.52679701132</v>
      </c>
      <c r="CA223" s="121"/>
      <c r="CB223" s="122">
        <f t="shared" ca="1" si="209"/>
        <v>0</v>
      </c>
      <c r="CC223" s="122">
        <f t="shared" ca="1" si="262"/>
        <v>0</v>
      </c>
      <c r="CD223" s="124">
        <f t="shared" ca="1" si="263"/>
        <v>0</v>
      </c>
      <c r="CE223" s="121"/>
      <c r="CF223" s="122">
        <f t="shared" ca="1" si="210"/>
        <v>8685553.4528846331</v>
      </c>
      <c r="CG223" s="124">
        <f t="shared" ca="1" si="264"/>
        <v>29028.903139112615</v>
      </c>
      <c r="CH223" s="123">
        <f t="shared" ca="1" si="265"/>
        <v>23117.488849151992</v>
      </c>
      <c r="CI223" s="121"/>
      <c r="CJ223" s="123">
        <f t="shared" ca="1" si="266"/>
        <v>421807.31560462032</v>
      </c>
      <c r="CK223" s="123">
        <f t="shared" ca="1" si="267"/>
        <v>421807.31560462032</v>
      </c>
      <c r="CL223" s="123">
        <f t="shared" ca="1" si="268"/>
        <v>0</v>
      </c>
      <c r="CM223" s="121"/>
      <c r="CN223" s="62">
        <f t="shared" ca="1" si="269"/>
        <v>225472.42651837872</v>
      </c>
      <c r="CO223" s="62" t="b">
        <f t="shared" si="270"/>
        <v>1</v>
      </c>
      <c r="CP223" s="126">
        <f t="shared" ca="1" si="271"/>
        <v>6.0277777777777561E-3</v>
      </c>
      <c r="CQ223" s="120"/>
      <c r="CR223" s="120"/>
      <c r="CS223" s="120"/>
      <c r="CT223" s="120"/>
      <c r="CU223" s="120"/>
      <c r="CV223" s="120"/>
      <c r="CW223" s="120"/>
      <c r="CX223" s="120"/>
      <c r="CY223" s="120"/>
      <c r="CZ223" s="120"/>
      <c r="DA223" s="120"/>
      <c r="DB223" s="120"/>
      <c r="DC223" s="120"/>
      <c r="DD223" s="120"/>
      <c r="DE223" s="116"/>
      <c r="DF223" s="116"/>
      <c r="DG223" s="116"/>
      <c r="DH223" s="116"/>
      <c r="DI223" s="116"/>
      <c r="DJ223" s="116"/>
      <c r="DK223" s="116"/>
      <c r="DL223" s="116"/>
      <c r="DM223" s="116"/>
      <c r="DN223" s="116"/>
    </row>
    <row r="224" spans="1:118" x14ac:dyDescent="0.2">
      <c r="A224" s="27">
        <v>218</v>
      </c>
      <c r="B224" s="29">
        <f t="shared" si="204"/>
        <v>45748</v>
      </c>
      <c r="C224" s="30">
        <f t="shared" si="205"/>
        <v>8.3333333333333329E-2</v>
      </c>
      <c r="D224" s="55"/>
      <c r="E224" s="62">
        <f t="shared" ca="1" si="223"/>
        <v>70428718.353517711</v>
      </c>
      <c r="F224" s="63">
        <f ca="1">IF(AssetIntType1="Fixed",AssetFxdRate1,IF(A224=1,OFFSET(Vectors!$D$6,A224,MATCH(AssetFltIndx1,lstInterestRates,0)),IF(MOD($A224,AssetRateReset1)=0,MAX(MIN(OFFSET(Vectors!$D$6,A224,MATCH(AssetFltIndx1,lstInterestRates,0)),(F223-AssetMarg1)+AssetPdCapFl1,AssetLifeCap1-AssetMarg1),(F223-AssetMarg1)-AssetPdCapFl1,AssetLifeFloor1-AssetMarg1),F223)))+AssetMarg1</f>
        <v>0.09</v>
      </c>
      <c r="G224" s="62">
        <f t="shared" ca="1" si="211"/>
        <v>804622.61694478267</v>
      </c>
      <c r="H224" s="62">
        <f t="shared" ca="1" si="224"/>
        <v>528215.38765138283</v>
      </c>
      <c r="I224" s="62">
        <f t="shared" ca="1" si="225"/>
        <v>276407.22929339984</v>
      </c>
      <c r="J224" s="62">
        <f t="shared" ca="1" si="206"/>
        <v>70152311.124224305</v>
      </c>
      <c r="K224" s="55"/>
      <c r="L224" s="62">
        <f t="shared" ca="1" si="226"/>
        <v>24510331.204409093</v>
      </c>
      <c r="M224" s="68">
        <f ca="1">IF(pdrLossTime1="",OFFSET(Vectors!$AE$6,A224+_Age1,MATCH(SDA_Loss,lstSDA,0)),OFFSET(Vectors!$X$6,A224+_Age1,MATCH(pdrLossTime1,lstDefaultCurve,0)))</f>
        <v>2.7777777777777779E-5</v>
      </c>
      <c r="N224" s="62">
        <f t="shared" ca="1" si="212"/>
        <v>2777.7777777777778</v>
      </c>
      <c r="O224" s="67">
        <f t="shared" ca="1" si="227"/>
        <v>0.70152311124224309</v>
      </c>
      <c r="P224" s="68">
        <f ca="1">OFFSET(Vectors!$L$6,A224+_Age1,MATCH(pdrPrepay1,lstPrepayCurve,0))*pdrPrepayStress1</f>
        <v>5.1430128318229462E-3</v>
      </c>
      <c r="Q224" s="62">
        <f t="shared" ca="1" si="228"/>
        <v>125562.21999976454</v>
      </c>
      <c r="R224" s="62">
        <f t="shared" ca="1" si="229"/>
        <v>96183.277188331631</v>
      </c>
      <c r="S224" s="69">
        <f t="shared" ca="1" si="230"/>
        <v>0.09</v>
      </c>
      <c r="T224" s="62">
        <f t="shared" ca="1" si="231"/>
        <v>183806.65069973486</v>
      </c>
      <c r="U224" s="62">
        <f t="shared" ca="1" si="213"/>
        <v>1111.1111111111111</v>
      </c>
      <c r="V224" s="62">
        <f t="shared" ca="1" si="207"/>
        <v>24285807.929443222</v>
      </c>
      <c r="W224" s="55"/>
      <c r="X224" s="62">
        <f t="shared" ca="1" si="232"/>
        <v>406663.25899894215</v>
      </c>
      <c r="Y224" s="55"/>
      <c r="Z224" s="118" t="b">
        <v>0</v>
      </c>
      <c r="AA224" s="120" t="b">
        <f t="shared" si="214"/>
        <v>0</v>
      </c>
      <c r="AB224" s="120" t="b">
        <f t="shared" si="215"/>
        <v>1</v>
      </c>
      <c r="AC224" s="120" t="b">
        <f t="shared" ca="1" si="216"/>
        <v>0</v>
      </c>
      <c r="AD224" s="121"/>
      <c r="AE224" s="129">
        <v>2048251.2724004383</v>
      </c>
      <c r="AF224" s="69">
        <f ca="1">IF(Swap_Active="No",0,OFFSET(Vectors!$D$6,Vectors!A224,MATCH(Swap_In,lstInterestRates,0)))</f>
        <v>6.9369000000000056E-2</v>
      </c>
      <c r="AG224" s="62">
        <f t="shared" ca="1" si="233"/>
        <v>11840.428542928843</v>
      </c>
      <c r="AH224" s="69">
        <f ca="1">IF(Swap_Active="No",0,OFFSET(Vectors!$D$6,Vectors!A224,MATCH(Swap_Out,lstInterestRates,0)))</f>
        <v>0.04</v>
      </c>
      <c r="AI224" s="62">
        <f t="shared" ca="1" si="234"/>
        <v>6827.5042413347946</v>
      </c>
      <c r="AJ224" s="62">
        <f t="shared" ca="1" si="235"/>
        <v>5012.9243015940483</v>
      </c>
      <c r="AK224" s="62">
        <f t="shared" ca="1" si="236"/>
        <v>411676.18330053618</v>
      </c>
      <c r="AL224" s="121"/>
      <c r="AM224" s="123">
        <f t="shared" ca="1" si="217"/>
        <v>40850.552007348488</v>
      </c>
      <c r="AN224" s="124">
        <f t="shared" ca="1" si="237"/>
        <v>40850.552007348488</v>
      </c>
      <c r="AO224" s="125">
        <f t="shared" ca="1" si="238"/>
        <v>0</v>
      </c>
      <c r="AP224" s="123">
        <f t="shared" ca="1" si="239"/>
        <v>370825.63129318767</v>
      </c>
      <c r="AQ224" s="121"/>
      <c r="AR224" s="126">
        <f ca="1">IF(LiabIntType1="Fixed",LiabFxdRate1,OFFSET(Vectors!$D$6,Vectors!A224,MATCH(LiabLoanIndex1,lstInterestRates,0))+LiabMarg1)</f>
        <v>7.9369000000000051E-2</v>
      </c>
      <c r="AS224" s="122">
        <f t="shared" ca="1" si="240"/>
        <v>0</v>
      </c>
      <c r="AT224" s="124">
        <f t="shared" ca="1" si="241"/>
        <v>0</v>
      </c>
      <c r="AU224" s="123">
        <f t="shared" ca="1" si="242"/>
        <v>0</v>
      </c>
      <c r="AV224" s="123">
        <f t="shared" ca="1" si="218"/>
        <v>0</v>
      </c>
      <c r="AW224" s="123">
        <f t="shared" ca="1" si="243"/>
        <v>0</v>
      </c>
      <c r="AX224" s="124">
        <f t="shared" ca="1" si="244"/>
        <v>370825.63129318767</v>
      </c>
      <c r="AY224" s="121"/>
      <c r="AZ224" s="122">
        <f t="shared" ca="1" si="219"/>
        <v>0</v>
      </c>
      <c r="BA224" s="124">
        <f t="shared" ca="1" si="245"/>
        <v>0</v>
      </c>
      <c r="BB224" s="123">
        <f t="shared" ca="1" si="246"/>
        <v>0</v>
      </c>
      <c r="BC224" s="123">
        <f t="shared" ca="1" si="220"/>
        <v>0</v>
      </c>
      <c r="BD224" s="123">
        <f t="shared" ca="1" si="247"/>
        <v>0</v>
      </c>
      <c r="BE224" s="124">
        <f t="shared" ca="1" si="248"/>
        <v>370825.63129318767</v>
      </c>
      <c r="BF224" s="121"/>
      <c r="BG224" s="123">
        <f t="shared" si="221"/>
        <v>1000000</v>
      </c>
      <c r="BH224" s="123">
        <f t="shared" ca="1" si="249"/>
        <v>1000000</v>
      </c>
      <c r="BI224" s="123">
        <f t="shared" ca="1" si="250"/>
        <v>0</v>
      </c>
      <c r="BJ224" s="123">
        <f t="shared" ca="1" si="251"/>
        <v>0</v>
      </c>
      <c r="BK224" s="123">
        <f t="shared" ca="1" si="208"/>
        <v>1000000</v>
      </c>
      <c r="BL224" s="123">
        <f t="shared" ca="1" si="252"/>
        <v>370825.63129318767</v>
      </c>
      <c r="BM224" s="121"/>
      <c r="BN224" s="126">
        <f ca="1">IF(LiabIntType2="Fixed",LiabFxdRate2,OFFSET(Vectors!$D$6,Vectors!A224,MATCH(LiabLoanIndex2,lstInterestRates,0))+LiabMarg2)</f>
        <v>0.04</v>
      </c>
      <c r="BO224" s="122">
        <f t="shared" ca="1" si="253"/>
        <v>28951.844842948776</v>
      </c>
      <c r="BP224" s="124">
        <f t="shared" ca="1" si="254"/>
        <v>28951.844842948776</v>
      </c>
      <c r="BQ224" s="123">
        <f t="shared" ca="1" si="255"/>
        <v>0</v>
      </c>
      <c r="BR224" s="123">
        <f t="shared" ca="1" si="256"/>
        <v>341873.7864502389</v>
      </c>
      <c r="BS224" s="121"/>
      <c r="BT224" s="123">
        <f t="shared" ca="1" si="222"/>
        <v>23020.173178362438</v>
      </c>
      <c r="BU224" s="123">
        <f t="shared" ca="1" si="257"/>
        <v>23020.173178362438</v>
      </c>
      <c r="BV224" s="123">
        <f t="shared" ca="1" si="258"/>
        <v>0</v>
      </c>
      <c r="BW224" s="123">
        <f t="shared" ca="1" si="259"/>
        <v>318853.61327187647</v>
      </c>
      <c r="BX224" s="121"/>
      <c r="BY224" s="123">
        <f t="shared" si="260"/>
        <v>0</v>
      </c>
      <c r="BZ224" s="123">
        <f t="shared" ca="1" si="261"/>
        <v>318853.61327187647</v>
      </c>
      <c r="CA224" s="121"/>
      <c r="CB224" s="122">
        <f t="shared" ca="1" si="209"/>
        <v>0</v>
      </c>
      <c r="CC224" s="122">
        <f t="shared" ca="1" si="262"/>
        <v>0</v>
      </c>
      <c r="CD224" s="124">
        <f t="shared" ca="1" si="263"/>
        <v>0</v>
      </c>
      <c r="CE224" s="121"/>
      <c r="CF224" s="122">
        <f t="shared" ca="1" si="210"/>
        <v>8662533.2797062714</v>
      </c>
      <c r="CG224" s="124">
        <f t="shared" ca="1" si="264"/>
        <v>28951.844842948776</v>
      </c>
      <c r="CH224" s="123">
        <f t="shared" ca="1" si="265"/>
        <v>23020.173178362438</v>
      </c>
      <c r="CI224" s="121"/>
      <c r="CJ224" s="123">
        <f t="shared" ca="1" si="266"/>
        <v>418503.68754187098</v>
      </c>
      <c r="CK224" s="123">
        <f t="shared" ca="1" si="267"/>
        <v>418503.68754187098</v>
      </c>
      <c r="CL224" s="123">
        <f t="shared" ca="1" si="268"/>
        <v>0</v>
      </c>
      <c r="CM224" s="121"/>
      <c r="CN224" s="62">
        <f t="shared" ca="1" si="269"/>
        <v>224523.27496587395</v>
      </c>
      <c r="CO224" s="62" t="b">
        <f t="shared" si="270"/>
        <v>1</v>
      </c>
      <c r="CP224" s="126">
        <f t="shared" ca="1" si="271"/>
        <v>6.0555555555555337E-3</v>
      </c>
      <c r="CQ224" s="120"/>
      <c r="CR224" s="120"/>
      <c r="CS224" s="120"/>
      <c r="CT224" s="120"/>
      <c r="CU224" s="120"/>
      <c r="CV224" s="120"/>
      <c r="CW224" s="120"/>
      <c r="CX224" s="120"/>
      <c r="CY224" s="120"/>
      <c r="CZ224" s="120"/>
      <c r="DA224" s="120"/>
      <c r="DB224" s="120"/>
      <c r="DC224" s="120"/>
      <c r="DD224" s="120"/>
      <c r="DE224" s="116"/>
      <c r="DF224" s="116"/>
      <c r="DG224" s="116"/>
      <c r="DH224" s="116"/>
      <c r="DI224" s="116"/>
      <c r="DJ224" s="116"/>
      <c r="DK224" s="116"/>
      <c r="DL224" s="116"/>
      <c r="DM224" s="116"/>
      <c r="DN224" s="116"/>
    </row>
    <row r="225" spans="1:118" x14ac:dyDescent="0.2">
      <c r="A225" s="27">
        <v>219</v>
      </c>
      <c r="B225" s="29">
        <f t="shared" si="204"/>
        <v>45778</v>
      </c>
      <c r="C225" s="30">
        <f t="shared" si="205"/>
        <v>8.3333333333333329E-2</v>
      </c>
      <c r="D225" s="55"/>
      <c r="E225" s="62">
        <f t="shared" ca="1" si="223"/>
        <v>70152311.124224305</v>
      </c>
      <c r="F225" s="63">
        <f ca="1">IF(AssetIntType1="Fixed",AssetFxdRate1,IF(A225=1,OFFSET(Vectors!$D$6,A225,MATCH(AssetFltIndx1,lstInterestRates,0)),IF(MOD($A225,AssetRateReset1)=0,MAX(MIN(OFFSET(Vectors!$D$6,A225,MATCH(AssetFltIndx1,lstInterestRates,0)),(F224-AssetMarg1)+AssetPdCapFl1,AssetLifeCap1-AssetMarg1),(F224-AssetMarg1)-AssetPdCapFl1,AssetLifeFloor1-AssetMarg1),F224)))+AssetMarg1</f>
        <v>0.09</v>
      </c>
      <c r="G225" s="62">
        <f t="shared" ca="1" si="211"/>
        <v>804622.61694478267</v>
      </c>
      <c r="H225" s="62">
        <f t="shared" ca="1" si="224"/>
        <v>526142.33343168232</v>
      </c>
      <c r="I225" s="62">
        <f t="shared" ca="1" si="225"/>
        <v>278480.28351310035</v>
      </c>
      <c r="J225" s="62">
        <f t="shared" ca="1" si="206"/>
        <v>69873830.840711206</v>
      </c>
      <c r="K225" s="55"/>
      <c r="L225" s="62">
        <f t="shared" ca="1" si="226"/>
        <v>24285807.929443222</v>
      </c>
      <c r="M225" s="68">
        <f ca="1">IF(pdrLossTime1="",OFFSET(Vectors!$AE$6,A225+_Age1,MATCH(SDA_Loss,lstSDA,0)),OFFSET(Vectors!$X$6,A225+_Age1,MATCH(pdrLossTime1,lstDefaultCurve,0)))</f>
        <v>2.7777777777777779E-5</v>
      </c>
      <c r="N225" s="62">
        <f t="shared" ca="1" si="212"/>
        <v>2777.7777777777778</v>
      </c>
      <c r="O225" s="67">
        <f t="shared" ca="1" si="227"/>
        <v>0.69873830840711204</v>
      </c>
      <c r="P225" s="68">
        <f ca="1">OFFSET(Vectors!$L$6,A225+_Age1,MATCH(pdrPrepay1,lstPrepayCurve,0))*pdrPrepayStress1</f>
        <v>5.1430128318229462E-3</v>
      </c>
      <c r="Q225" s="62">
        <f t="shared" ca="1" si="228"/>
        <v>124406.40341967228</v>
      </c>
      <c r="R225" s="62">
        <f t="shared" ca="1" si="229"/>
        <v>96395.18659931804</v>
      </c>
      <c r="S225" s="69">
        <f t="shared" ca="1" si="230"/>
        <v>0.09</v>
      </c>
      <c r="T225" s="62">
        <f t="shared" ca="1" si="231"/>
        <v>182122.72613749083</v>
      </c>
      <c r="U225" s="62">
        <f t="shared" ca="1" si="213"/>
        <v>1111.1111111111111</v>
      </c>
      <c r="V225" s="62">
        <f t="shared" ca="1" si="207"/>
        <v>24062228.561646454</v>
      </c>
      <c r="W225" s="55"/>
      <c r="X225" s="62">
        <f t="shared" ca="1" si="232"/>
        <v>404035.42726759228</v>
      </c>
      <c r="Y225" s="55"/>
      <c r="Z225" s="118" t="b">
        <v>0</v>
      </c>
      <c r="AA225" s="120" t="b">
        <f t="shared" si="214"/>
        <v>0</v>
      </c>
      <c r="AB225" s="120" t="b">
        <f t="shared" si="215"/>
        <v>1</v>
      </c>
      <c r="AC225" s="120" t="b">
        <f t="shared" ca="1" si="216"/>
        <v>0</v>
      </c>
      <c r="AD225" s="121"/>
      <c r="AE225" s="129">
        <v>1934728.3367386386</v>
      </c>
      <c r="AF225" s="69">
        <f ca="1">IF(Swap_Active="No",0,OFFSET(Vectors!$D$6,Vectors!A225,MATCH(Swap_In,lstInterestRates,0)))</f>
        <v>6.9369000000000056E-2</v>
      </c>
      <c r="AG225" s="62">
        <f t="shared" ca="1" si="233"/>
        <v>11184.180832601895</v>
      </c>
      <c r="AH225" s="69">
        <f ca="1">IF(Swap_Active="No",0,OFFSET(Vectors!$D$6,Vectors!A225,MATCH(Swap_Out,lstInterestRates,0)))</f>
        <v>0.04</v>
      </c>
      <c r="AI225" s="62">
        <f t="shared" ca="1" si="234"/>
        <v>6449.0944557954617</v>
      </c>
      <c r="AJ225" s="62">
        <f t="shared" ca="1" si="235"/>
        <v>4735.0863768064328</v>
      </c>
      <c r="AK225" s="62">
        <f t="shared" ca="1" si="236"/>
        <v>408770.51364439871</v>
      </c>
      <c r="AL225" s="121"/>
      <c r="AM225" s="123">
        <f t="shared" ca="1" si="217"/>
        <v>40476.346549072034</v>
      </c>
      <c r="AN225" s="124">
        <f t="shared" ca="1" si="237"/>
        <v>40476.346549072034</v>
      </c>
      <c r="AO225" s="125">
        <f t="shared" ca="1" si="238"/>
        <v>0</v>
      </c>
      <c r="AP225" s="123">
        <f t="shared" ca="1" si="239"/>
        <v>368294.1670953267</v>
      </c>
      <c r="AQ225" s="121"/>
      <c r="AR225" s="126">
        <f ca="1">IF(LiabIntType1="Fixed",LiabFxdRate1,OFFSET(Vectors!$D$6,Vectors!A225,MATCH(LiabLoanIndex1,lstInterestRates,0))+LiabMarg1)</f>
        <v>7.9369000000000051E-2</v>
      </c>
      <c r="AS225" s="122">
        <f t="shared" ca="1" si="240"/>
        <v>0</v>
      </c>
      <c r="AT225" s="124">
        <f t="shared" ca="1" si="241"/>
        <v>0</v>
      </c>
      <c r="AU225" s="123">
        <f t="shared" ca="1" si="242"/>
        <v>0</v>
      </c>
      <c r="AV225" s="123">
        <f t="shared" ca="1" si="218"/>
        <v>0</v>
      </c>
      <c r="AW225" s="123">
        <f t="shared" ca="1" si="243"/>
        <v>0</v>
      </c>
      <c r="AX225" s="124">
        <f t="shared" ca="1" si="244"/>
        <v>368294.1670953267</v>
      </c>
      <c r="AY225" s="121"/>
      <c r="AZ225" s="122">
        <f t="shared" ca="1" si="219"/>
        <v>0</v>
      </c>
      <c r="BA225" s="124">
        <f t="shared" ca="1" si="245"/>
        <v>0</v>
      </c>
      <c r="BB225" s="123">
        <f t="shared" ca="1" si="246"/>
        <v>0</v>
      </c>
      <c r="BC225" s="123">
        <f t="shared" ca="1" si="220"/>
        <v>0</v>
      </c>
      <c r="BD225" s="123">
        <f t="shared" ca="1" si="247"/>
        <v>0</v>
      </c>
      <c r="BE225" s="124">
        <f t="shared" ca="1" si="248"/>
        <v>368294.1670953267</v>
      </c>
      <c r="BF225" s="121"/>
      <c r="BG225" s="123">
        <f t="shared" si="221"/>
        <v>1000000</v>
      </c>
      <c r="BH225" s="123">
        <f t="shared" ca="1" si="249"/>
        <v>1000000</v>
      </c>
      <c r="BI225" s="123">
        <f t="shared" ca="1" si="250"/>
        <v>0</v>
      </c>
      <c r="BJ225" s="123">
        <f t="shared" ca="1" si="251"/>
        <v>0</v>
      </c>
      <c r="BK225" s="123">
        <f t="shared" ca="1" si="208"/>
        <v>1000000</v>
      </c>
      <c r="BL225" s="123">
        <f t="shared" ca="1" si="252"/>
        <v>368294.1670953267</v>
      </c>
      <c r="BM225" s="121"/>
      <c r="BN225" s="126">
        <f ca="1">IF(LiabIntType2="Fixed",LiabFxdRate2,OFFSET(Vectors!$D$6,Vectors!A225,MATCH(LiabLoanIndex2,lstInterestRates,0))+LiabMarg2)</f>
        <v>0.04</v>
      </c>
      <c r="BO225" s="122">
        <f t="shared" ca="1" si="253"/>
        <v>28875.110932354237</v>
      </c>
      <c r="BP225" s="124">
        <f t="shared" ca="1" si="254"/>
        <v>28875.110932354237</v>
      </c>
      <c r="BQ225" s="123">
        <f t="shared" ca="1" si="255"/>
        <v>0</v>
      </c>
      <c r="BR225" s="123">
        <f t="shared" ca="1" si="256"/>
        <v>339419.05616297247</v>
      </c>
      <c r="BS225" s="121"/>
      <c r="BT225" s="123">
        <f t="shared" ca="1" si="222"/>
        <v>22923.395209573158</v>
      </c>
      <c r="BU225" s="123">
        <f t="shared" ca="1" si="257"/>
        <v>22923.395209573158</v>
      </c>
      <c r="BV225" s="123">
        <f t="shared" ca="1" si="258"/>
        <v>0</v>
      </c>
      <c r="BW225" s="123">
        <f t="shared" ca="1" si="259"/>
        <v>316495.66095339932</v>
      </c>
      <c r="BX225" s="121"/>
      <c r="BY225" s="123">
        <f t="shared" si="260"/>
        <v>0</v>
      </c>
      <c r="BZ225" s="123">
        <f t="shared" ca="1" si="261"/>
        <v>316495.66095339932</v>
      </c>
      <c r="CA225" s="121"/>
      <c r="CB225" s="122">
        <f t="shared" ca="1" si="209"/>
        <v>0</v>
      </c>
      <c r="CC225" s="122">
        <f t="shared" ca="1" si="262"/>
        <v>0</v>
      </c>
      <c r="CD225" s="124">
        <f t="shared" ca="1" si="263"/>
        <v>0</v>
      </c>
      <c r="CE225" s="121"/>
      <c r="CF225" s="122">
        <f t="shared" ca="1" si="210"/>
        <v>8639609.8844966982</v>
      </c>
      <c r="CG225" s="124">
        <f t="shared" ca="1" si="264"/>
        <v>28875.110932354237</v>
      </c>
      <c r="CH225" s="123">
        <f t="shared" ca="1" si="265"/>
        <v>22923.395209573158</v>
      </c>
      <c r="CI225" s="121"/>
      <c r="CJ225" s="123">
        <f t="shared" ca="1" si="266"/>
        <v>415219.60810019419</v>
      </c>
      <c r="CK225" s="123">
        <f t="shared" ca="1" si="267"/>
        <v>415219.60810019425</v>
      </c>
      <c r="CL225" s="123">
        <f t="shared" ca="1" si="268"/>
        <v>0</v>
      </c>
      <c r="CM225" s="121"/>
      <c r="CN225" s="62">
        <f t="shared" ca="1" si="269"/>
        <v>223579.36779676809</v>
      </c>
      <c r="CO225" s="62" t="b">
        <f t="shared" si="270"/>
        <v>1</v>
      </c>
      <c r="CP225" s="126">
        <f t="shared" ca="1" si="271"/>
        <v>6.0833333333333113E-3</v>
      </c>
      <c r="CQ225" s="120"/>
      <c r="CR225" s="120"/>
      <c r="CS225" s="120"/>
      <c r="CT225" s="120"/>
      <c r="CU225" s="120"/>
      <c r="CV225" s="120"/>
      <c r="CW225" s="120"/>
      <c r="CX225" s="120"/>
      <c r="CY225" s="120"/>
      <c r="CZ225" s="120"/>
      <c r="DA225" s="120"/>
      <c r="DB225" s="120"/>
      <c r="DC225" s="120"/>
      <c r="DD225" s="120"/>
      <c r="DE225" s="116"/>
      <c r="DF225" s="116"/>
      <c r="DG225" s="116"/>
      <c r="DH225" s="116"/>
      <c r="DI225" s="116"/>
      <c r="DJ225" s="116"/>
      <c r="DK225" s="116"/>
      <c r="DL225" s="116"/>
      <c r="DM225" s="116"/>
      <c r="DN225" s="116"/>
    </row>
    <row r="226" spans="1:118" x14ac:dyDescent="0.2">
      <c r="A226" s="27">
        <v>220</v>
      </c>
      <c r="B226" s="29">
        <f t="shared" si="204"/>
        <v>45809</v>
      </c>
      <c r="C226" s="30">
        <f t="shared" si="205"/>
        <v>8.3333333333333329E-2</v>
      </c>
      <c r="D226" s="55"/>
      <c r="E226" s="62">
        <f t="shared" ca="1" si="223"/>
        <v>69873830.840711206</v>
      </c>
      <c r="F226" s="63">
        <f ca="1">IF(AssetIntType1="Fixed",AssetFxdRate1,IF(A226=1,OFFSET(Vectors!$D$6,A226,MATCH(AssetFltIndx1,lstInterestRates,0)),IF(MOD($A226,AssetRateReset1)=0,MAX(MIN(OFFSET(Vectors!$D$6,A226,MATCH(AssetFltIndx1,lstInterestRates,0)),(F225-AssetMarg1)+AssetPdCapFl1,AssetLifeCap1-AssetMarg1),(F225-AssetMarg1)-AssetPdCapFl1,AssetLifeFloor1-AssetMarg1),F225)))+AssetMarg1</f>
        <v>0.09</v>
      </c>
      <c r="G226" s="62">
        <f t="shared" ca="1" si="211"/>
        <v>804622.61694478267</v>
      </c>
      <c r="H226" s="62">
        <f t="shared" ca="1" si="224"/>
        <v>524053.73130533402</v>
      </c>
      <c r="I226" s="62">
        <f t="shared" ca="1" si="225"/>
        <v>280568.88563944865</v>
      </c>
      <c r="J226" s="62">
        <f t="shared" ca="1" si="206"/>
        <v>69593261.955071762</v>
      </c>
      <c r="K226" s="55"/>
      <c r="L226" s="62">
        <f t="shared" ca="1" si="226"/>
        <v>24062228.561646454</v>
      </c>
      <c r="M226" s="68">
        <f ca="1">IF(pdrLossTime1="",OFFSET(Vectors!$AE$6,A226+_Age1,MATCH(SDA_Loss,lstSDA,0)),OFFSET(Vectors!$X$6,A226+_Age1,MATCH(pdrLossTime1,lstDefaultCurve,0)))</f>
        <v>2.7777777777777779E-5</v>
      </c>
      <c r="N226" s="62">
        <f t="shared" ca="1" si="212"/>
        <v>2777.7777777777778</v>
      </c>
      <c r="O226" s="67">
        <f t="shared" ca="1" si="227"/>
        <v>0.69593261955071761</v>
      </c>
      <c r="P226" s="68">
        <f ca="1">OFFSET(Vectors!$L$6,A226+_Age1,MATCH(pdrPrepay1,lstPrepayCurve,0))*pdrPrepayStress1</f>
        <v>5.1430128318229462E-3</v>
      </c>
      <c r="Q226" s="62">
        <f t="shared" ca="1" si="228"/>
        <v>123255.4394859443</v>
      </c>
      <c r="R226" s="62">
        <f t="shared" ca="1" si="229"/>
        <v>96607.459678511514</v>
      </c>
      <c r="S226" s="69">
        <f t="shared" ca="1" si="230"/>
        <v>0.09</v>
      </c>
      <c r="T226" s="62">
        <f t="shared" ca="1" si="231"/>
        <v>180445.88087901508</v>
      </c>
      <c r="U226" s="62">
        <f t="shared" ca="1" si="213"/>
        <v>1111.1111111111111</v>
      </c>
      <c r="V226" s="62">
        <f t="shared" ca="1" si="207"/>
        <v>23839587.884704221</v>
      </c>
      <c r="W226" s="55"/>
      <c r="X226" s="62">
        <f t="shared" ca="1" si="232"/>
        <v>401419.89115458203</v>
      </c>
      <c r="Y226" s="55"/>
      <c r="Z226" s="118" t="b">
        <v>0</v>
      </c>
      <c r="AA226" s="120" t="b">
        <f t="shared" si="214"/>
        <v>0</v>
      </c>
      <c r="AB226" s="120" t="b">
        <f t="shared" si="215"/>
        <v>1</v>
      </c>
      <c r="AC226" s="120" t="b">
        <f t="shared" ca="1" si="216"/>
        <v>0</v>
      </c>
      <c r="AD226" s="121"/>
      <c r="AE226" s="129">
        <v>1822435.9351317757</v>
      </c>
      <c r="AF226" s="69">
        <f ca="1">IF(Swap_Active="No",0,OFFSET(Vectors!$D$6,Vectors!A226,MATCH(Swap_In,lstInterestRates,0)))</f>
        <v>6.9369000000000056E-2</v>
      </c>
      <c r="AG226" s="62">
        <f t="shared" ca="1" si="233"/>
        <v>10535.046532013021</v>
      </c>
      <c r="AH226" s="69">
        <f ca="1">IF(Swap_Active="No",0,OFFSET(Vectors!$D$6,Vectors!A226,MATCH(Swap_Out,lstInterestRates,0)))</f>
        <v>0.04</v>
      </c>
      <c r="AI226" s="62">
        <f t="shared" ca="1" si="234"/>
        <v>6074.7864504392528</v>
      </c>
      <c r="AJ226" s="62">
        <f t="shared" ca="1" si="235"/>
        <v>4460.2600815737678</v>
      </c>
      <c r="AK226" s="62">
        <f t="shared" ca="1" si="236"/>
        <v>405880.15123615577</v>
      </c>
      <c r="AL226" s="121"/>
      <c r="AM226" s="123">
        <f t="shared" ca="1" si="217"/>
        <v>40103.714269410753</v>
      </c>
      <c r="AN226" s="124">
        <f t="shared" ca="1" si="237"/>
        <v>40103.714269410753</v>
      </c>
      <c r="AO226" s="125">
        <f t="shared" ca="1" si="238"/>
        <v>0</v>
      </c>
      <c r="AP226" s="123">
        <f t="shared" ca="1" si="239"/>
        <v>365776.43696674501</v>
      </c>
      <c r="AQ226" s="121"/>
      <c r="AR226" s="126">
        <f ca="1">IF(LiabIntType1="Fixed",LiabFxdRate1,OFFSET(Vectors!$D$6,Vectors!A226,MATCH(LiabLoanIndex1,lstInterestRates,0))+LiabMarg1)</f>
        <v>7.9369000000000051E-2</v>
      </c>
      <c r="AS226" s="122">
        <f t="shared" ca="1" si="240"/>
        <v>0</v>
      </c>
      <c r="AT226" s="124">
        <f t="shared" ca="1" si="241"/>
        <v>0</v>
      </c>
      <c r="AU226" s="123">
        <f t="shared" ca="1" si="242"/>
        <v>0</v>
      </c>
      <c r="AV226" s="123">
        <f t="shared" ca="1" si="218"/>
        <v>0</v>
      </c>
      <c r="AW226" s="123">
        <f t="shared" ca="1" si="243"/>
        <v>0</v>
      </c>
      <c r="AX226" s="124">
        <f t="shared" ca="1" si="244"/>
        <v>365776.43696674501</v>
      </c>
      <c r="AY226" s="121"/>
      <c r="AZ226" s="122">
        <f t="shared" ca="1" si="219"/>
        <v>0</v>
      </c>
      <c r="BA226" s="124">
        <f t="shared" ca="1" si="245"/>
        <v>0</v>
      </c>
      <c r="BB226" s="123">
        <f t="shared" ca="1" si="246"/>
        <v>0</v>
      </c>
      <c r="BC226" s="123">
        <f t="shared" ca="1" si="220"/>
        <v>0</v>
      </c>
      <c r="BD226" s="123">
        <f t="shared" ca="1" si="247"/>
        <v>0</v>
      </c>
      <c r="BE226" s="124">
        <f t="shared" ca="1" si="248"/>
        <v>365776.43696674501</v>
      </c>
      <c r="BF226" s="121"/>
      <c r="BG226" s="123">
        <f t="shared" si="221"/>
        <v>1000000</v>
      </c>
      <c r="BH226" s="123">
        <f t="shared" ca="1" si="249"/>
        <v>1000000</v>
      </c>
      <c r="BI226" s="123">
        <f t="shared" ca="1" si="250"/>
        <v>0</v>
      </c>
      <c r="BJ226" s="123">
        <f t="shared" ca="1" si="251"/>
        <v>0</v>
      </c>
      <c r="BK226" s="123">
        <f t="shared" ca="1" si="208"/>
        <v>1000000</v>
      </c>
      <c r="BL226" s="123">
        <f t="shared" ca="1" si="252"/>
        <v>365776.43696674501</v>
      </c>
      <c r="BM226" s="121"/>
      <c r="BN226" s="126">
        <f ca="1">IF(LiabIntType2="Fixed",LiabFxdRate2,OFFSET(Vectors!$D$6,Vectors!A226,MATCH(LiabLoanIndex2,lstInterestRates,0))+LiabMarg2)</f>
        <v>0.04</v>
      </c>
      <c r="BO226" s="122">
        <f t="shared" ca="1" si="253"/>
        <v>28798.699614988993</v>
      </c>
      <c r="BP226" s="124">
        <f t="shared" ca="1" si="254"/>
        <v>28798.699614988993</v>
      </c>
      <c r="BQ226" s="123">
        <f t="shared" ca="1" si="255"/>
        <v>0</v>
      </c>
      <c r="BR226" s="123">
        <f t="shared" ca="1" si="256"/>
        <v>336977.73735175602</v>
      </c>
      <c r="BS226" s="121"/>
      <c r="BT226" s="123">
        <f t="shared" ca="1" si="222"/>
        <v>22827.152064912036</v>
      </c>
      <c r="BU226" s="123">
        <f t="shared" ca="1" si="257"/>
        <v>22827.152064912036</v>
      </c>
      <c r="BV226" s="123">
        <f t="shared" ca="1" si="258"/>
        <v>0</v>
      </c>
      <c r="BW226" s="123">
        <f t="shared" ca="1" si="259"/>
        <v>314150.585286844</v>
      </c>
      <c r="BX226" s="121"/>
      <c r="BY226" s="123">
        <f t="shared" si="260"/>
        <v>0</v>
      </c>
      <c r="BZ226" s="123">
        <f t="shared" ca="1" si="261"/>
        <v>314150.585286844</v>
      </c>
      <c r="CA226" s="121"/>
      <c r="CB226" s="122">
        <f t="shared" ca="1" si="209"/>
        <v>0</v>
      </c>
      <c r="CC226" s="122">
        <f t="shared" ca="1" si="262"/>
        <v>0</v>
      </c>
      <c r="CD226" s="124">
        <f t="shared" ca="1" si="263"/>
        <v>0</v>
      </c>
      <c r="CE226" s="121"/>
      <c r="CF226" s="122">
        <f t="shared" ca="1" si="210"/>
        <v>8616782.7324317861</v>
      </c>
      <c r="CG226" s="124">
        <f t="shared" ca="1" si="264"/>
        <v>28798.699614988993</v>
      </c>
      <c r="CH226" s="123">
        <f t="shared" ca="1" si="265"/>
        <v>22827.152064912036</v>
      </c>
      <c r="CI226" s="121"/>
      <c r="CJ226" s="123">
        <f t="shared" ca="1" si="266"/>
        <v>411954.93768659508</v>
      </c>
      <c r="CK226" s="123">
        <f t="shared" ca="1" si="267"/>
        <v>411954.93768659502</v>
      </c>
      <c r="CL226" s="123">
        <f t="shared" ca="1" si="268"/>
        <v>0</v>
      </c>
      <c r="CM226" s="121"/>
      <c r="CN226" s="62">
        <f t="shared" ca="1" si="269"/>
        <v>222640.67694223358</v>
      </c>
      <c r="CO226" s="62" t="b">
        <f t="shared" si="270"/>
        <v>1</v>
      </c>
      <c r="CP226" s="126">
        <f t="shared" ca="1" si="271"/>
        <v>6.1111111111110889E-3</v>
      </c>
      <c r="CQ226" s="120"/>
      <c r="CR226" s="120"/>
      <c r="CS226" s="120"/>
      <c r="CT226" s="120"/>
      <c r="CU226" s="120"/>
      <c r="CV226" s="120"/>
      <c r="CW226" s="120"/>
      <c r="CX226" s="120"/>
      <c r="CY226" s="120"/>
      <c r="CZ226" s="120"/>
      <c r="DA226" s="120"/>
      <c r="DB226" s="120"/>
      <c r="DC226" s="120"/>
      <c r="DD226" s="120"/>
      <c r="DE226" s="116"/>
      <c r="DF226" s="116"/>
      <c r="DG226" s="116"/>
      <c r="DH226" s="116"/>
      <c r="DI226" s="116"/>
      <c r="DJ226" s="116"/>
      <c r="DK226" s="116"/>
      <c r="DL226" s="116"/>
      <c r="DM226" s="116"/>
      <c r="DN226" s="116"/>
    </row>
    <row r="227" spans="1:118" x14ac:dyDescent="0.2">
      <c r="A227" s="27">
        <v>221</v>
      </c>
      <c r="B227" s="29">
        <f t="shared" si="204"/>
        <v>45839</v>
      </c>
      <c r="C227" s="30">
        <f t="shared" si="205"/>
        <v>8.3333333333333329E-2</v>
      </c>
      <c r="D227" s="55"/>
      <c r="E227" s="62">
        <f t="shared" ca="1" si="223"/>
        <v>69593261.955071762</v>
      </c>
      <c r="F227" s="63">
        <f ca="1">IF(AssetIntType1="Fixed",AssetFxdRate1,IF(A227=1,OFFSET(Vectors!$D$6,A227,MATCH(AssetFltIndx1,lstInterestRates,0)),IF(MOD($A227,AssetRateReset1)=0,MAX(MIN(OFFSET(Vectors!$D$6,A227,MATCH(AssetFltIndx1,lstInterestRates,0)),(F226-AssetMarg1)+AssetPdCapFl1,AssetLifeCap1-AssetMarg1),(F226-AssetMarg1)-AssetPdCapFl1,AssetLifeFloor1-AssetMarg1),F226)))+AssetMarg1</f>
        <v>0.09</v>
      </c>
      <c r="G227" s="62">
        <f t="shared" ca="1" si="211"/>
        <v>804622.61694478267</v>
      </c>
      <c r="H227" s="62">
        <f t="shared" ca="1" si="224"/>
        <v>521949.4646630382</v>
      </c>
      <c r="I227" s="62">
        <f t="shared" ca="1" si="225"/>
        <v>282673.15228174446</v>
      </c>
      <c r="J227" s="62">
        <f t="shared" ca="1" si="206"/>
        <v>69310588.802790016</v>
      </c>
      <c r="K227" s="55"/>
      <c r="L227" s="62">
        <f t="shared" ca="1" si="226"/>
        <v>23839587.884704221</v>
      </c>
      <c r="M227" s="68">
        <f ca="1">IF(pdrLossTime1="",OFFSET(Vectors!$AE$6,A227+_Age1,MATCH(SDA_Loss,lstSDA,0)),OFFSET(Vectors!$X$6,A227+_Age1,MATCH(pdrLossTime1,lstDefaultCurve,0)))</f>
        <v>2.7777777777777779E-5</v>
      </c>
      <c r="N227" s="62">
        <f t="shared" ca="1" si="212"/>
        <v>2777.7777777777778</v>
      </c>
      <c r="O227" s="67">
        <f t="shared" ca="1" si="227"/>
        <v>0.69310588802790019</v>
      </c>
      <c r="P227" s="68">
        <f ca="1">OFFSET(Vectors!$L$6,A227+_Age1,MATCH(pdrPrepay1,lstPrepayCurve,0))*pdrPrepayStress1</f>
        <v>5.1430128318229462E-3</v>
      </c>
      <c r="Q227" s="62">
        <f t="shared" ca="1" si="228"/>
        <v>122109.30137669139</v>
      </c>
      <c r="R227" s="62">
        <f t="shared" ca="1" si="229"/>
        <v>96820.095278995868</v>
      </c>
      <c r="S227" s="69">
        <f t="shared" ca="1" si="230"/>
        <v>0.09</v>
      </c>
      <c r="T227" s="62">
        <f t="shared" ca="1" si="231"/>
        <v>178776.07580194832</v>
      </c>
      <c r="U227" s="62">
        <f t="shared" ca="1" si="213"/>
        <v>1111.1111111111111</v>
      </c>
      <c r="V227" s="62">
        <f t="shared" ca="1" si="207"/>
        <v>23617880.710270755</v>
      </c>
      <c r="W227" s="55"/>
      <c r="X227" s="62">
        <f t="shared" ca="1" si="232"/>
        <v>398816.58356874669</v>
      </c>
      <c r="Y227" s="55"/>
      <c r="Z227" s="118" t="b">
        <v>0</v>
      </c>
      <c r="AA227" s="120" t="b">
        <f t="shared" si="214"/>
        <v>0</v>
      </c>
      <c r="AB227" s="120" t="b">
        <f t="shared" si="215"/>
        <v>1</v>
      </c>
      <c r="AC227" s="120" t="b">
        <f t="shared" ca="1" si="216"/>
        <v>0</v>
      </c>
      <c r="AD227" s="121"/>
      <c r="AE227" s="129">
        <v>1711361.7072963361</v>
      </c>
      <c r="AF227" s="69">
        <f ca="1">IF(Swap_Active="No",0,OFFSET(Vectors!$D$6,Vectors!A227,MATCH(Swap_In,lstInterestRates,0)))</f>
        <v>6.9369000000000056E-2</v>
      </c>
      <c r="AG227" s="62">
        <f t="shared" ca="1" si="233"/>
        <v>9892.9541894533031</v>
      </c>
      <c r="AH227" s="69">
        <f ca="1">IF(Swap_Active="No",0,OFFSET(Vectors!$D$6,Vectors!A227,MATCH(Swap_Out,lstInterestRates,0)))</f>
        <v>0.04</v>
      </c>
      <c r="AI227" s="62">
        <f t="shared" ca="1" si="234"/>
        <v>5704.5390243211195</v>
      </c>
      <c r="AJ227" s="62">
        <f t="shared" ca="1" si="235"/>
        <v>4188.4151651321836</v>
      </c>
      <c r="AK227" s="62">
        <f t="shared" ca="1" si="236"/>
        <v>403004.99873387889</v>
      </c>
      <c r="AL227" s="121"/>
      <c r="AM227" s="123">
        <f t="shared" ca="1" si="217"/>
        <v>39732.646474507033</v>
      </c>
      <c r="AN227" s="124">
        <f t="shared" ca="1" si="237"/>
        <v>39732.646474507033</v>
      </c>
      <c r="AO227" s="125">
        <f t="shared" ca="1" si="238"/>
        <v>0</v>
      </c>
      <c r="AP227" s="123">
        <f t="shared" ca="1" si="239"/>
        <v>363272.35225937184</v>
      </c>
      <c r="AQ227" s="121"/>
      <c r="AR227" s="126">
        <f ca="1">IF(LiabIntType1="Fixed",LiabFxdRate1,OFFSET(Vectors!$D$6,Vectors!A227,MATCH(LiabLoanIndex1,lstInterestRates,0))+LiabMarg1)</f>
        <v>7.9369000000000051E-2</v>
      </c>
      <c r="AS227" s="122">
        <f t="shared" ca="1" si="240"/>
        <v>0</v>
      </c>
      <c r="AT227" s="124">
        <f t="shared" ca="1" si="241"/>
        <v>0</v>
      </c>
      <c r="AU227" s="123">
        <f t="shared" ca="1" si="242"/>
        <v>0</v>
      </c>
      <c r="AV227" s="123">
        <f t="shared" ca="1" si="218"/>
        <v>0</v>
      </c>
      <c r="AW227" s="123">
        <f t="shared" ca="1" si="243"/>
        <v>0</v>
      </c>
      <c r="AX227" s="124">
        <f t="shared" ca="1" si="244"/>
        <v>363272.35225937184</v>
      </c>
      <c r="AY227" s="121"/>
      <c r="AZ227" s="122">
        <f t="shared" ca="1" si="219"/>
        <v>0</v>
      </c>
      <c r="BA227" s="124">
        <f t="shared" ca="1" si="245"/>
        <v>0</v>
      </c>
      <c r="BB227" s="123">
        <f t="shared" ca="1" si="246"/>
        <v>0</v>
      </c>
      <c r="BC227" s="123">
        <f t="shared" ca="1" si="220"/>
        <v>0</v>
      </c>
      <c r="BD227" s="123">
        <f t="shared" ca="1" si="247"/>
        <v>0</v>
      </c>
      <c r="BE227" s="124">
        <f t="shared" ca="1" si="248"/>
        <v>363272.35225937184</v>
      </c>
      <c r="BF227" s="121"/>
      <c r="BG227" s="123">
        <f t="shared" si="221"/>
        <v>1000000</v>
      </c>
      <c r="BH227" s="123">
        <f t="shared" ca="1" si="249"/>
        <v>1000000</v>
      </c>
      <c r="BI227" s="123">
        <f t="shared" ca="1" si="250"/>
        <v>0</v>
      </c>
      <c r="BJ227" s="123">
        <f t="shared" ca="1" si="251"/>
        <v>0</v>
      </c>
      <c r="BK227" s="123">
        <f t="shared" ca="1" si="208"/>
        <v>1000000</v>
      </c>
      <c r="BL227" s="123">
        <f t="shared" ca="1" si="252"/>
        <v>363272.35225937184</v>
      </c>
      <c r="BM227" s="121"/>
      <c r="BN227" s="126">
        <f ca="1">IF(LiabIntType2="Fixed",LiabFxdRate2,OFFSET(Vectors!$D$6,Vectors!A227,MATCH(LiabLoanIndex2,lstInterestRates,0))+LiabMarg2)</f>
        <v>0.04</v>
      </c>
      <c r="BO227" s="122">
        <f t="shared" ca="1" si="253"/>
        <v>28722.609108105953</v>
      </c>
      <c r="BP227" s="124">
        <f t="shared" ca="1" si="254"/>
        <v>28722.609108105953</v>
      </c>
      <c r="BQ227" s="123">
        <f t="shared" ca="1" si="255"/>
        <v>0</v>
      </c>
      <c r="BR227" s="123">
        <f t="shared" ca="1" si="256"/>
        <v>334549.74315126589</v>
      </c>
      <c r="BS227" s="121"/>
      <c r="BT227" s="123">
        <f t="shared" ca="1" si="222"/>
        <v>22731.44087676215</v>
      </c>
      <c r="BU227" s="123">
        <f t="shared" ca="1" si="257"/>
        <v>22731.44087676215</v>
      </c>
      <c r="BV227" s="123">
        <f t="shared" ca="1" si="258"/>
        <v>0</v>
      </c>
      <c r="BW227" s="123">
        <f t="shared" ca="1" si="259"/>
        <v>311818.30227450375</v>
      </c>
      <c r="BX227" s="121"/>
      <c r="BY227" s="123">
        <f t="shared" si="260"/>
        <v>0</v>
      </c>
      <c r="BZ227" s="123">
        <f t="shared" ca="1" si="261"/>
        <v>311818.30227450375</v>
      </c>
      <c r="CA227" s="121"/>
      <c r="CB227" s="122">
        <f t="shared" ca="1" si="209"/>
        <v>0</v>
      </c>
      <c r="CC227" s="122">
        <f t="shared" ca="1" si="262"/>
        <v>0</v>
      </c>
      <c r="CD227" s="124">
        <f t="shared" ca="1" si="263"/>
        <v>0</v>
      </c>
      <c r="CE227" s="121"/>
      <c r="CF227" s="122">
        <f t="shared" ca="1" si="210"/>
        <v>8594051.2915550247</v>
      </c>
      <c r="CG227" s="124">
        <f t="shared" ca="1" si="264"/>
        <v>28722.609108105953</v>
      </c>
      <c r="CH227" s="123">
        <f t="shared" ca="1" si="265"/>
        <v>22731.44087676215</v>
      </c>
      <c r="CI227" s="121"/>
      <c r="CJ227" s="123">
        <f t="shared" ca="1" si="266"/>
        <v>408709.53775819996</v>
      </c>
      <c r="CK227" s="123">
        <f t="shared" ca="1" si="267"/>
        <v>408709.53775820002</v>
      </c>
      <c r="CL227" s="123">
        <f t="shared" ca="1" si="268"/>
        <v>0</v>
      </c>
      <c r="CM227" s="121"/>
      <c r="CN227" s="62">
        <f t="shared" ca="1" si="269"/>
        <v>221707.17443346506</v>
      </c>
      <c r="CO227" s="62" t="b">
        <f t="shared" si="270"/>
        <v>1</v>
      </c>
      <c r="CP227" s="126">
        <f t="shared" ca="1" si="271"/>
        <v>6.1388888888888665E-3</v>
      </c>
      <c r="CQ227" s="120"/>
      <c r="CR227" s="120"/>
      <c r="CS227" s="120"/>
      <c r="CT227" s="120"/>
      <c r="CU227" s="120"/>
      <c r="CV227" s="120"/>
      <c r="CW227" s="120"/>
      <c r="CX227" s="120"/>
      <c r="CY227" s="120"/>
      <c r="CZ227" s="120"/>
      <c r="DA227" s="120"/>
      <c r="DB227" s="120"/>
      <c r="DC227" s="120"/>
      <c r="DD227" s="120"/>
      <c r="DE227" s="116"/>
      <c r="DF227" s="116"/>
      <c r="DG227" s="116"/>
      <c r="DH227" s="116"/>
      <c r="DI227" s="116"/>
      <c r="DJ227" s="116"/>
      <c r="DK227" s="116"/>
      <c r="DL227" s="116"/>
      <c r="DM227" s="116"/>
      <c r="DN227" s="116"/>
    </row>
    <row r="228" spans="1:118" x14ac:dyDescent="0.2">
      <c r="A228" s="27">
        <v>222</v>
      </c>
      <c r="B228" s="29">
        <f t="shared" si="204"/>
        <v>45870</v>
      </c>
      <c r="C228" s="30">
        <f t="shared" si="205"/>
        <v>8.3333333333333329E-2</v>
      </c>
      <c r="D228" s="55"/>
      <c r="E228" s="62">
        <f t="shared" ca="1" si="223"/>
        <v>69310588.802790016</v>
      </c>
      <c r="F228" s="63">
        <f ca="1">IF(AssetIntType1="Fixed",AssetFxdRate1,IF(A228=1,OFFSET(Vectors!$D$6,A228,MATCH(AssetFltIndx1,lstInterestRates,0)),IF(MOD($A228,AssetRateReset1)=0,MAX(MIN(OFFSET(Vectors!$D$6,A228,MATCH(AssetFltIndx1,lstInterestRates,0)),(F227-AssetMarg1)+AssetPdCapFl1,AssetLifeCap1-AssetMarg1),(F227-AssetMarg1)-AssetPdCapFl1,AssetLifeFloor1-AssetMarg1),F227)))+AssetMarg1</f>
        <v>0.09</v>
      </c>
      <c r="G228" s="62">
        <f t="shared" ca="1" si="211"/>
        <v>804622.61694478267</v>
      </c>
      <c r="H228" s="62">
        <f t="shared" ca="1" si="224"/>
        <v>519829.4160209251</v>
      </c>
      <c r="I228" s="62">
        <f t="shared" ca="1" si="225"/>
        <v>284793.20092385757</v>
      </c>
      <c r="J228" s="62">
        <f t="shared" ca="1" si="206"/>
        <v>69025795.601866156</v>
      </c>
      <c r="K228" s="55"/>
      <c r="L228" s="62">
        <f t="shared" ca="1" si="226"/>
        <v>23617880.710270755</v>
      </c>
      <c r="M228" s="68">
        <f ca="1">IF(pdrLossTime1="",OFFSET(Vectors!$AE$6,A228+_Age1,MATCH(SDA_Loss,lstSDA,0)),OFFSET(Vectors!$X$6,A228+_Age1,MATCH(pdrLossTime1,lstDefaultCurve,0)))</f>
        <v>2.7777777777777779E-5</v>
      </c>
      <c r="N228" s="62">
        <f t="shared" ca="1" si="212"/>
        <v>2777.7777777777778</v>
      </c>
      <c r="O228" s="67">
        <f t="shared" ca="1" si="227"/>
        <v>0.69025795601866158</v>
      </c>
      <c r="P228" s="68">
        <f ca="1">OFFSET(Vectors!$L$6,A228+_Age1,MATCH(pdrPrepay1,lstPrepayCurve,0))*pdrPrepayStress1</f>
        <v>5.1430128318229462E-3</v>
      </c>
      <c r="Q228" s="62">
        <f t="shared" ca="1" si="228"/>
        <v>120967.96241409818</v>
      </c>
      <c r="R228" s="62">
        <f t="shared" ca="1" si="229"/>
        <v>97033.092207989568</v>
      </c>
      <c r="S228" s="69">
        <f t="shared" ca="1" si="230"/>
        <v>0.09</v>
      </c>
      <c r="T228" s="62">
        <f t="shared" ca="1" si="231"/>
        <v>177113.27199369733</v>
      </c>
      <c r="U228" s="62">
        <f t="shared" ca="1" si="213"/>
        <v>1111.1111111111111</v>
      </c>
      <c r="V228" s="62">
        <f t="shared" ca="1" si="207"/>
        <v>23397101.877870891</v>
      </c>
      <c r="W228" s="55"/>
      <c r="X228" s="62">
        <f t="shared" ca="1" si="232"/>
        <v>396225.4377268962</v>
      </c>
      <c r="Y228" s="55"/>
      <c r="Z228" s="118" t="b">
        <v>0</v>
      </c>
      <c r="AA228" s="120" t="b">
        <f t="shared" si="214"/>
        <v>0</v>
      </c>
      <c r="AB228" s="120" t="b">
        <f t="shared" si="215"/>
        <v>1</v>
      </c>
      <c r="AC228" s="120" t="b">
        <f t="shared" ca="1" si="216"/>
        <v>0</v>
      </c>
      <c r="AD228" s="121"/>
      <c r="AE228" s="129">
        <v>1601493.4196631331</v>
      </c>
      <c r="AF228" s="69">
        <f ca="1">IF(Swap_Active="No",0,OFFSET(Vectors!$D$6,Vectors!A228,MATCH(Swap_In,lstInterestRates,0)))</f>
        <v>6.9369000000000056E-2</v>
      </c>
      <c r="AG228" s="62">
        <f t="shared" ca="1" si="233"/>
        <v>9257.8330857176625</v>
      </c>
      <c r="AH228" s="69">
        <f ca="1">IF(Swap_Active="No",0,OFFSET(Vectors!$D$6,Vectors!A228,MATCH(Swap_Out,lstInterestRates,0)))</f>
        <v>0.04</v>
      </c>
      <c r="AI228" s="62">
        <f t="shared" ca="1" si="234"/>
        <v>5338.3113988771102</v>
      </c>
      <c r="AJ228" s="62">
        <f t="shared" ca="1" si="235"/>
        <v>3919.5216868405523</v>
      </c>
      <c r="AK228" s="62">
        <f t="shared" ca="1" si="236"/>
        <v>400144.95941373677</v>
      </c>
      <c r="AL228" s="121"/>
      <c r="AM228" s="123">
        <f t="shared" ca="1" si="217"/>
        <v>39363.13451711792</v>
      </c>
      <c r="AN228" s="124">
        <f t="shared" ca="1" si="237"/>
        <v>39363.13451711792</v>
      </c>
      <c r="AO228" s="125">
        <f t="shared" ca="1" si="238"/>
        <v>0</v>
      </c>
      <c r="AP228" s="123">
        <f t="shared" ca="1" si="239"/>
        <v>360781.82489661884</v>
      </c>
      <c r="AQ228" s="121"/>
      <c r="AR228" s="126">
        <f ca="1">IF(LiabIntType1="Fixed",LiabFxdRate1,OFFSET(Vectors!$D$6,Vectors!A228,MATCH(LiabLoanIndex1,lstInterestRates,0))+LiabMarg1)</f>
        <v>7.9369000000000051E-2</v>
      </c>
      <c r="AS228" s="122">
        <f t="shared" ca="1" si="240"/>
        <v>0</v>
      </c>
      <c r="AT228" s="124">
        <f t="shared" ca="1" si="241"/>
        <v>0</v>
      </c>
      <c r="AU228" s="123">
        <f t="shared" ca="1" si="242"/>
        <v>0</v>
      </c>
      <c r="AV228" s="123">
        <f t="shared" ca="1" si="218"/>
        <v>0</v>
      </c>
      <c r="AW228" s="123">
        <f t="shared" ca="1" si="243"/>
        <v>0</v>
      </c>
      <c r="AX228" s="124">
        <f t="shared" ca="1" si="244"/>
        <v>360781.82489661884</v>
      </c>
      <c r="AY228" s="121"/>
      <c r="AZ228" s="122">
        <f t="shared" ca="1" si="219"/>
        <v>0</v>
      </c>
      <c r="BA228" s="124">
        <f t="shared" ca="1" si="245"/>
        <v>0</v>
      </c>
      <c r="BB228" s="123">
        <f t="shared" ca="1" si="246"/>
        <v>0</v>
      </c>
      <c r="BC228" s="123">
        <f t="shared" ca="1" si="220"/>
        <v>0</v>
      </c>
      <c r="BD228" s="123">
        <f t="shared" ca="1" si="247"/>
        <v>0</v>
      </c>
      <c r="BE228" s="124">
        <f t="shared" ca="1" si="248"/>
        <v>360781.82489661884</v>
      </c>
      <c r="BF228" s="121"/>
      <c r="BG228" s="123">
        <f t="shared" si="221"/>
        <v>1000000</v>
      </c>
      <c r="BH228" s="123">
        <f t="shared" ca="1" si="249"/>
        <v>1000000</v>
      </c>
      <c r="BI228" s="123">
        <f t="shared" ca="1" si="250"/>
        <v>0</v>
      </c>
      <c r="BJ228" s="123">
        <f t="shared" ca="1" si="251"/>
        <v>0</v>
      </c>
      <c r="BK228" s="123">
        <f t="shared" ca="1" si="208"/>
        <v>1000000</v>
      </c>
      <c r="BL228" s="123">
        <f t="shared" ca="1" si="252"/>
        <v>360781.82489661884</v>
      </c>
      <c r="BM228" s="121"/>
      <c r="BN228" s="126">
        <f ca="1">IF(LiabIntType2="Fixed",LiabFxdRate2,OFFSET(Vectors!$D$6,Vectors!A228,MATCH(LiabLoanIndex2,lstInterestRates,0))+LiabMarg2)</f>
        <v>0.04</v>
      </c>
      <c r="BO228" s="122">
        <f t="shared" ca="1" si="253"/>
        <v>28646.837638516747</v>
      </c>
      <c r="BP228" s="124">
        <f t="shared" ca="1" si="254"/>
        <v>28646.837638516747</v>
      </c>
      <c r="BQ228" s="123">
        <f t="shared" ca="1" si="255"/>
        <v>0</v>
      </c>
      <c r="BR228" s="123">
        <f t="shared" ca="1" si="256"/>
        <v>332134.9872581021</v>
      </c>
      <c r="BS228" s="121"/>
      <c r="BT228" s="123">
        <f t="shared" ca="1" si="222"/>
        <v>22636.258787575796</v>
      </c>
      <c r="BU228" s="123">
        <f t="shared" ca="1" si="257"/>
        <v>22636.258787575796</v>
      </c>
      <c r="BV228" s="123">
        <f t="shared" ca="1" si="258"/>
        <v>0</v>
      </c>
      <c r="BW228" s="123">
        <f t="shared" ca="1" si="259"/>
        <v>309498.72847052629</v>
      </c>
      <c r="BX228" s="121"/>
      <c r="BY228" s="123">
        <f t="shared" si="260"/>
        <v>0</v>
      </c>
      <c r="BZ228" s="123">
        <f t="shared" ca="1" si="261"/>
        <v>309498.72847052629</v>
      </c>
      <c r="CA228" s="121"/>
      <c r="CB228" s="122">
        <f t="shared" ca="1" si="209"/>
        <v>0</v>
      </c>
      <c r="CC228" s="122">
        <f t="shared" ca="1" si="262"/>
        <v>0</v>
      </c>
      <c r="CD228" s="124">
        <f t="shared" ca="1" si="263"/>
        <v>0</v>
      </c>
      <c r="CE228" s="121"/>
      <c r="CF228" s="122">
        <f t="shared" ca="1" si="210"/>
        <v>8571415.0327674486</v>
      </c>
      <c r="CG228" s="124">
        <f t="shared" ca="1" si="264"/>
        <v>28646.837638516747</v>
      </c>
      <c r="CH228" s="123">
        <f t="shared" ca="1" si="265"/>
        <v>22636.258787575796</v>
      </c>
      <c r="CI228" s="121"/>
      <c r="CJ228" s="123">
        <f t="shared" ca="1" si="266"/>
        <v>405483.27081261389</v>
      </c>
      <c r="CK228" s="123">
        <f t="shared" ca="1" si="267"/>
        <v>405483.27081261389</v>
      </c>
      <c r="CL228" s="123">
        <f t="shared" ca="1" si="268"/>
        <v>0</v>
      </c>
      <c r="CM228" s="121"/>
      <c r="CN228" s="62">
        <f t="shared" ca="1" si="269"/>
        <v>220778.83239986553</v>
      </c>
      <c r="CO228" s="62" t="b">
        <f t="shared" si="270"/>
        <v>1</v>
      </c>
      <c r="CP228" s="126">
        <f t="shared" ca="1" si="271"/>
        <v>6.1666666666666441E-3</v>
      </c>
      <c r="CQ228" s="120"/>
      <c r="CR228" s="120"/>
      <c r="CS228" s="120"/>
      <c r="CT228" s="120"/>
      <c r="CU228" s="120"/>
      <c r="CV228" s="120"/>
      <c r="CW228" s="120"/>
      <c r="CX228" s="120"/>
      <c r="CY228" s="120"/>
      <c r="CZ228" s="120"/>
      <c r="DA228" s="120"/>
      <c r="DB228" s="120"/>
      <c r="DC228" s="120"/>
      <c r="DD228" s="120"/>
      <c r="DE228" s="116"/>
      <c r="DF228" s="116"/>
      <c r="DG228" s="116"/>
      <c r="DH228" s="116"/>
      <c r="DI228" s="116"/>
      <c r="DJ228" s="116"/>
      <c r="DK228" s="116"/>
      <c r="DL228" s="116"/>
      <c r="DM228" s="116"/>
      <c r="DN228" s="116"/>
    </row>
    <row r="229" spans="1:118" x14ac:dyDescent="0.2">
      <c r="A229" s="27">
        <v>223</v>
      </c>
      <c r="B229" s="29">
        <f t="shared" si="204"/>
        <v>45901</v>
      </c>
      <c r="C229" s="30">
        <f t="shared" si="205"/>
        <v>8.3333333333333329E-2</v>
      </c>
      <c r="D229" s="55"/>
      <c r="E229" s="62">
        <f t="shared" ca="1" si="223"/>
        <v>69025795.601866156</v>
      </c>
      <c r="F229" s="63">
        <f ca="1">IF(AssetIntType1="Fixed",AssetFxdRate1,IF(A229=1,OFFSET(Vectors!$D$6,A229,MATCH(AssetFltIndx1,lstInterestRates,0)),IF(MOD($A229,AssetRateReset1)=0,MAX(MIN(OFFSET(Vectors!$D$6,A229,MATCH(AssetFltIndx1,lstInterestRates,0)),(F228-AssetMarg1)+AssetPdCapFl1,AssetLifeCap1-AssetMarg1),(F228-AssetMarg1)-AssetPdCapFl1,AssetLifeFloor1-AssetMarg1),F228)))+AssetMarg1</f>
        <v>0.09</v>
      </c>
      <c r="G229" s="62">
        <f t="shared" ca="1" si="211"/>
        <v>804622.61694478267</v>
      </c>
      <c r="H229" s="62">
        <f t="shared" ca="1" si="224"/>
        <v>517693.46701399615</v>
      </c>
      <c r="I229" s="62">
        <f t="shared" ca="1" si="225"/>
        <v>286929.14993078652</v>
      </c>
      <c r="J229" s="62">
        <f t="shared" ca="1" si="206"/>
        <v>68738866.451935366</v>
      </c>
      <c r="K229" s="55"/>
      <c r="L229" s="62">
        <f t="shared" ca="1" si="226"/>
        <v>23397101.877870891</v>
      </c>
      <c r="M229" s="68">
        <f ca="1">IF(pdrLossTime1="",OFFSET(Vectors!$AE$6,A229+_Age1,MATCH(SDA_Loss,lstSDA,0)),OFFSET(Vectors!$X$6,A229+_Age1,MATCH(pdrLossTime1,lstDefaultCurve,0)))</f>
        <v>2.7777777777777779E-5</v>
      </c>
      <c r="N229" s="62">
        <f t="shared" ca="1" si="212"/>
        <v>2777.7777777777778</v>
      </c>
      <c r="O229" s="67">
        <f t="shared" ca="1" si="227"/>
        <v>0.68738866451935365</v>
      </c>
      <c r="P229" s="68">
        <f ca="1">OFFSET(Vectors!$L$6,A229+_Age1,MATCH(pdrPrepay1,lstPrepayCurve,0))*pdrPrepayStress1</f>
        <v>5.1430128318229462E-3</v>
      </c>
      <c r="Q229" s="62">
        <f t="shared" ca="1" si="228"/>
        <v>119831.39606392453</v>
      </c>
      <c r="R229" s="62">
        <f t="shared" ca="1" si="229"/>
        <v>97246.449225479271</v>
      </c>
      <c r="S229" s="69">
        <f t="shared" ca="1" si="230"/>
        <v>0.09</v>
      </c>
      <c r="T229" s="62">
        <f t="shared" ca="1" si="231"/>
        <v>175457.43075069835</v>
      </c>
      <c r="U229" s="62">
        <f t="shared" ca="1" si="213"/>
        <v>1111.1111111111111</v>
      </c>
      <c r="V229" s="62">
        <f t="shared" ca="1" si="207"/>
        <v>23177246.254803713</v>
      </c>
      <c r="W229" s="55"/>
      <c r="X229" s="62">
        <f t="shared" ca="1" si="232"/>
        <v>393646.38715121325</v>
      </c>
      <c r="Y229" s="55"/>
      <c r="Z229" s="118" t="b">
        <v>0</v>
      </c>
      <c r="AA229" s="120" t="b">
        <f t="shared" si="214"/>
        <v>0</v>
      </c>
      <c r="AB229" s="120" t="b">
        <f t="shared" si="215"/>
        <v>1</v>
      </c>
      <c r="AC229" s="120" t="b">
        <f t="shared" ca="1" si="216"/>
        <v>0</v>
      </c>
      <c r="AD229" s="121"/>
      <c r="AE229" s="129">
        <v>1492818.9641666329</v>
      </c>
      <c r="AF229" s="69">
        <f ca="1">IF(Swap_Active="No",0,OFFSET(Vectors!$D$6,Vectors!A229,MATCH(Swap_In,lstInterestRates,0)))</f>
        <v>6.9369000000000056E-2</v>
      </c>
      <c r="AG229" s="62">
        <f t="shared" ca="1" si="233"/>
        <v>8629.6132271062688</v>
      </c>
      <c r="AH229" s="69">
        <f ca="1">IF(Swap_Active="No",0,OFFSET(Vectors!$D$6,Vectors!A229,MATCH(Swap_Out,lstInterestRates,0)))</f>
        <v>0.04</v>
      </c>
      <c r="AI229" s="62">
        <f t="shared" ca="1" si="234"/>
        <v>4976.0632138887759</v>
      </c>
      <c r="AJ229" s="62">
        <f t="shared" ca="1" si="235"/>
        <v>3653.550013217493</v>
      </c>
      <c r="AK229" s="62">
        <f t="shared" ca="1" si="236"/>
        <v>397299.93716443074</v>
      </c>
      <c r="AL229" s="121"/>
      <c r="AM229" s="123">
        <f t="shared" ca="1" si="217"/>
        <v>38995.169796451482</v>
      </c>
      <c r="AN229" s="124">
        <f t="shared" ca="1" si="237"/>
        <v>38995.169796451482</v>
      </c>
      <c r="AO229" s="125">
        <f t="shared" ca="1" si="238"/>
        <v>0</v>
      </c>
      <c r="AP229" s="123">
        <f t="shared" ca="1" si="239"/>
        <v>358304.76736797928</v>
      </c>
      <c r="AQ229" s="121"/>
      <c r="AR229" s="126">
        <f ca="1">IF(LiabIntType1="Fixed",LiabFxdRate1,OFFSET(Vectors!$D$6,Vectors!A229,MATCH(LiabLoanIndex1,lstInterestRates,0))+LiabMarg1)</f>
        <v>7.9369000000000051E-2</v>
      </c>
      <c r="AS229" s="122">
        <f t="shared" ca="1" si="240"/>
        <v>0</v>
      </c>
      <c r="AT229" s="124">
        <f t="shared" ca="1" si="241"/>
        <v>0</v>
      </c>
      <c r="AU229" s="123">
        <f t="shared" ca="1" si="242"/>
        <v>0</v>
      </c>
      <c r="AV229" s="123">
        <f t="shared" ca="1" si="218"/>
        <v>0</v>
      </c>
      <c r="AW229" s="123">
        <f t="shared" ca="1" si="243"/>
        <v>0</v>
      </c>
      <c r="AX229" s="124">
        <f t="shared" ca="1" si="244"/>
        <v>358304.76736797928</v>
      </c>
      <c r="AY229" s="121"/>
      <c r="AZ229" s="122">
        <f t="shared" ca="1" si="219"/>
        <v>0</v>
      </c>
      <c r="BA229" s="124">
        <f t="shared" ca="1" si="245"/>
        <v>0</v>
      </c>
      <c r="BB229" s="123">
        <f t="shared" ca="1" si="246"/>
        <v>0</v>
      </c>
      <c r="BC229" s="123">
        <f t="shared" ca="1" si="220"/>
        <v>0</v>
      </c>
      <c r="BD229" s="123">
        <f t="shared" ca="1" si="247"/>
        <v>0</v>
      </c>
      <c r="BE229" s="124">
        <f t="shared" ca="1" si="248"/>
        <v>358304.76736797928</v>
      </c>
      <c r="BF229" s="121"/>
      <c r="BG229" s="123">
        <f t="shared" si="221"/>
        <v>1000000</v>
      </c>
      <c r="BH229" s="123">
        <f t="shared" ca="1" si="249"/>
        <v>1000000</v>
      </c>
      <c r="BI229" s="123">
        <f t="shared" ca="1" si="250"/>
        <v>0</v>
      </c>
      <c r="BJ229" s="123">
        <f t="shared" ca="1" si="251"/>
        <v>0</v>
      </c>
      <c r="BK229" s="123">
        <f t="shared" ca="1" si="208"/>
        <v>1000000</v>
      </c>
      <c r="BL229" s="123">
        <f t="shared" ca="1" si="252"/>
        <v>358304.76736797928</v>
      </c>
      <c r="BM229" s="121"/>
      <c r="BN229" s="126">
        <f ca="1">IF(LiabIntType2="Fixed",LiabFxdRate2,OFFSET(Vectors!$D$6,Vectors!A229,MATCH(LiabLoanIndex2,lstInterestRates,0))+LiabMarg2)</f>
        <v>0.04</v>
      </c>
      <c r="BO229" s="122">
        <f t="shared" ca="1" si="253"/>
        <v>28571.383442558159</v>
      </c>
      <c r="BP229" s="124">
        <f t="shared" ca="1" si="254"/>
        <v>28571.383442558159</v>
      </c>
      <c r="BQ229" s="123">
        <f t="shared" ca="1" si="255"/>
        <v>0</v>
      </c>
      <c r="BR229" s="123">
        <f t="shared" ca="1" si="256"/>
        <v>329733.38392542111</v>
      </c>
      <c r="BS229" s="121"/>
      <c r="BT229" s="123">
        <f t="shared" ca="1" si="222"/>
        <v>22541.602949683289</v>
      </c>
      <c r="BU229" s="123">
        <f t="shared" ca="1" si="257"/>
        <v>22541.602949683289</v>
      </c>
      <c r="BV229" s="123">
        <f t="shared" ca="1" si="258"/>
        <v>0</v>
      </c>
      <c r="BW229" s="123">
        <f t="shared" ca="1" si="259"/>
        <v>307191.78097573784</v>
      </c>
      <c r="BX229" s="121"/>
      <c r="BY229" s="123">
        <f t="shared" si="260"/>
        <v>0</v>
      </c>
      <c r="BZ229" s="123">
        <f t="shared" ca="1" si="261"/>
        <v>307191.78097573784</v>
      </c>
      <c r="CA229" s="121"/>
      <c r="CB229" s="122">
        <f t="shared" ca="1" si="209"/>
        <v>0</v>
      </c>
      <c r="CC229" s="122">
        <f t="shared" ca="1" si="262"/>
        <v>0</v>
      </c>
      <c r="CD229" s="124">
        <f t="shared" ca="1" si="263"/>
        <v>0</v>
      </c>
      <c r="CE229" s="121"/>
      <c r="CF229" s="122">
        <f t="shared" ca="1" si="210"/>
        <v>8548873.429817766</v>
      </c>
      <c r="CG229" s="124">
        <f t="shared" ca="1" si="264"/>
        <v>28571.383442558159</v>
      </c>
      <c r="CH229" s="123">
        <f t="shared" ca="1" si="265"/>
        <v>22541.602949683289</v>
      </c>
      <c r="CI229" s="121"/>
      <c r="CJ229" s="123">
        <f t="shared" ca="1" si="266"/>
        <v>402276.00037831953</v>
      </c>
      <c r="CK229" s="123">
        <f t="shared" ca="1" si="267"/>
        <v>402276.00037831953</v>
      </c>
      <c r="CL229" s="123">
        <f t="shared" ca="1" si="268"/>
        <v>0</v>
      </c>
      <c r="CM229" s="121"/>
      <c r="CN229" s="62">
        <f t="shared" ca="1" si="269"/>
        <v>219855.62306718159</v>
      </c>
      <c r="CO229" s="62" t="b">
        <f t="shared" si="270"/>
        <v>1</v>
      </c>
      <c r="CP229" s="126">
        <f t="shared" ca="1" si="271"/>
        <v>6.1944444444444217E-3</v>
      </c>
      <c r="CQ229" s="120"/>
      <c r="CR229" s="120"/>
      <c r="CS229" s="120"/>
      <c r="CT229" s="120"/>
      <c r="CU229" s="120"/>
      <c r="CV229" s="120"/>
      <c r="CW229" s="120"/>
      <c r="CX229" s="120"/>
      <c r="CY229" s="120"/>
      <c r="CZ229" s="120"/>
      <c r="DA229" s="120"/>
      <c r="DB229" s="120"/>
      <c r="DC229" s="120"/>
      <c r="DD229" s="120"/>
      <c r="DE229" s="116"/>
      <c r="DF229" s="116"/>
      <c r="DG229" s="116"/>
      <c r="DH229" s="116"/>
      <c r="DI229" s="116"/>
      <c r="DJ229" s="116"/>
      <c r="DK229" s="116"/>
      <c r="DL229" s="116"/>
      <c r="DM229" s="116"/>
      <c r="DN229" s="116"/>
    </row>
    <row r="230" spans="1:118" x14ac:dyDescent="0.2">
      <c r="A230" s="27">
        <v>224</v>
      </c>
      <c r="B230" s="29">
        <f t="shared" si="204"/>
        <v>45931</v>
      </c>
      <c r="C230" s="30">
        <f t="shared" si="205"/>
        <v>8.3333333333333329E-2</v>
      </c>
      <c r="D230" s="55"/>
      <c r="E230" s="62">
        <f t="shared" ca="1" si="223"/>
        <v>68738866.451935366</v>
      </c>
      <c r="F230" s="63">
        <f ca="1">IF(AssetIntType1="Fixed",AssetFxdRate1,IF(A230=1,OFFSET(Vectors!$D$6,A230,MATCH(AssetFltIndx1,lstInterestRates,0)),IF(MOD($A230,AssetRateReset1)=0,MAX(MIN(OFFSET(Vectors!$D$6,A230,MATCH(AssetFltIndx1,lstInterestRates,0)),(F229-AssetMarg1)+AssetPdCapFl1,AssetLifeCap1-AssetMarg1),(F229-AssetMarg1)-AssetPdCapFl1,AssetLifeFloor1-AssetMarg1),F229)))+AssetMarg1</f>
        <v>0.09</v>
      </c>
      <c r="G230" s="62">
        <f t="shared" ca="1" si="211"/>
        <v>804622.61694478267</v>
      </c>
      <c r="H230" s="62">
        <f t="shared" ca="1" si="224"/>
        <v>515541.49838951521</v>
      </c>
      <c r="I230" s="62">
        <f t="shared" ca="1" si="225"/>
        <v>289081.11855526746</v>
      </c>
      <c r="J230" s="62">
        <f t="shared" ca="1" si="206"/>
        <v>68449785.333380103</v>
      </c>
      <c r="K230" s="55"/>
      <c r="L230" s="62">
        <f t="shared" ca="1" si="226"/>
        <v>23177246.254803713</v>
      </c>
      <c r="M230" s="68">
        <f ca="1">IF(pdrLossTime1="",OFFSET(Vectors!$AE$6,A230+_Age1,MATCH(SDA_Loss,lstSDA,0)),OFFSET(Vectors!$X$6,A230+_Age1,MATCH(pdrLossTime1,lstDefaultCurve,0)))</f>
        <v>2.7777777777777779E-5</v>
      </c>
      <c r="N230" s="62">
        <f t="shared" ca="1" si="212"/>
        <v>2777.7777777777778</v>
      </c>
      <c r="O230" s="67">
        <f t="shared" ca="1" si="227"/>
        <v>0.68449785333380098</v>
      </c>
      <c r="P230" s="68">
        <f ca="1">OFFSET(Vectors!$L$6,A230+_Age1,MATCH(pdrPrepay1,lstPrepayCurve,0))*pdrPrepayStress1</f>
        <v>5.1430128318229462E-3</v>
      </c>
      <c r="Q230" s="62">
        <f t="shared" ca="1" si="228"/>
        <v>118699.57593501711</v>
      </c>
      <c r="R230" s="62">
        <f t="shared" ca="1" si="229"/>
        <v>97460.165042826789</v>
      </c>
      <c r="S230" s="69">
        <f t="shared" ca="1" si="230"/>
        <v>0.09</v>
      </c>
      <c r="T230" s="62">
        <f t="shared" ca="1" si="231"/>
        <v>173808.51357769451</v>
      </c>
      <c r="U230" s="62">
        <f t="shared" ca="1" si="213"/>
        <v>1111.1111111111111</v>
      </c>
      <c r="V230" s="62">
        <f t="shared" ca="1" si="207"/>
        <v>22958308.736048095</v>
      </c>
      <c r="W230" s="55"/>
      <c r="X230" s="62">
        <f t="shared" ca="1" si="232"/>
        <v>391079.36566664954</v>
      </c>
      <c r="Y230" s="55"/>
      <c r="Z230" s="118" t="b">
        <v>0</v>
      </c>
      <c r="AA230" s="120" t="b">
        <f t="shared" si="214"/>
        <v>0</v>
      </c>
      <c r="AB230" s="120" t="b">
        <f t="shared" si="215"/>
        <v>1</v>
      </c>
      <c r="AC230" s="120" t="b">
        <f t="shared" ca="1" si="216"/>
        <v>0</v>
      </c>
      <c r="AD230" s="121"/>
      <c r="AE230" s="129">
        <v>1385326.357048121</v>
      </c>
      <c r="AF230" s="69">
        <f ca="1">IF(Swap_Active="No",0,OFFSET(Vectors!$D$6,Vectors!A230,MATCH(Swap_In,lstInterestRates,0)))</f>
        <v>6.9369000000000056E-2</v>
      </c>
      <c r="AG230" s="62">
        <f t="shared" ca="1" si="233"/>
        <v>8008.2253385059321</v>
      </c>
      <c r="AH230" s="69">
        <f ca="1">IF(Swap_Active="No",0,OFFSET(Vectors!$D$6,Vectors!A230,MATCH(Swap_Out,lstInterestRates,0)))</f>
        <v>0.04</v>
      </c>
      <c r="AI230" s="62">
        <f t="shared" ca="1" si="234"/>
        <v>4617.754523493737</v>
      </c>
      <c r="AJ230" s="62">
        <f t="shared" ca="1" si="235"/>
        <v>3390.4708150121951</v>
      </c>
      <c r="AK230" s="62">
        <f t="shared" ca="1" si="236"/>
        <v>394469.83648166171</v>
      </c>
      <c r="AL230" s="121"/>
      <c r="AM230" s="123">
        <f t="shared" ca="1" si="217"/>
        <v>38628.743758006189</v>
      </c>
      <c r="AN230" s="124">
        <f t="shared" ca="1" si="237"/>
        <v>38628.743758006189</v>
      </c>
      <c r="AO230" s="125">
        <f t="shared" ca="1" si="238"/>
        <v>0</v>
      </c>
      <c r="AP230" s="123">
        <f t="shared" ca="1" si="239"/>
        <v>355841.09272365551</v>
      </c>
      <c r="AQ230" s="121"/>
      <c r="AR230" s="126">
        <f ca="1">IF(LiabIntType1="Fixed",LiabFxdRate1,OFFSET(Vectors!$D$6,Vectors!A230,MATCH(LiabLoanIndex1,lstInterestRates,0))+LiabMarg1)</f>
        <v>7.9369000000000051E-2</v>
      </c>
      <c r="AS230" s="122">
        <f t="shared" ca="1" si="240"/>
        <v>0</v>
      </c>
      <c r="AT230" s="124">
        <f t="shared" ca="1" si="241"/>
        <v>0</v>
      </c>
      <c r="AU230" s="123">
        <f t="shared" ca="1" si="242"/>
        <v>0</v>
      </c>
      <c r="AV230" s="123">
        <f t="shared" ca="1" si="218"/>
        <v>0</v>
      </c>
      <c r="AW230" s="123">
        <f t="shared" ca="1" si="243"/>
        <v>0</v>
      </c>
      <c r="AX230" s="124">
        <f t="shared" ca="1" si="244"/>
        <v>355841.09272365551</v>
      </c>
      <c r="AY230" s="121"/>
      <c r="AZ230" s="122">
        <f t="shared" ca="1" si="219"/>
        <v>0</v>
      </c>
      <c r="BA230" s="124">
        <f t="shared" ca="1" si="245"/>
        <v>0</v>
      </c>
      <c r="BB230" s="123">
        <f t="shared" ca="1" si="246"/>
        <v>0</v>
      </c>
      <c r="BC230" s="123">
        <f t="shared" ca="1" si="220"/>
        <v>0</v>
      </c>
      <c r="BD230" s="123">
        <f t="shared" ca="1" si="247"/>
        <v>0</v>
      </c>
      <c r="BE230" s="124">
        <f t="shared" ca="1" si="248"/>
        <v>355841.09272365551</v>
      </c>
      <c r="BF230" s="121"/>
      <c r="BG230" s="123">
        <f t="shared" si="221"/>
        <v>1000000</v>
      </c>
      <c r="BH230" s="123">
        <f t="shared" ca="1" si="249"/>
        <v>1000000</v>
      </c>
      <c r="BI230" s="123">
        <f t="shared" ca="1" si="250"/>
        <v>0</v>
      </c>
      <c r="BJ230" s="123">
        <f t="shared" ca="1" si="251"/>
        <v>0</v>
      </c>
      <c r="BK230" s="123">
        <f t="shared" ca="1" si="208"/>
        <v>1000000</v>
      </c>
      <c r="BL230" s="123">
        <f t="shared" ca="1" si="252"/>
        <v>355841.09272365551</v>
      </c>
      <c r="BM230" s="121"/>
      <c r="BN230" s="126">
        <f ca="1">IF(LiabIntType2="Fixed",LiabFxdRate2,OFFSET(Vectors!$D$6,Vectors!A230,MATCH(LiabLoanIndex2,lstInterestRates,0))+LiabMarg2)</f>
        <v>0.04</v>
      </c>
      <c r="BO230" s="122">
        <f t="shared" ca="1" si="253"/>
        <v>28496.244766059219</v>
      </c>
      <c r="BP230" s="124">
        <f t="shared" ca="1" si="254"/>
        <v>28496.244766059219</v>
      </c>
      <c r="BQ230" s="123">
        <f t="shared" ca="1" si="255"/>
        <v>0</v>
      </c>
      <c r="BR230" s="123">
        <f t="shared" ca="1" si="256"/>
        <v>327344.8479575963</v>
      </c>
      <c r="BS230" s="121"/>
      <c r="BT230" s="123">
        <f t="shared" ca="1" si="222"/>
        <v>22447.470525100034</v>
      </c>
      <c r="BU230" s="123">
        <f t="shared" ca="1" si="257"/>
        <v>22447.470525100034</v>
      </c>
      <c r="BV230" s="123">
        <f t="shared" ca="1" si="258"/>
        <v>0</v>
      </c>
      <c r="BW230" s="123">
        <f t="shared" ca="1" si="259"/>
        <v>304897.37743249629</v>
      </c>
      <c r="BX230" s="121"/>
      <c r="BY230" s="123">
        <f t="shared" si="260"/>
        <v>0</v>
      </c>
      <c r="BZ230" s="123">
        <f t="shared" ca="1" si="261"/>
        <v>304897.37743249629</v>
      </c>
      <c r="CA230" s="121"/>
      <c r="CB230" s="122">
        <f t="shared" ca="1" si="209"/>
        <v>0</v>
      </c>
      <c r="CC230" s="122">
        <f t="shared" ca="1" si="262"/>
        <v>0</v>
      </c>
      <c r="CD230" s="124">
        <f t="shared" ca="1" si="263"/>
        <v>0</v>
      </c>
      <c r="CE230" s="121"/>
      <c r="CF230" s="122">
        <f t="shared" ca="1" si="210"/>
        <v>8526425.9592926651</v>
      </c>
      <c r="CG230" s="124">
        <f t="shared" ca="1" si="264"/>
        <v>28496.244766059219</v>
      </c>
      <c r="CH230" s="123">
        <f t="shared" ca="1" si="265"/>
        <v>22447.470525100034</v>
      </c>
      <c r="CI230" s="121"/>
      <c r="CJ230" s="123">
        <f t="shared" ca="1" si="266"/>
        <v>399087.59100515547</v>
      </c>
      <c r="CK230" s="123">
        <f t="shared" ca="1" si="267"/>
        <v>399087.59100515547</v>
      </c>
      <c r="CL230" s="123">
        <f t="shared" ca="1" si="268"/>
        <v>0</v>
      </c>
      <c r="CM230" s="121"/>
      <c r="CN230" s="62">
        <f t="shared" ca="1" si="269"/>
        <v>218937.51875562168</v>
      </c>
      <c r="CO230" s="62" t="b">
        <f t="shared" si="270"/>
        <v>1</v>
      </c>
      <c r="CP230" s="126">
        <f t="shared" ca="1" si="271"/>
        <v>6.2222222222221993E-3</v>
      </c>
      <c r="CQ230" s="120"/>
      <c r="CR230" s="120"/>
      <c r="CS230" s="120"/>
      <c r="CT230" s="120"/>
      <c r="CU230" s="120"/>
      <c r="CV230" s="120"/>
      <c r="CW230" s="120"/>
      <c r="CX230" s="120"/>
      <c r="CY230" s="120"/>
      <c r="CZ230" s="120"/>
      <c r="DA230" s="120"/>
      <c r="DB230" s="120"/>
      <c r="DC230" s="120"/>
      <c r="DD230" s="120"/>
      <c r="DE230" s="116"/>
      <c r="DF230" s="116"/>
      <c r="DG230" s="116"/>
      <c r="DH230" s="116"/>
      <c r="DI230" s="116"/>
      <c r="DJ230" s="116"/>
      <c r="DK230" s="116"/>
      <c r="DL230" s="116"/>
      <c r="DM230" s="116"/>
      <c r="DN230" s="116"/>
    </row>
    <row r="231" spans="1:118" x14ac:dyDescent="0.2">
      <c r="A231" s="27">
        <v>225</v>
      </c>
      <c r="B231" s="29">
        <f t="shared" si="204"/>
        <v>45962</v>
      </c>
      <c r="C231" s="30">
        <f t="shared" si="205"/>
        <v>8.3333333333333329E-2</v>
      </c>
      <c r="D231" s="55"/>
      <c r="E231" s="62">
        <f t="shared" ca="1" si="223"/>
        <v>68449785.333380103</v>
      </c>
      <c r="F231" s="63">
        <f ca="1">IF(AssetIntType1="Fixed",AssetFxdRate1,IF(A231=1,OFFSET(Vectors!$D$6,A231,MATCH(AssetFltIndx1,lstInterestRates,0)),IF(MOD($A231,AssetRateReset1)=0,MAX(MIN(OFFSET(Vectors!$D$6,A231,MATCH(AssetFltIndx1,lstInterestRates,0)),(F230-AssetMarg1)+AssetPdCapFl1,AssetLifeCap1-AssetMarg1),(F230-AssetMarg1)-AssetPdCapFl1,AssetLifeFloor1-AssetMarg1),F230)))+AssetMarg1</f>
        <v>0.09</v>
      </c>
      <c r="G231" s="62">
        <f t="shared" ca="1" si="211"/>
        <v>804622.61694478267</v>
      </c>
      <c r="H231" s="62">
        <f t="shared" ca="1" si="224"/>
        <v>513373.39000035077</v>
      </c>
      <c r="I231" s="62">
        <f t="shared" ca="1" si="225"/>
        <v>291249.2269444319</v>
      </c>
      <c r="J231" s="62">
        <f t="shared" ca="1" si="206"/>
        <v>68158536.106435671</v>
      </c>
      <c r="K231" s="55"/>
      <c r="L231" s="62">
        <f t="shared" ca="1" si="226"/>
        <v>22958308.736048095</v>
      </c>
      <c r="M231" s="68">
        <f ca="1">IF(pdrLossTime1="",OFFSET(Vectors!$AE$6,A231+_Age1,MATCH(SDA_Loss,lstSDA,0)),OFFSET(Vectors!$X$6,A231+_Age1,MATCH(pdrLossTime1,lstDefaultCurve,0)))</f>
        <v>2.7777777777777779E-5</v>
      </c>
      <c r="N231" s="62">
        <f t="shared" ca="1" si="212"/>
        <v>2777.7777777777778</v>
      </c>
      <c r="O231" s="67">
        <f t="shared" ca="1" si="227"/>
        <v>0.68158536106435674</v>
      </c>
      <c r="P231" s="68">
        <f ca="1">OFFSET(Vectors!$L$6,A231+_Age1,MATCH(pdrPrepay1,lstPrepayCurve,0))*pdrPrepayStress1</f>
        <v>5.1430128318229462E-3</v>
      </c>
      <c r="Q231" s="62">
        <f t="shared" ca="1" si="228"/>
        <v>117572.47577883082</v>
      </c>
      <c r="R231" s="62">
        <f t="shared" ca="1" si="229"/>
        <v>97674.23832131004</v>
      </c>
      <c r="S231" s="69">
        <f t="shared" ca="1" si="230"/>
        <v>0.09</v>
      </c>
      <c r="T231" s="62">
        <f t="shared" ca="1" si="231"/>
        <v>172166.48218702737</v>
      </c>
      <c r="U231" s="62">
        <f t="shared" ca="1" si="213"/>
        <v>1111.1111111111111</v>
      </c>
      <c r="V231" s="62">
        <f t="shared" ca="1" si="207"/>
        <v>22740284.244170178</v>
      </c>
      <c r="W231" s="55"/>
      <c r="X231" s="62">
        <f t="shared" ca="1" si="232"/>
        <v>388524.30739827931</v>
      </c>
      <c r="Y231" s="55"/>
      <c r="Z231" s="118" t="b">
        <v>0</v>
      </c>
      <c r="AA231" s="120" t="b">
        <f t="shared" si="214"/>
        <v>0</v>
      </c>
      <c r="AB231" s="120" t="b">
        <f t="shared" si="215"/>
        <v>1</v>
      </c>
      <c r="AC231" s="120" t="b">
        <f t="shared" ca="1" si="216"/>
        <v>0</v>
      </c>
      <c r="AD231" s="121"/>
      <c r="AE231" s="129">
        <v>1279003.7376726083</v>
      </c>
      <c r="AF231" s="69">
        <f ca="1">IF(Swap_Active="No",0,OFFSET(Vectors!$D$6,Vectors!A231,MATCH(Swap_In,lstInterestRates,0)))</f>
        <v>6.9369000000000056E-2</v>
      </c>
      <c r="AG231" s="62">
        <f t="shared" ca="1" si="233"/>
        <v>7393.6008565509364</v>
      </c>
      <c r="AH231" s="69">
        <f ca="1">IF(Swap_Active="No",0,OFFSET(Vectors!$D$6,Vectors!A231,MATCH(Swap_Out,lstInterestRates,0)))</f>
        <v>0.04</v>
      </c>
      <c r="AI231" s="62">
        <f t="shared" ca="1" si="234"/>
        <v>4263.3457922420275</v>
      </c>
      <c r="AJ231" s="62">
        <f t="shared" ca="1" si="235"/>
        <v>3130.2550643089089</v>
      </c>
      <c r="AK231" s="62">
        <f t="shared" ca="1" si="236"/>
        <v>391654.56246258825</v>
      </c>
      <c r="AL231" s="121"/>
      <c r="AM231" s="123">
        <f t="shared" ca="1" si="217"/>
        <v>38263.847893413491</v>
      </c>
      <c r="AN231" s="124">
        <f t="shared" ca="1" si="237"/>
        <v>38263.847893413491</v>
      </c>
      <c r="AO231" s="125">
        <f t="shared" ca="1" si="238"/>
        <v>0</v>
      </c>
      <c r="AP231" s="123">
        <f t="shared" ca="1" si="239"/>
        <v>353390.71456917474</v>
      </c>
      <c r="AQ231" s="121"/>
      <c r="AR231" s="126">
        <f ca="1">IF(LiabIntType1="Fixed",LiabFxdRate1,OFFSET(Vectors!$D$6,Vectors!A231,MATCH(LiabLoanIndex1,lstInterestRates,0))+LiabMarg1)</f>
        <v>7.9369000000000051E-2</v>
      </c>
      <c r="AS231" s="122">
        <f t="shared" ca="1" si="240"/>
        <v>0</v>
      </c>
      <c r="AT231" s="124">
        <f t="shared" ca="1" si="241"/>
        <v>0</v>
      </c>
      <c r="AU231" s="123">
        <f t="shared" ca="1" si="242"/>
        <v>0</v>
      </c>
      <c r="AV231" s="123">
        <f t="shared" ca="1" si="218"/>
        <v>0</v>
      </c>
      <c r="AW231" s="123">
        <f t="shared" ca="1" si="243"/>
        <v>0</v>
      </c>
      <c r="AX231" s="124">
        <f t="shared" ca="1" si="244"/>
        <v>353390.71456917474</v>
      </c>
      <c r="AY231" s="121"/>
      <c r="AZ231" s="122">
        <f t="shared" ca="1" si="219"/>
        <v>0</v>
      </c>
      <c r="BA231" s="124">
        <f t="shared" ca="1" si="245"/>
        <v>0</v>
      </c>
      <c r="BB231" s="123">
        <f t="shared" ca="1" si="246"/>
        <v>0</v>
      </c>
      <c r="BC231" s="123">
        <f t="shared" ca="1" si="220"/>
        <v>0</v>
      </c>
      <c r="BD231" s="123">
        <f t="shared" ca="1" si="247"/>
        <v>0</v>
      </c>
      <c r="BE231" s="124">
        <f t="shared" ca="1" si="248"/>
        <v>353390.71456917474</v>
      </c>
      <c r="BF231" s="121"/>
      <c r="BG231" s="123">
        <f t="shared" si="221"/>
        <v>1000000</v>
      </c>
      <c r="BH231" s="123">
        <f t="shared" ca="1" si="249"/>
        <v>1000000</v>
      </c>
      <c r="BI231" s="123">
        <f t="shared" ca="1" si="250"/>
        <v>0</v>
      </c>
      <c r="BJ231" s="123">
        <f t="shared" ca="1" si="251"/>
        <v>0</v>
      </c>
      <c r="BK231" s="123">
        <f t="shared" ca="1" si="208"/>
        <v>1000000</v>
      </c>
      <c r="BL231" s="123">
        <f t="shared" ca="1" si="252"/>
        <v>353390.71456917474</v>
      </c>
      <c r="BM231" s="121"/>
      <c r="BN231" s="126">
        <f ca="1">IF(LiabIntType2="Fixed",LiabFxdRate2,OFFSET(Vectors!$D$6,Vectors!A231,MATCH(LiabLoanIndex2,lstInterestRates,0))+LiabMarg2)</f>
        <v>0.04</v>
      </c>
      <c r="BO231" s="122">
        <f t="shared" ca="1" si="253"/>
        <v>28421.419864308882</v>
      </c>
      <c r="BP231" s="124">
        <f t="shared" ca="1" si="254"/>
        <v>28421.419864308882</v>
      </c>
      <c r="BQ231" s="123">
        <f t="shared" ca="1" si="255"/>
        <v>0</v>
      </c>
      <c r="BR231" s="123">
        <f t="shared" ca="1" si="256"/>
        <v>324969.29470486584</v>
      </c>
      <c r="BS231" s="121"/>
      <c r="BT231" s="123">
        <f t="shared" ca="1" si="222"/>
        <v>22353.858685327887</v>
      </c>
      <c r="BU231" s="123">
        <f t="shared" ca="1" si="257"/>
        <v>22353.858685327887</v>
      </c>
      <c r="BV231" s="123">
        <f t="shared" ca="1" si="258"/>
        <v>0</v>
      </c>
      <c r="BW231" s="123">
        <f t="shared" ca="1" si="259"/>
        <v>302615.43601953797</v>
      </c>
      <c r="BX231" s="121"/>
      <c r="BY231" s="123">
        <f t="shared" si="260"/>
        <v>0</v>
      </c>
      <c r="BZ231" s="123">
        <f t="shared" ca="1" si="261"/>
        <v>302615.43601953797</v>
      </c>
      <c r="CA231" s="121"/>
      <c r="CB231" s="122">
        <f t="shared" ca="1" si="209"/>
        <v>0</v>
      </c>
      <c r="CC231" s="122">
        <f t="shared" ca="1" si="262"/>
        <v>0</v>
      </c>
      <c r="CD231" s="124">
        <f t="shared" ca="1" si="263"/>
        <v>0</v>
      </c>
      <c r="CE231" s="121"/>
      <c r="CF231" s="122">
        <f t="shared" ca="1" si="210"/>
        <v>8504072.1006073374</v>
      </c>
      <c r="CG231" s="124">
        <f t="shared" ca="1" si="264"/>
        <v>28421.419864308882</v>
      </c>
      <c r="CH231" s="123">
        <f t="shared" ca="1" si="265"/>
        <v>22353.858685327887</v>
      </c>
      <c r="CI231" s="121"/>
      <c r="CJ231" s="123">
        <f t="shared" ca="1" si="266"/>
        <v>395917.90825483022</v>
      </c>
      <c r="CK231" s="123">
        <f t="shared" ca="1" si="267"/>
        <v>395917.90825483028</v>
      </c>
      <c r="CL231" s="123">
        <f t="shared" ca="1" si="268"/>
        <v>0</v>
      </c>
      <c r="CM231" s="121"/>
      <c r="CN231" s="62">
        <f t="shared" ca="1" si="269"/>
        <v>218024.49187791866</v>
      </c>
      <c r="CO231" s="62" t="b">
        <f t="shared" si="270"/>
        <v>1</v>
      </c>
      <c r="CP231" s="126">
        <f t="shared" ca="1" si="271"/>
        <v>6.2499999999999769E-3</v>
      </c>
      <c r="CQ231" s="120"/>
      <c r="CR231" s="120"/>
      <c r="CS231" s="120"/>
      <c r="CT231" s="120"/>
      <c r="CU231" s="120"/>
      <c r="CV231" s="120"/>
      <c r="CW231" s="120"/>
      <c r="CX231" s="120"/>
      <c r="CY231" s="120"/>
      <c r="CZ231" s="120"/>
      <c r="DA231" s="120"/>
      <c r="DB231" s="120"/>
      <c r="DC231" s="120"/>
      <c r="DD231" s="120"/>
      <c r="DE231" s="116"/>
      <c r="DF231" s="116"/>
      <c r="DG231" s="116"/>
      <c r="DH231" s="116"/>
      <c r="DI231" s="116"/>
      <c r="DJ231" s="116"/>
      <c r="DK231" s="116"/>
      <c r="DL231" s="116"/>
      <c r="DM231" s="116"/>
      <c r="DN231" s="116"/>
    </row>
    <row r="232" spans="1:118" x14ac:dyDescent="0.2">
      <c r="A232" s="27">
        <v>226</v>
      </c>
      <c r="B232" s="29">
        <f t="shared" si="204"/>
        <v>45992</v>
      </c>
      <c r="C232" s="30">
        <f t="shared" si="205"/>
        <v>8.3333333333333329E-2</v>
      </c>
      <c r="D232" s="55"/>
      <c r="E232" s="62">
        <f t="shared" ca="1" si="223"/>
        <v>68158536.106435671</v>
      </c>
      <c r="F232" s="63">
        <f ca="1">IF(AssetIntType1="Fixed",AssetFxdRate1,IF(A232=1,OFFSET(Vectors!$D$6,A232,MATCH(AssetFltIndx1,lstInterestRates,0)),IF(MOD($A232,AssetRateReset1)=0,MAX(MIN(OFFSET(Vectors!$D$6,A232,MATCH(AssetFltIndx1,lstInterestRates,0)),(F231-AssetMarg1)+AssetPdCapFl1,AssetLifeCap1-AssetMarg1),(F231-AssetMarg1)-AssetPdCapFl1,AssetLifeFloor1-AssetMarg1),F231)))+AssetMarg1</f>
        <v>0.09</v>
      </c>
      <c r="G232" s="62">
        <f t="shared" ca="1" si="211"/>
        <v>804622.61694478267</v>
      </c>
      <c r="H232" s="62">
        <f t="shared" ca="1" si="224"/>
        <v>511189.02079826751</v>
      </c>
      <c r="I232" s="62">
        <f t="shared" ca="1" si="225"/>
        <v>293433.59614651516</v>
      </c>
      <c r="J232" s="62">
        <f t="shared" ca="1" si="206"/>
        <v>67865102.510289162</v>
      </c>
      <c r="K232" s="55"/>
      <c r="L232" s="62">
        <f t="shared" ca="1" si="226"/>
        <v>22740284.244170178</v>
      </c>
      <c r="M232" s="68">
        <f ca="1">IF(pdrLossTime1="",OFFSET(Vectors!$AE$6,A232+_Age1,MATCH(SDA_Loss,lstSDA,0)),OFFSET(Vectors!$X$6,A232+_Age1,MATCH(pdrLossTime1,lstDefaultCurve,0)))</f>
        <v>2.7777777777777779E-5</v>
      </c>
      <c r="N232" s="62">
        <f t="shared" ca="1" si="212"/>
        <v>2777.7777777777778</v>
      </c>
      <c r="O232" s="67">
        <f t="shared" ca="1" si="227"/>
        <v>0.67865102510289166</v>
      </c>
      <c r="P232" s="68">
        <f ca="1">OFFSET(Vectors!$L$6,A232+_Age1,MATCH(pdrPrepay1,lstPrepayCurve,0))*pdrPrepayStress1</f>
        <v>5.1430128318229462E-3</v>
      </c>
      <c r="Q232" s="62">
        <f t="shared" ca="1" si="228"/>
        <v>116450.06948896042</v>
      </c>
      <c r="R232" s="62">
        <f t="shared" ca="1" si="229"/>
        <v>97888.667670607087</v>
      </c>
      <c r="S232" s="69">
        <f t="shared" ca="1" si="230"/>
        <v>0.09</v>
      </c>
      <c r="T232" s="62">
        <f t="shared" ca="1" si="231"/>
        <v>170531.298497943</v>
      </c>
      <c r="U232" s="62">
        <f t="shared" ca="1" si="213"/>
        <v>1111.1111111111111</v>
      </c>
      <c r="V232" s="62">
        <f t="shared" ca="1" si="207"/>
        <v>22523167.729232833</v>
      </c>
      <c r="W232" s="55"/>
      <c r="X232" s="62">
        <f t="shared" ca="1" si="232"/>
        <v>385981.14676862163</v>
      </c>
      <c r="Y232" s="55"/>
      <c r="Z232" s="118" t="b">
        <v>0</v>
      </c>
      <c r="AA232" s="120" t="b">
        <f t="shared" si="214"/>
        <v>0</v>
      </c>
      <c r="AB232" s="120" t="b">
        <f t="shared" si="215"/>
        <v>1</v>
      </c>
      <c r="AC232" s="120" t="b">
        <f t="shared" ca="1" si="216"/>
        <v>0</v>
      </c>
      <c r="AD232" s="121"/>
      <c r="AE232" s="129">
        <v>1173839.367359438</v>
      </c>
      <c r="AF232" s="69">
        <f ca="1">IF(Swap_Active="No",0,OFFSET(Vectors!$D$6,Vectors!A232,MATCH(Swap_In,lstInterestRates,0)))</f>
        <v>6.9369000000000056E-2</v>
      </c>
      <c r="AG232" s="62">
        <f t="shared" ca="1" si="233"/>
        <v>6785.6719228630764</v>
      </c>
      <c r="AH232" s="69">
        <f ca="1">IF(Swap_Active="No",0,OFFSET(Vectors!$D$6,Vectors!A232,MATCH(Swap_Out,lstInterestRates,0)))</f>
        <v>0.04</v>
      </c>
      <c r="AI232" s="62">
        <f t="shared" ca="1" si="234"/>
        <v>3912.7978911981268</v>
      </c>
      <c r="AJ232" s="62">
        <f t="shared" ca="1" si="235"/>
        <v>2872.8740316649496</v>
      </c>
      <c r="AK232" s="62">
        <f t="shared" ca="1" si="236"/>
        <v>388854.02080028661</v>
      </c>
      <c r="AL232" s="121"/>
      <c r="AM232" s="123">
        <f t="shared" ca="1" si="217"/>
        <v>37900.473740283625</v>
      </c>
      <c r="AN232" s="124">
        <f t="shared" ca="1" si="237"/>
        <v>37900.473740283625</v>
      </c>
      <c r="AO232" s="125">
        <f t="shared" ca="1" si="238"/>
        <v>0</v>
      </c>
      <c r="AP232" s="123">
        <f t="shared" ca="1" si="239"/>
        <v>350953.54706000298</v>
      </c>
      <c r="AQ232" s="121"/>
      <c r="AR232" s="126">
        <f ca="1">IF(LiabIntType1="Fixed",LiabFxdRate1,OFFSET(Vectors!$D$6,Vectors!A232,MATCH(LiabLoanIndex1,lstInterestRates,0))+LiabMarg1)</f>
        <v>7.9369000000000051E-2</v>
      </c>
      <c r="AS232" s="122">
        <f t="shared" ca="1" si="240"/>
        <v>0</v>
      </c>
      <c r="AT232" s="124">
        <f t="shared" ca="1" si="241"/>
        <v>0</v>
      </c>
      <c r="AU232" s="123">
        <f t="shared" ca="1" si="242"/>
        <v>0</v>
      </c>
      <c r="AV232" s="123">
        <f t="shared" ca="1" si="218"/>
        <v>0</v>
      </c>
      <c r="AW232" s="123">
        <f t="shared" ca="1" si="243"/>
        <v>0</v>
      </c>
      <c r="AX232" s="124">
        <f t="shared" ca="1" si="244"/>
        <v>350953.54706000298</v>
      </c>
      <c r="AY232" s="121"/>
      <c r="AZ232" s="122">
        <f t="shared" ca="1" si="219"/>
        <v>0</v>
      </c>
      <c r="BA232" s="124">
        <f t="shared" ca="1" si="245"/>
        <v>0</v>
      </c>
      <c r="BB232" s="123">
        <f t="shared" ca="1" si="246"/>
        <v>0</v>
      </c>
      <c r="BC232" s="123">
        <f t="shared" ca="1" si="220"/>
        <v>0</v>
      </c>
      <c r="BD232" s="123">
        <f t="shared" ca="1" si="247"/>
        <v>0</v>
      </c>
      <c r="BE232" s="124">
        <f t="shared" ca="1" si="248"/>
        <v>350953.54706000298</v>
      </c>
      <c r="BF232" s="121"/>
      <c r="BG232" s="123">
        <f t="shared" si="221"/>
        <v>1000000</v>
      </c>
      <c r="BH232" s="123">
        <f t="shared" ca="1" si="249"/>
        <v>1000000</v>
      </c>
      <c r="BI232" s="123">
        <f t="shared" ca="1" si="250"/>
        <v>0</v>
      </c>
      <c r="BJ232" s="123">
        <f t="shared" ca="1" si="251"/>
        <v>0</v>
      </c>
      <c r="BK232" s="123">
        <f t="shared" ca="1" si="208"/>
        <v>1000000</v>
      </c>
      <c r="BL232" s="123">
        <f t="shared" ca="1" si="252"/>
        <v>350953.54706000298</v>
      </c>
      <c r="BM232" s="121"/>
      <c r="BN232" s="126">
        <f ca="1">IF(LiabIntType2="Fixed",LiabFxdRate2,OFFSET(Vectors!$D$6,Vectors!A232,MATCH(LiabLoanIndex2,lstInterestRates,0))+LiabMarg2)</f>
        <v>0.04</v>
      </c>
      <c r="BO232" s="122">
        <f t="shared" ca="1" si="253"/>
        <v>28346.907002024454</v>
      </c>
      <c r="BP232" s="124">
        <f t="shared" ca="1" si="254"/>
        <v>28346.907002024454</v>
      </c>
      <c r="BQ232" s="123">
        <f t="shared" ca="1" si="255"/>
        <v>0</v>
      </c>
      <c r="BR232" s="123">
        <f t="shared" ca="1" si="256"/>
        <v>322606.64005797851</v>
      </c>
      <c r="BS232" s="121"/>
      <c r="BT232" s="123">
        <f t="shared" ca="1" si="222"/>
        <v>22260.764611151677</v>
      </c>
      <c r="BU232" s="123">
        <f t="shared" ca="1" si="257"/>
        <v>22260.764611151677</v>
      </c>
      <c r="BV232" s="123">
        <f t="shared" ca="1" si="258"/>
        <v>0</v>
      </c>
      <c r="BW232" s="123">
        <f t="shared" ca="1" si="259"/>
        <v>300345.87544682686</v>
      </c>
      <c r="BX232" s="121"/>
      <c r="BY232" s="123">
        <f t="shared" si="260"/>
        <v>0</v>
      </c>
      <c r="BZ232" s="123">
        <f t="shared" ca="1" si="261"/>
        <v>300345.87544682686</v>
      </c>
      <c r="CA232" s="121"/>
      <c r="CB232" s="122">
        <f t="shared" ca="1" si="209"/>
        <v>0</v>
      </c>
      <c r="CC232" s="122">
        <f t="shared" ca="1" si="262"/>
        <v>0</v>
      </c>
      <c r="CD232" s="124">
        <f t="shared" ca="1" si="263"/>
        <v>0</v>
      </c>
      <c r="CE232" s="121"/>
      <c r="CF232" s="122">
        <f t="shared" ca="1" si="210"/>
        <v>8481811.3359961864</v>
      </c>
      <c r="CG232" s="124">
        <f t="shared" ca="1" si="264"/>
        <v>28346.907002024454</v>
      </c>
      <c r="CH232" s="123">
        <f t="shared" ca="1" si="265"/>
        <v>22260.764611151677</v>
      </c>
      <c r="CI232" s="121"/>
      <c r="CJ232" s="123">
        <f t="shared" ca="1" si="266"/>
        <v>392766.81869148469</v>
      </c>
      <c r="CK232" s="123">
        <f t="shared" ca="1" si="267"/>
        <v>392766.81869148475</v>
      </c>
      <c r="CL232" s="123">
        <f t="shared" ca="1" si="268"/>
        <v>0</v>
      </c>
      <c r="CM232" s="121"/>
      <c r="CN232" s="62">
        <f t="shared" ca="1" si="269"/>
        <v>217116.51493734529</v>
      </c>
      <c r="CO232" s="62" t="b">
        <f t="shared" si="270"/>
        <v>1</v>
      </c>
      <c r="CP232" s="126">
        <f t="shared" ca="1" si="271"/>
        <v>6.2777777777777545E-3</v>
      </c>
      <c r="CQ232" s="120"/>
      <c r="CR232" s="120"/>
      <c r="CS232" s="120"/>
      <c r="CT232" s="120"/>
      <c r="CU232" s="120"/>
      <c r="CV232" s="120"/>
      <c r="CW232" s="120"/>
      <c r="CX232" s="120"/>
      <c r="CY232" s="120"/>
      <c r="CZ232" s="120"/>
      <c r="DA232" s="120"/>
      <c r="DB232" s="120"/>
      <c r="DC232" s="120"/>
      <c r="DD232" s="120"/>
      <c r="DE232" s="116"/>
      <c r="DF232" s="116"/>
      <c r="DG232" s="116"/>
      <c r="DH232" s="116"/>
      <c r="DI232" s="116"/>
      <c r="DJ232" s="116"/>
      <c r="DK232" s="116"/>
      <c r="DL232" s="116"/>
      <c r="DM232" s="116"/>
      <c r="DN232" s="116"/>
    </row>
    <row r="233" spans="1:118" x14ac:dyDescent="0.2">
      <c r="A233" s="27">
        <v>227</v>
      </c>
      <c r="B233" s="29">
        <f t="shared" si="204"/>
        <v>46023</v>
      </c>
      <c r="C233" s="30">
        <f t="shared" si="205"/>
        <v>8.3333333333333329E-2</v>
      </c>
      <c r="D233" s="55"/>
      <c r="E233" s="62">
        <f t="shared" ca="1" si="223"/>
        <v>67865102.510289162</v>
      </c>
      <c r="F233" s="63">
        <f ca="1">IF(AssetIntType1="Fixed",AssetFxdRate1,IF(A233=1,OFFSET(Vectors!$D$6,A233,MATCH(AssetFltIndx1,lstInterestRates,0)),IF(MOD($A233,AssetRateReset1)=0,MAX(MIN(OFFSET(Vectors!$D$6,A233,MATCH(AssetFltIndx1,lstInterestRates,0)),(F232-AssetMarg1)+AssetPdCapFl1,AssetLifeCap1-AssetMarg1),(F232-AssetMarg1)-AssetPdCapFl1,AssetLifeFloor1-AssetMarg1),F232)))+AssetMarg1</f>
        <v>0.09</v>
      </c>
      <c r="G233" s="62">
        <f t="shared" ca="1" si="211"/>
        <v>804622.61694478267</v>
      </c>
      <c r="H233" s="62">
        <f t="shared" ca="1" si="224"/>
        <v>508988.26882716868</v>
      </c>
      <c r="I233" s="62">
        <f t="shared" ca="1" si="225"/>
        <v>295634.34811761399</v>
      </c>
      <c r="J233" s="62">
        <f t="shared" ca="1" si="206"/>
        <v>67569468.162171543</v>
      </c>
      <c r="K233" s="55"/>
      <c r="L233" s="62">
        <f t="shared" ca="1" si="226"/>
        <v>22523167.729232833</v>
      </c>
      <c r="M233" s="68">
        <f ca="1">IF(pdrLossTime1="",OFFSET(Vectors!$AE$6,A233+_Age1,MATCH(SDA_Loss,lstSDA,0)),OFFSET(Vectors!$X$6,A233+_Age1,MATCH(pdrLossTime1,lstDefaultCurve,0)))</f>
        <v>2.7777777777777779E-5</v>
      </c>
      <c r="N233" s="62">
        <f t="shared" ca="1" si="212"/>
        <v>2777.7777777777778</v>
      </c>
      <c r="O233" s="67">
        <f t="shared" ca="1" si="227"/>
        <v>0.67569468162171542</v>
      </c>
      <c r="P233" s="68">
        <f ca="1">OFFSET(Vectors!$L$6,A233+_Age1,MATCH(pdrPrepay1,lstPrepayCurve,0))*pdrPrepayStress1</f>
        <v>5.1430128318229462E-3</v>
      </c>
      <c r="Q233" s="62">
        <f t="shared" ca="1" si="228"/>
        <v>115332.33110068277</v>
      </c>
      <c r="R233" s="62">
        <f t="shared" ca="1" si="229"/>
        <v>98103.451647238602</v>
      </c>
      <c r="S233" s="69">
        <f t="shared" ca="1" si="230"/>
        <v>0.09</v>
      </c>
      <c r="T233" s="62">
        <f t="shared" ca="1" si="231"/>
        <v>168902.92463591293</v>
      </c>
      <c r="U233" s="62">
        <f t="shared" ca="1" si="213"/>
        <v>1111.1111111111111</v>
      </c>
      <c r="V233" s="62">
        <f t="shared" ca="1" si="207"/>
        <v>22306954.168707136</v>
      </c>
      <c r="W233" s="55"/>
      <c r="X233" s="62">
        <f t="shared" ca="1" si="232"/>
        <v>383449.81849494542</v>
      </c>
      <c r="Y233" s="55"/>
      <c r="Z233" s="118" t="b">
        <v>0</v>
      </c>
      <c r="AA233" s="120" t="b">
        <f t="shared" si="214"/>
        <v>0</v>
      </c>
      <c r="AB233" s="120" t="b">
        <f t="shared" si="215"/>
        <v>1</v>
      </c>
      <c r="AC233" s="120" t="b">
        <f t="shared" ca="1" si="216"/>
        <v>0</v>
      </c>
      <c r="AD233" s="121"/>
      <c r="AE233" s="129">
        <v>1069821.6282264832</v>
      </c>
      <c r="AF233" s="69">
        <f ca="1">IF(Swap_Active="No",0,OFFSET(Vectors!$D$6,Vectors!A233,MATCH(Swap_In,lstInterestRates,0)))</f>
        <v>6.9369000000000056E-2</v>
      </c>
      <c r="AG233" s="62">
        <f t="shared" ca="1" si="233"/>
        <v>6184.3713773702475</v>
      </c>
      <c r="AH233" s="69">
        <f ca="1">IF(Swap_Active="No",0,OFFSET(Vectors!$D$6,Vectors!A233,MATCH(Swap_Out,lstInterestRates,0)))</f>
        <v>0.04</v>
      </c>
      <c r="AI233" s="62">
        <f t="shared" ca="1" si="234"/>
        <v>3566.0720940882775</v>
      </c>
      <c r="AJ233" s="62">
        <f t="shared" ca="1" si="235"/>
        <v>2618.29928328197</v>
      </c>
      <c r="AK233" s="62">
        <f t="shared" ca="1" si="236"/>
        <v>386068.11777822737</v>
      </c>
      <c r="AL233" s="121"/>
      <c r="AM233" s="123">
        <f t="shared" ca="1" si="217"/>
        <v>37538.612882054716</v>
      </c>
      <c r="AN233" s="124">
        <f t="shared" ca="1" si="237"/>
        <v>37538.612882054716</v>
      </c>
      <c r="AO233" s="125">
        <f t="shared" ca="1" si="238"/>
        <v>0</v>
      </c>
      <c r="AP233" s="123">
        <f t="shared" ca="1" si="239"/>
        <v>348529.50489617267</v>
      </c>
      <c r="AQ233" s="121"/>
      <c r="AR233" s="126">
        <f ca="1">IF(LiabIntType1="Fixed",LiabFxdRate1,OFFSET(Vectors!$D$6,Vectors!A233,MATCH(LiabLoanIndex1,lstInterestRates,0))+LiabMarg1)</f>
        <v>7.9369000000000051E-2</v>
      </c>
      <c r="AS233" s="122">
        <f t="shared" ca="1" si="240"/>
        <v>0</v>
      </c>
      <c r="AT233" s="124">
        <f t="shared" ca="1" si="241"/>
        <v>0</v>
      </c>
      <c r="AU233" s="123">
        <f t="shared" ca="1" si="242"/>
        <v>0</v>
      </c>
      <c r="AV233" s="123">
        <f t="shared" ca="1" si="218"/>
        <v>0</v>
      </c>
      <c r="AW233" s="123">
        <f t="shared" ca="1" si="243"/>
        <v>0</v>
      </c>
      <c r="AX233" s="124">
        <f t="shared" ca="1" si="244"/>
        <v>348529.50489617267</v>
      </c>
      <c r="AY233" s="121"/>
      <c r="AZ233" s="122">
        <f t="shared" ca="1" si="219"/>
        <v>0</v>
      </c>
      <c r="BA233" s="124">
        <f t="shared" ca="1" si="245"/>
        <v>0</v>
      </c>
      <c r="BB233" s="123">
        <f t="shared" ca="1" si="246"/>
        <v>0</v>
      </c>
      <c r="BC233" s="123">
        <f t="shared" ca="1" si="220"/>
        <v>0</v>
      </c>
      <c r="BD233" s="123">
        <f t="shared" ca="1" si="247"/>
        <v>0</v>
      </c>
      <c r="BE233" s="124">
        <f t="shared" ca="1" si="248"/>
        <v>348529.50489617267</v>
      </c>
      <c r="BF233" s="121"/>
      <c r="BG233" s="123">
        <f t="shared" si="221"/>
        <v>1000000</v>
      </c>
      <c r="BH233" s="123">
        <f t="shared" ca="1" si="249"/>
        <v>1000000</v>
      </c>
      <c r="BI233" s="123">
        <f t="shared" ca="1" si="250"/>
        <v>0</v>
      </c>
      <c r="BJ233" s="123">
        <f t="shared" ca="1" si="251"/>
        <v>0</v>
      </c>
      <c r="BK233" s="123">
        <f t="shared" ca="1" si="208"/>
        <v>1000000</v>
      </c>
      <c r="BL233" s="123">
        <f t="shared" ca="1" si="252"/>
        <v>348529.50489617267</v>
      </c>
      <c r="BM233" s="121"/>
      <c r="BN233" s="126">
        <f ca="1">IF(LiabIntType2="Fixed",LiabFxdRate2,OFFSET(Vectors!$D$6,Vectors!A233,MATCH(LiabLoanIndex2,lstInterestRates,0))+LiabMarg2)</f>
        <v>0.04</v>
      </c>
      <c r="BO233" s="122">
        <f t="shared" ca="1" si="253"/>
        <v>28272.704453320621</v>
      </c>
      <c r="BP233" s="124">
        <f t="shared" ca="1" si="254"/>
        <v>28272.704453320621</v>
      </c>
      <c r="BQ233" s="123">
        <f t="shared" ca="1" si="255"/>
        <v>0</v>
      </c>
      <c r="BR233" s="123">
        <f t="shared" ca="1" si="256"/>
        <v>320256.80044285208</v>
      </c>
      <c r="BS233" s="121"/>
      <c r="BT233" s="123">
        <f t="shared" ca="1" si="222"/>
        <v>22168.185492432607</v>
      </c>
      <c r="BU233" s="123">
        <f t="shared" ca="1" si="257"/>
        <v>22168.185492432607</v>
      </c>
      <c r="BV233" s="123">
        <f t="shared" ca="1" si="258"/>
        <v>0</v>
      </c>
      <c r="BW233" s="123">
        <f t="shared" ca="1" si="259"/>
        <v>298088.61495041946</v>
      </c>
      <c r="BX233" s="121"/>
      <c r="BY233" s="123">
        <f t="shared" si="260"/>
        <v>0</v>
      </c>
      <c r="BZ233" s="123">
        <f t="shared" ca="1" si="261"/>
        <v>298088.61495041946</v>
      </c>
      <c r="CA233" s="121"/>
      <c r="CB233" s="122">
        <f t="shared" ca="1" si="209"/>
        <v>0</v>
      </c>
      <c r="CC233" s="122">
        <f t="shared" ca="1" si="262"/>
        <v>0</v>
      </c>
      <c r="CD233" s="124">
        <f t="shared" ca="1" si="263"/>
        <v>0</v>
      </c>
      <c r="CE233" s="121"/>
      <c r="CF233" s="122">
        <f t="shared" ca="1" si="210"/>
        <v>8459643.1505037546</v>
      </c>
      <c r="CG233" s="124">
        <f t="shared" ca="1" si="264"/>
        <v>28272.704453320621</v>
      </c>
      <c r="CH233" s="123">
        <f t="shared" ca="1" si="265"/>
        <v>22168.185492432607</v>
      </c>
      <c r="CI233" s="121"/>
      <c r="CJ233" s="123">
        <f t="shared" ca="1" si="266"/>
        <v>389634.18987231568</v>
      </c>
      <c r="CK233" s="123">
        <f t="shared" ca="1" si="267"/>
        <v>389634.18987231568</v>
      </c>
      <c r="CL233" s="123">
        <f t="shared" ca="1" si="268"/>
        <v>0</v>
      </c>
      <c r="CM233" s="121"/>
      <c r="CN233" s="62">
        <f t="shared" ca="1" si="269"/>
        <v>216213.56052569917</v>
      </c>
      <c r="CO233" s="62" t="b">
        <f t="shared" si="270"/>
        <v>1</v>
      </c>
      <c r="CP233" s="126">
        <f t="shared" ca="1" si="271"/>
        <v>6.3055555555555321E-3</v>
      </c>
      <c r="CQ233" s="120"/>
      <c r="CR233" s="120"/>
      <c r="CS233" s="120"/>
      <c r="CT233" s="120"/>
      <c r="CU233" s="120"/>
      <c r="CV233" s="120"/>
      <c r="CW233" s="120"/>
      <c r="CX233" s="120"/>
      <c r="CY233" s="120"/>
      <c r="CZ233" s="120"/>
      <c r="DA233" s="120"/>
      <c r="DB233" s="120"/>
      <c r="DC233" s="120"/>
      <c r="DD233" s="120"/>
      <c r="DE233" s="116"/>
      <c r="DF233" s="116"/>
      <c r="DG233" s="116"/>
      <c r="DH233" s="116"/>
      <c r="DI233" s="116"/>
      <c r="DJ233" s="116"/>
      <c r="DK233" s="116"/>
      <c r="DL233" s="116"/>
      <c r="DM233" s="116"/>
      <c r="DN233" s="116"/>
    </row>
    <row r="234" spans="1:118" x14ac:dyDescent="0.2">
      <c r="A234" s="27">
        <v>228</v>
      </c>
      <c r="B234" s="29">
        <f t="shared" si="204"/>
        <v>46054</v>
      </c>
      <c r="C234" s="30">
        <f t="shared" si="205"/>
        <v>8.3333333333333329E-2</v>
      </c>
      <c r="D234" s="55"/>
      <c r="E234" s="62">
        <f t="shared" ca="1" si="223"/>
        <v>67569468.162171543</v>
      </c>
      <c r="F234" s="63">
        <f ca="1">IF(AssetIntType1="Fixed",AssetFxdRate1,IF(A234=1,OFFSET(Vectors!$D$6,A234,MATCH(AssetFltIndx1,lstInterestRates,0)),IF(MOD($A234,AssetRateReset1)=0,MAX(MIN(OFFSET(Vectors!$D$6,A234,MATCH(AssetFltIndx1,lstInterestRates,0)),(F233-AssetMarg1)+AssetPdCapFl1,AssetLifeCap1-AssetMarg1),(F233-AssetMarg1)-AssetPdCapFl1,AssetLifeFloor1-AssetMarg1),F233)))+AssetMarg1</f>
        <v>0.09</v>
      </c>
      <c r="G234" s="62">
        <f t="shared" ca="1" si="211"/>
        <v>804622.61694478267</v>
      </c>
      <c r="H234" s="62">
        <f t="shared" ca="1" si="224"/>
        <v>506771.01121628657</v>
      </c>
      <c r="I234" s="62">
        <f t="shared" ca="1" si="225"/>
        <v>297851.6057284961</v>
      </c>
      <c r="J234" s="62">
        <f t="shared" ca="1" si="206"/>
        <v>67271616.556443051</v>
      </c>
      <c r="K234" s="55"/>
      <c r="L234" s="62">
        <f t="shared" ca="1" si="226"/>
        <v>22306954.168707136</v>
      </c>
      <c r="M234" s="68">
        <f ca="1">IF(pdrLossTime1="",OFFSET(Vectors!$AE$6,A234+_Age1,MATCH(SDA_Loss,lstSDA,0)),OFFSET(Vectors!$X$6,A234+_Age1,MATCH(pdrLossTime1,lstDefaultCurve,0)))</f>
        <v>2.7777777777777779E-5</v>
      </c>
      <c r="N234" s="62">
        <f t="shared" ca="1" si="212"/>
        <v>2777.7777777777778</v>
      </c>
      <c r="O234" s="67">
        <f t="shared" ca="1" si="227"/>
        <v>0.67271616556443048</v>
      </c>
      <c r="P234" s="68">
        <f ca="1">OFFSET(Vectors!$L$6,A234+_Age1,MATCH(pdrPrepay1,lstPrepayCurve,0))*pdrPrepayStress1</f>
        <v>5.1430128318229462E-3</v>
      </c>
      <c r="Q234" s="62">
        <f t="shared" ca="1" si="228"/>
        <v>114219.23479050967</v>
      </c>
      <c r="R234" s="62">
        <f t="shared" ca="1" si="229"/>
        <v>98318.58875291697</v>
      </c>
      <c r="S234" s="69">
        <f t="shared" ca="1" si="230"/>
        <v>0.09</v>
      </c>
      <c r="T234" s="62">
        <f t="shared" ca="1" si="231"/>
        <v>167281.32293197021</v>
      </c>
      <c r="U234" s="62">
        <f t="shared" ca="1" si="213"/>
        <v>1111.1111111111111</v>
      </c>
      <c r="V234" s="62">
        <f t="shared" ca="1" si="207"/>
        <v>22091638.567385931</v>
      </c>
      <c r="W234" s="55"/>
      <c r="X234" s="62">
        <f t="shared" ca="1" si="232"/>
        <v>380930.25758650794</v>
      </c>
      <c r="Y234" s="55"/>
      <c r="Z234" s="118" t="b">
        <v>0</v>
      </c>
      <c r="AA234" s="120" t="b">
        <f t="shared" si="214"/>
        <v>0</v>
      </c>
      <c r="AB234" s="120" t="b">
        <f t="shared" si="215"/>
        <v>1</v>
      </c>
      <c r="AC234" s="120" t="b">
        <f t="shared" ca="1" si="216"/>
        <v>0</v>
      </c>
      <c r="AD234" s="121"/>
      <c r="AE234" s="129">
        <v>966939.02204792434</v>
      </c>
      <c r="AF234" s="69">
        <f ca="1">IF(Swap_Active="No",0,OFFSET(Vectors!$D$6,Vectors!A234,MATCH(Swap_In,lstInterestRates,0)))</f>
        <v>6.9369000000000056E-2</v>
      </c>
      <c r="AG234" s="62">
        <f t="shared" ca="1" si="233"/>
        <v>5589.6327517035434</v>
      </c>
      <c r="AH234" s="69">
        <f ca="1">IF(Swap_Active="No",0,OFFSET(Vectors!$D$6,Vectors!A234,MATCH(Swap_Out,lstInterestRates,0)))</f>
        <v>0.04</v>
      </c>
      <c r="AI234" s="62">
        <f t="shared" ca="1" si="234"/>
        <v>3223.130073493081</v>
      </c>
      <c r="AJ234" s="62">
        <f t="shared" ca="1" si="235"/>
        <v>2366.5026782104624</v>
      </c>
      <c r="AK234" s="62">
        <f t="shared" ca="1" si="236"/>
        <v>383296.76026471838</v>
      </c>
      <c r="AL234" s="121"/>
      <c r="AM234" s="123">
        <f t="shared" ca="1" si="217"/>
        <v>37178.256947845228</v>
      </c>
      <c r="AN234" s="124">
        <f t="shared" ca="1" si="237"/>
        <v>37178.256947845228</v>
      </c>
      <c r="AO234" s="125">
        <f t="shared" ca="1" si="238"/>
        <v>0</v>
      </c>
      <c r="AP234" s="123">
        <f t="shared" ca="1" si="239"/>
        <v>346118.50331687316</v>
      </c>
      <c r="AQ234" s="121"/>
      <c r="AR234" s="126">
        <f ca="1">IF(LiabIntType1="Fixed",LiabFxdRate1,OFFSET(Vectors!$D$6,Vectors!A234,MATCH(LiabLoanIndex1,lstInterestRates,0))+LiabMarg1)</f>
        <v>7.9369000000000051E-2</v>
      </c>
      <c r="AS234" s="122">
        <f t="shared" ca="1" si="240"/>
        <v>0</v>
      </c>
      <c r="AT234" s="124">
        <f t="shared" ca="1" si="241"/>
        <v>0</v>
      </c>
      <c r="AU234" s="123">
        <f t="shared" ca="1" si="242"/>
        <v>0</v>
      </c>
      <c r="AV234" s="123">
        <f t="shared" ca="1" si="218"/>
        <v>0</v>
      </c>
      <c r="AW234" s="123">
        <f t="shared" ca="1" si="243"/>
        <v>0</v>
      </c>
      <c r="AX234" s="124">
        <f t="shared" ca="1" si="244"/>
        <v>346118.50331687316</v>
      </c>
      <c r="AY234" s="121"/>
      <c r="AZ234" s="122">
        <f t="shared" ca="1" si="219"/>
        <v>0</v>
      </c>
      <c r="BA234" s="124">
        <f t="shared" ca="1" si="245"/>
        <v>0</v>
      </c>
      <c r="BB234" s="123">
        <f t="shared" ca="1" si="246"/>
        <v>0</v>
      </c>
      <c r="BC234" s="123">
        <f t="shared" ca="1" si="220"/>
        <v>0</v>
      </c>
      <c r="BD234" s="123">
        <f t="shared" ca="1" si="247"/>
        <v>0</v>
      </c>
      <c r="BE234" s="124">
        <f t="shared" ca="1" si="248"/>
        <v>346118.50331687316</v>
      </c>
      <c r="BF234" s="121"/>
      <c r="BG234" s="123">
        <f t="shared" si="221"/>
        <v>1000000</v>
      </c>
      <c r="BH234" s="123">
        <f t="shared" ca="1" si="249"/>
        <v>1000000</v>
      </c>
      <c r="BI234" s="123">
        <f t="shared" ca="1" si="250"/>
        <v>0</v>
      </c>
      <c r="BJ234" s="123">
        <f t="shared" ca="1" si="251"/>
        <v>0</v>
      </c>
      <c r="BK234" s="123">
        <f t="shared" ca="1" si="208"/>
        <v>1000000</v>
      </c>
      <c r="BL234" s="123">
        <f t="shared" ca="1" si="252"/>
        <v>346118.50331687316</v>
      </c>
      <c r="BM234" s="121"/>
      <c r="BN234" s="126">
        <f ca="1">IF(LiabIntType2="Fixed",LiabFxdRate2,OFFSET(Vectors!$D$6,Vectors!A234,MATCH(LiabLoanIndex2,lstInterestRates,0))+LiabMarg2)</f>
        <v>0.04</v>
      </c>
      <c r="BO234" s="122">
        <f t="shared" ca="1" si="253"/>
        <v>28198.810501679181</v>
      </c>
      <c r="BP234" s="124">
        <f t="shared" ca="1" si="254"/>
        <v>28198.810501679181</v>
      </c>
      <c r="BQ234" s="123">
        <f t="shared" ca="1" si="255"/>
        <v>0</v>
      </c>
      <c r="BR234" s="123">
        <f t="shared" ca="1" si="256"/>
        <v>317919.69281519396</v>
      </c>
      <c r="BS234" s="121"/>
      <c r="BT234" s="123">
        <f t="shared" ca="1" si="222"/>
        <v>22076.118527893115</v>
      </c>
      <c r="BU234" s="123">
        <f t="shared" ca="1" si="257"/>
        <v>22076.118527893115</v>
      </c>
      <c r="BV234" s="123">
        <f t="shared" ca="1" si="258"/>
        <v>0</v>
      </c>
      <c r="BW234" s="123">
        <f t="shared" ca="1" si="259"/>
        <v>295843.57428730087</v>
      </c>
      <c r="BX234" s="121"/>
      <c r="BY234" s="123">
        <f t="shared" si="260"/>
        <v>0</v>
      </c>
      <c r="BZ234" s="123">
        <f t="shared" ca="1" si="261"/>
        <v>295843.57428730087</v>
      </c>
      <c r="CA234" s="121"/>
      <c r="CB234" s="122">
        <f t="shared" ca="1" si="209"/>
        <v>0</v>
      </c>
      <c r="CC234" s="122">
        <f t="shared" ca="1" si="262"/>
        <v>0</v>
      </c>
      <c r="CD234" s="124">
        <f t="shared" ca="1" si="263"/>
        <v>0</v>
      </c>
      <c r="CE234" s="121"/>
      <c r="CF234" s="122">
        <f t="shared" ca="1" si="210"/>
        <v>8437567.0319758616</v>
      </c>
      <c r="CG234" s="124">
        <f t="shared" ca="1" si="264"/>
        <v>28198.810501679181</v>
      </c>
      <c r="CH234" s="123">
        <f t="shared" ca="1" si="265"/>
        <v>22076.118527893115</v>
      </c>
      <c r="CI234" s="121"/>
      <c r="CJ234" s="123">
        <f t="shared" ca="1" si="266"/>
        <v>386519.89033821149</v>
      </c>
      <c r="CK234" s="123">
        <f t="shared" ca="1" si="267"/>
        <v>386519.89033821144</v>
      </c>
      <c r="CL234" s="123">
        <f t="shared" ca="1" si="268"/>
        <v>0</v>
      </c>
      <c r="CM234" s="121"/>
      <c r="CN234" s="62">
        <f t="shared" ca="1" si="269"/>
        <v>215315.60132120442</v>
      </c>
      <c r="CO234" s="62" t="b">
        <f t="shared" si="270"/>
        <v>1</v>
      </c>
      <c r="CP234" s="126">
        <f t="shared" ca="1" si="271"/>
        <v>6.3333333333333098E-3</v>
      </c>
      <c r="CQ234" s="120"/>
      <c r="CR234" s="120"/>
      <c r="CS234" s="120"/>
      <c r="CT234" s="120"/>
      <c r="CU234" s="120"/>
      <c r="CV234" s="120"/>
      <c r="CW234" s="120"/>
      <c r="CX234" s="120"/>
      <c r="CY234" s="120"/>
      <c r="CZ234" s="120"/>
      <c r="DA234" s="120"/>
      <c r="DB234" s="120"/>
      <c r="DC234" s="120"/>
      <c r="DD234" s="120"/>
      <c r="DE234" s="116"/>
      <c r="DF234" s="116"/>
      <c r="DG234" s="116"/>
      <c r="DH234" s="116"/>
      <c r="DI234" s="116"/>
      <c r="DJ234" s="116"/>
      <c r="DK234" s="116"/>
      <c r="DL234" s="116"/>
      <c r="DM234" s="116"/>
      <c r="DN234" s="116"/>
    </row>
    <row r="235" spans="1:118" x14ac:dyDescent="0.2">
      <c r="A235" s="27">
        <v>229</v>
      </c>
      <c r="B235" s="29">
        <f t="shared" si="204"/>
        <v>46082</v>
      </c>
      <c r="C235" s="30">
        <f t="shared" si="205"/>
        <v>8.3333333333333329E-2</v>
      </c>
      <c r="D235" s="55"/>
      <c r="E235" s="62">
        <f t="shared" ca="1" si="223"/>
        <v>67271616.556443051</v>
      </c>
      <c r="F235" s="63">
        <f ca="1">IF(AssetIntType1="Fixed",AssetFxdRate1,IF(A235=1,OFFSET(Vectors!$D$6,A235,MATCH(AssetFltIndx1,lstInterestRates,0)),IF(MOD($A235,AssetRateReset1)=0,MAX(MIN(OFFSET(Vectors!$D$6,A235,MATCH(AssetFltIndx1,lstInterestRates,0)),(F234-AssetMarg1)+AssetPdCapFl1,AssetLifeCap1-AssetMarg1),(F234-AssetMarg1)-AssetPdCapFl1,AssetLifeFloor1-AssetMarg1),F234)))+AssetMarg1</f>
        <v>0.09</v>
      </c>
      <c r="G235" s="62">
        <f t="shared" ca="1" si="211"/>
        <v>804622.61694478267</v>
      </c>
      <c r="H235" s="62">
        <f t="shared" ca="1" si="224"/>
        <v>504537.12417332287</v>
      </c>
      <c r="I235" s="62">
        <f t="shared" ca="1" si="225"/>
        <v>300085.4927714598</v>
      </c>
      <c r="J235" s="62">
        <f t="shared" ca="1" si="206"/>
        <v>66971531.063671589</v>
      </c>
      <c r="K235" s="55"/>
      <c r="L235" s="62">
        <f t="shared" ca="1" si="226"/>
        <v>22091638.567385931</v>
      </c>
      <c r="M235" s="68">
        <f ca="1">IF(pdrLossTime1="",OFFSET(Vectors!$AE$6,A235+_Age1,MATCH(SDA_Loss,lstSDA,0)),OFFSET(Vectors!$X$6,A235+_Age1,MATCH(pdrLossTime1,lstDefaultCurve,0)))</f>
        <v>2.7777777777777779E-5</v>
      </c>
      <c r="N235" s="62">
        <f t="shared" ca="1" si="212"/>
        <v>2777.7777777777778</v>
      </c>
      <c r="O235" s="67">
        <f t="shared" ca="1" si="227"/>
        <v>0.66971531063671585</v>
      </c>
      <c r="P235" s="68">
        <f ca="1">OFFSET(Vectors!$L$6,A235+_Age1,MATCH(pdrPrepay1,lstPrepayCurve,0))*pdrPrepayStress1</f>
        <v>5.1430128318229462E-3</v>
      </c>
      <c r="Q235" s="62">
        <f t="shared" ca="1" si="228"/>
        <v>113110.75487575137</v>
      </c>
      <c r="R235" s="62">
        <f t="shared" ca="1" si="229"/>
        <v>98534.077432913662</v>
      </c>
      <c r="S235" s="69">
        <f t="shared" ca="1" si="230"/>
        <v>0.09</v>
      </c>
      <c r="T235" s="62">
        <f t="shared" ca="1" si="231"/>
        <v>165666.45592206114</v>
      </c>
      <c r="U235" s="62">
        <f t="shared" ca="1" si="213"/>
        <v>1111.1111111111111</v>
      </c>
      <c r="V235" s="62">
        <f t="shared" ca="1" si="207"/>
        <v>21877215.95729949</v>
      </c>
      <c r="W235" s="55"/>
      <c r="X235" s="62">
        <f t="shared" ca="1" si="232"/>
        <v>378422.39934183727</v>
      </c>
      <c r="Y235" s="55"/>
      <c r="Z235" s="118" t="b">
        <v>0</v>
      </c>
      <c r="AA235" s="120" t="b">
        <f t="shared" si="214"/>
        <v>0</v>
      </c>
      <c r="AB235" s="120" t="b">
        <f t="shared" si="215"/>
        <v>1</v>
      </c>
      <c r="AC235" s="120" t="b">
        <f t="shared" ca="1" si="216"/>
        <v>0</v>
      </c>
      <c r="AD235" s="121"/>
      <c r="AE235" s="129">
        <v>865180.16912549594</v>
      </c>
      <c r="AF235" s="69">
        <f ca="1">IF(Swap_Active="No",0,OFFSET(Vectors!$D$6,Vectors!A235,MATCH(Swap_In,lstInterestRates,0)))</f>
        <v>6.9369000000000056E-2</v>
      </c>
      <c r="AG235" s="62">
        <f t="shared" ca="1" si="233"/>
        <v>5001.3902626722138</v>
      </c>
      <c r="AH235" s="69">
        <f ca="1">IF(Swap_Active="No",0,OFFSET(Vectors!$D$6,Vectors!A235,MATCH(Swap_Out,lstInterestRates,0)))</f>
        <v>0.04</v>
      </c>
      <c r="AI235" s="62">
        <f t="shared" ca="1" si="234"/>
        <v>2883.9338970849863</v>
      </c>
      <c r="AJ235" s="62">
        <f t="shared" ca="1" si="235"/>
        <v>2117.4563655872275</v>
      </c>
      <c r="AK235" s="62">
        <f t="shared" ca="1" si="236"/>
        <v>380539.85570742452</v>
      </c>
      <c r="AL235" s="121"/>
      <c r="AM235" s="123">
        <f t="shared" ca="1" si="217"/>
        <v>36819.397612309884</v>
      </c>
      <c r="AN235" s="124">
        <f t="shared" ca="1" si="237"/>
        <v>36819.397612309884</v>
      </c>
      <c r="AO235" s="125">
        <f t="shared" ca="1" si="238"/>
        <v>0</v>
      </c>
      <c r="AP235" s="123">
        <f t="shared" ca="1" si="239"/>
        <v>343720.45809511462</v>
      </c>
      <c r="AQ235" s="121"/>
      <c r="AR235" s="126">
        <f ca="1">IF(LiabIntType1="Fixed",LiabFxdRate1,OFFSET(Vectors!$D$6,Vectors!A235,MATCH(LiabLoanIndex1,lstInterestRates,0))+LiabMarg1)</f>
        <v>7.9369000000000051E-2</v>
      </c>
      <c r="AS235" s="122">
        <f t="shared" ca="1" si="240"/>
        <v>0</v>
      </c>
      <c r="AT235" s="124">
        <f t="shared" ca="1" si="241"/>
        <v>0</v>
      </c>
      <c r="AU235" s="123">
        <f t="shared" ca="1" si="242"/>
        <v>0</v>
      </c>
      <c r="AV235" s="123">
        <f t="shared" ca="1" si="218"/>
        <v>0</v>
      </c>
      <c r="AW235" s="123">
        <f t="shared" ca="1" si="243"/>
        <v>0</v>
      </c>
      <c r="AX235" s="124">
        <f t="shared" ca="1" si="244"/>
        <v>343720.45809511462</v>
      </c>
      <c r="AY235" s="121"/>
      <c r="AZ235" s="122">
        <f t="shared" ca="1" si="219"/>
        <v>0</v>
      </c>
      <c r="BA235" s="124">
        <f t="shared" ca="1" si="245"/>
        <v>0</v>
      </c>
      <c r="BB235" s="123">
        <f t="shared" ca="1" si="246"/>
        <v>0</v>
      </c>
      <c r="BC235" s="123">
        <f t="shared" ca="1" si="220"/>
        <v>0</v>
      </c>
      <c r="BD235" s="123">
        <f t="shared" ca="1" si="247"/>
        <v>0</v>
      </c>
      <c r="BE235" s="124">
        <f t="shared" ca="1" si="248"/>
        <v>343720.45809511462</v>
      </c>
      <c r="BF235" s="121"/>
      <c r="BG235" s="123">
        <f t="shared" si="221"/>
        <v>1000000</v>
      </c>
      <c r="BH235" s="123">
        <f t="shared" ca="1" si="249"/>
        <v>1000000</v>
      </c>
      <c r="BI235" s="123">
        <f t="shared" ca="1" si="250"/>
        <v>0</v>
      </c>
      <c r="BJ235" s="123">
        <f t="shared" ca="1" si="251"/>
        <v>0</v>
      </c>
      <c r="BK235" s="123">
        <f t="shared" ca="1" si="208"/>
        <v>1000000</v>
      </c>
      <c r="BL235" s="123">
        <f t="shared" ca="1" si="252"/>
        <v>343720.45809511462</v>
      </c>
      <c r="BM235" s="121"/>
      <c r="BN235" s="126">
        <f ca="1">IF(LiabIntType2="Fixed",LiabFxdRate2,OFFSET(Vectors!$D$6,Vectors!A235,MATCH(LiabLoanIndex2,lstInterestRates,0))+LiabMarg2)</f>
        <v>0.04</v>
      </c>
      <c r="BO235" s="122">
        <f t="shared" ca="1" si="253"/>
        <v>28125.223439919537</v>
      </c>
      <c r="BP235" s="124">
        <f t="shared" ca="1" si="254"/>
        <v>28125.223439919537</v>
      </c>
      <c r="BQ235" s="123">
        <f t="shared" ca="1" si="255"/>
        <v>0</v>
      </c>
      <c r="BR235" s="123">
        <f t="shared" ca="1" si="256"/>
        <v>315595.23465519509</v>
      </c>
      <c r="BS235" s="121"/>
      <c r="BT235" s="123">
        <f t="shared" ca="1" si="222"/>
        <v>21984.560924904756</v>
      </c>
      <c r="BU235" s="123">
        <f t="shared" ca="1" si="257"/>
        <v>21984.560924904756</v>
      </c>
      <c r="BV235" s="123">
        <f t="shared" ca="1" si="258"/>
        <v>0</v>
      </c>
      <c r="BW235" s="123">
        <f t="shared" ca="1" si="259"/>
        <v>293610.67373029032</v>
      </c>
      <c r="BX235" s="121"/>
      <c r="BY235" s="123">
        <f t="shared" si="260"/>
        <v>0</v>
      </c>
      <c r="BZ235" s="123">
        <f t="shared" ca="1" si="261"/>
        <v>293610.67373029032</v>
      </c>
      <c r="CA235" s="121"/>
      <c r="CB235" s="122">
        <f t="shared" ca="1" si="209"/>
        <v>0</v>
      </c>
      <c r="CC235" s="122">
        <f t="shared" ca="1" si="262"/>
        <v>0</v>
      </c>
      <c r="CD235" s="124">
        <f t="shared" ca="1" si="263"/>
        <v>0</v>
      </c>
      <c r="CE235" s="121"/>
      <c r="CF235" s="122">
        <f t="shared" ca="1" si="210"/>
        <v>8415582.4710509572</v>
      </c>
      <c r="CG235" s="124">
        <f t="shared" ca="1" si="264"/>
        <v>28125.223439919537</v>
      </c>
      <c r="CH235" s="123">
        <f t="shared" ca="1" si="265"/>
        <v>21984.560924904756</v>
      </c>
      <c r="CI235" s="121"/>
      <c r="CJ235" s="123">
        <f t="shared" ca="1" si="266"/>
        <v>383423.78960450948</v>
      </c>
      <c r="CK235" s="123">
        <f t="shared" ca="1" si="267"/>
        <v>383423.78960450948</v>
      </c>
      <c r="CL235" s="123">
        <f t="shared" ca="1" si="268"/>
        <v>0</v>
      </c>
      <c r="CM235" s="121"/>
      <c r="CN235" s="62">
        <f t="shared" ca="1" si="269"/>
        <v>214422.61008644282</v>
      </c>
      <c r="CO235" s="62" t="b">
        <f t="shared" si="270"/>
        <v>1</v>
      </c>
      <c r="CP235" s="126">
        <f t="shared" ca="1" si="271"/>
        <v>6.3611111111110874E-3</v>
      </c>
      <c r="CQ235" s="120"/>
      <c r="CR235" s="120"/>
      <c r="CS235" s="120"/>
      <c r="CT235" s="120"/>
      <c r="CU235" s="120"/>
      <c r="CV235" s="120"/>
      <c r="CW235" s="120"/>
      <c r="CX235" s="120"/>
      <c r="CY235" s="120"/>
      <c r="CZ235" s="120"/>
      <c r="DA235" s="120"/>
      <c r="DB235" s="120"/>
      <c r="DC235" s="120"/>
      <c r="DD235" s="120"/>
      <c r="DE235" s="116"/>
      <c r="DF235" s="116"/>
      <c r="DG235" s="116"/>
      <c r="DH235" s="116"/>
      <c r="DI235" s="116"/>
      <c r="DJ235" s="116"/>
      <c r="DK235" s="116"/>
      <c r="DL235" s="116"/>
      <c r="DM235" s="116"/>
      <c r="DN235" s="116"/>
    </row>
    <row r="236" spans="1:118" x14ac:dyDescent="0.2">
      <c r="A236" s="27">
        <v>230</v>
      </c>
      <c r="B236" s="29">
        <f t="shared" si="204"/>
        <v>46113</v>
      </c>
      <c r="C236" s="30">
        <f t="shared" si="205"/>
        <v>8.3333333333333329E-2</v>
      </c>
      <c r="D236" s="55"/>
      <c r="E236" s="62">
        <f t="shared" ca="1" si="223"/>
        <v>66971531.063671589</v>
      </c>
      <c r="F236" s="63">
        <f ca="1">IF(AssetIntType1="Fixed",AssetFxdRate1,IF(A236=1,OFFSET(Vectors!$D$6,A236,MATCH(AssetFltIndx1,lstInterestRates,0)),IF(MOD($A236,AssetRateReset1)=0,MAX(MIN(OFFSET(Vectors!$D$6,A236,MATCH(AssetFltIndx1,lstInterestRates,0)),(F235-AssetMarg1)+AssetPdCapFl1,AssetLifeCap1-AssetMarg1),(F235-AssetMarg1)-AssetPdCapFl1,AssetLifeFloor1-AssetMarg1),F235)))+AssetMarg1</f>
        <v>0.09</v>
      </c>
      <c r="G236" s="62">
        <f t="shared" ca="1" si="211"/>
        <v>804622.61694478267</v>
      </c>
      <c r="H236" s="62">
        <f t="shared" ca="1" si="224"/>
        <v>502286.48297753691</v>
      </c>
      <c r="I236" s="62">
        <f t="shared" ca="1" si="225"/>
        <v>302336.13396724575</v>
      </c>
      <c r="J236" s="62">
        <f t="shared" ca="1" si="206"/>
        <v>66669194.929704346</v>
      </c>
      <c r="K236" s="55"/>
      <c r="L236" s="62">
        <f t="shared" ca="1" si="226"/>
        <v>21877215.95729949</v>
      </c>
      <c r="M236" s="68">
        <f ca="1">IF(pdrLossTime1="",OFFSET(Vectors!$AE$6,A236+_Age1,MATCH(SDA_Loss,lstSDA,0)),OFFSET(Vectors!$X$6,A236+_Age1,MATCH(pdrLossTime1,lstDefaultCurve,0)))</f>
        <v>2.7777777777777779E-5</v>
      </c>
      <c r="N236" s="62">
        <f t="shared" ca="1" si="212"/>
        <v>2777.7777777777778</v>
      </c>
      <c r="O236" s="67">
        <f t="shared" ca="1" si="227"/>
        <v>0.66669194929704345</v>
      </c>
      <c r="P236" s="68">
        <f ca="1">OFFSET(Vectors!$L$6,A236+_Age1,MATCH(pdrPrepay1,lstPrepayCurve,0))*pdrPrepayStress1</f>
        <v>5.1430128318229462E-3</v>
      </c>
      <c r="Q236" s="62">
        <f t="shared" ca="1" si="228"/>
        <v>112006.86581409186</v>
      </c>
      <c r="R236" s="62">
        <f t="shared" ca="1" si="229"/>
        <v>98749.916074257068</v>
      </c>
      <c r="S236" s="69">
        <f t="shared" ca="1" si="230"/>
        <v>0.09</v>
      </c>
      <c r="T236" s="62">
        <f t="shared" ca="1" si="231"/>
        <v>164058.28634641285</v>
      </c>
      <c r="U236" s="62">
        <f t="shared" ca="1" si="213"/>
        <v>1111.1111111111111</v>
      </c>
      <c r="V236" s="62">
        <f t="shared" ca="1" si="207"/>
        <v>21663681.397633363</v>
      </c>
      <c r="W236" s="55"/>
      <c r="X236" s="62">
        <f t="shared" ca="1" si="232"/>
        <v>375926.17934587289</v>
      </c>
      <c r="Y236" s="55"/>
      <c r="Z236" s="118" t="b">
        <v>0</v>
      </c>
      <c r="AA236" s="120" t="b">
        <f t="shared" si="214"/>
        <v>0</v>
      </c>
      <c r="AB236" s="120" t="b">
        <f t="shared" si="215"/>
        <v>1</v>
      </c>
      <c r="AC236" s="120" t="b">
        <f t="shared" ca="1" si="216"/>
        <v>0</v>
      </c>
      <c r="AD236" s="121"/>
      <c r="AE236" s="129">
        <v>764533.80717318738</v>
      </c>
      <c r="AF236" s="69">
        <f ca="1">IF(Swap_Active="No",0,OFFSET(Vectors!$D$6,Vectors!A236,MATCH(Swap_In,lstInterestRates,0)))</f>
        <v>6.9369000000000056E-2</v>
      </c>
      <c r="AG236" s="62">
        <f t="shared" ca="1" si="233"/>
        <v>4419.5788058164062</v>
      </c>
      <c r="AH236" s="69">
        <f ca="1">IF(Swap_Active="No",0,OFFSET(Vectors!$D$6,Vectors!A236,MATCH(Swap_Out,lstInterestRates,0)))</f>
        <v>0.04</v>
      </c>
      <c r="AI236" s="62">
        <f t="shared" ca="1" si="234"/>
        <v>2548.4460239106247</v>
      </c>
      <c r="AJ236" s="62">
        <f t="shared" ca="1" si="235"/>
        <v>1871.1327819057815</v>
      </c>
      <c r="AK236" s="62">
        <f t="shared" ca="1" si="236"/>
        <v>377797.31212777866</v>
      </c>
      <c r="AL236" s="121"/>
      <c r="AM236" s="123">
        <f t="shared" ca="1" si="217"/>
        <v>36462.026595499148</v>
      </c>
      <c r="AN236" s="124">
        <f t="shared" ca="1" si="237"/>
        <v>36462.026595499148</v>
      </c>
      <c r="AO236" s="125">
        <f t="shared" ca="1" si="238"/>
        <v>0</v>
      </c>
      <c r="AP236" s="123">
        <f t="shared" ca="1" si="239"/>
        <v>341335.28553227952</v>
      </c>
      <c r="AQ236" s="121"/>
      <c r="AR236" s="126">
        <f ca="1">IF(LiabIntType1="Fixed",LiabFxdRate1,OFFSET(Vectors!$D$6,Vectors!A236,MATCH(LiabLoanIndex1,lstInterestRates,0))+LiabMarg1)</f>
        <v>7.9369000000000051E-2</v>
      </c>
      <c r="AS236" s="122">
        <f t="shared" ca="1" si="240"/>
        <v>0</v>
      </c>
      <c r="AT236" s="124">
        <f t="shared" ca="1" si="241"/>
        <v>0</v>
      </c>
      <c r="AU236" s="123">
        <f t="shared" ca="1" si="242"/>
        <v>0</v>
      </c>
      <c r="AV236" s="123">
        <f t="shared" ca="1" si="218"/>
        <v>0</v>
      </c>
      <c r="AW236" s="123">
        <f t="shared" ca="1" si="243"/>
        <v>0</v>
      </c>
      <c r="AX236" s="124">
        <f t="shared" ca="1" si="244"/>
        <v>341335.28553227952</v>
      </c>
      <c r="AY236" s="121"/>
      <c r="AZ236" s="122">
        <f t="shared" ca="1" si="219"/>
        <v>0</v>
      </c>
      <c r="BA236" s="124">
        <f t="shared" ca="1" si="245"/>
        <v>0</v>
      </c>
      <c r="BB236" s="123">
        <f t="shared" ca="1" si="246"/>
        <v>0</v>
      </c>
      <c r="BC236" s="123">
        <f t="shared" ca="1" si="220"/>
        <v>0</v>
      </c>
      <c r="BD236" s="123">
        <f t="shared" ca="1" si="247"/>
        <v>0</v>
      </c>
      <c r="BE236" s="124">
        <f t="shared" ca="1" si="248"/>
        <v>341335.28553227952</v>
      </c>
      <c r="BF236" s="121"/>
      <c r="BG236" s="123">
        <f t="shared" si="221"/>
        <v>1000000</v>
      </c>
      <c r="BH236" s="123">
        <f t="shared" ca="1" si="249"/>
        <v>1000000</v>
      </c>
      <c r="BI236" s="123">
        <f t="shared" ca="1" si="250"/>
        <v>0</v>
      </c>
      <c r="BJ236" s="123">
        <f t="shared" ca="1" si="251"/>
        <v>0</v>
      </c>
      <c r="BK236" s="123">
        <f t="shared" ca="1" si="208"/>
        <v>1000000</v>
      </c>
      <c r="BL236" s="123">
        <f t="shared" ca="1" si="252"/>
        <v>341335.28553227952</v>
      </c>
      <c r="BM236" s="121"/>
      <c r="BN236" s="126">
        <f ca="1">IF(LiabIntType2="Fixed",LiabFxdRate2,OFFSET(Vectors!$D$6,Vectors!A236,MATCH(LiabLoanIndex2,lstInterestRates,0))+LiabMarg2)</f>
        <v>0.04</v>
      </c>
      <c r="BO236" s="122">
        <f t="shared" ca="1" si="253"/>
        <v>28051.941570169856</v>
      </c>
      <c r="BP236" s="124">
        <f t="shared" ca="1" si="254"/>
        <v>28051.941570169856</v>
      </c>
      <c r="BQ236" s="123">
        <f t="shared" ca="1" si="255"/>
        <v>0</v>
      </c>
      <c r="BR236" s="123">
        <f t="shared" ca="1" si="256"/>
        <v>313283.34396210965</v>
      </c>
      <c r="BS236" s="121"/>
      <c r="BT236" s="123">
        <f t="shared" ca="1" si="222"/>
        <v>21893.509899259858</v>
      </c>
      <c r="BU236" s="123">
        <f t="shared" ca="1" si="257"/>
        <v>21893.509899259858</v>
      </c>
      <c r="BV236" s="123">
        <f t="shared" ca="1" si="258"/>
        <v>0</v>
      </c>
      <c r="BW236" s="123">
        <f t="shared" ca="1" si="259"/>
        <v>291389.83406284981</v>
      </c>
      <c r="BX236" s="121"/>
      <c r="BY236" s="123">
        <f t="shared" si="260"/>
        <v>0</v>
      </c>
      <c r="BZ236" s="123">
        <f t="shared" ca="1" si="261"/>
        <v>291389.83406284981</v>
      </c>
      <c r="CA236" s="121"/>
      <c r="CB236" s="122">
        <f t="shared" ca="1" si="209"/>
        <v>0</v>
      </c>
      <c r="CC236" s="122">
        <f t="shared" ca="1" si="262"/>
        <v>0</v>
      </c>
      <c r="CD236" s="124">
        <f t="shared" ca="1" si="263"/>
        <v>0</v>
      </c>
      <c r="CE236" s="121"/>
      <c r="CF236" s="122">
        <f t="shared" ca="1" si="210"/>
        <v>8393688.9611516967</v>
      </c>
      <c r="CG236" s="124">
        <f t="shared" ca="1" si="264"/>
        <v>28051.941570169856</v>
      </c>
      <c r="CH236" s="123">
        <f t="shared" ca="1" si="265"/>
        <v>21893.509899259858</v>
      </c>
      <c r="CI236" s="121"/>
      <c r="CJ236" s="123">
        <f t="shared" ca="1" si="266"/>
        <v>380345.75815168931</v>
      </c>
      <c r="CK236" s="123">
        <f t="shared" ca="1" si="267"/>
        <v>380345.75815168931</v>
      </c>
      <c r="CL236" s="123">
        <f t="shared" ca="1" si="268"/>
        <v>0</v>
      </c>
      <c r="CM236" s="121"/>
      <c r="CN236" s="62">
        <f t="shared" ca="1" si="269"/>
        <v>213534.5596661267</v>
      </c>
      <c r="CO236" s="62" t="b">
        <f t="shared" si="270"/>
        <v>1</v>
      </c>
      <c r="CP236" s="126">
        <f t="shared" ca="1" si="271"/>
        <v>6.388888888888865E-3</v>
      </c>
      <c r="CQ236" s="120"/>
      <c r="CR236" s="120"/>
      <c r="CS236" s="120"/>
      <c r="CT236" s="120"/>
      <c r="CU236" s="120"/>
      <c r="CV236" s="120"/>
      <c r="CW236" s="120"/>
      <c r="CX236" s="120"/>
      <c r="CY236" s="120"/>
      <c r="CZ236" s="120"/>
      <c r="DA236" s="120"/>
      <c r="DB236" s="120"/>
      <c r="DC236" s="120"/>
      <c r="DD236" s="120"/>
      <c r="DE236" s="116"/>
      <c r="DF236" s="116"/>
      <c r="DG236" s="116"/>
      <c r="DH236" s="116"/>
      <c r="DI236" s="116"/>
      <c r="DJ236" s="116"/>
      <c r="DK236" s="116"/>
      <c r="DL236" s="116"/>
      <c r="DM236" s="116"/>
      <c r="DN236" s="116"/>
    </row>
    <row r="237" spans="1:118" x14ac:dyDescent="0.2">
      <c r="A237" s="27">
        <v>231</v>
      </c>
      <c r="B237" s="29">
        <f t="shared" si="204"/>
        <v>46143</v>
      </c>
      <c r="C237" s="30">
        <f t="shared" si="205"/>
        <v>8.3333333333333329E-2</v>
      </c>
      <c r="D237" s="55"/>
      <c r="E237" s="62">
        <f t="shared" ca="1" si="223"/>
        <v>66669194.929704346</v>
      </c>
      <c r="F237" s="63">
        <f ca="1">IF(AssetIntType1="Fixed",AssetFxdRate1,IF(A237=1,OFFSET(Vectors!$D$6,A237,MATCH(AssetFltIndx1,lstInterestRates,0)),IF(MOD($A237,AssetRateReset1)=0,MAX(MIN(OFFSET(Vectors!$D$6,A237,MATCH(AssetFltIndx1,lstInterestRates,0)),(F236-AssetMarg1)+AssetPdCapFl1,AssetLifeCap1-AssetMarg1),(F236-AssetMarg1)-AssetPdCapFl1,AssetLifeFloor1-AssetMarg1),F236)))+AssetMarg1</f>
        <v>0.09</v>
      </c>
      <c r="G237" s="62">
        <f t="shared" ca="1" si="211"/>
        <v>804622.61694478267</v>
      </c>
      <c r="H237" s="62">
        <f t="shared" ca="1" si="224"/>
        <v>500018.96197278256</v>
      </c>
      <c r="I237" s="62">
        <f t="shared" ca="1" si="225"/>
        <v>304603.65497200011</v>
      </c>
      <c r="J237" s="62">
        <f t="shared" ca="1" si="206"/>
        <v>66364591.274732344</v>
      </c>
      <c r="K237" s="55"/>
      <c r="L237" s="62">
        <f t="shared" ca="1" si="226"/>
        <v>21663681.397633363</v>
      </c>
      <c r="M237" s="68">
        <f ca="1">IF(pdrLossTime1="",OFFSET(Vectors!$AE$6,A237+_Age1,MATCH(SDA_Loss,lstSDA,0)),OFFSET(Vectors!$X$6,A237+_Age1,MATCH(pdrLossTime1,lstDefaultCurve,0)))</f>
        <v>2.7777777777777779E-5</v>
      </c>
      <c r="N237" s="62">
        <f t="shared" ca="1" si="212"/>
        <v>2777.7777777777778</v>
      </c>
      <c r="O237" s="67">
        <f t="shared" ca="1" si="227"/>
        <v>0.66364591274732343</v>
      </c>
      <c r="P237" s="68">
        <f ca="1">OFFSET(Vectors!$L$6,A237+_Age1,MATCH(pdrPrepay1,lstPrepayCurve,0))*pdrPrepayStress1</f>
        <v>5.1430128318229462E-3</v>
      </c>
      <c r="Q237" s="62">
        <f t="shared" ca="1" si="228"/>
        <v>110907.54220317517</v>
      </c>
      <c r="R237" s="62">
        <f t="shared" ca="1" si="229"/>
        <v>98966.103003961849</v>
      </c>
      <c r="S237" s="69">
        <f t="shared" ca="1" si="230"/>
        <v>0.09</v>
      </c>
      <c r="T237" s="62">
        <f t="shared" ca="1" si="231"/>
        <v>162456.77714891688</v>
      </c>
      <c r="U237" s="62">
        <f t="shared" ca="1" si="213"/>
        <v>1111.1111111111111</v>
      </c>
      <c r="V237" s="62">
        <f t="shared" ca="1" si="207"/>
        <v>21451029.97464845</v>
      </c>
      <c r="W237" s="55"/>
      <c r="X237" s="62">
        <f t="shared" ca="1" si="232"/>
        <v>373441.53346716502</v>
      </c>
      <c r="Y237" s="55"/>
      <c r="Z237" s="118" t="b">
        <v>0</v>
      </c>
      <c r="AA237" s="120" t="b">
        <f t="shared" si="214"/>
        <v>0</v>
      </c>
      <c r="AB237" s="120" t="b">
        <f t="shared" si="215"/>
        <v>1</v>
      </c>
      <c r="AC237" s="120" t="b">
        <f t="shared" ca="1" si="216"/>
        <v>0</v>
      </c>
      <c r="AD237" s="121"/>
      <c r="AE237" s="129">
        <v>664988.79021531856</v>
      </c>
      <c r="AF237" s="69">
        <f ca="1">IF(Swap_Active="No",0,OFFSET(Vectors!$D$6,Vectors!A237,MATCH(Swap_In,lstInterestRates,0)))</f>
        <v>6.9369000000000056E-2</v>
      </c>
      <c r="AG237" s="62">
        <f t="shared" ca="1" si="233"/>
        <v>3844.1339490372056</v>
      </c>
      <c r="AH237" s="69">
        <f ca="1">IF(Swap_Active="No",0,OFFSET(Vectors!$D$6,Vectors!A237,MATCH(Swap_Out,lstInterestRates,0)))</f>
        <v>0.04</v>
      </c>
      <c r="AI237" s="62">
        <f t="shared" ca="1" si="234"/>
        <v>2216.6293007177283</v>
      </c>
      <c r="AJ237" s="62">
        <f t="shared" ca="1" si="235"/>
        <v>1627.5046483194774</v>
      </c>
      <c r="AK237" s="62">
        <f t="shared" ca="1" si="236"/>
        <v>375069.03811548452</v>
      </c>
      <c r="AL237" s="121"/>
      <c r="AM237" s="123">
        <f t="shared" ca="1" si="217"/>
        <v>36106.13566272227</v>
      </c>
      <c r="AN237" s="124">
        <f t="shared" ca="1" si="237"/>
        <v>36106.13566272227</v>
      </c>
      <c r="AO237" s="125">
        <f t="shared" ca="1" si="238"/>
        <v>0</v>
      </c>
      <c r="AP237" s="123">
        <f t="shared" ca="1" si="239"/>
        <v>338962.90245276224</v>
      </c>
      <c r="AQ237" s="121"/>
      <c r="AR237" s="126">
        <f ca="1">IF(LiabIntType1="Fixed",LiabFxdRate1,OFFSET(Vectors!$D$6,Vectors!A237,MATCH(LiabLoanIndex1,lstInterestRates,0))+LiabMarg1)</f>
        <v>7.9369000000000051E-2</v>
      </c>
      <c r="AS237" s="122">
        <f t="shared" ca="1" si="240"/>
        <v>0</v>
      </c>
      <c r="AT237" s="124">
        <f t="shared" ca="1" si="241"/>
        <v>0</v>
      </c>
      <c r="AU237" s="123">
        <f t="shared" ca="1" si="242"/>
        <v>0</v>
      </c>
      <c r="AV237" s="123">
        <f t="shared" ca="1" si="218"/>
        <v>0</v>
      </c>
      <c r="AW237" s="123">
        <f t="shared" ca="1" si="243"/>
        <v>0</v>
      </c>
      <c r="AX237" s="124">
        <f t="shared" ca="1" si="244"/>
        <v>338962.90245276224</v>
      </c>
      <c r="AY237" s="121"/>
      <c r="AZ237" s="122">
        <f t="shared" ca="1" si="219"/>
        <v>0</v>
      </c>
      <c r="BA237" s="124">
        <f t="shared" ca="1" si="245"/>
        <v>0</v>
      </c>
      <c r="BB237" s="123">
        <f t="shared" ca="1" si="246"/>
        <v>0</v>
      </c>
      <c r="BC237" s="123">
        <f t="shared" ca="1" si="220"/>
        <v>0</v>
      </c>
      <c r="BD237" s="123">
        <f t="shared" ca="1" si="247"/>
        <v>0</v>
      </c>
      <c r="BE237" s="124">
        <f t="shared" ca="1" si="248"/>
        <v>338962.90245276224</v>
      </c>
      <c r="BF237" s="121"/>
      <c r="BG237" s="123">
        <f t="shared" si="221"/>
        <v>1000000</v>
      </c>
      <c r="BH237" s="123">
        <f t="shared" ca="1" si="249"/>
        <v>1000000</v>
      </c>
      <c r="BI237" s="123">
        <f t="shared" ca="1" si="250"/>
        <v>0</v>
      </c>
      <c r="BJ237" s="123">
        <f t="shared" ca="1" si="251"/>
        <v>0</v>
      </c>
      <c r="BK237" s="123">
        <f t="shared" ca="1" si="208"/>
        <v>1000000</v>
      </c>
      <c r="BL237" s="123">
        <f t="shared" ca="1" si="252"/>
        <v>338962.90245276224</v>
      </c>
      <c r="BM237" s="121"/>
      <c r="BN237" s="126">
        <f ca="1">IF(LiabIntType2="Fixed",LiabFxdRate2,OFFSET(Vectors!$D$6,Vectors!A237,MATCH(LiabLoanIndex2,lstInterestRates,0))+LiabMarg2)</f>
        <v>0.04</v>
      </c>
      <c r="BO237" s="122">
        <f t="shared" ca="1" si="253"/>
        <v>27978.963203838986</v>
      </c>
      <c r="BP237" s="124">
        <f t="shared" ca="1" si="254"/>
        <v>27978.963203838986</v>
      </c>
      <c r="BQ237" s="123">
        <f t="shared" ca="1" si="255"/>
        <v>0</v>
      </c>
      <c r="BR237" s="123">
        <f t="shared" ca="1" si="256"/>
        <v>310983.93924892327</v>
      </c>
      <c r="BS237" s="121"/>
      <c r="BT237" s="123">
        <f t="shared" ca="1" si="222"/>
        <v>21802.962674947579</v>
      </c>
      <c r="BU237" s="123">
        <f t="shared" ca="1" si="257"/>
        <v>21802.962674947579</v>
      </c>
      <c r="BV237" s="123">
        <f t="shared" ca="1" si="258"/>
        <v>0</v>
      </c>
      <c r="BW237" s="123">
        <f t="shared" ca="1" si="259"/>
        <v>289180.9765739757</v>
      </c>
      <c r="BX237" s="121"/>
      <c r="BY237" s="123">
        <f t="shared" si="260"/>
        <v>0</v>
      </c>
      <c r="BZ237" s="123">
        <f t="shared" ca="1" si="261"/>
        <v>289180.9765739757</v>
      </c>
      <c r="CA237" s="121"/>
      <c r="CB237" s="122">
        <f t="shared" ca="1" si="209"/>
        <v>0</v>
      </c>
      <c r="CC237" s="122">
        <f t="shared" ca="1" si="262"/>
        <v>0</v>
      </c>
      <c r="CD237" s="124">
        <f t="shared" ca="1" si="263"/>
        <v>0</v>
      </c>
      <c r="CE237" s="121"/>
      <c r="CF237" s="122">
        <f t="shared" ca="1" si="210"/>
        <v>8371885.9984767493</v>
      </c>
      <c r="CG237" s="124">
        <f t="shared" ca="1" si="264"/>
        <v>27978.963203838986</v>
      </c>
      <c r="CH237" s="123">
        <f t="shared" ca="1" si="265"/>
        <v>21802.962674947579</v>
      </c>
      <c r="CI237" s="121"/>
      <c r="CJ237" s="123">
        <f t="shared" ca="1" si="266"/>
        <v>377285.66741620225</v>
      </c>
      <c r="CK237" s="123">
        <f t="shared" ca="1" si="267"/>
        <v>377285.66741620225</v>
      </c>
      <c r="CL237" s="123">
        <f t="shared" ca="1" si="268"/>
        <v>0</v>
      </c>
      <c r="CM237" s="121"/>
      <c r="CN237" s="62">
        <f t="shared" ca="1" si="269"/>
        <v>212651.4229849148</v>
      </c>
      <c r="CO237" s="62" t="b">
        <f t="shared" si="270"/>
        <v>1</v>
      </c>
      <c r="CP237" s="126">
        <f t="shared" ca="1" si="271"/>
        <v>6.4166666666666426E-3</v>
      </c>
      <c r="CQ237" s="120"/>
      <c r="CR237" s="120"/>
      <c r="CS237" s="120"/>
      <c r="CT237" s="120"/>
      <c r="CU237" s="120"/>
      <c r="CV237" s="120"/>
      <c r="CW237" s="120"/>
      <c r="CX237" s="120"/>
      <c r="CY237" s="120"/>
      <c r="CZ237" s="120"/>
      <c r="DA237" s="120"/>
      <c r="DB237" s="120"/>
      <c r="DC237" s="120"/>
      <c r="DD237" s="120"/>
      <c r="DE237" s="116"/>
      <c r="DF237" s="116"/>
      <c r="DG237" s="116"/>
      <c r="DH237" s="116"/>
      <c r="DI237" s="116"/>
      <c r="DJ237" s="116"/>
      <c r="DK237" s="116"/>
      <c r="DL237" s="116"/>
      <c r="DM237" s="116"/>
      <c r="DN237" s="116"/>
    </row>
    <row r="238" spans="1:118" x14ac:dyDescent="0.2">
      <c r="A238" s="27">
        <v>232</v>
      </c>
      <c r="B238" s="29">
        <f t="shared" si="204"/>
        <v>46174</v>
      </c>
      <c r="C238" s="30">
        <f t="shared" si="205"/>
        <v>8.3333333333333329E-2</v>
      </c>
      <c r="D238" s="55"/>
      <c r="E238" s="62">
        <f t="shared" ca="1" si="223"/>
        <v>66364591.274732344</v>
      </c>
      <c r="F238" s="63">
        <f ca="1">IF(AssetIntType1="Fixed",AssetFxdRate1,IF(A238=1,OFFSET(Vectors!$D$6,A238,MATCH(AssetFltIndx1,lstInterestRates,0)),IF(MOD($A238,AssetRateReset1)=0,MAX(MIN(OFFSET(Vectors!$D$6,A238,MATCH(AssetFltIndx1,lstInterestRates,0)),(F237-AssetMarg1)+AssetPdCapFl1,AssetLifeCap1-AssetMarg1),(F237-AssetMarg1)-AssetPdCapFl1,AssetLifeFloor1-AssetMarg1),F237)))+AssetMarg1</f>
        <v>0.09</v>
      </c>
      <c r="G238" s="62">
        <f t="shared" ca="1" si="211"/>
        <v>804622.61694478267</v>
      </c>
      <c r="H238" s="62">
        <f t="shared" ca="1" si="224"/>
        <v>497734.43456049258</v>
      </c>
      <c r="I238" s="62">
        <f t="shared" ca="1" si="225"/>
        <v>306888.18238429009</v>
      </c>
      <c r="J238" s="62">
        <f t="shared" ca="1" si="206"/>
        <v>66057703.092348054</v>
      </c>
      <c r="K238" s="55"/>
      <c r="L238" s="62">
        <f t="shared" ca="1" si="226"/>
        <v>21451029.97464845</v>
      </c>
      <c r="M238" s="68">
        <f ca="1">IF(pdrLossTime1="",OFFSET(Vectors!$AE$6,A238+_Age1,MATCH(SDA_Loss,lstSDA,0)),OFFSET(Vectors!$X$6,A238+_Age1,MATCH(pdrLossTime1,lstDefaultCurve,0)))</f>
        <v>2.7777777777777779E-5</v>
      </c>
      <c r="N238" s="62">
        <f t="shared" ca="1" si="212"/>
        <v>2777.7777777777778</v>
      </c>
      <c r="O238" s="67">
        <f t="shared" ca="1" si="227"/>
        <v>0.66057703092348052</v>
      </c>
      <c r="P238" s="68">
        <f ca="1">OFFSET(Vectors!$L$6,A238+_Age1,MATCH(pdrPrepay1,lstPrepayCurve,0))*pdrPrepayStress1</f>
        <v>5.1430128318229462E-3</v>
      </c>
      <c r="Q238" s="62">
        <f t="shared" ca="1" si="228"/>
        <v>109812.75878020375</v>
      </c>
      <c r="R238" s="62">
        <f t="shared" ca="1" si="229"/>
        <v>99182.636487110794</v>
      </c>
      <c r="S238" s="69">
        <f t="shared" ca="1" si="230"/>
        <v>0.09</v>
      </c>
      <c r="T238" s="62">
        <f t="shared" ca="1" si="231"/>
        <v>160861.89147653006</v>
      </c>
      <c r="U238" s="62">
        <f t="shared" ca="1" si="213"/>
        <v>1111.1111111111111</v>
      </c>
      <c r="V238" s="62">
        <f t="shared" ca="1" si="207"/>
        <v>21239256.801603358</v>
      </c>
      <c r="W238" s="55"/>
      <c r="X238" s="62">
        <f t="shared" ca="1" si="232"/>
        <v>370968.39785495575</v>
      </c>
      <c r="Y238" s="55"/>
      <c r="Z238" s="118" t="b">
        <v>0</v>
      </c>
      <c r="AA238" s="120" t="b">
        <f t="shared" si="214"/>
        <v>0</v>
      </c>
      <c r="AB238" s="120" t="b">
        <f t="shared" si="215"/>
        <v>1</v>
      </c>
      <c r="AC238" s="120" t="b">
        <f t="shared" ca="1" si="216"/>
        <v>0</v>
      </c>
      <c r="AD238" s="121"/>
      <c r="AE238" s="129">
        <v>566534.08749795519</v>
      </c>
      <c r="AF238" s="69">
        <f ca="1">IF(Swap_Active="No",0,OFFSET(Vectors!$D$6,Vectors!A238,MATCH(Swap_In,lstInterestRates,0)))</f>
        <v>6.9369000000000056E-2</v>
      </c>
      <c r="AG238" s="62">
        <f t="shared" ca="1" si="233"/>
        <v>3274.9919263038068</v>
      </c>
      <c r="AH238" s="69">
        <f ca="1">IF(Swap_Active="No",0,OFFSET(Vectors!$D$6,Vectors!A238,MATCH(Swap_Out,lstInterestRates,0)))</f>
        <v>0.04</v>
      </c>
      <c r="AI238" s="62">
        <f t="shared" ca="1" si="234"/>
        <v>1888.4469583265172</v>
      </c>
      <c r="AJ238" s="62">
        <f t="shared" ca="1" si="235"/>
        <v>1386.5449679772896</v>
      </c>
      <c r="AK238" s="62">
        <f t="shared" ca="1" si="236"/>
        <v>372354.94282293302</v>
      </c>
      <c r="AL238" s="121"/>
      <c r="AM238" s="123">
        <f t="shared" ca="1" si="217"/>
        <v>35751.716624414083</v>
      </c>
      <c r="AN238" s="124">
        <f t="shared" ca="1" si="237"/>
        <v>35751.716624414083</v>
      </c>
      <c r="AO238" s="125">
        <f t="shared" ca="1" si="238"/>
        <v>0</v>
      </c>
      <c r="AP238" s="123">
        <f t="shared" ca="1" si="239"/>
        <v>336603.22619851894</v>
      </c>
      <c r="AQ238" s="121"/>
      <c r="AR238" s="126">
        <f ca="1">IF(LiabIntType1="Fixed",LiabFxdRate1,OFFSET(Vectors!$D$6,Vectors!A238,MATCH(LiabLoanIndex1,lstInterestRates,0))+LiabMarg1)</f>
        <v>7.9369000000000051E-2</v>
      </c>
      <c r="AS238" s="122">
        <f t="shared" ca="1" si="240"/>
        <v>0</v>
      </c>
      <c r="AT238" s="124">
        <f t="shared" ca="1" si="241"/>
        <v>0</v>
      </c>
      <c r="AU238" s="123">
        <f t="shared" ca="1" si="242"/>
        <v>0</v>
      </c>
      <c r="AV238" s="123">
        <f t="shared" ca="1" si="218"/>
        <v>0</v>
      </c>
      <c r="AW238" s="123">
        <f t="shared" ca="1" si="243"/>
        <v>0</v>
      </c>
      <c r="AX238" s="124">
        <f t="shared" ca="1" si="244"/>
        <v>336603.22619851894</v>
      </c>
      <c r="AY238" s="121"/>
      <c r="AZ238" s="122">
        <f t="shared" ca="1" si="219"/>
        <v>0</v>
      </c>
      <c r="BA238" s="124">
        <f t="shared" ca="1" si="245"/>
        <v>0</v>
      </c>
      <c r="BB238" s="123">
        <f t="shared" ca="1" si="246"/>
        <v>0</v>
      </c>
      <c r="BC238" s="123">
        <f t="shared" ca="1" si="220"/>
        <v>0</v>
      </c>
      <c r="BD238" s="123">
        <f t="shared" ca="1" si="247"/>
        <v>0</v>
      </c>
      <c r="BE238" s="124">
        <f t="shared" ca="1" si="248"/>
        <v>336603.22619851894</v>
      </c>
      <c r="BF238" s="121"/>
      <c r="BG238" s="123">
        <f t="shared" si="221"/>
        <v>1000000</v>
      </c>
      <c r="BH238" s="123">
        <f t="shared" ca="1" si="249"/>
        <v>1000000</v>
      </c>
      <c r="BI238" s="123">
        <f t="shared" ca="1" si="250"/>
        <v>0</v>
      </c>
      <c r="BJ238" s="123">
        <f t="shared" ca="1" si="251"/>
        <v>0</v>
      </c>
      <c r="BK238" s="123">
        <f t="shared" ca="1" si="208"/>
        <v>1000000</v>
      </c>
      <c r="BL238" s="123">
        <f t="shared" ca="1" si="252"/>
        <v>336603.22619851894</v>
      </c>
      <c r="BM238" s="121"/>
      <c r="BN238" s="126">
        <f ca="1">IF(LiabIntType2="Fixed",LiabFxdRate2,OFFSET(Vectors!$D$6,Vectors!A238,MATCH(LiabLoanIndex2,lstInterestRates,0))+LiabMarg2)</f>
        <v>0.04</v>
      </c>
      <c r="BO238" s="122">
        <f t="shared" ca="1" si="253"/>
        <v>27906.286661589162</v>
      </c>
      <c r="BP238" s="124">
        <f t="shared" ca="1" si="254"/>
        <v>27906.286661589162</v>
      </c>
      <c r="BQ238" s="123">
        <f t="shared" ca="1" si="255"/>
        <v>0</v>
      </c>
      <c r="BR238" s="123">
        <f t="shared" ca="1" si="256"/>
        <v>308696.93953692977</v>
      </c>
      <c r="BS238" s="121"/>
      <c r="BT238" s="123">
        <f t="shared" ca="1" si="222"/>
        <v>21712.916483916058</v>
      </c>
      <c r="BU238" s="123">
        <f t="shared" ca="1" si="257"/>
        <v>21712.916483916058</v>
      </c>
      <c r="BV238" s="123">
        <f t="shared" ca="1" si="258"/>
        <v>0</v>
      </c>
      <c r="BW238" s="123">
        <f t="shared" ca="1" si="259"/>
        <v>286984.02305301372</v>
      </c>
      <c r="BX238" s="121"/>
      <c r="BY238" s="123">
        <f t="shared" si="260"/>
        <v>0</v>
      </c>
      <c r="BZ238" s="123">
        <f t="shared" ca="1" si="261"/>
        <v>286984.02305301372</v>
      </c>
      <c r="CA238" s="121"/>
      <c r="CB238" s="122">
        <f t="shared" ca="1" si="209"/>
        <v>0</v>
      </c>
      <c r="CC238" s="122">
        <f t="shared" ca="1" si="262"/>
        <v>0</v>
      </c>
      <c r="CD238" s="124">
        <f t="shared" ca="1" si="263"/>
        <v>0</v>
      </c>
      <c r="CE238" s="121"/>
      <c r="CF238" s="122">
        <f t="shared" ca="1" si="210"/>
        <v>8350173.0819928329</v>
      </c>
      <c r="CG238" s="124">
        <f t="shared" ca="1" si="264"/>
        <v>27906.286661589162</v>
      </c>
      <c r="CH238" s="123">
        <f t="shared" ca="1" si="265"/>
        <v>21712.916483916058</v>
      </c>
      <c r="CI238" s="121"/>
      <c r="CJ238" s="123">
        <f t="shared" ca="1" si="266"/>
        <v>374243.38978125958</v>
      </c>
      <c r="CK238" s="123">
        <f t="shared" ca="1" si="267"/>
        <v>374243.38978125952</v>
      </c>
      <c r="CL238" s="123">
        <f t="shared" ca="1" si="268"/>
        <v>0</v>
      </c>
      <c r="CM238" s="121"/>
      <c r="CN238" s="62">
        <f t="shared" ca="1" si="269"/>
        <v>211773.17304509232</v>
      </c>
      <c r="CO238" s="62" t="b">
        <f t="shared" si="270"/>
        <v>1</v>
      </c>
      <c r="CP238" s="126">
        <f t="shared" ca="1" si="271"/>
        <v>6.4444444444444202E-3</v>
      </c>
      <c r="CQ238" s="120"/>
      <c r="CR238" s="120"/>
      <c r="CS238" s="120"/>
      <c r="CT238" s="120"/>
      <c r="CU238" s="120"/>
      <c r="CV238" s="120"/>
      <c r="CW238" s="120"/>
      <c r="CX238" s="120"/>
      <c r="CY238" s="120"/>
      <c r="CZ238" s="120"/>
      <c r="DA238" s="120"/>
      <c r="DB238" s="120"/>
      <c r="DC238" s="120"/>
      <c r="DD238" s="120"/>
      <c r="DE238" s="116"/>
      <c r="DF238" s="116"/>
      <c r="DG238" s="116"/>
      <c r="DH238" s="116"/>
      <c r="DI238" s="116"/>
      <c r="DJ238" s="116"/>
      <c r="DK238" s="116"/>
      <c r="DL238" s="116"/>
      <c r="DM238" s="116"/>
      <c r="DN238" s="116"/>
    </row>
    <row r="239" spans="1:118" x14ac:dyDescent="0.2">
      <c r="A239" s="27">
        <v>233</v>
      </c>
      <c r="B239" s="29">
        <f t="shared" si="204"/>
        <v>46204</v>
      </c>
      <c r="C239" s="30">
        <f t="shared" si="205"/>
        <v>8.3333333333333329E-2</v>
      </c>
      <c r="D239" s="55"/>
      <c r="E239" s="62">
        <f t="shared" ca="1" si="223"/>
        <v>66057703.092348054</v>
      </c>
      <c r="F239" s="63">
        <f ca="1">IF(AssetIntType1="Fixed",AssetFxdRate1,IF(A239=1,OFFSET(Vectors!$D$6,A239,MATCH(AssetFltIndx1,lstInterestRates,0)),IF(MOD($A239,AssetRateReset1)=0,MAX(MIN(OFFSET(Vectors!$D$6,A239,MATCH(AssetFltIndx1,lstInterestRates,0)),(F238-AssetMarg1)+AssetPdCapFl1,AssetLifeCap1-AssetMarg1),(F238-AssetMarg1)-AssetPdCapFl1,AssetLifeFloor1-AssetMarg1),F238)))+AssetMarg1</f>
        <v>0.09</v>
      </c>
      <c r="G239" s="62">
        <f t="shared" ca="1" si="211"/>
        <v>804622.61694478267</v>
      </c>
      <c r="H239" s="62">
        <f t="shared" ca="1" si="224"/>
        <v>495432.77319261036</v>
      </c>
      <c r="I239" s="62">
        <f t="shared" ca="1" si="225"/>
        <v>309189.84375217231</v>
      </c>
      <c r="J239" s="62">
        <f t="shared" ca="1" si="206"/>
        <v>65748513.248595878</v>
      </c>
      <c r="K239" s="55"/>
      <c r="L239" s="62">
        <f t="shared" ca="1" si="226"/>
        <v>21239256.801603358</v>
      </c>
      <c r="M239" s="68">
        <f ca="1">IF(pdrLossTime1="",OFFSET(Vectors!$AE$6,A239+_Age1,MATCH(SDA_Loss,lstSDA,0)),OFFSET(Vectors!$X$6,A239+_Age1,MATCH(pdrLossTime1,lstDefaultCurve,0)))</f>
        <v>2.7777777777777779E-5</v>
      </c>
      <c r="N239" s="62">
        <f t="shared" ca="1" si="212"/>
        <v>2777.7777777777778</v>
      </c>
      <c r="O239" s="67">
        <f t="shared" ca="1" si="227"/>
        <v>0.65748513248595875</v>
      </c>
      <c r="P239" s="68">
        <f ca="1">OFFSET(Vectors!$L$6,A239+_Age1,MATCH(pdrPrepay1,lstPrepayCurve,0))*pdrPrepayStress1</f>
        <v>5.1430128318229462E-3</v>
      </c>
      <c r="Q239" s="62">
        <f t="shared" ca="1" si="228"/>
        <v>108722.49042154875</v>
      </c>
      <c r="R239" s="62">
        <f t="shared" ca="1" si="229"/>
        <v>99399.514724931811</v>
      </c>
      <c r="S239" s="69">
        <f t="shared" ca="1" si="230"/>
        <v>0.09</v>
      </c>
      <c r="T239" s="62">
        <f t="shared" ca="1" si="231"/>
        <v>159273.59267869187</v>
      </c>
      <c r="U239" s="62">
        <f t="shared" ca="1" si="213"/>
        <v>1111.1111111111111</v>
      </c>
      <c r="V239" s="62">
        <f t="shared" ca="1" si="207"/>
        <v>21028357.018679101</v>
      </c>
      <c r="W239" s="55"/>
      <c r="X239" s="62">
        <f t="shared" ca="1" si="232"/>
        <v>368506.7089362836</v>
      </c>
      <c r="Y239" s="55"/>
      <c r="Z239" s="118" t="b">
        <v>0</v>
      </c>
      <c r="AA239" s="120" t="b">
        <f t="shared" si="214"/>
        <v>0</v>
      </c>
      <c r="AB239" s="120" t="b">
        <f t="shared" si="215"/>
        <v>1</v>
      </c>
      <c r="AC239" s="120" t="b">
        <f t="shared" ca="1" si="216"/>
        <v>0</v>
      </c>
      <c r="AD239" s="121"/>
      <c r="AE239" s="129">
        <v>469158.78241362894</v>
      </c>
      <c r="AF239" s="69">
        <f ca="1">IF(Swap_Active="No",0,OFFSET(Vectors!$D$6,Vectors!A239,MATCH(Swap_In,lstInterestRates,0)))</f>
        <v>6.9369000000000056E-2</v>
      </c>
      <c r="AG239" s="62">
        <f t="shared" ca="1" si="233"/>
        <v>2712.0896314375877</v>
      </c>
      <c r="AH239" s="69">
        <f ca="1">IF(Swap_Active="No",0,OFFSET(Vectors!$D$6,Vectors!A239,MATCH(Swap_Out,lstInterestRates,0)))</f>
        <v>0.04</v>
      </c>
      <c r="AI239" s="62">
        <f t="shared" ca="1" si="234"/>
        <v>1563.8626080454299</v>
      </c>
      <c r="AJ239" s="62">
        <f t="shared" ca="1" si="235"/>
        <v>1148.2270233921579</v>
      </c>
      <c r="AK239" s="62">
        <f t="shared" ca="1" si="236"/>
        <v>369654.93595967576</v>
      </c>
      <c r="AL239" s="121"/>
      <c r="AM239" s="123">
        <f t="shared" ca="1" si="217"/>
        <v>35398.761336005591</v>
      </c>
      <c r="AN239" s="124">
        <f t="shared" ca="1" si="237"/>
        <v>35398.761336005591</v>
      </c>
      <c r="AO239" s="125">
        <f t="shared" ca="1" si="238"/>
        <v>0</v>
      </c>
      <c r="AP239" s="123">
        <f t="shared" ca="1" si="239"/>
        <v>334256.17462367017</v>
      </c>
      <c r="AQ239" s="121"/>
      <c r="AR239" s="126">
        <f ca="1">IF(LiabIntType1="Fixed",LiabFxdRate1,OFFSET(Vectors!$D$6,Vectors!A239,MATCH(LiabLoanIndex1,lstInterestRates,0))+LiabMarg1)</f>
        <v>7.9369000000000051E-2</v>
      </c>
      <c r="AS239" s="122">
        <f t="shared" ca="1" si="240"/>
        <v>0</v>
      </c>
      <c r="AT239" s="124">
        <f t="shared" ca="1" si="241"/>
        <v>0</v>
      </c>
      <c r="AU239" s="123">
        <f t="shared" ca="1" si="242"/>
        <v>0</v>
      </c>
      <c r="AV239" s="123">
        <f t="shared" ca="1" si="218"/>
        <v>0</v>
      </c>
      <c r="AW239" s="123">
        <f t="shared" ca="1" si="243"/>
        <v>0</v>
      </c>
      <c r="AX239" s="124">
        <f t="shared" ca="1" si="244"/>
        <v>334256.17462367017</v>
      </c>
      <c r="AY239" s="121"/>
      <c r="AZ239" s="122">
        <f t="shared" ca="1" si="219"/>
        <v>0</v>
      </c>
      <c r="BA239" s="124">
        <f t="shared" ca="1" si="245"/>
        <v>0</v>
      </c>
      <c r="BB239" s="123">
        <f t="shared" ca="1" si="246"/>
        <v>0</v>
      </c>
      <c r="BC239" s="123">
        <f t="shared" ca="1" si="220"/>
        <v>0</v>
      </c>
      <c r="BD239" s="123">
        <f t="shared" ca="1" si="247"/>
        <v>0</v>
      </c>
      <c r="BE239" s="124">
        <f t="shared" ca="1" si="248"/>
        <v>334256.17462367017</v>
      </c>
      <c r="BF239" s="121"/>
      <c r="BG239" s="123">
        <f t="shared" si="221"/>
        <v>1000000</v>
      </c>
      <c r="BH239" s="123">
        <f t="shared" ca="1" si="249"/>
        <v>1000000</v>
      </c>
      <c r="BI239" s="123">
        <f t="shared" ca="1" si="250"/>
        <v>0</v>
      </c>
      <c r="BJ239" s="123">
        <f t="shared" ca="1" si="251"/>
        <v>0</v>
      </c>
      <c r="BK239" s="123">
        <f t="shared" ca="1" si="208"/>
        <v>1000000</v>
      </c>
      <c r="BL239" s="123">
        <f t="shared" ca="1" si="252"/>
        <v>334256.17462367017</v>
      </c>
      <c r="BM239" s="121"/>
      <c r="BN239" s="126">
        <f ca="1">IF(LiabIntType2="Fixed",LiabFxdRate2,OFFSET(Vectors!$D$6,Vectors!A239,MATCH(LiabLoanIndex2,lstInterestRates,0))+LiabMarg2)</f>
        <v>0.04</v>
      </c>
      <c r="BO239" s="122">
        <f t="shared" ca="1" si="253"/>
        <v>27833.910273309441</v>
      </c>
      <c r="BP239" s="124">
        <f t="shared" ca="1" si="254"/>
        <v>27833.910273309441</v>
      </c>
      <c r="BQ239" s="123">
        <f t="shared" ca="1" si="255"/>
        <v>0</v>
      </c>
      <c r="BR239" s="123">
        <f t="shared" ca="1" si="256"/>
        <v>306422.26435036073</v>
      </c>
      <c r="BS239" s="121"/>
      <c r="BT239" s="123">
        <f t="shared" ca="1" si="222"/>
        <v>21623.368565835292</v>
      </c>
      <c r="BU239" s="123">
        <f t="shared" ca="1" si="257"/>
        <v>21623.368565835292</v>
      </c>
      <c r="BV239" s="123">
        <f t="shared" ca="1" si="258"/>
        <v>0</v>
      </c>
      <c r="BW239" s="123">
        <f t="shared" ca="1" si="259"/>
        <v>284798.89578452543</v>
      </c>
      <c r="BX239" s="121"/>
      <c r="BY239" s="123">
        <f t="shared" si="260"/>
        <v>0</v>
      </c>
      <c r="BZ239" s="123">
        <f t="shared" ca="1" si="261"/>
        <v>284798.89578452543</v>
      </c>
      <c r="CA239" s="121"/>
      <c r="CB239" s="122">
        <f t="shared" ca="1" si="209"/>
        <v>0</v>
      </c>
      <c r="CC239" s="122">
        <f t="shared" ca="1" si="262"/>
        <v>0</v>
      </c>
      <c r="CD239" s="124">
        <f t="shared" ca="1" si="263"/>
        <v>0</v>
      </c>
      <c r="CE239" s="121"/>
      <c r="CF239" s="122">
        <f t="shared" ca="1" si="210"/>
        <v>8328549.7134269979</v>
      </c>
      <c r="CG239" s="124">
        <f t="shared" ca="1" si="264"/>
        <v>27833.910273309441</v>
      </c>
      <c r="CH239" s="123">
        <f t="shared" ca="1" si="265"/>
        <v>21623.368565835292</v>
      </c>
      <c r="CI239" s="121"/>
      <c r="CJ239" s="123">
        <f t="shared" ca="1" si="266"/>
        <v>371218.79856772121</v>
      </c>
      <c r="CK239" s="123">
        <f t="shared" ca="1" si="267"/>
        <v>371218.79856772115</v>
      </c>
      <c r="CL239" s="123">
        <f t="shared" ca="1" si="268"/>
        <v>0</v>
      </c>
      <c r="CM239" s="121"/>
      <c r="CN239" s="62">
        <f t="shared" ca="1" si="269"/>
        <v>210899.78292425832</v>
      </c>
      <c r="CO239" s="62" t="b">
        <f t="shared" si="270"/>
        <v>1</v>
      </c>
      <c r="CP239" s="126">
        <f t="shared" ca="1" si="271"/>
        <v>6.4722222222221978E-3</v>
      </c>
      <c r="CQ239" s="120"/>
      <c r="CR239" s="120"/>
      <c r="CS239" s="120"/>
      <c r="CT239" s="120"/>
      <c r="CU239" s="120"/>
      <c r="CV239" s="120"/>
      <c r="CW239" s="120"/>
      <c r="CX239" s="120"/>
      <c r="CY239" s="120"/>
      <c r="CZ239" s="120"/>
      <c r="DA239" s="120"/>
      <c r="DB239" s="120"/>
      <c r="DC239" s="120"/>
      <c r="DD239" s="120"/>
      <c r="DE239" s="116"/>
      <c r="DF239" s="116"/>
      <c r="DG239" s="116"/>
      <c r="DH239" s="116"/>
      <c r="DI239" s="116"/>
      <c r="DJ239" s="116"/>
      <c r="DK239" s="116"/>
      <c r="DL239" s="116"/>
      <c r="DM239" s="116"/>
      <c r="DN239" s="116"/>
    </row>
    <row r="240" spans="1:118" x14ac:dyDescent="0.2">
      <c r="A240" s="27">
        <v>234</v>
      </c>
      <c r="B240" s="29">
        <f t="shared" si="204"/>
        <v>46235</v>
      </c>
      <c r="C240" s="30">
        <f t="shared" si="205"/>
        <v>8.3333333333333329E-2</v>
      </c>
      <c r="D240" s="55"/>
      <c r="E240" s="62">
        <f t="shared" ca="1" si="223"/>
        <v>65748513.248595878</v>
      </c>
      <c r="F240" s="63">
        <f ca="1">IF(AssetIntType1="Fixed",AssetFxdRate1,IF(A240=1,OFFSET(Vectors!$D$6,A240,MATCH(AssetFltIndx1,lstInterestRates,0)),IF(MOD($A240,AssetRateReset1)=0,MAX(MIN(OFFSET(Vectors!$D$6,A240,MATCH(AssetFltIndx1,lstInterestRates,0)),(F239-AssetMarg1)+AssetPdCapFl1,AssetLifeCap1-AssetMarg1),(F239-AssetMarg1)-AssetPdCapFl1,AssetLifeFloor1-AssetMarg1),F239)))+AssetMarg1</f>
        <v>0.09</v>
      </c>
      <c r="G240" s="62">
        <f t="shared" ca="1" si="211"/>
        <v>804622.61694478267</v>
      </c>
      <c r="H240" s="62">
        <f t="shared" ca="1" si="224"/>
        <v>493113.84936446906</v>
      </c>
      <c r="I240" s="62">
        <f t="shared" ca="1" si="225"/>
        <v>311508.76758031361</v>
      </c>
      <c r="J240" s="62">
        <f t="shared" ca="1" si="206"/>
        <v>65437004.481015563</v>
      </c>
      <c r="K240" s="55"/>
      <c r="L240" s="62">
        <f t="shared" ca="1" si="226"/>
        <v>21028357.018679101</v>
      </c>
      <c r="M240" s="68">
        <f ca="1">IF(pdrLossTime1="",OFFSET(Vectors!$AE$6,A240+_Age1,MATCH(SDA_Loss,lstSDA,0)),OFFSET(Vectors!$X$6,A240+_Age1,MATCH(pdrLossTime1,lstDefaultCurve,0)))</f>
        <v>2.7777777777777779E-5</v>
      </c>
      <c r="N240" s="62">
        <f t="shared" ca="1" si="212"/>
        <v>2777.7777777777778</v>
      </c>
      <c r="O240" s="67">
        <f t="shared" ca="1" si="227"/>
        <v>0.65437004481015559</v>
      </c>
      <c r="P240" s="68">
        <f ca="1">OFFSET(Vectors!$L$6,A240+_Age1,MATCH(pdrPrepay1,lstPrepayCurve,0))*pdrPrepayStress1</f>
        <v>5.1430128318229462E-3</v>
      </c>
      <c r="Q240" s="62">
        <f t="shared" ca="1" si="228"/>
        <v>107636.712142373</v>
      </c>
      <c r="R240" s="62">
        <f t="shared" ca="1" si="229"/>
        <v>99616.735852735495</v>
      </c>
      <c r="S240" s="69">
        <f t="shared" ca="1" si="230"/>
        <v>0.09</v>
      </c>
      <c r="T240" s="62">
        <f t="shared" ca="1" si="231"/>
        <v>157691.84430675994</v>
      </c>
      <c r="U240" s="62">
        <f t="shared" ca="1" si="213"/>
        <v>1111.1111111111111</v>
      </c>
      <c r="V240" s="62">
        <f t="shared" ca="1" si="207"/>
        <v>20818325.792906214</v>
      </c>
      <c r="W240" s="55"/>
      <c r="X240" s="62">
        <f t="shared" ca="1" si="232"/>
        <v>366056.40341297956</v>
      </c>
      <c r="Y240" s="55"/>
      <c r="Z240" s="118" t="b">
        <v>0</v>
      </c>
      <c r="AA240" s="120" t="b">
        <f t="shared" si="214"/>
        <v>0</v>
      </c>
      <c r="AB240" s="120" t="b">
        <f t="shared" si="215"/>
        <v>1</v>
      </c>
      <c r="AC240" s="120" t="b">
        <f t="shared" ca="1" si="216"/>
        <v>0</v>
      </c>
      <c r="AD240" s="121"/>
      <c r="AE240" s="129">
        <v>372852.071439313</v>
      </c>
      <c r="AF240" s="69">
        <f ca="1">IF(Swap_Active="No",0,OFFSET(Vectors!$D$6,Vectors!A240,MATCH(Swap_In,lstInterestRates,0)))</f>
        <v>6.9369000000000056E-2</v>
      </c>
      <c r="AG240" s="62">
        <f t="shared" ca="1" si="233"/>
        <v>2155.3646119728101</v>
      </c>
      <c r="AH240" s="69">
        <f ca="1">IF(Swap_Active="No",0,OFFSET(Vectors!$D$6,Vectors!A240,MATCH(Swap_Out,lstInterestRates,0)))</f>
        <v>0.04</v>
      </c>
      <c r="AI240" s="62">
        <f t="shared" ca="1" si="234"/>
        <v>1242.8402381310434</v>
      </c>
      <c r="AJ240" s="62">
        <f t="shared" ca="1" si="235"/>
        <v>912.52437384176665</v>
      </c>
      <c r="AK240" s="62">
        <f t="shared" ca="1" si="236"/>
        <v>366968.92778682132</v>
      </c>
      <c r="AL240" s="121"/>
      <c r="AM240" s="123">
        <f t="shared" ca="1" si="217"/>
        <v>35047.261697798502</v>
      </c>
      <c r="AN240" s="124">
        <f t="shared" ca="1" si="237"/>
        <v>35047.261697798502</v>
      </c>
      <c r="AO240" s="125">
        <f t="shared" ca="1" si="238"/>
        <v>0</v>
      </c>
      <c r="AP240" s="123">
        <f t="shared" ca="1" si="239"/>
        <v>331921.66608902282</v>
      </c>
      <c r="AQ240" s="121"/>
      <c r="AR240" s="126">
        <f ca="1">IF(LiabIntType1="Fixed",LiabFxdRate1,OFFSET(Vectors!$D$6,Vectors!A240,MATCH(LiabLoanIndex1,lstInterestRates,0))+LiabMarg1)</f>
        <v>7.9369000000000051E-2</v>
      </c>
      <c r="AS240" s="122">
        <f t="shared" ca="1" si="240"/>
        <v>0</v>
      </c>
      <c r="AT240" s="124">
        <f t="shared" ca="1" si="241"/>
        <v>0</v>
      </c>
      <c r="AU240" s="123">
        <f t="shared" ca="1" si="242"/>
        <v>0</v>
      </c>
      <c r="AV240" s="123">
        <f t="shared" ca="1" si="218"/>
        <v>0</v>
      </c>
      <c r="AW240" s="123">
        <f t="shared" ca="1" si="243"/>
        <v>0</v>
      </c>
      <c r="AX240" s="124">
        <f t="shared" ca="1" si="244"/>
        <v>331921.66608902282</v>
      </c>
      <c r="AY240" s="121"/>
      <c r="AZ240" s="122">
        <f t="shared" ca="1" si="219"/>
        <v>0</v>
      </c>
      <c r="BA240" s="124">
        <f t="shared" ca="1" si="245"/>
        <v>0</v>
      </c>
      <c r="BB240" s="123">
        <f t="shared" ca="1" si="246"/>
        <v>0</v>
      </c>
      <c r="BC240" s="123">
        <f t="shared" ca="1" si="220"/>
        <v>0</v>
      </c>
      <c r="BD240" s="123">
        <f t="shared" ca="1" si="247"/>
        <v>0</v>
      </c>
      <c r="BE240" s="124">
        <f t="shared" ca="1" si="248"/>
        <v>331921.66608902282</v>
      </c>
      <c r="BF240" s="121"/>
      <c r="BG240" s="123">
        <f t="shared" si="221"/>
        <v>1000000</v>
      </c>
      <c r="BH240" s="123">
        <f t="shared" ca="1" si="249"/>
        <v>1000000</v>
      </c>
      <c r="BI240" s="123">
        <f t="shared" ca="1" si="250"/>
        <v>0</v>
      </c>
      <c r="BJ240" s="123">
        <f t="shared" ca="1" si="251"/>
        <v>0</v>
      </c>
      <c r="BK240" s="123">
        <f t="shared" ca="1" si="208"/>
        <v>1000000</v>
      </c>
      <c r="BL240" s="123">
        <f t="shared" ca="1" si="252"/>
        <v>331921.66608902282</v>
      </c>
      <c r="BM240" s="121"/>
      <c r="BN240" s="126">
        <f ca="1">IF(LiabIntType2="Fixed",LiabFxdRate2,OFFSET(Vectors!$D$6,Vectors!A240,MATCH(LiabLoanIndex2,lstInterestRates,0))+LiabMarg2)</f>
        <v>0.04</v>
      </c>
      <c r="BO240" s="122">
        <f t="shared" ca="1" si="253"/>
        <v>27761.832378089992</v>
      </c>
      <c r="BP240" s="124">
        <f t="shared" ca="1" si="254"/>
        <v>27761.832378089992</v>
      </c>
      <c r="BQ240" s="123">
        <f t="shared" ca="1" si="255"/>
        <v>0</v>
      </c>
      <c r="BR240" s="123">
        <f t="shared" ca="1" si="256"/>
        <v>304159.83371093281</v>
      </c>
      <c r="BS240" s="121"/>
      <c r="BT240" s="123">
        <f t="shared" ca="1" si="222"/>
        <v>21534.316167847024</v>
      </c>
      <c r="BU240" s="123">
        <f t="shared" ca="1" si="257"/>
        <v>21534.316167847024</v>
      </c>
      <c r="BV240" s="123">
        <f t="shared" ca="1" si="258"/>
        <v>0</v>
      </c>
      <c r="BW240" s="123">
        <f t="shared" ca="1" si="259"/>
        <v>282625.51754308579</v>
      </c>
      <c r="BX240" s="121"/>
      <c r="BY240" s="123">
        <f t="shared" si="260"/>
        <v>0</v>
      </c>
      <c r="BZ240" s="123">
        <f t="shared" ca="1" si="261"/>
        <v>282625.51754308579</v>
      </c>
      <c r="CA240" s="121"/>
      <c r="CB240" s="122">
        <f t="shared" ca="1" si="209"/>
        <v>0</v>
      </c>
      <c r="CC240" s="122">
        <f t="shared" ca="1" si="262"/>
        <v>0</v>
      </c>
      <c r="CD240" s="124">
        <f t="shared" ca="1" si="263"/>
        <v>0</v>
      </c>
      <c r="CE240" s="121"/>
      <c r="CF240" s="122">
        <f t="shared" ca="1" si="210"/>
        <v>8307015.3972591506</v>
      </c>
      <c r="CG240" s="124">
        <f t="shared" ca="1" si="264"/>
        <v>27761.832378089992</v>
      </c>
      <c r="CH240" s="123">
        <f t="shared" ca="1" si="265"/>
        <v>21534.316167847024</v>
      </c>
      <c r="CI240" s="121"/>
      <c r="CJ240" s="123">
        <f t="shared" ca="1" si="266"/>
        <v>368211.76802495238</v>
      </c>
      <c r="CK240" s="123">
        <f t="shared" ca="1" si="267"/>
        <v>368211.76802495238</v>
      </c>
      <c r="CL240" s="123">
        <f t="shared" ca="1" si="268"/>
        <v>0</v>
      </c>
      <c r="CM240" s="121"/>
      <c r="CN240" s="62">
        <f t="shared" ca="1" si="269"/>
        <v>210031.22577288628</v>
      </c>
      <c r="CO240" s="62" t="b">
        <f t="shared" si="270"/>
        <v>1</v>
      </c>
      <c r="CP240" s="126">
        <f t="shared" ca="1" si="271"/>
        <v>6.4999999999999754E-3</v>
      </c>
      <c r="CQ240" s="120"/>
      <c r="CR240" s="120"/>
      <c r="CS240" s="120"/>
      <c r="CT240" s="120"/>
      <c r="CU240" s="120"/>
      <c r="CV240" s="120"/>
      <c r="CW240" s="120"/>
      <c r="CX240" s="120"/>
      <c r="CY240" s="120"/>
      <c r="CZ240" s="120"/>
      <c r="DA240" s="120"/>
      <c r="DB240" s="120"/>
      <c r="DC240" s="120"/>
      <c r="DD240" s="120"/>
      <c r="DE240" s="116"/>
      <c r="DF240" s="116"/>
      <c r="DG240" s="116"/>
      <c r="DH240" s="116"/>
      <c r="DI240" s="116"/>
      <c r="DJ240" s="116"/>
      <c r="DK240" s="116"/>
      <c r="DL240" s="116"/>
      <c r="DM240" s="116"/>
      <c r="DN240" s="116"/>
    </row>
    <row r="241" spans="1:118" x14ac:dyDescent="0.2">
      <c r="A241" s="27">
        <v>235</v>
      </c>
      <c r="B241" s="29">
        <f t="shared" si="204"/>
        <v>46266</v>
      </c>
      <c r="C241" s="30">
        <f t="shared" si="205"/>
        <v>8.3333333333333329E-2</v>
      </c>
      <c r="D241" s="55"/>
      <c r="E241" s="62">
        <f t="shared" ca="1" si="223"/>
        <v>65437004.481015563</v>
      </c>
      <c r="F241" s="63">
        <f ca="1">IF(AssetIntType1="Fixed",AssetFxdRate1,IF(A241=1,OFFSET(Vectors!$D$6,A241,MATCH(AssetFltIndx1,lstInterestRates,0)),IF(MOD($A241,AssetRateReset1)=0,MAX(MIN(OFFSET(Vectors!$D$6,A241,MATCH(AssetFltIndx1,lstInterestRates,0)),(F240-AssetMarg1)+AssetPdCapFl1,AssetLifeCap1-AssetMarg1),(F240-AssetMarg1)-AssetPdCapFl1,AssetLifeFloor1-AssetMarg1),F240)))+AssetMarg1</f>
        <v>0.09</v>
      </c>
      <c r="G241" s="62">
        <f t="shared" ca="1" si="211"/>
        <v>804622.61694478267</v>
      </c>
      <c r="H241" s="62">
        <f t="shared" ca="1" si="224"/>
        <v>490777.53360761673</v>
      </c>
      <c r="I241" s="62">
        <f t="shared" ca="1" si="225"/>
        <v>313845.08333716594</v>
      </c>
      <c r="J241" s="62">
        <f t="shared" ca="1" si="206"/>
        <v>65123159.397678398</v>
      </c>
      <c r="K241" s="55"/>
      <c r="L241" s="62">
        <f t="shared" ca="1" si="226"/>
        <v>20818325.792906214</v>
      </c>
      <c r="M241" s="68">
        <f ca="1">IF(pdrLossTime1="",OFFSET(Vectors!$AE$6,A241+_Age1,MATCH(SDA_Loss,lstSDA,0)),OFFSET(Vectors!$X$6,A241+_Age1,MATCH(pdrLossTime1,lstDefaultCurve,0)))</f>
        <v>2.7777777777777779E-5</v>
      </c>
      <c r="N241" s="62">
        <f t="shared" ca="1" si="212"/>
        <v>2777.7777777777778</v>
      </c>
      <c r="O241" s="67">
        <f t="shared" ca="1" si="227"/>
        <v>0.65123159397678398</v>
      </c>
      <c r="P241" s="68">
        <f ca="1">OFFSET(Vectors!$L$6,A241+_Age1,MATCH(pdrPrepay1,lstPrepayCurve,0))*pdrPrepayStress1</f>
        <v>5.1430128318229462E-3</v>
      </c>
      <c r="Q241" s="62">
        <f t="shared" ca="1" si="228"/>
        <v>106555.39909626645</v>
      </c>
      <c r="R241" s="62">
        <f t="shared" ca="1" si="229"/>
        <v>99834.297937827636</v>
      </c>
      <c r="S241" s="69">
        <f t="shared" ca="1" si="230"/>
        <v>0.09</v>
      </c>
      <c r="T241" s="62">
        <f t="shared" ca="1" si="231"/>
        <v>156116.61011346328</v>
      </c>
      <c r="U241" s="62">
        <f t="shared" ca="1" si="213"/>
        <v>1111.1111111111111</v>
      </c>
      <c r="V241" s="62">
        <f t="shared" ca="1" si="207"/>
        <v>20609158.318094343</v>
      </c>
      <c r="W241" s="55"/>
      <c r="X241" s="62">
        <f t="shared" ca="1" si="232"/>
        <v>363617.41825866851</v>
      </c>
      <c r="Y241" s="55"/>
      <c r="Z241" s="118" t="b">
        <v>0</v>
      </c>
      <c r="AA241" s="120" t="b">
        <f t="shared" si="214"/>
        <v>0</v>
      </c>
      <c r="AB241" s="120" t="b">
        <f t="shared" si="215"/>
        <v>1</v>
      </c>
      <c r="AC241" s="120" t="b">
        <f t="shared" ca="1" si="216"/>
        <v>0</v>
      </c>
      <c r="AD241" s="121"/>
      <c r="AE241" s="129">
        <v>277603.26308761351</v>
      </c>
      <c r="AF241" s="69">
        <f ca="1">IF(Swap_Active="No",0,OFFSET(Vectors!$D$6,Vectors!A241,MATCH(Swap_In,lstInterestRates,0)))</f>
        <v>6.9369000000000056E-2</v>
      </c>
      <c r="AG241" s="62">
        <f t="shared" ca="1" si="233"/>
        <v>1604.755063093723</v>
      </c>
      <c r="AH241" s="69">
        <f ca="1">IF(Swap_Active="No",0,OFFSET(Vectors!$D$6,Vectors!A241,MATCH(Swap_Out,lstInterestRates,0)))</f>
        <v>0.04</v>
      </c>
      <c r="AI241" s="62">
        <f t="shared" ca="1" si="234"/>
        <v>925.34421029204498</v>
      </c>
      <c r="AJ241" s="62">
        <f t="shared" ca="1" si="235"/>
        <v>679.41085280167806</v>
      </c>
      <c r="AK241" s="62">
        <f t="shared" ca="1" si="236"/>
        <v>364296.8291114702</v>
      </c>
      <c r="AL241" s="121"/>
      <c r="AM241" s="123">
        <f t="shared" ca="1" si="217"/>
        <v>34697.209654843689</v>
      </c>
      <c r="AN241" s="124">
        <f t="shared" ca="1" si="237"/>
        <v>34697.209654843689</v>
      </c>
      <c r="AO241" s="125">
        <f t="shared" ca="1" si="238"/>
        <v>0</v>
      </c>
      <c r="AP241" s="123">
        <f t="shared" ca="1" si="239"/>
        <v>329599.61945662653</v>
      </c>
      <c r="AQ241" s="121"/>
      <c r="AR241" s="126">
        <f ca="1">IF(LiabIntType1="Fixed",LiabFxdRate1,OFFSET(Vectors!$D$6,Vectors!A241,MATCH(LiabLoanIndex1,lstInterestRates,0))+LiabMarg1)</f>
        <v>7.9369000000000051E-2</v>
      </c>
      <c r="AS241" s="122">
        <f t="shared" ca="1" si="240"/>
        <v>0</v>
      </c>
      <c r="AT241" s="124">
        <f t="shared" ca="1" si="241"/>
        <v>0</v>
      </c>
      <c r="AU241" s="123">
        <f t="shared" ca="1" si="242"/>
        <v>0</v>
      </c>
      <c r="AV241" s="123">
        <f t="shared" ca="1" si="218"/>
        <v>0</v>
      </c>
      <c r="AW241" s="123">
        <f t="shared" ca="1" si="243"/>
        <v>0</v>
      </c>
      <c r="AX241" s="124">
        <f t="shared" ca="1" si="244"/>
        <v>329599.61945662653</v>
      </c>
      <c r="AY241" s="121"/>
      <c r="AZ241" s="122">
        <f t="shared" ca="1" si="219"/>
        <v>0</v>
      </c>
      <c r="BA241" s="124">
        <f t="shared" ca="1" si="245"/>
        <v>0</v>
      </c>
      <c r="BB241" s="123">
        <f t="shared" ca="1" si="246"/>
        <v>0</v>
      </c>
      <c r="BC241" s="123">
        <f t="shared" ca="1" si="220"/>
        <v>0</v>
      </c>
      <c r="BD241" s="123">
        <f t="shared" ca="1" si="247"/>
        <v>0</v>
      </c>
      <c r="BE241" s="124">
        <f t="shared" ca="1" si="248"/>
        <v>329599.61945662653</v>
      </c>
      <c r="BF241" s="121"/>
      <c r="BG241" s="123">
        <f t="shared" si="221"/>
        <v>1000000</v>
      </c>
      <c r="BH241" s="123">
        <f t="shared" ca="1" si="249"/>
        <v>1000000</v>
      </c>
      <c r="BI241" s="123">
        <f t="shared" ca="1" si="250"/>
        <v>0</v>
      </c>
      <c r="BJ241" s="123">
        <f t="shared" ca="1" si="251"/>
        <v>0</v>
      </c>
      <c r="BK241" s="123">
        <f t="shared" ca="1" si="208"/>
        <v>1000000</v>
      </c>
      <c r="BL241" s="123">
        <f t="shared" ca="1" si="252"/>
        <v>329599.61945662653</v>
      </c>
      <c r="BM241" s="121"/>
      <c r="BN241" s="126">
        <f ca="1">IF(LiabIntType2="Fixed",LiabFxdRate2,OFFSET(Vectors!$D$6,Vectors!A241,MATCH(LiabLoanIndex2,lstInterestRates,0))+LiabMarg2)</f>
        <v>0.04</v>
      </c>
      <c r="BO241" s="122">
        <f t="shared" ca="1" si="253"/>
        <v>27690.051324197168</v>
      </c>
      <c r="BP241" s="124">
        <f t="shared" ca="1" si="254"/>
        <v>27690.051324197168</v>
      </c>
      <c r="BQ241" s="123">
        <f t="shared" ca="1" si="255"/>
        <v>0</v>
      </c>
      <c r="BR241" s="123">
        <f t="shared" ca="1" si="256"/>
        <v>301909.56813242938</v>
      </c>
      <c r="BS241" s="121"/>
      <c r="BT241" s="123">
        <f t="shared" ca="1" si="222"/>
        <v>21445.756544313339</v>
      </c>
      <c r="BU241" s="123">
        <f t="shared" ca="1" si="257"/>
        <v>21445.756544313339</v>
      </c>
      <c r="BV241" s="123">
        <f t="shared" ca="1" si="258"/>
        <v>0</v>
      </c>
      <c r="BW241" s="123">
        <f t="shared" ca="1" si="259"/>
        <v>280463.81158811605</v>
      </c>
      <c r="BX241" s="121"/>
      <c r="BY241" s="123">
        <f t="shared" si="260"/>
        <v>0</v>
      </c>
      <c r="BZ241" s="123">
        <f t="shared" ca="1" si="261"/>
        <v>280463.81158811605</v>
      </c>
      <c r="CA241" s="121"/>
      <c r="CB241" s="122">
        <f t="shared" ca="1" si="209"/>
        <v>0</v>
      </c>
      <c r="CC241" s="122">
        <f t="shared" ca="1" si="262"/>
        <v>0</v>
      </c>
      <c r="CD241" s="124">
        <f t="shared" ca="1" si="263"/>
        <v>0</v>
      </c>
      <c r="CE241" s="121"/>
      <c r="CF241" s="122">
        <f t="shared" ca="1" si="210"/>
        <v>8285569.6407148372</v>
      </c>
      <c r="CG241" s="124">
        <f t="shared" ca="1" si="264"/>
        <v>27690.051324197168</v>
      </c>
      <c r="CH241" s="123">
        <f t="shared" ca="1" si="265"/>
        <v>21445.756544313339</v>
      </c>
      <c r="CI241" s="121"/>
      <c r="CJ241" s="123">
        <f t="shared" ca="1" si="266"/>
        <v>365222.17332176224</v>
      </c>
      <c r="CK241" s="123">
        <f t="shared" ca="1" si="267"/>
        <v>365222.1733217623</v>
      </c>
      <c r="CL241" s="123">
        <f t="shared" ca="1" si="268"/>
        <v>0</v>
      </c>
      <c r="CM241" s="121"/>
      <c r="CN241" s="62">
        <f t="shared" ca="1" si="269"/>
        <v>209167.47481187189</v>
      </c>
      <c r="CO241" s="62" t="b">
        <f t="shared" si="270"/>
        <v>1</v>
      </c>
      <c r="CP241" s="126">
        <f t="shared" ca="1" si="271"/>
        <v>6.527777777777753E-3</v>
      </c>
      <c r="CQ241" s="120"/>
      <c r="CR241" s="120"/>
      <c r="CS241" s="120"/>
      <c r="CT241" s="120"/>
      <c r="CU241" s="120"/>
      <c r="CV241" s="120"/>
      <c r="CW241" s="120"/>
      <c r="CX241" s="120"/>
      <c r="CY241" s="120"/>
      <c r="CZ241" s="120"/>
      <c r="DA241" s="120"/>
      <c r="DB241" s="120"/>
      <c r="DC241" s="120"/>
      <c r="DD241" s="120"/>
      <c r="DE241" s="116"/>
      <c r="DF241" s="116"/>
      <c r="DG241" s="116"/>
      <c r="DH241" s="116"/>
      <c r="DI241" s="116"/>
      <c r="DJ241" s="116"/>
      <c r="DK241" s="116"/>
      <c r="DL241" s="116"/>
      <c r="DM241" s="116"/>
      <c r="DN241" s="116"/>
    </row>
    <row r="242" spans="1:118" x14ac:dyDescent="0.2">
      <c r="A242" s="27">
        <v>236</v>
      </c>
      <c r="B242" s="29">
        <f t="shared" si="204"/>
        <v>46296</v>
      </c>
      <c r="C242" s="30">
        <f t="shared" si="205"/>
        <v>8.3333333333333329E-2</v>
      </c>
      <c r="D242" s="55"/>
      <c r="E242" s="62">
        <f t="shared" ca="1" si="223"/>
        <v>65123159.397678398</v>
      </c>
      <c r="F242" s="63">
        <f ca="1">IF(AssetIntType1="Fixed",AssetFxdRate1,IF(A242=1,OFFSET(Vectors!$D$6,A242,MATCH(AssetFltIndx1,lstInterestRates,0)),IF(MOD($A242,AssetRateReset1)=0,MAX(MIN(OFFSET(Vectors!$D$6,A242,MATCH(AssetFltIndx1,lstInterestRates,0)),(F241-AssetMarg1)+AssetPdCapFl1,AssetLifeCap1-AssetMarg1),(F241-AssetMarg1)-AssetPdCapFl1,AssetLifeFloor1-AssetMarg1),F241)))+AssetMarg1</f>
        <v>0.09</v>
      </c>
      <c r="G242" s="62">
        <f t="shared" ca="1" si="211"/>
        <v>804622.61694478267</v>
      </c>
      <c r="H242" s="62">
        <f t="shared" ca="1" si="224"/>
        <v>488423.69548258797</v>
      </c>
      <c r="I242" s="62">
        <f t="shared" ca="1" si="225"/>
        <v>316198.9214621947</v>
      </c>
      <c r="J242" s="62">
        <f t="shared" ca="1" si="206"/>
        <v>64806960.476216204</v>
      </c>
      <c r="K242" s="55"/>
      <c r="L242" s="62">
        <f t="shared" ca="1" si="226"/>
        <v>20609158.318094343</v>
      </c>
      <c r="M242" s="68">
        <f ca="1">IF(pdrLossTime1="",OFFSET(Vectors!$AE$6,A242+_Age1,MATCH(SDA_Loss,lstSDA,0)),OFFSET(Vectors!$X$6,A242+_Age1,MATCH(pdrLossTime1,lstDefaultCurve,0)))</f>
        <v>2.7777777777777779E-5</v>
      </c>
      <c r="N242" s="62">
        <f t="shared" ca="1" si="212"/>
        <v>2777.7777777777778</v>
      </c>
      <c r="O242" s="67">
        <f t="shared" ca="1" si="227"/>
        <v>0.64806960476216202</v>
      </c>
      <c r="P242" s="68">
        <f ca="1">OFFSET(Vectors!$L$6,A242+_Age1,MATCH(pdrPrepay1,lstPrepayCurve,0))*pdrPrepayStress1</f>
        <v>5.1430128318229462E-3</v>
      </c>
      <c r="Q242" s="62">
        <f t="shared" ca="1" si="228"/>
        <v>105478.52657489506</v>
      </c>
      <c r="R242" s="62">
        <f t="shared" ca="1" si="229"/>
        <v>100052.19897731188</v>
      </c>
      <c r="S242" s="69">
        <f t="shared" ca="1" si="230"/>
        <v>0.09</v>
      </c>
      <c r="T242" s="62">
        <f t="shared" ca="1" si="231"/>
        <v>154547.85405237426</v>
      </c>
      <c r="U242" s="62">
        <f t="shared" ca="1" si="213"/>
        <v>1111.1111111111111</v>
      </c>
      <c r="V242" s="62">
        <f t="shared" ca="1" si="207"/>
        <v>20400849.814764362</v>
      </c>
      <c r="W242" s="55"/>
      <c r="X242" s="62">
        <f t="shared" ca="1" si="232"/>
        <v>361189.69071569236</v>
      </c>
      <c r="Y242" s="55"/>
      <c r="Z242" s="118" t="b">
        <v>0</v>
      </c>
      <c r="AA242" s="120" t="b">
        <f t="shared" si="214"/>
        <v>0</v>
      </c>
      <c r="AB242" s="120" t="b">
        <f t="shared" si="215"/>
        <v>1</v>
      </c>
      <c r="AC242" s="120" t="b">
        <f t="shared" ca="1" si="216"/>
        <v>0</v>
      </c>
      <c r="AD242" s="121"/>
      <c r="AE242" s="129">
        <v>183401.77687118077</v>
      </c>
      <c r="AF242" s="69">
        <f ca="1">IF(Swap_Active="No",0,OFFSET(Vectors!$D$6,Vectors!A242,MATCH(Swap_In,lstInterestRates,0)))</f>
        <v>6.9369000000000056E-2</v>
      </c>
      <c r="AG242" s="62">
        <f t="shared" ca="1" si="233"/>
        <v>1060.199821648079</v>
      </c>
      <c r="AH242" s="69">
        <f ca="1">IF(Swap_Active="No",0,OFFSET(Vectors!$D$6,Vectors!A242,MATCH(Swap_Out,lstInterestRates,0)))</f>
        <v>0.04</v>
      </c>
      <c r="AI242" s="62">
        <f t="shared" ca="1" si="234"/>
        <v>611.33925623726918</v>
      </c>
      <c r="AJ242" s="62">
        <f t="shared" ca="1" si="235"/>
        <v>448.86056541080984</v>
      </c>
      <c r="AK242" s="62">
        <f t="shared" ca="1" si="236"/>
        <v>361638.55128110317</v>
      </c>
      <c r="AL242" s="121"/>
      <c r="AM242" s="123">
        <f t="shared" ca="1" si="217"/>
        <v>34348.597196823903</v>
      </c>
      <c r="AN242" s="124">
        <f t="shared" ca="1" si="237"/>
        <v>34348.597196823903</v>
      </c>
      <c r="AO242" s="125">
        <f t="shared" ca="1" si="238"/>
        <v>0</v>
      </c>
      <c r="AP242" s="123">
        <f t="shared" ca="1" si="239"/>
        <v>327289.95408427925</v>
      </c>
      <c r="AQ242" s="121"/>
      <c r="AR242" s="126">
        <f ca="1">IF(LiabIntType1="Fixed",LiabFxdRate1,OFFSET(Vectors!$D$6,Vectors!A242,MATCH(LiabLoanIndex1,lstInterestRates,0))+LiabMarg1)</f>
        <v>7.9369000000000051E-2</v>
      </c>
      <c r="AS242" s="122">
        <f t="shared" ca="1" si="240"/>
        <v>0</v>
      </c>
      <c r="AT242" s="124">
        <f t="shared" ca="1" si="241"/>
        <v>0</v>
      </c>
      <c r="AU242" s="123">
        <f t="shared" ca="1" si="242"/>
        <v>0</v>
      </c>
      <c r="AV242" s="123">
        <f t="shared" ca="1" si="218"/>
        <v>0</v>
      </c>
      <c r="AW242" s="123">
        <f t="shared" ca="1" si="243"/>
        <v>0</v>
      </c>
      <c r="AX242" s="124">
        <f t="shared" ca="1" si="244"/>
        <v>327289.95408427925</v>
      </c>
      <c r="AY242" s="121"/>
      <c r="AZ242" s="122">
        <f t="shared" ca="1" si="219"/>
        <v>0</v>
      </c>
      <c r="BA242" s="124">
        <f t="shared" ca="1" si="245"/>
        <v>0</v>
      </c>
      <c r="BB242" s="123">
        <f t="shared" ca="1" si="246"/>
        <v>0</v>
      </c>
      <c r="BC242" s="123">
        <f t="shared" ca="1" si="220"/>
        <v>0</v>
      </c>
      <c r="BD242" s="123">
        <f t="shared" ca="1" si="247"/>
        <v>0</v>
      </c>
      <c r="BE242" s="124">
        <f t="shared" ca="1" si="248"/>
        <v>327289.95408427925</v>
      </c>
      <c r="BF242" s="121"/>
      <c r="BG242" s="123">
        <f t="shared" si="221"/>
        <v>1000000</v>
      </c>
      <c r="BH242" s="123">
        <f t="shared" ca="1" si="249"/>
        <v>1000000</v>
      </c>
      <c r="BI242" s="123">
        <f t="shared" ca="1" si="250"/>
        <v>0</v>
      </c>
      <c r="BJ242" s="123">
        <f t="shared" ca="1" si="251"/>
        <v>0</v>
      </c>
      <c r="BK242" s="123">
        <f t="shared" ca="1" si="208"/>
        <v>1000000</v>
      </c>
      <c r="BL242" s="123">
        <f t="shared" ca="1" si="252"/>
        <v>327289.95408427925</v>
      </c>
      <c r="BM242" s="121"/>
      <c r="BN242" s="126">
        <f ca="1">IF(LiabIntType2="Fixed",LiabFxdRate2,OFFSET(Vectors!$D$6,Vectors!A242,MATCH(LiabLoanIndex2,lstInterestRates,0))+LiabMarg2)</f>
        <v>0.04</v>
      </c>
      <c r="BO242" s="122">
        <f t="shared" ca="1" si="253"/>
        <v>27618.565469049456</v>
      </c>
      <c r="BP242" s="124">
        <f t="shared" ca="1" si="254"/>
        <v>27618.565469049456</v>
      </c>
      <c r="BQ242" s="123">
        <f t="shared" ca="1" si="255"/>
        <v>0</v>
      </c>
      <c r="BR242" s="123">
        <f t="shared" ca="1" si="256"/>
        <v>299671.38861522981</v>
      </c>
      <c r="BS242" s="121"/>
      <c r="BT242" s="123">
        <f t="shared" ca="1" si="222"/>
        <v>21357.686956555353</v>
      </c>
      <c r="BU242" s="123">
        <f t="shared" ca="1" si="257"/>
        <v>21357.686956555353</v>
      </c>
      <c r="BV242" s="123">
        <f t="shared" ca="1" si="258"/>
        <v>0</v>
      </c>
      <c r="BW242" s="123">
        <f t="shared" ca="1" si="259"/>
        <v>278313.70165867446</v>
      </c>
      <c r="BX242" s="121"/>
      <c r="BY242" s="123">
        <f t="shared" si="260"/>
        <v>0</v>
      </c>
      <c r="BZ242" s="123">
        <f t="shared" ca="1" si="261"/>
        <v>278313.70165867446</v>
      </c>
      <c r="CA242" s="121"/>
      <c r="CB242" s="122">
        <f t="shared" ca="1" si="209"/>
        <v>0</v>
      </c>
      <c r="CC242" s="122">
        <f t="shared" ca="1" si="262"/>
        <v>0</v>
      </c>
      <c r="CD242" s="124">
        <f t="shared" ca="1" si="263"/>
        <v>0</v>
      </c>
      <c r="CE242" s="121"/>
      <c r="CF242" s="122">
        <f t="shared" ca="1" si="210"/>
        <v>8264211.9537582817</v>
      </c>
      <c r="CG242" s="124">
        <f t="shared" ca="1" si="264"/>
        <v>27618.565469049456</v>
      </c>
      <c r="CH242" s="123">
        <f t="shared" ca="1" si="265"/>
        <v>21357.686956555353</v>
      </c>
      <c r="CI242" s="121"/>
      <c r="CJ242" s="123">
        <f t="shared" ca="1" si="266"/>
        <v>362249.89053734043</v>
      </c>
      <c r="CK242" s="123">
        <f t="shared" ca="1" si="267"/>
        <v>362249.89053734043</v>
      </c>
      <c r="CL242" s="123">
        <f t="shared" ca="1" si="268"/>
        <v>0</v>
      </c>
      <c r="CM242" s="121"/>
      <c r="CN242" s="62">
        <f t="shared" ca="1" si="269"/>
        <v>208308.50332998473</v>
      </c>
      <c r="CO242" s="62" t="b">
        <f t="shared" si="270"/>
        <v>1</v>
      </c>
      <c r="CP242" s="126">
        <f t="shared" ca="1" si="271"/>
        <v>6.5555555555555306E-3</v>
      </c>
      <c r="CQ242" s="120"/>
      <c r="CR242" s="120"/>
      <c r="CS242" s="120"/>
      <c r="CT242" s="120"/>
      <c r="CU242" s="120"/>
      <c r="CV242" s="120"/>
      <c r="CW242" s="120"/>
      <c r="CX242" s="120"/>
      <c r="CY242" s="120"/>
      <c r="CZ242" s="120"/>
      <c r="DA242" s="120"/>
      <c r="DB242" s="120"/>
      <c r="DC242" s="120"/>
      <c r="DD242" s="120"/>
      <c r="DE242" s="116"/>
      <c r="DF242" s="116"/>
      <c r="DG242" s="116"/>
      <c r="DH242" s="116"/>
      <c r="DI242" s="116"/>
      <c r="DJ242" s="116"/>
      <c r="DK242" s="116"/>
      <c r="DL242" s="116"/>
      <c r="DM242" s="116"/>
      <c r="DN242" s="116"/>
    </row>
    <row r="243" spans="1:118" x14ac:dyDescent="0.2">
      <c r="A243" s="27">
        <v>237</v>
      </c>
      <c r="B243" s="29">
        <f t="shared" si="204"/>
        <v>46327</v>
      </c>
      <c r="C243" s="30">
        <f t="shared" si="205"/>
        <v>8.3333333333333329E-2</v>
      </c>
      <c r="D243" s="55"/>
      <c r="E243" s="62">
        <f t="shared" ca="1" si="223"/>
        <v>64806960.476216204</v>
      </c>
      <c r="F243" s="63">
        <f ca="1">IF(AssetIntType1="Fixed",AssetFxdRate1,IF(A243=1,OFFSET(Vectors!$D$6,A243,MATCH(AssetFltIndx1,lstInterestRates,0)),IF(MOD($A243,AssetRateReset1)=0,MAX(MIN(OFFSET(Vectors!$D$6,A243,MATCH(AssetFltIndx1,lstInterestRates,0)),(F242-AssetMarg1)+AssetPdCapFl1,AssetLifeCap1-AssetMarg1),(F242-AssetMarg1)-AssetPdCapFl1,AssetLifeFloor1-AssetMarg1),F242)))+AssetMarg1</f>
        <v>0.09</v>
      </c>
      <c r="G243" s="62">
        <f t="shared" ca="1" si="211"/>
        <v>804622.61694478267</v>
      </c>
      <c r="H243" s="62">
        <f t="shared" ca="1" si="224"/>
        <v>486052.2035716215</v>
      </c>
      <c r="I243" s="62">
        <f t="shared" ca="1" si="225"/>
        <v>318570.41337316117</v>
      </c>
      <c r="J243" s="62">
        <f t="shared" ca="1" si="206"/>
        <v>64488390.06284304</v>
      </c>
      <c r="K243" s="55"/>
      <c r="L243" s="62">
        <f t="shared" ca="1" si="226"/>
        <v>20400849.814764362</v>
      </c>
      <c r="M243" s="68">
        <f ca="1">IF(pdrLossTime1="",OFFSET(Vectors!$AE$6,A243+_Age1,MATCH(SDA_Loss,lstSDA,0)),OFFSET(Vectors!$X$6,A243+_Age1,MATCH(pdrLossTime1,lstDefaultCurve,0)))</f>
        <v>2.7777777777777779E-5</v>
      </c>
      <c r="N243" s="62">
        <f t="shared" ca="1" si="212"/>
        <v>2777.7777777777778</v>
      </c>
      <c r="O243" s="67">
        <f t="shared" ca="1" si="227"/>
        <v>0.64488390062843037</v>
      </c>
      <c r="P243" s="68">
        <f ca="1">OFFSET(Vectors!$L$6,A243+_Age1,MATCH(pdrPrepay1,lstPrepayCurve,0))*pdrPrepayStress1</f>
        <v>5.1430128318229462E-3</v>
      </c>
      <c r="Q243" s="62">
        <f t="shared" ca="1" si="228"/>
        <v>104406.07000766296</v>
      </c>
      <c r="R243" s="62">
        <f t="shared" ca="1" si="229"/>
        <v>100270.43689579118</v>
      </c>
      <c r="S243" s="69">
        <f t="shared" ca="1" si="230"/>
        <v>0.09</v>
      </c>
      <c r="T243" s="62">
        <f t="shared" ca="1" si="231"/>
        <v>152985.54027739938</v>
      </c>
      <c r="U243" s="62">
        <f t="shared" ca="1" si="213"/>
        <v>1111.1111111111111</v>
      </c>
      <c r="V243" s="62">
        <f t="shared" ca="1" si="207"/>
        <v>20193395.530083131</v>
      </c>
      <c r="W243" s="55"/>
      <c r="X243" s="62">
        <f t="shared" ca="1" si="232"/>
        <v>358773.15829196468</v>
      </c>
      <c r="Y243" s="55"/>
      <c r="Z243" s="118" t="b">
        <v>0</v>
      </c>
      <c r="AA243" s="120" t="b">
        <f t="shared" si="214"/>
        <v>0</v>
      </c>
      <c r="AB243" s="120" t="b">
        <f t="shared" si="215"/>
        <v>1</v>
      </c>
      <c r="AC243" s="120" t="b">
        <f t="shared" ca="1" si="216"/>
        <v>0</v>
      </c>
      <c r="AD243" s="121"/>
      <c r="AE243" s="129">
        <v>90237.142280280634</v>
      </c>
      <c r="AF243" s="69">
        <f ca="1">IF(Swap_Active="No",0,OFFSET(Vectors!$D$6,Vectors!A243,MATCH(Swap_In,lstInterestRates,0)))</f>
        <v>6.9369000000000056E-2</v>
      </c>
      <c r="AG243" s="62">
        <f t="shared" ca="1" si="233"/>
        <v>521.63836023673264</v>
      </c>
      <c r="AH243" s="69">
        <f ca="1">IF(Swap_Active="No",0,OFFSET(Vectors!$D$6,Vectors!A243,MATCH(Swap_Out,lstInterestRates,0)))</f>
        <v>0.04</v>
      </c>
      <c r="AI243" s="62">
        <f t="shared" ca="1" si="234"/>
        <v>300.79047426760212</v>
      </c>
      <c r="AJ243" s="62">
        <f t="shared" ca="1" si="235"/>
        <v>220.84788596913052</v>
      </c>
      <c r="AK243" s="62">
        <f t="shared" ca="1" si="236"/>
        <v>358994.00617793383</v>
      </c>
      <c r="AL243" s="121"/>
      <c r="AM243" s="123">
        <f t="shared" ca="1" si="217"/>
        <v>34001.416357940601</v>
      </c>
      <c r="AN243" s="124">
        <f t="shared" ca="1" si="237"/>
        <v>34001.416357940601</v>
      </c>
      <c r="AO243" s="125">
        <f t="shared" ca="1" si="238"/>
        <v>0</v>
      </c>
      <c r="AP243" s="123">
        <f t="shared" ca="1" si="239"/>
        <v>324992.58981999324</v>
      </c>
      <c r="AQ243" s="121"/>
      <c r="AR243" s="126">
        <f ca="1">IF(LiabIntType1="Fixed",LiabFxdRate1,OFFSET(Vectors!$D$6,Vectors!A243,MATCH(LiabLoanIndex1,lstInterestRates,0))+LiabMarg1)</f>
        <v>7.9369000000000051E-2</v>
      </c>
      <c r="AS243" s="122">
        <f t="shared" ca="1" si="240"/>
        <v>0</v>
      </c>
      <c r="AT243" s="124">
        <f t="shared" ca="1" si="241"/>
        <v>0</v>
      </c>
      <c r="AU243" s="123">
        <f t="shared" ca="1" si="242"/>
        <v>0</v>
      </c>
      <c r="AV243" s="123">
        <f t="shared" ca="1" si="218"/>
        <v>0</v>
      </c>
      <c r="AW243" s="123">
        <f t="shared" ca="1" si="243"/>
        <v>0</v>
      </c>
      <c r="AX243" s="124">
        <f t="shared" ca="1" si="244"/>
        <v>324992.58981999324</v>
      </c>
      <c r="AY243" s="121"/>
      <c r="AZ243" s="122">
        <f t="shared" ca="1" si="219"/>
        <v>0</v>
      </c>
      <c r="BA243" s="124">
        <f t="shared" ca="1" si="245"/>
        <v>0</v>
      </c>
      <c r="BB243" s="123">
        <f t="shared" ca="1" si="246"/>
        <v>0</v>
      </c>
      <c r="BC243" s="123">
        <f t="shared" ca="1" si="220"/>
        <v>0</v>
      </c>
      <c r="BD243" s="123">
        <f t="shared" ca="1" si="247"/>
        <v>0</v>
      </c>
      <c r="BE243" s="124">
        <f t="shared" ca="1" si="248"/>
        <v>324992.58981999324</v>
      </c>
      <c r="BF243" s="121"/>
      <c r="BG243" s="123">
        <f t="shared" si="221"/>
        <v>1000000</v>
      </c>
      <c r="BH243" s="123">
        <f t="shared" ca="1" si="249"/>
        <v>1000000</v>
      </c>
      <c r="BI243" s="123">
        <f t="shared" ca="1" si="250"/>
        <v>0</v>
      </c>
      <c r="BJ243" s="123">
        <f t="shared" ca="1" si="251"/>
        <v>0</v>
      </c>
      <c r="BK243" s="123">
        <f t="shared" ca="1" si="208"/>
        <v>1000000</v>
      </c>
      <c r="BL243" s="123">
        <f t="shared" ca="1" si="252"/>
        <v>324992.58981999324</v>
      </c>
      <c r="BM243" s="121"/>
      <c r="BN243" s="126">
        <f ca="1">IF(LiabIntType2="Fixed",LiabFxdRate2,OFFSET(Vectors!$D$6,Vectors!A243,MATCH(LiabLoanIndex2,lstInterestRates,0))+LiabMarg2)</f>
        <v>0.04</v>
      </c>
      <c r="BO243" s="122">
        <f t="shared" ca="1" si="253"/>
        <v>27547.37317919427</v>
      </c>
      <c r="BP243" s="124">
        <f t="shared" ca="1" si="254"/>
        <v>27547.37317919427</v>
      </c>
      <c r="BQ243" s="123">
        <f t="shared" ca="1" si="255"/>
        <v>0</v>
      </c>
      <c r="BR243" s="123">
        <f t="shared" ca="1" si="256"/>
        <v>297445.21664079896</v>
      </c>
      <c r="BS243" s="121"/>
      <c r="BT243" s="123">
        <f t="shared" ca="1" si="222"/>
        <v>21270.104672582947</v>
      </c>
      <c r="BU243" s="123">
        <f t="shared" ca="1" si="257"/>
        <v>21270.104672582947</v>
      </c>
      <c r="BV243" s="123">
        <f t="shared" ca="1" si="258"/>
        <v>0</v>
      </c>
      <c r="BW243" s="123">
        <f t="shared" ca="1" si="259"/>
        <v>276175.11196821602</v>
      </c>
      <c r="BX243" s="121"/>
      <c r="BY243" s="123">
        <f t="shared" si="260"/>
        <v>0</v>
      </c>
      <c r="BZ243" s="123">
        <f t="shared" ca="1" si="261"/>
        <v>276175.11196821602</v>
      </c>
      <c r="CA243" s="121"/>
      <c r="CB243" s="122">
        <f t="shared" ca="1" si="209"/>
        <v>0</v>
      </c>
      <c r="CC243" s="122">
        <f t="shared" ca="1" si="262"/>
        <v>0</v>
      </c>
      <c r="CD243" s="124">
        <f t="shared" ca="1" si="263"/>
        <v>0</v>
      </c>
      <c r="CE243" s="121"/>
      <c r="CF243" s="122">
        <f t="shared" ca="1" si="210"/>
        <v>8242941.8490856988</v>
      </c>
      <c r="CG243" s="124">
        <f t="shared" ca="1" si="264"/>
        <v>27547.37317919427</v>
      </c>
      <c r="CH243" s="123">
        <f t="shared" ca="1" si="265"/>
        <v>21270.104672582947</v>
      </c>
      <c r="CI243" s="121"/>
      <c r="CJ243" s="123">
        <f t="shared" ca="1" si="266"/>
        <v>359294.79665220139</v>
      </c>
      <c r="CK243" s="123">
        <f t="shared" ca="1" si="267"/>
        <v>359294.79665220145</v>
      </c>
      <c r="CL243" s="123">
        <f t="shared" ca="1" si="268"/>
        <v>0</v>
      </c>
      <c r="CM243" s="121"/>
      <c r="CN243" s="62">
        <f t="shared" ca="1" si="269"/>
        <v>207454.28468123192</v>
      </c>
      <c r="CO243" s="62" t="b">
        <f t="shared" si="270"/>
        <v>1</v>
      </c>
      <c r="CP243" s="126">
        <f t="shared" ca="1" si="271"/>
        <v>6.5833333333333082E-3</v>
      </c>
      <c r="CQ243" s="120"/>
      <c r="CR243" s="120"/>
      <c r="CS243" s="120"/>
      <c r="CT243" s="120"/>
      <c r="CU243" s="120"/>
      <c r="CV243" s="120"/>
      <c r="CW243" s="120"/>
      <c r="CX243" s="120"/>
      <c r="CY243" s="120"/>
      <c r="CZ243" s="120"/>
      <c r="DA243" s="120"/>
      <c r="DB243" s="120"/>
      <c r="DC243" s="120"/>
      <c r="DD243" s="120"/>
      <c r="DE243" s="116"/>
      <c r="DF243" s="116"/>
      <c r="DG243" s="116"/>
      <c r="DH243" s="116"/>
      <c r="DI243" s="116"/>
      <c r="DJ243" s="116"/>
      <c r="DK243" s="116"/>
      <c r="DL243" s="116"/>
      <c r="DM243" s="116"/>
      <c r="DN243" s="116"/>
    </row>
    <row r="244" spans="1:118" x14ac:dyDescent="0.2">
      <c r="A244" s="27">
        <v>238</v>
      </c>
      <c r="B244" s="29">
        <f t="shared" si="204"/>
        <v>46357</v>
      </c>
      <c r="C244" s="30">
        <f t="shared" si="205"/>
        <v>8.3333333333333329E-2</v>
      </c>
      <c r="D244" s="55"/>
      <c r="E244" s="62">
        <f t="shared" ca="1" si="223"/>
        <v>64488390.06284304</v>
      </c>
      <c r="F244" s="63">
        <f ca="1">IF(AssetIntType1="Fixed",AssetFxdRate1,IF(A244=1,OFFSET(Vectors!$D$6,A244,MATCH(AssetFltIndx1,lstInterestRates,0)),IF(MOD($A244,AssetRateReset1)=0,MAX(MIN(OFFSET(Vectors!$D$6,A244,MATCH(AssetFltIndx1,lstInterestRates,0)),(F243-AssetMarg1)+AssetPdCapFl1,AssetLifeCap1-AssetMarg1),(F243-AssetMarg1)-AssetPdCapFl1,AssetLifeFloor1-AssetMarg1),F243)))+AssetMarg1</f>
        <v>0.09</v>
      </c>
      <c r="G244" s="62">
        <f t="shared" ca="1" si="211"/>
        <v>804622.61694478267</v>
      </c>
      <c r="H244" s="62">
        <f t="shared" ca="1" si="224"/>
        <v>483662.92547132279</v>
      </c>
      <c r="I244" s="62">
        <f t="shared" ca="1" si="225"/>
        <v>320959.69147345988</v>
      </c>
      <c r="J244" s="62">
        <f t="shared" ca="1" si="206"/>
        <v>64167430.371369578</v>
      </c>
      <c r="K244" s="55"/>
      <c r="L244" s="62">
        <f t="shared" ca="1" si="226"/>
        <v>20193395.530083131</v>
      </c>
      <c r="M244" s="68">
        <f ca="1">IF(pdrLossTime1="",OFFSET(Vectors!$AE$6,A244+_Age1,MATCH(SDA_Loss,lstSDA,0)),OFFSET(Vectors!$X$6,A244+_Age1,MATCH(pdrLossTime1,lstDefaultCurve,0)))</f>
        <v>2.7777777777777779E-5</v>
      </c>
      <c r="N244" s="62">
        <f t="shared" ca="1" si="212"/>
        <v>2777.7777777777778</v>
      </c>
      <c r="O244" s="67">
        <f t="shared" ca="1" si="227"/>
        <v>0.64167430371369583</v>
      </c>
      <c r="P244" s="68">
        <f ca="1">OFFSET(Vectors!$L$6,A244+_Age1,MATCH(pdrPrepay1,lstPrepayCurve,0))*pdrPrepayStress1</f>
        <v>5.1430128318229462E-3</v>
      </c>
      <c r="Q244" s="62">
        <f t="shared" ca="1" si="228"/>
        <v>103338.00496138859</v>
      </c>
      <c r="R244" s="62">
        <f t="shared" ca="1" si="229"/>
        <v>100489.00954300984</v>
      </c>
      <c r="S244" s="69">
        <f t="shared" ca="1" si="230"/>
        <v>0.09</v>
      </c>
      <c r="T244" s="62">
        <f t="shared" ca="1" si="231"/>
        <v>151429.63314229014</v>
      </c>
      <c r="U244" s="62">
        <f t="shared" ca="1" si="213"/>
        <v>1111.1111111111111</v>
      </c>
      <c r="V244" s="62">
        <f t="shared" ca="1" si="207"/>
        <v>19986790.737800956</v>
      </c>
      <c r="W244" s="55"/>
      <c r="X244" s="62">
        <f t="shared" ca="1" si="232"/>
        <v>356367.75875779975</v>
      </c>
      <c r="Y244" s="55"/>
      <c r="Z244" s="118" t="b">
        <v>0</v>
      </c>
      <c r="AA244" s="120" t="b">
        <f t="shared" si="214"/>
        <v>0</v>
      </c>
      <c r="AB244" s="120" t="b">
        <f t="shared" si="215"/>
        <v>1</v>
      </c>
      <c r="AC244" s="120" t="b">
        <f t="shared" ca="1" si="216"/>
        <v>0</v>
      </c>
      <c r="AD244" s="121"/>
      <c r="AE244" s="129">
        <v>0</v>
      </c>
      <c r="AF244" s="69">
        <f ca="1">IF(Swap_Active="No",0,OFFSET(Vectors!$D$6,Vectors!A244,MATCH(Swap_In,lstInterestRates,0)))</f>
        <v>6.9369000000000056E-2</v>
      </c>
      <c r="AG244" s="62">
        <f t="shared" ca="1" si="233"/>
        <v>0</v>
      </c>
      <c r="AH244" s="69">
        <f ca="1">IF(Swap_Active="No",0,OFFSET(Vectors!$D$6,Vectors!A244,MATCH(Swap_Out,lstInterestRates,0)))</f>
        <v>0.04</v>
      </c>
      <c r="AI244" s="62">
        <f t="shared" ca="1" si="234"/>
        <v>0</v>
      </c>
      <c r="AJ244" s="62">
        <f t="shared" ca="1" si="235"/>
        <v>0</v>
      </c>
      <c r="AK244" s="62">
        <f t="shared" ca="1" si="236"/>
        <v>356367.75875779975</v>
      </c>
      <c r="AL244" s="121"/>
      <c r="AM244" s="123">
        <f t="shared" ca="1" si="217"/>
        <v>33655.659216805216</v>
      </c>
      <c r="AN244" s="124">
        <f t="shared" ca="1" si="237"/>
        <v>33655.659216805216</v>
      </c>
      <c r="AO244" s="125">
        <f t="shared" ca="1" si="238"/>
        <v>0</v>
      </c>
      <c r="AP244" s="123">
        <f t="shared" ca="1" si="239"/>
        <v>322712.0995409945</v>
      </c>
      <c r="AQ244" s="121"/>
      <c r="AR244" s="126">
        <f ca="1">IF(LiabIntType1="Fixed",LiabFxdRate1,OFFSET(Vectors!$D$6,Vectors!A244,MATCH(LiabLoanIndex1,lstInterestRates,0))+LiabMarg1)</f>
        <v>7.9369000000000051E-2</v>
      </c>
      <c r="AS244" s="122">
        <f t="shared" ca="1" si="240"/>
        <v>0</v>
      </c>
      <c r="AT244" s="124">
        <f t="shared" ca="1" si="241"/>
        <v>0</v>
      </c>
      <c r="AU244" s="123">
        <f t="shared" ca="1" si="242"/>
        <v>0</v>
      </c>
      <c r="AV244" s="123">
        <f t="shared" ca="1" si="218"/>
        <v>0</v>
      </c>
      <c r="AW244" s="123">
        <f t="shared" ca="1" si="243"/>
        <v>0</v>
      </c>
      <c r="AX244" s="124">
        <f t="shared" ca="1" si="244"/>
        <v>322712.0995409945</v>
      </c>
      <c r="AY244" s="121"/>
      <c r="AZ244" s="122">
        <f t="shared" ca="1" si="219"/>
        <v>0</v>
      </c>
      <c r="BA244" s="124">
        <f t="shared" ca="1" si="245"/>
        <v>0</v>
      </c>
      <c r="BB244" s="123">
        <f t="shared" ca="1" si="246"/>
        <v>0</v>
      </c>
      <c r="BC244" s="123">
        <f t="shared" ca="1" si="220"/>
        <v>0</v>
      </c>
      <c r="BD244" s="123">
        <f t="shared" ca="1" si="247"/>
        <v>0</v>
      </c>
      <c r="BE244" s="124">
        <f t="shared" ca="1" si="248"/>
        <v>322712.0995409945</v>
      </c>
      <c r="BF244" s="121"/>
      <c r="BG244" s="123">
        <f t="shared" si="221"/>
        <v>1000000</v>
      </c>
      <c r="BH244" s="123">
        <f t="shared" ca="1" si="249"/>
        <v>1000000</v>
      </c>
      <c r="BI244" s="123">
        <f t="shared" ca="1" si="250"/>
        <v>0</v>
      </c>
      <c r="BJ244" s="123">
        <f t="shared" ca="1" si="251"/>
        <v>0</v>
      </c>
      <c r="BK244" s="123">
        <f t="shared" ca="1" si="208"/>
        <v>1000000</v>
      </c>
      <c r="BL244" s="123">
        <f t="shared" ca="1" si="252"/>
        <v>322712.0995409945</v>
      </c>
      <c r="BM244" s="121"/>
      <c r="BN244" s="126">
        <f ca="1">IF(LiabIntType2="Fixed",LiabFxdRate2,OFFSET(Vectors!$D$6,Vectors!A244,MATCH(LiabLoanIndex2,lstInterestRates,0))+LiabMarg2)</f>
        <v>0.04</v>
      </c>
      <c r="BO244" s="122">
        <f t="shared" ca="1" si="253"/>
        <v>27476.47283028566</v>
      </c>
      <c r="BP244" s="124">
        <f t="shared" ca="1" si="254"/>
        <v>27476.47283028566</v>
      </c>
      <c r="BQ244" s="123">
        <f t="shared" ca="1" si="255"/>
        <v>0</v>
      </c>
      <c r="BR244" s="123">
        <f t="shared" ca="1" si="256"/>
        <v>295235.62671070884</v>
      </c>
      <c r="BS244" s="121"/>
      <c r="BT244" s="123">
        <f t="shared" ca="1" si="222"/>
        <v>21183.006966819758</v>
      </c>
      <c r="BU244" s="123">
        <f t="shared" ca="1" si="257"/>
        <v>21183.006966819758</v>
      </c>
      <c r="BV244" s="123">
        <f t="shared" ca="1" si="258"/>
        <v>0</v>
      </c>
      <c r="BW244" s="123">
        <f t="shared" ca="1" si="259"/>
        <v>274052.61974388908</v>
      </c>
      <c r="BX244" s="121"/>
      <c r="BY244" s="123">
        <f t="shared" si="260"/>
        <v>0</v>
      </c>
      <c r="BZ244" s="123">
        <f t="shared" ca="1" si="261"/>
        <v>274052.61974388908</v>
      </c>
      <c r="CA244" s="121"/>
      <c r="CB244" s="122">
        <f t="shared" ca="1" si="209"/>
        <v>0</v>
      </c>
      <c r="CC244" s="122">
        <f t="shared" ca="1" si="262"/>
        <v>0</v>
      </c>
      <c r="CD244" s="124">
        <f t="shared" ca="1" si="263"/>
        <v>0</v>
      </c>
      <c r="CE244" s="121"/>
      <c r="CF244" s="122">
        <f t="shared" ca="1" si="210"/>
        <v>8221758.8421188788</v>
      </c>
      <c r="CG244" s="124">
        <f t="shared" ca="1" si="264"/>
        <v>27476.47283028566</v>
      </c>
      <c r="CH244" s="123">
        <f t="shared" ca="1" si="265"/>
        <v>21183.006966819758</v>
      </c>
      <c r="CI244" s="121"/>
      <c r="CJ244" s="123">
        <f t="shared" ca="1" si="266"/>
        <v>356367.75875779975</v>
      </c>
      <c r="CK244" s="123">
        <f t="shared" ca="1" si="267"/>
        <v>356367.75875779975</v>
      </c>
      <c r="CL244" s="123">
        <f t="shared" ca="1" si="268"/>
        <v>0</v>
      </c>
      <c r="CM244" s="121"/>
      <c r="CN244" s="62">
        <f t="shared" ca="1" si="269"/>
        <v>206604.7922821762</v>
      </c>
      <c r="CO244" s="62" t="b">
        <f t="shared" si="270"/>
        <v>1</v>
      </c>
      <c r="CP244" s="126">
        <f t="shared" ca="1" si="271"/>
        <v>6.6111111111110859E-3</v>
      </c>
      <c r="CQ244" s="120"/>
      <c r="CR244" s="120"/>
      <c r="CS244" s="120"/>
      <c r="CT244" s="120"/>
      <c r="CU244" s="120"/>
      <c r="CV244" s="120"/>
      <c r="CW244" s="120"/>
      <c r="CX244" s="120"/>
      <c r="CY244" s="120"/>
      <c r="CZ244" s="120"/>
      <c r="DA244" s="120"/>
      <c r="DB244" s="120"/>
      <c r="DC244" s="120"/>
      <c r="DD244" s="120"/>
      <c r="DE244" s="116"/>
      <c r="DF244" s="116"/>
      <c r="DG244" s="116"/>
      <c r="DH244" s="116"/>
      <c r="DI244" s="116"/>
      <c r="DJ244" s="116"/>
      <c r="DK244" s="116"/>
      <c r="DL244" s="116"/>
      <c r="DM244" s="116"/>
      <c r="DN244" s="116"/>
    </row>
    <row r="245" spans="1:118" x14ac:dyDescent="0.2">
      <c r="A245" s="27">
        <v>239</v>
      </c>
      <c r="B245" s="29">
        <f t="shared" si="204"/>
        <v>46388</v>
      </c>
      <c r="C245" s="30">
        <f t="shared" si="205"/>
        <v>8.3333333333333329E-2</v>
      </c>
      <c r="D245" s="55"/>
      <c r="E245" s="62">
        <f t="shared" ca="1" si="223"/>
        <v>64167430.371369578</v>
      </c>
      <c r="F245" s="63">
        <f ca="1">IF(AssetIntType1="Fixed",AssetFxdRate1,IF(A245=1,OFFSET(Vectors!$D$6,A245,MATCH(AssetFltIndx1,lstInterestRates,0)),IF(MOD($A245,AssetRateReset1)=0,MAX(MIN(OFFSET(Vectors!$D$6,A245,MATCH(AssetFltIndx1,lstInterestRates,0)),(F244-AssetMarg1)+AssetPdCapFl1,AssetLifeCap1-AssetMarg1),(F244-AssetMarg1)-AssetPdCapFl1,AssetLifeFloor1-AssetMarg1),F244)))+AssetMarg1</f>
        <v>0.09</v>
      </c>
      <c r="G245" s="62">
        <f t="shared" ca="1" si="211"/>
        <v>804622.61694478267</v>
      </c>
      <c r="H245" s="62">
        <f t="shared" ca="1" si="224"/>
        <v>481255.72778527183</v>
      </c>
      <c r="I245" s="62">
        <f t="shared" ca="1" si="225"/>
        <v>323366.88915951084</v>
      </c>
      <c r="J245" s="62">
        <f t="shared" ca="1" si="206"/>
        <v>63844063.48221007</v>
      </c>
      <c r="K245" s="55"/>
      <c r="L245" s="62">
        <f t="shared" ca="1" si="226"/>
        <v>19986790.737800956</v>
      </c>
      <c r="M245" s="68">
        <f ca="1">IF(pdrLossTime1="",OFFSET(Vectors!$AE$6,A245+_Age1,MATCH(SDA_Loss,lstSDA,0)),OFFSET(Vectors!$X$6,A245+_Age1,MATCH(pdrLossTime1,lstDefaultCurve,0)))</f>
        <v>2.7777777777777779E-5</v>
      </c>
      <c r="N245" s="62">
        <f t="shared" ca="1" si="212"/>
        <v>2777.7777777777778</v>
      </c>
      <c r="O245" s="67">
        <f t="shared" ca="1" si="227"/>
        <v>0.63844063482210067</v>
      </c>
      <c r="P245" s="68">
        <f ca="1">OFFSET(Vectors!$L$6,A245+_Age1,MATCH(pdrPrepay1,lstPrepayCurve,0))*pdrPrepayStress1</f>
        <v>5.1430128318229462E-3</v>
      </c>
      <c r="Q245" s="62">
        <f t="shared" ca="1" si="228"/>
        <v>102274.30713999539</v>
      </c>
      <c r="R245" s="62">
        <f t="shared" ca="1" si="229"/>
        <v>100707.91469139799</v>
      </c>
      <c r="S245" s="69">
        <f t="shared" ca="1" si="230"/>
        <v>0.09</v>
      </c>
      <c r="T245" s="62">
        <f t="shared" ca="1" si="231"/>
        <v>149880.09720017386</v>
      </c>
      <c r="U245" s="62">
        <f t="shared" ca="1" si="213"/>
        <v>1111.1111111111111</v>
      </c>
      <c r="V245" s="62">
        <f t="shared" ca="1" si="207"/>
        <v>19781030.738191783</v>
      </c>
      <c r="W245" s="55"/>
      <c r="X245" s="62">
        <f t="shared" ca="1" si="232"/>
        <v>353973.43014267832</v>
      </c>
      <c r="Y245" s="55"/>
      <c r="Z245" s="118" t="b">
        <v>0</v>
      </c>
      <c r="AA245" s="120" t="b">
        <f t="shared" si="214"/>
        <v>0</v>
      </c>
      <c r="AB245" s="120" t="b">
        <f t="shared" si="215"/>
        <v>1</v>
      </c>
      <c r="AC245" s="120" t="b">
        <f t="shared" ca="1" si="216"/>
        <v>0</v>
      </c>
      <c r="AD245" s="121"/>
      <c r="AE245" s="129">
        <v>0</v>
      </c>
      <c r="AF245" s="69">
        <f ca="1">IF(Swap_Active="No",0,OFFSET(Vectors!$D$6,Vectors!A245,MATCH(Swap_In,lstInterestRates,0)))</f>
        <v>6.9369000000000056E-2</v>
      </c>
      <c r="AG245" s="62">
        <f t="shared" ca="1" si="233"/>
        <v>0</v>
      </c>
      <c r="AH245" s="69">
        <f ca="1">IF(Swap_Active="No",0,OFFSET(Vectors!$D$6,Vectors!A245,MATCH(Swap_Out,lstInterestRates,0)))</f>
        <v>0.04</v>
      </c>
      <c r="AI245" s="62">
        <f t="shared" ca="1" si="234"/>
        <v>0</v>
      </c>
      <c r="AJ245" s="62">
        <f t="shared" ca="1" si="235"/>
        <v>0</v>
      </c>
      <c r="AK245" s="62">
        <f t="shared" ca="1" si="236"/>
        <v>353973.43014267832</v>
      </c>
      <c r="AL245" s="121"/>
      <c r="AM245" s="123">
        <f t="shared" ca="1" si="217"/>
        <v>33311.317896334927</v>
      </c>
      <c r="AN245" s="124">
        <f t="shared" ca="1" si="237"/>
        <v>33311.317896334927</v>
      </c>
      <c r="AO245" s="125">
        <f t="shared" ca="1" si="238"/>
        <v>0</v>
      </c>
      <c r="AP245" s="123">
        <f t="shared" ca="1" si="239"/>
        <v>320662.1122463434</v>
      </c>
      <c r="AQ245" s="121"/>
      <c r="AR245" s="126">
        <f ca="1">IF(LiabIntType1="Fixed",LiabFxdRate1,OFFSET(Vectors!$D$6,Vectors!A245,MATCH(LiabLoanIndex1,lstInterestRates,0))+LiabMarg1)</f>
        <v>7.9369000000000051E-2</v>
      </c>
      <c r="AS245" s="122">
        <f t="shared" ca="1" si="240"/>
        <v>0</v>
      </c>
      <c r="AT245" s="124">
        <f t="shared" ca="1" si="241"/>
        <v>0</v>
      </c>
      <c r="AU245" s="123">
        <f t="shared" ca="1" si="242"/>
        <v>0</v>
      </c>
      <c r="AV245" s="123">
        <f t="shared" ca="1" si="218"/>
        <v>0</v>
      </c>
      <c r="AW245" s="123">
        <f t="shared" ca="1" si="243"/>
        <v>0</v>
      </c>
      <c r="AX245" s="124">
        <f t="shared" ca="1" si="244"/>
        <v>320662.1122463434</v>
      </c>
      <c r="AY245" s="121"/>
      <c r="AZ245" s="122">
        <f t="shared" ca="1" si="219"/>
        <v>0</v>
      </c>
      <c r="BA245" s="124">
        <f t="shared" ca="1" si="245"/>
        <v>0</v>
      </c>
      <c r="BB245" s="123">
        <f t="shared" ca="1" si="246"/>
        <v>0</v>
      </c>
      <c r="BC245" s="123">
        <f t="shared" ca="1" si="220"/>
        <v>0</v>
      </c>
      <c r="BD245" s="123">
        <f t="shared" ca="1" si="247"/>
        <v>0</v>
      </c>
      <c r="BE245" s="124">
        <f t="shared" ca="1" si="248"/>
        <v>320662.1122463434</v>
      </c>
      <c r="BF245" s="121"/>
      <c r="BG245" s="123">
        <f t="shared" si="221"/>
        <v>1000000</v>
      </c>
      <c r="BH245" s="123">
        <f t="shared" ca="1" si="249"/>
        <v>1000000</v>
      </c>
      <c r="BI245" s="123">
        <f t="shared" ca="1" si="250"/>
        <v>0</v>
      </c>
      <c r="BJ245" s="123">
        <f t="shared" ca="1" si="251"/>
        <v>0</v>
      </c>
      <c r="BK245" s="123">
        <f t="shared" ca="1" si="208"/>
        <v>1000000</v>
      </c>
      <c r="BL245" s="123">
        <f t="shared" ca="1" si="252"/>
        <v>320662.1122463434</v>
      </c>
      <c r="BM245" s="121"/>
      <c r="BN245" s="126">
        <f ca="1">IF(LiabIntType2="Fixed",LiabFxdRate2,OFFSET(Vectors!$D$6,Vectors!A245,MATCH(LiabLoanIndex2,lstInterestRates,0))+LiabMarg2)</f>
        <v>0.04</v>
      </c>
      <c r="BO245" s="122">
        <f t="shared" ca="1" si="253"/>
        <v>27405.862807062927</v>
      </c>
      <c r="BP245" s="124">
        <f t="shared" ca="1" si="254"/>
        <v>27405.862807062927</v>
      </c>
      <c r="BQ245" s="123">
        <f t="shared" ca="1" si="255"/>
        <v>0</v>
      </c>
      <c r="BR245" s="123">
        <f t="shared" ca="1" si="256"/>
        <v>293256.24943928048</v>
      </c>
      <c r="BS245" s="121"/>
      <c r="BT245" s="123">
        <f t="shared" ca="1" si="222"/>
        <v>21096.391119819738</v>
      </c>
      <c r="BU245" s="123">
        <f t="shared" ca="1" si="257"/>
        <v>21096.391119819738</v>
      </c>
      <c r="BV245" s="123">
        <f t="shared" ca="1" si="258"/>
        <v>0</v>
      </c>
      <c r="BW245" s="123">
        <f t="shared" ca="1" si="259"/>
        <v>272159.85831946076</v>
      </c>
      <c r="BX245" s="121"/>
      <c r="BY245" s="123">
        <f t="shared" si="260"/>
        <v>0</v>
      </c>
      <c r="BZ245" s="123">
        <f t="shared" ca="1" si="261"/>
        <v>272159.85831946076</v>
      </c>
      <c r="CA245" s="121"/>
      <c r="CB245" s="122">
        <f t="shared" ca="1" si="209"/>
        <v>0</v>
      </c>
      <c r="CC245" s="122">
        <f t="shared" ca="1" si="262"/>
        <v>0</v>
      </c>
      <c r="CD245" s="124">
        <f t="shared" ca="1" si="263"/>
        <v>0</v>
      </c>
      <c r="CE245" s="121"/>
      <c r="CF245" s="122">
        <f t="shared" ca="1" si="210"/>
        <v>8200662.4509990588</v>
      </c>
      <c r="CG245" s="124">
        <f t="shared" ca="1" si="264"/>
        <v>27405.862807062927</v>
      </c>
      <c r="CH245" s="123">
        <f t="shared" ca="1" si="265"/>
        <v>21096.391119819738</v>
      </c>
      <c r="CI245" s="121"/>
      <c r="CJ245" s="123">
        <f t="shared" ca="1" si="266"/>
        <v>353973.43014267832</v>
      </c>
      <c r="CK245" s="123">
        <f t="shared" ca="1" si="267"/>
        <v>353973.43014267832</v>
      </c>
      <c r="CL245" s="123">
        <f t="shared" ca="1" si="268"/>
        <v>0</v>
      </c>
      <c r="CM245" s="121"/>
      <c r="CN245" s="62">
        <f t="shared" ca="1" si="269"/>
        <v>205759.99960917118</v>
      </c>
      <c r="CO245" s="62" t="b">
        <f t="shared" si="270"/>
        <v>1</v>
      </c>
      <c r="CP245" s="126">
        <f t="shared" ca="1" si="271"/>
        <v>6.6388888888888635E-3</v>
      </c>
      <c r="CQ245" s="120"/>
      <c r="CR245" s="120"/>
      <c r="CS245" s="120"/>
      <c r="CT245" s="120"/>
      <c r="CU245" s="120"/>
      <c r="CV245" s="120"/>
      <c r="CW245" s="120"/>
      <c r="CX245" s="120"/>
      <c r="CY245" s="120"/>
      <c r="CZ245" s="120"/>
      <c r="DA245" s="120"/>
      <c r="DB245" s="120"/>
      <c r="DC245" s="120"/>
      <c r="DD245" s="120"/>
      <c r="DE245" s="116"/>
      <c r="DF245" s="116"/>
      <c r="DG245" s="116"/>
      <c r="DH245" s="116"/>
      <c r="DI245" s="116"/>
      <c r="DJ245" s="116"/>
      <c r="DK245" s="116"/>
      <c r="DL245" s="116"/>
      <c r="DM245" s="116"/>
      <c r="DN245" s="116"/>
    </row>
    <row r="246" spans="1:118" x14ac:dyDescent="0.2">
      <c r="A246" s="27">
        <v>240</v>
      </c>
      <c r="B246" s="29">
        <f t="shared" si="204"/>
        <v>46419</v>
      </c>
      <c r="C246" s="30">
        <f t="shared" si="205"/>
        <v>8.3333333333333329E-2</v>
      </c>
      <c r="D246" s="55"/>
      <c r="E246" s="62">
        <f t="shared" ca="1" si="223"/>
        <v>63844063.48221007</v>
      </c>
      <c r="F246" s="63">
        <f ca="1">IF(AssetIntType1="Fixed",AssetFxdRate1,IF(A246=1,OFFSET(Vectors!$D$6,A246,MATCH(AssetFltIndx1,lstInterestRates,0)),IF(MOD($A246,AssetRateReset1)=0,MAX(MIN(OFFSET(Vectors!$D$6,A246,MATCH(AssetFltIndx1,lstInterestRates,0)),(F245-AssetMarg1)+AssetPdCapFl1,AssetLifeCap1-AssetMarg1),(F245-AssetMarg1)-AssetPdCapFl1,AssetLifeFloor1-AssetMarg1),F245)))+AssetMarg1</f>
        <v>0.09</v>
      </c>
      <c r="G246" s="62">
        <f t="shared" ca="1" si="211"/>
        <v>804622.61694478267</v>
      </c>
      <c r="H246" s="62">
        <f t="shared" ca="1" si="224"/>
        <v>478830.47611657553</v>
      </c>
      <c r="I246" s="62">
        <f t="shared" ca="1" si="225"/>
        <v>325792.14082820714</v>
      </c>
      <c r="J246" s="62">
        <f t="shared" ca="1" si="206"/>
        <v>63518271.341381863</v>
      </c>
      <c r="K246" s="55"/>
      <c r="L246" s="62">
        <f t="shared" ca="1" si="226"/>
        <v>19781030.738191783</v>
      </c>
      <c r="M246" s="68">
        <f ca="1">IF(pdrLossTime1="",OFFSET(Vectors!$AE$6,A246+_Age1,MATCH(SDA_Loss,lstSDA,0)),OFFSET(Vectors!$X$6,A246+_Age1,MATCH(pdrLossTime1,lstDefaultCurve,0)))</f>
        <v>2.7777777777777779E-5</v>
      </c>
      <c r="N246" s="62">
        <f t="shared" ca="1" si="212"/>
        <v>2777.7777777777778</v>
      </c>
      <c r="O246" s="67">
        <f t="shared" ca="1" si="227"/>
        <v>0.6351827134138186</v>
      </c>
      <c r="P246" s="68">
        <f ca="1">OFFSET(Vectors!$L$6,A246+_Age1,MATCH(pdrPrepay1,lstPrepayCurve,0))*pdrPrepayStress1</f>
        <v>5.1430128318229462E-3</v>
      </c>
      <c r="Q246" s="62">
        <f t="shared" ca="1" si="228"/>
        <v>101214.95238421697</v>
      </c>
      <c r="R246" s="62">
        <f t="shared" ca="1" si="229"/>
        <v>100927.15003346586</v>
      </c>
      <c r="S246" s="69">
        <f t="shared" ca="1" si="230"/>
        <v>0.09</v>
      </c>
      <c r="T246" s="62">
        <f t="shared" ca="1" si="231"/>
        <v>148336.89720310504</v>
      </c>
      <c r="U246" s="62">
        <f t="shared" ca="1" si="213"/>
        <v>1111.1111111111111</v>
      </c>
      <c r="V246" s="62">
        <f t="shared" ca="1" si="207"/>
        <v>19576110.857996322</v>
      </c>
      <c r="W246" s="55"/>
      <c r="X246" s="62">
        <f t="shared" ca="1" si="232"/>
        <v>351590.11073189898</v>
      </c>
      <c r="Y246" s="55"/>
      <c r="Z246" s="118" t="b">
        <v>0</v>
      </c>
      <c r="AA246" s="120" t="b">
        <f t="shared" si="214"/>
        <v>0</v>
      </c>
      <c r="AB246" s="120" t="b">
        <f t="shared" si="215"/>
        <v>1</v>
      </c>
      <c r="AC246" s="120" t="b">
        <f t="shared" ca="1" si="216"/>
        <v>0</v>
      </c>
      <c r="AD246" s="121"/>
      <c r="AE246" s="129">
        <v>0</v>
      </c>
      <c r="AF246" s="69">
        <f ca="1">IF(Swap_Active="No",0,OFFSET(Vectors!$D$6,Vectors!A246,MATCH(Swap_In,lstInterestRates,0)))</f>
        <v>6.9369000000000056E-2</v>
      </c>
      <c r="AG246" s="62">
        <f t="shared" ca="1" si="233"/>
        <v>0</v>
      </c>
      <c r="AH246" s="69">
        <f ca="1">IF(Swap_Active="No",0,OFFSET(Vectors!$D$6,Vectors!A246,MATCH(Swap_Out,lstInterestRates,0)))</f>
        <v>0.04</v>
      </c>
      <c r="AI246" s="62">
        <f t="shared" ca="1" si="234"/>
        <v>0</v>
      </c>
      <c r="AJ246" s="62">
        <f t="shared" ca="1" si="235"/>
        <v>0</v>
      </c>
      <c r="AK246" s="62">
        <f t="shared" ca="1" si="236"/>
        <v>351590.11073189898</v>
      </c>
      <c r="AL246" s="121"/>
      <c r="AM246" s="123">
        <f t="shared" ca="1" si="217"/>
        <v>32968.384563652973</v>
      </c>
      <c r="AN246" s="124">
        <f t="shared" ca="1" si="237"/>
        <v>32968.384563652973</v>
      </c>
      <c r="AO246" s="125">
        <f t="shared" ca="1" si="238"/>
        <v>0</v>
      </c>
      <c r="AP246" s="123">
        <f t="shared" ca="1" si="239"/>
        <v>318621.72616824601</v>
      </c>
      <c r="AQ246" s="121"/>
      <c r="AR246" s="126">
        <f ca="1">IF(LiabIntType1="Fixed",LiabFxdRate1,OFFSET(Vectors!$D$6,Vectors!A246,MATCH(LiabLoanIndex1,lstInterestRates,0))+LiabMarg1)</f>
        <v>7.9369000000000051E-2</v>
      </c>
      <c r="AS246" s="122">
        <f t="shared" ca="1" si="240"/>
        <v>0</v>
      </c>
      <c r="AT246" s="124">
        <f t="shared" ca="1" si="241"/>
        <v>0</v>
      </c>
      <c r="AU246" s="123">
        <f t="shared" ca="1" si="242"/>
        <v>0</v>
      </c>
      <c r="AV246" s="123">
        <f t="shared" ca="1" si="218"/>
        <v>0</v>
      </c>
      <c r="AW246" s="123">
        <f t="shared" ca="1" si="243"/>
        <v>0</v>
      </c>
      <c r="AX246" s="124">
        <f t="shared" ca="1" si="244"/>
        <v>318621.72616824601</v>
      </c>
      <c r="AY246" s="121"/>
      <c r="AZ246" s="122">
        <f t="shared" ca="1" si="219"/>
        <v>0</v>
      </c>
      <c r="BA246" s="124">
        <f t="shared" ca="1" si="245"/>
        <v>0</v>
      </c>
      <c r="BB246" s="123">
        <f t="shared" ca="1" si="246"/>
        <v>0</v>
      </c>
      <c r="BC246" s="123">
        <f t="shared" ca="1" si="220"/>
        <v>0</v>
      </c>
      <c r="BD246" s="123">
        <f t="shared" ca="1" si="247"/>
        <v>0</v>
      </c>
      <c r="BE246" s="124">
        <f t="shared" ca="1" si="248"/>
        <v>318621.72616824601</v>
      </c>
      <c r="BF246" s="121"/>
      <c r="BG246" s="123">
        <f t="shared" si="221"/>
        <v>1000000</v>
      </c>
      <c r="BH246" s="123">
        <f t="shared" ca="1" si="249"/>
        <v>1000000</v>
      </c>
      <c r="BI246" s="123">
        <f t="shared" ca="1" si="250"/>
        <v>0</v>
      </c>
      <c r="BJ246" s="123">
        <f t="shared" ca="1" si="251"/>
        <v>0</v>
      </c>
      <c r="BK246" s="123">
        <f t="shared" ca="1" si="208"/>
        <v>1000000</v>
      </c>
      <c r="BL246" s="123">
        <f t="shared" ca="1" si="252"/>
        <v>318621.72616824601</v>
      </c>
      <c r="BM246" s="121"/>
      <c r="BN246" s="126">
        <f ca="1">IF(LiabIntType2="Fixed",LiabFxdRate2,OFFSET(Vectors!$D$6,Vectors!A246,MATCH(LiabLoanIndex2,lstInterestRates,0))+LiabMarg2)</f>
        <v>0.04</v>
      </c>
      <c r="BO246" s="122">
        <f t="shared" ca="1" si="253"/>
        <v>27335.541503330194</v>
      </c>
      <c r="BP246" s="124">
        <f t="shared" ca="1" si="254"/>
        <v>27335.541503330194</v>
      </c>
      <c r="BQ246" s="123">
        <f t="shared" ca="1" si="255"/>
        <v>0</v>
      </c>
      <c r="BR246" s="123">
        <f t="shared" ca="1" si="256"/>
        <v>291286.18466491584</v>
      </c>
      <c r="BS246" s="121"/>
      <c r="BT246" s="123">
        <f t="shared" ca="1" si="222"/>
        <v>21010.254417969736</v>
      </c>
      <c r="BU246" s="123">
        <f t="shared" ca="1" si="257"/>
        <v>21010.254417969736</v>
      </c>
      <c r="BV246" s="123">
        <f t="shared" ca="1" si="258"/>
        <v>0</v>
      </c>
      <c r="BW246" s="123">
        <f t="shared" ca="1" si="259"/>
        <v>270275.93024694611</v>
      </c>
      <c r="BX246" s="121"/>
      <c r="BY246" s="123">
        <f t="shared" si="260"/>
        <v>0</v>
      </c>
      <c r="BZ246" s="123">
        <f t="shared" ca="1" si="261"/>
        <v>270275.93024694611</v>
      </c>
      <c r="CA246" s="121"/>
      <c r="CB246" s="122">
        <f t="shared" ca="1" si="209"/>
        <v>0</v>
      </c>
      <c r="CC246" s="122">
        <f t="shared" ca="1" si="262"/>
        <v>0</v>
      </c>
      <c r="CD246" s="124">
        <f t="shared" ca="1" si="263"/>
        <v>0</v>
      </c>
      <c r="CE246" s="121"/>
      <c r="CF246" s="122">
        <f t="shared" ca="1" si="210"/>
        <v>8179652.1965810889</v>
      </c>
      <c r="CG246" s="124">
        <f t="shared" ca="1" si="264"/>
        <v>27335.541503330194</v>
      </c>
      <c r="CH246" s="123">
        <f t="shared" ca="1" si="265"/>
        <v>21010.254417969736</v>
      </c>
      <c r="CI246" s="121"/>
      <c r="CJ246" s="123">
        <f t="shared" ca="1" si="266"/>
        <v>351590.11073189898</v>
      </c>
      <c r="CK246" s="123">
        <f t="shared" ca="1" si="267"/>
        <v>351590.11073189904</v>
      </c>
      <c r="CL246" s="123">
        <f t="shared" ca="1" si="268"/>
        <v>0</v>
      </c>
      <c r="CM246" s="121"/>
      <c r="CN246" s="62">
        <f t="shared" ca="1" si="269"/>
        <v>204919.88019546063</v>
      </c>
      <c r="CO246" s="62" t="b">
        <f t="shared" si="270"/>
        <v>1</v>
      </c>
      <c r="CP246" s="126">
        <f t="shared" ca="1" si="271"/>
        <v>6.6666666666666411E-3</v>
      </c>
      <c r="CQ246" s="120"/>
      <c r="CR246" s="120"/>
      <c r="CS246" s="120"/>
      <c r="CT246" s="120"/>
      <c r="CU246" s="120"/>
      <c r="CV246" s="120"/>
      <c r="CW246" s="120"/>
      <c r="CX246" s="120"/>
      <c r="CY246" s="120"/>
      <c r="CZ246" s="120"/>
      <c r="DA246" s="120"/>
      <c r="DB246" s="120"/>
      <c r="DC246" s="120"/>
      <c r="DD246" s="120"/>
      <c r="DE246" s="116"/>
      <c r="DF246" s="116"/>
      <c r="DG246" s="116"/>
      <c r="DH246" s="116"/>
      <c r="DI246" s="116"/>
      <c r="DJ246" s="116"/>
      <c r="DK246" s="116"/>
      <c r="DL246" s="116"/>
      <c r="DM246" s="116"/>
      <c r="DN246" s="116"/>
    </row>
    <row r="247" spans="1:118" x14ac:dyDescent="0.2">
      <c r="A247" s="27">
        <v>241</v>
      </c>
      <c r="B247" s="29">
        <f t="shared" si="204"/>
        <v>46447</v>
      </c>
      <c r="C247" s="30">
        <f t="shared" si="205"/>
        <v>8.3333333333333329E-2</v>
      </c>
      <c r="D247" s="55"/>
      <c r="E247" s="62">
        <f t="shared" ca="1" si="223"/>
        <v>63518271.341381863</v>
      </c>
      <c r="F247" s="63">
        <f ca="1">IF(AssetIntType1="Fixed",AssetFxdRate1,IF(A247=1,OFFSET(Vectors!$D$6,A247,MATCH(AssetFltIndx1,lstInterestRates,0)),IF(MOD($A247,AssetRateReset1)=0,MAX(MIN(OFFSET(Vectors!$D$6,A247,MATCH(AssetFltIndx1,lstInterestRates,0)),(F246-AssetMarg1)+AssetPdCapFl1,AssetLifeCap1-AssetMarg1),(F246-AssetMarg1)-AssetPdCapFl1,AssetLifeFloor1-AssetMarg1),F246)))+AssetMarg1</f>
        <v>0.09</v>
      </c>
      <c r="G247" s="62">
        <f t="shared" ca="1" si="211"/>
        <v>804622.61694478267</v>
      </c>
      <c r="H247" s="62">
        <f t="shared" ca="1" si="224"/>
        <v>476387.03506036394</v>
      </c>
      <c r="I247" s="62">
        <f t="shared" ca="1" si="225"/>
        <v>328235.58188441873</v>
      </c>
      <c r="J247" s="62">
        <f t="shared" ca="1" si="206"/>
        <v>63190035.759497441</v>
      </c>
      <c r="K247" s="55"/>
      <c r="L247" s="62">
        <f t="shared" ca="1" si="226"/>
        <v>19576110.857996322</v>
      </c>
      <c r="M247" s="68">
        <f ca="1">IF(pdrLossTime1="",OFFSET(Vectors!$AE$6,A247+_Age1,MATCH(SDA_Loss,lstSDA,0)),OFFSET(Vectors!$X$6,A247+_Age1,MATCH(pdrLossTime1,lstDefaultCurve,0)))</f>
        <v>2.7777777777777779E-5</v>
      </c>
      <c r="N247" s="62">
        <f t="shared" ca="1" si="212"/>
        <v>2777.7777777777778</v>
      </c>
      <c r="O247" s="67">
        <f t="shared" ca="1" si="227"/>
        <v>0.63190035759497443</v>
      </c>
      <c r="P247" s="68">
        <f ca="1">OFFSET(Vectors!$L$6,A247+_Age1,MATCH(pdrPrepay1,lstPrepayCurve,0))*pdrPrepayStress1</f>
        <v>5.1430128318229462E-3</v>
      </c>
      <c r="Q247" s="62">
        <f t="shared" ca="1" si="228"/>
        <v>100159.9166713177</v>
      </c>
      <c r="R247" s="62">
        <f t="shared" ca="1" si="229"/>
        <v>101146.71317916446</v>
      </c>
      <c r="S247" s="69">
        <f t="shared" ca="1" si="230"/>
        <v>0.09</v>
      </c>
      <c r="T247" s="62">
        <f t="shared" ca="1" si="231"/>
        <v>146799.9981016391</v>
      </c>
      <c r="U247" s="62">
        <f t="shared" ca="1" si="213"/>
        <v>1111.1111111111111</v>
      </c>
      <c r="V247" s="62">
        <f t="shared" ca="1" si="207"/>
        <v>19372026.450368065</v>
      </c>
      <c r="W247" s="55"/>
      <c r="X247" s="62">
        <f t="shared" ca="1" si="232"/>
        <v>349217.73906323238</v>
      </c>
      <c r="Y247" s="55"/>
      <c r="Z247" s="118" t="b">
        <v>0</v>
      </c>
      <c r="AA247" s="120" t="b">
        <f t="shared" si="214"/>
        <v>0</v>
      </c>
      <c r="AB247" s="120" t="b">
        <f t="shared" si="215"/>
        <v>1</v>
      </c>
      <c r="AC247" s="120" t="b">
        <f t="shared" ca="1" si="216"/>
        <v>0</v>
      </c>
      <c r="AD247" s="121"/>
      <c r="AE247" s="129">
        <v>0</v>
      </c>
      <c r="AF247" s="69">
        <f ca="1">IF(Swap_Active="No",0,OFFSET(Vectors!$D$6,Vectors!A247,MATCH(Swap_In,lstInterestRates,0)))</f>
        <v>6.9369000000000056E-2</v>
      </c>
      <c r="AG247" s="62">
        <f t="shared" ca="1" si="233"/>
        <v>0</v>
      </c>
      <c r="AH247" s="69">
        <f ca="1">IF(Swap_Active="No",0,OFFSET(Vectors!$D$6,Vectors!A247,MATCH(Swap_Out,lstInterestRates,0)))</f>
        <v>0.04</v>
      </c>
      <c r="AI247" s="62">
        <f t="shared" ca="1" si="234"/>
        <v>0</v>
      </c>
      <c r="AJ247" s="62">
        <f t="shared" ca="1" si="235"/>
        <v>0</v>
      </c>
      <c r="AK247" s="62">
        <f t="shared" ca="1" si="236"/>
        <v>349217.73906323238</v>
      </c>
      <c r="AL247" s="121"/>
      <c r="AM247" s="123">
        <f t="shared" ca="1" si="217"/>
        <v>32626.851429993869</v>
      </c>
      <c r="AN247" s="124">
        <f t="shared" ca="1" si="237"/>
        <v>32626.851429993869</v>
      </c>
      <c r="AO247" s="125">
        <f t="shared" ca="1" si="238"/>
        <v>0</v>
      </c>
      <c r="AP247" s="123">
        <f t="shared" ca="1" si="239"/>
        <v>316590.88763323851</v>
      </c>
      <c r="AQ247" s="121"/>
      <c r="AR247" s="126">
        <f ca="1">IF(LiabIntType1="Fixed",LiabFxdRate1,OFFSET(Vectors!$D$6,Vectors!A247,MATCH(LiabLoanIndex1,lstInterestRates,0))+LiabMarg1)</f>
        <v>7.9369000000000051E-2</v>
      </c>
      <c r="AS247" s="122">
        <f t="shared" ca="1" si="240"/>
        <v>0</v>
      </c>
      <c r="AT247" s="124">
        <f t="shared" ca="1" si="241"/>
        <v>0</v>
      </c>
      <c r="AU247" s="123">
        <f t="shared" ca="1" si="242"/>
        <v>0</v>
      </c>
      <c r="AV247" s="123">
        <f t="shared" ca="1" si="218"/>
        <v>0</v>
      </c>
      <c r="AW247" s="123">
        <f t="shared" ca="1" si="243"/>
        <v>0</v>
      </c>
      <c r="AX247" s="124">
        <f t="shared" ca="1" si="244"/>
        <v>316590.88763323851</v>
      </c>
      <c r="AY247" s="121"/>
      <c r="AZ247" s="122">
        <f t="shared" ca="1" si="219"/>
        <v>0</v>
      </c>
      <c r="BA247" s="124">
        <f t="shared" ca="1" si="245"/>
        <v>0</v>
      </c>
      <c r="BB247" s="123">
        <f t="shared" ca="1" si="246"/>
        <v>0</v>
      </c>
      <c r="BC247" s="123">
        <f t="shared" ca="1" si="220"/>
        <v>0</v>
      </c>
      <c r="BD247" s="123">
        <f t="shared" ca="1" si="247"/>
        <v>0</v>
      </c>
      <c r="BE247" s="124">
        <f t="shared" ca="1" si="248"/>
        <v>316590.88763323851</v>
      </c>
      <c r="BF247" s="121"/>
      <c r="BG247" s="123">
        <f t="shared" si="221"/>
        <v>1000000</v>
      </c>
      <c r="BH247" s="123">
        <f t="shared" ca="1" si="249"/>
        <v>1000000</v>
      </c>
      <c r="BI247" s="123">
        <f t="shared" ca="1" si="250"/>
        <v>0</v>
      </c>
      <c r="BJ247" s="123">
        <f t="shared" ca="1" si="251"/>
        <v>0</v>
      </c>
      <c r="BK247" s="123">
        <f t="shared" ca="1" si="208"/>
        <v>1000000</v>
      </c>
      <c r="BL247" s="123">
        <f t="shared" ca="1" si="252"/>
        <v>316590.88763323851</v>
      </c>
      <c r="BM247" s="121"/>
      <c r="BN247" s="126">
        <f ca="1">IF(LiabIntType2="Fixed",LiabFxdRate2,OFFSET(Vectors!$D$6,Vectors!A247,MATCH(LiabLoanIndex2,lstInterestRates,0))+LiabMarg2)</f>
        <v>0.04</v>
      </c>
      <c r="BO247" s="122">
        <f t="shared" ca="1" si="253"/>
        <v>27265.507321936962</v>
      </c>
      <c r="BP247" s="124">
        <f t="shared" ca="1" si="254"/>
        <v>27265.507321936962</v>
      </c>
      <c r="BQ247" s="123">
        <f t="shared" ca="1" si="255"/>
        <v>0</v>
      </c>
      <c r="BR247" s="123">
        <f t="shared" ca="1" si="256"/>
        <v>289325.38031130156</v>
      </c>
      <c r="BS247" s="121"/>
      <c r="BT247" s="123">
        <f t="shared" ca="1" si="222"/>
        <v>20924.594153190264</v>
      </c>
      <c r="BU247" s="123">
        <f t="shared" ca="1" si="257"/>
        <v>20924.594153190264</v>
      </c>
      <c r="BV247" s="123">
        <f t="shared" ca="1" si="258"/>
        <v>0</v>
      </c>
      <c r="BW247" s="123">
        <f t="shared" ca="1" si="259"/>
        <v>268400.7861581113</v>
      </c>
      <c r="BX247" s="121"/>
      <c r="BY247" s="123">
        <f t="shared" si="260"/>
        <v>0</v>
      </c>
      <c r="BZ247" s="123">
        <f t="shared" ca="1" si="261"/>
        <v>268400.7861581113</v>
      </c>
      <c r="CA247" s="121"/>
      <c r="CB247" s="122">
        <f t="shared" ca="1" si="209"/>
        <v>0</v>
      </c>
      <c r="CC247" s="122">
        <f t="shared" ca="1" si="262"/>
        <v>0</v>
      </c>
      <c r="CD247" s="124">
        <f t="shared" ca="1" si="263"/>
        <v>0</v>
      </c>
      <c r="CE247" s="121"/>
      <c r="CF247" s="122">
        <f t="shared" ca="1" si="210"/>
        <v>8158727.6024278989</v>
      </c>
      <c r="CG247" s="124">
        <f t="shared" ca="1" si="264"/>
        <v>27265.507321936962</v>
      </c>
      <c r="CH247" s="123">
        <f t="shared" ca="1" si="265"/>
        <v>20924.594153190264</v>
      </c>
      <c r="CI247" s="121"/>
      <c r="CJ247" s="123">
        <f t="shared" ca="1" si="266"/>
        <v>349217.73906323238</v>
      </c>
      <c r="CK247" s="123">
        <f t="shared" ca="1" si="267"/>
        <v>349217.73906323238</v>
      </c>
      <c r="CL247" s="123">
        <f t="shared" ca="1" si="268"/>
        <v>0</v>
      </c>
      <c r="CM247" s="121"/>
      <c r="CN247" s="62">
        <f t="shared" ca="1" si="269"/>
        <v>204084.40762825994</v>
      </c>
      <c r="CO247" s="62" t="b">
        <f t="shared" si="270"/>
        <v>1</v>
      </c>
      <c r="CP247" s="126">
        <f t="shared" ca="1" si="271"/>
        <v>6.6944444444444187E-3</v>
      </c>
      <c r="CQ247" s="120"/>
      <c r="CR247" s="120"/>
      <c r="CS247" s="120"/>
      <c r="CT247" s="120"/>
      <c r="CU247" s="120"/>
      <c r="CV247" s="120"/>
      <c r="CW247" s="120"/>
      <c r="CX247" s="120"/>
      <c r="CY247" s="120"/>
      <c r="CZ247" s="120"/>
      <c r="DA247" s="120"/>
      <c r="DB247" s="120"/>
      <c r="DC247" s="120"/>
      <c r="DD247" s="120"/>
      <c r="DE247" s="116"/>
      <c r="DF247" s="116"/>
      <c r="DG247" s="116"/>
      <c r="DH247" s="116"/>
      <c r="DI247" s="116"/>
      <c r="DJ247" s="116"/>
      <c r="DK247" s="116"/>
      <c r="DL247" s="116"/>
      <c r="DM247" s="116"/>
      <c r="DN247" s="116"/>
    </row>
    <row r="248" spans="1:118" x14ac:dyDescent="0.2">
      <c r="A248" s="27">
        <v>242</v>
      </c>
      <c r="B248" s="29">
        <f t="shared" si="204"/>
        <v>46478</v>
      </c>
      <c r="C248" s="30">
        <f t="shared" si="205"/>
        <v>8.3333333333333329E-2</v>
      </c>
      <c r="D248" s="55"/>
      <c r="E248" s="62">
        <f t="shared" ca="1" si="223"/>
        <v>63190035.759497441</v>
      </c>
      <c r="F248" s="63">
        <f ca="1">IF(AssetIntType1="Fixed",AssetFxdRate1,IF(A248=1,OFFSET(Vectors!$D$6,A248,MATCH(AssetFltIndx1,lstInterestRates,0)),IF(MOD($A248,AssetRateReset1)=0,MAX(MIN(OFFSET(Vectors!$D$6,A248,MATCH(AssetFltIndx1,lstInterestRates,0)),(F247-AssetMarg1)+AssetPdCapFl1,AssetLifeCap1-AssetMarg1),(F247-AssetMarg1)-AssetPdCapFl1,AssetLifeFloor1-AssetMarg1),F247)))+AssetMarg1</f>
        <v>0.09</v>
      </c>
      <c r="G248" s="62">
        <f t="shared" ca="1" si="211"/>
        <v>804622.61694478267</v>
      </c>
      <c r="H248" s="62">
        <f t="shared" ca="1" si="224"/>
        <v>473925.26819623081</v>
      </c>
      <c r="I248" s="62">
        <f t="shared" ca="1" si="225"/>
        <v>330697.34874855186</v>
      </c>
      <c r="J248" s="62">
        <f t="shared" ca="1" si="206"/>
        <v>62859338.410748892</v>
      </c>
      <c r="K248" s="55"/>
      <c r="L248" s="62">
        <f t="shared" ca="1" si="226"/>
        <v>19372026.450368065</v>
      </c>
      <c r="M248" s="68">
        <f ca="1">IF(pdrLossTime1="",OFFSET(Vectors!$AE$6,A248+_Age1,MATCH(SDA_Loss,lstSDA,0)),OFFSET(Vectors!$X$6,A248+_Age1,MATCH(pdrLossTime1,lstDefaultCurve,0)))</f>
        <v>2.7777777777777779E-5</v>
      </c>
      <c r="N248" s="62">
        <f t="shared" ca="1" si="212"/>
        <v>2777.7777777777778</v>
      </c>
      <c r="O248" s="67">
        <f t="shared" ca="1" si="227"/>
        <v>0.62859338410748888</v>
      </c>
      <c r="P248" s="68">
        <f ca="1">OFFSET(Vectors!$L$6,A248+_Age1,MATCH(pdrPrepay1,lstPrepayCurve,0))*pdrPrepayStress1</f>
        <v>5.1430128318229462E-3</v>
      </c>
      <c r="Q248" s="62">
        <f t="shared" ca="1" si="228"/>
        <v>99109.176114828966</v>
      </c>
      <c r="R248" s="62">
        <f t="shared" ca="1" si="229"/>
        <v>101366.60165308353</v>
      </c>
      <c r="S248" s="69">
        <f t="shared" ca="1" si="230"/>
        <v>0.09</v>
      </c>
      <c r="T248" s="62">
        <f t="shared" ca="1" si="231"/>
        <v>145269.36504442716</v>
      </c>
      <c r="U248" s="62">
        <f t="shared" ca="1" si="213"/>
        <v>1111.1111111111111</v>
      </c>
      <c r="V248" s="62">
        <f t="shared" ca="1" si="207"/>
        <v>19168772.894822378</v>
      </c>
      <c r="W248" s="55"/>
      <c r="X248" s="62">
        <f t="shared" ca="1" si="232"/>
        <v>346856.25392345077</v>
      </c>
      <c r="Y248" s="55"/>
      <c r="Z248" s="118" t="b">
        <v>0</v>
      </c>
      <c r="AA248" s="120" t="b">
        <f t="shared" si="214"/>
        <v>0</v>
      </c>
      <c r="AB248" s="120" t="b">
        <f t="shared" si="215"/>
        <v>1</v>
      </c>
      <c r="AC248" s="120" t="b">
        <f t="shared" ca="1" si="216"/>
        <v>0</v>
      </c>
      <c r="AD248" s="121"/>
      <c r="AE248" s="129">
        <v>0</v>
      </c>
      <c r="AF248" s="69">
        <f ca="1">IF(Swap_Active="No",0,OFFSET(Vectors!$D$6,Vectors!A248,MATCH(Swap_In,lstInterestRates,0)))</f>
        <v>6.9369000000000056E-2</v>
      </c>
      <c r="AG248" s="62">
        <f t="shared" ca="1" si="233"/>
        <v>0</v>
      </c>
      <c r="AH248" s="69">
        <f ca="1">IF(Swap_Active="No",0,OFFSET(Vectors!$D$6,Vectors!A248,MATCH(Swap_Out,lstInterestRates,0)))</f>
        <v>0.04</v>
      </c>
      <c r="AI248" s="62">
        <f t="shared" ca="1" si="234"/>
        <v>0</v>
      </c>
      <c r="AJ248" s="62">
        <f t="shared" ca="1" si="235"/>
        <v>0</v>
      </c>
      <c r="AK248" s="62">
        <f t="shared" ca="1" si="236"/>
        <v>346856.25392345077</v>
      </c>
      <c r="AL248" s="121"/>
      <c r="AM248" s="123">
        <f t="shared" ca="1" si="217"/>
        <v>32286.710750613442</v>
      </c>
      <c r="AN248" s="124">
        <f t="shared" ca="1" si="237"/>
        <v>32286.710750613442</v>
      </c>
      <c r="AO248" s="125">
        <f t="shared" ca="1" si="238"/>
        <v>0</v>
      </c>
      <c r="AP248" s="123">
        <f t="shared" ca="1" si="239"/>
        <v>314569.54317283735</v>
      </c>
      <c r="AQ248" s="121"/>
      <c r="AR248" s="126">
        <f ca="1">IF(LiabIntType1="Fixed",LiabFxdRate1,OFFSET(Vectors!$D$6,Vectors!A248,MATCH(LiabLoanIndex1,lstInterestRates,0))+LiabMarg1)</f>
        <v>7.9369000000000051E-2</v>
      </c>
      <c r="AS248" s="122">
        <f t="shared" ca="1" si="240"/>
        <v>0</v>
      </c>
      <c r="AT248" s="124">
        <f t="shared" ca="1" si="241"/>
        <v>0</v>
      </c>
      <c r="AU248" s="123">
        <f t="shared" ca="1" si="242"/>
        <v>0</v>
      </c>
      <c r="AV248" s="123">
        <f t="shared" ca="1" si="218"/>
        <v>0</v>
      </c>
      <c r="AW248" s="123">
        <f t="shared" ca="1" si="243"/>
        <v>0</v>
      </c>
      <c r="AX248" s="124">
        <f t="shared" ca="1" si="244"/>
        <v>314569.54317283735</v>
      </c>
      <c r="AY248" s="121"/>
      <c r="AZ248" s="122">
        <f t="shared" ca="1" si="219"/>
        <v>0</v>
      </c>
      <c r="BA248" s="124">
        <f t="shared" ca="1" si="245"/>
        <v>0</v>
      </c>
      <c r="BB248" s="123">
        <f t="shared" ca="1" si="246"/>
        <v>0</v>
      </c>
      <c r="BC248" s="123">
        <f t="shared" ca="1" si="220"/>
        <v>0</v>
      </c>
      <c r="BD248" s="123">
        <f t="shared" ca="1" si="247"/>
        <v>0</v>
      </c>
      <c r="BE248" s="124">
        <f t="shared" ca="1" si="248"/>
        <v>314569.54317283735</v>
      </c>
      <c r="BF248" s="121"/>
      <c r="BG248" s="123">
        <f t="shared" si="221"/>
        <v>1000000</v>
      </c>
      <c r="BH248" s="123">
        <f t="shared" ca="1" si="249"/>
        <v>1000000</v>
      </c>
      <c r="BI248" s="123">
        <f t="shared" ca="1" si="250"/>
        <v>0</v>
      </c>
      <c r="BJ248" s="123">
        <f t="shared" ca="1" si="251"/>
        <v>0</v>
      </c>
      <c r="BK248" s="123">
        <f t="shared" ca="1" si="208"/>
        <v>1000000</v>
      </c>
      <c r="BL248" s="123">
        <f t="shared" ca="1" si="252"/>
        <v>314569.54317283735</v>
      </c>
      <c r="BM248" s="121"/>
      <c r="BN248" s="126">
        <f ca="1">IF(LiabIntType2="Fixed",LiabFxdRate2,OFFSET(Vectors!$D$6,Vectors!A248,MATCH(LiabLoanIndex2,lstInterestRates,0))+LiabMarg2)</f>
        <v>0.04</v>
      </c>
      <c r="BO248" s="122">
        <f t="shared" ca="1" si="253"/>
        <v>27195.758674759662</v>
      </c>
      <c r="BP248" s="124">
        <f t="shared" ca="1" si="254"/>
        <v>27195.758674759662</v>
      </c>
      <c r="BQ248" s="123">
        <f t="shared" ca="1" si="255"/>
        <v>0</v>
      </c>
      <c r="BR248" s="123">
        <f t="shared" ca="1" si="256"/>
        <v>287373.7844980777</v>
      </c>
      <c r="BS248" s="121"/>
      <c r="BT248" s="123">
        <f t="shared" ca="1" si="222"/>
        <v>20839.407622621158</v>
      </c>
      <c r="BU248" s="123">
        <f t="shared" ca="1" si="257"/>
        <v>20839.407622621158</v>
      </c>
      <c r="BV248" s="123">
        <f t="shared" ca="1" si="258"/>
        <v>0</v>
      </c>
      <c r="BW248" s="123">
        <f t="shared" ca="1" si="259"/>
        <v>266534.37687545654</v>
      </c>
      <c r="BX248" s="121"/>
      <c r="BY248" s="123">
        <f t="shared" si="260"/>
        <v>0</v>
      </c>
      <c r="BZ248" s="123">
        <f t="shared" ca="1" si="261"/>
        <v>266534.37687545654</v>
      </c>
      <c r="CA248" s="121"/>
      <c r="CB248" s="122">
        <f t="shared" ca="1" si="209"/>
        <v>0</v>
      </c>
      <c r="CC248" s="122">
        <f t="shared" ca="1" si="262"/>
        <v>0</v>
      </c>
      <c r="CD248" s="124">
        <f t="shared" ca="1" si="263"/>
        <v>0</v>
      </c>
      <c r="CE248" s="121"/>
      <c r="CF248" s="122">
        <f t="shared" ca="1" si="210"/>
        <v>8137888.1948052775</v>
      </c>
      <c r="CG248" s="124">
        <f t="shared" ca="1" si="264"/>
        <v>27195.758674759662</v>
      </c>
      <c r="CH248" s="123">
        <f t="shared" ca="1" si="265"/>
        <v>20839.407622621158</v>
      </c>
      <c r="CI248" s="121"/>
      <c r="CJ248" s="123">
        <f t="shared" ca="1" si="266"/>
        <v>346856.25392345077</v>
      </c>
      <c r="CK248" s="123">
        <f t="shared" ca="1" si="267"/>
        <v>346856.25392345083</v>
      </c>
      <c r="CL248" s="123">
        <f t="shared" ca="1" si="268"/>
        <v>0</v>
      </c>
      <c r="CM248" s="121"/>
      <c r="CN248" s="62">
        <f t="shared" ca="1" si="269"/>
        <v>203253.55554569029</v>
      </c>
      <c r="CO248" s="62" t="b">
        <f t="shared" si="270"/>
        <v>1</v>
      </c>
      <c r="CP248" s="126">
        <f t="shared" ca="1" si="271"/>
        <v>6.7222222222221963E-3</v>
      </c>
      <c r="CQ248" s="120"/>
      <c r="CR248" s="120"/>
      <c r="CS248" s="120"/>
      <c r="CT248" s="120"/>
      <c r="CU248" s="120"/>
      <c r="CV248" s="120"/>
      <c r="CW248" s="120"/>
      <c r="CX248" s="120"/>
      <c r="CY248" s="120"/>
      <c r="CZ248" s="120"/>
      <c r="DA248" s="120"/>
      <c r="DB248" s="120"/>
      <c r="DC248" s="120"/>
      <c r="DD248" s="120"/>
      <c r="DE248" s="116"/>
      <c r="DF248" s="116"/>
      <c r="DG248" s="116"/>
      <c r="DH248" s="116"/>
      <c r="DI248" s="116"/>
      <c r="DJ248" s="116"/>
      <c r="DK248" s="116"/>
      <c r="DL248" s="116"/>
      <c r="DM248" s="116"/>
      <c r="DN248" s="116"/>
    </row>
    <row r="249" spans="1:118" x14ac:dyDescent="0.2">
      <c r="A249" s="27">
        <v>243</v>
      </c>
      <c r="B249" s="29">
        <f t="shared" si="204"/>
        <v>46508</v>
      </c>
      <c r="C249" s="30">
        <f t="shared" si="205"/>
        <v>8.3333333333333329E-2</v>
      </c>
      <c r="D249" s="55"/>
      <c r="E249" s="62">
        <f t="shared" ca="1" si="223"/>
        <v>62859338.410748892</v>
      </c>
      <c r="F249" s="63">
        <f ca="1">IF(AssetIntType1="Fixed",AssetFxdRate1,IF(A249=1,OFFSET(Vectors!$D$6,A249,MATCH(AssetFltIndx1,lstInterestRates,0)),IF(MOD($A249,AssetRateReset1)=0,MAX(MIN(OFFSET(Vectors!$D$6,A249,MATCH(AssetFltIndx1,lstInterestRates,0)),(F248-AssetMarg1)+AssetPdCapFl1,AssetLifeCap1-AssetMarg1),(F248-AssetMarg1)-AssetPdCapFl1,AssetLifeFloor1-AssetMarg1),F248)))+AssetMarg1</f>
        <v>0.09</v>
      </c>
      <c r="G249" s="62">
        <f t="shared" ca="1" si="211"/>
        <v>804622.61694478267</v>
      </c>
      <c r="H249" s="62">
        <f t="shared" ca="1" si="224"/>
        <v>471445.03808061668</v>
      </c>
      <c r="I249" s="62">
        <f t="shared" ca="1" si="225"/>
        <v>333177.57886416599</v>
      </c>
      <c r="J249" s="62">
        <f t="shared" ca="1" si="206"/>
        <v>62526160.831884727</v>
      </c>
      <c r="K249" s="55"/>
      <c r="L249" s="62">
        <f t="shared" ca="1" si="226"/>
        <v>19168772.894822378</v>
      </c>
      <c r="M249" s="68">
        <f ca="1">IF(pdrLossTime1="",OFFSET(Vectors!$AE$6,A249+_Age1,MATCH(SDA_Loss,lstSDA,0)),OFFSET(Vectors!$X$6,A249+_Age1,MATCH(pdrLossTime1,lstDefaultCurve,0)))</f>
        <v>2.7777777777777779E-5</v>
      </c>
      <c r="N249" s="62">
        <f t="shared" ca="1" si="212"/>
        <v>2777.7777777777778</v>
      </c>
      <c r="O249" s="67">
        <f t="shared" ca="1" si="227"/>
        <v>0.62526160831884725</v>
      </c>
      <c r="P249" s="68">
        <f ca="1">OFFSET(Vectors!$L$6,A249+_Age1,MATCH(pdrPrepay1,lstPrepayCurve,0))*pdrPrepayStress1</f>
        <v>5.1430128318229462E-3</v>
      </c>
      <c r="Q249" s="62">
        <f t="shared" ca="1" si="228"/>
        <v>98062.706964301702</v>
      </c>
      <c r="R249" s="62">
        <f t="shared" ca="1" si="229"/>
        <v>101586.81289154946</v>
      </c>
      <c r="S249" s="69">
        <f t="shared" ca="1" si="230"/>
        <v>0.09</v>
      </c>
      <c r="T249" s="62">
        <f t="shared" ca="1" si="231"/>
        <v>143744.9633778345</v>
      </c>
      <c r="U249" s="62">
        <f t="shared" ca="1" si="213"/>
        <v>1111.1111111111111</v>
      </c>
      <c r="V249" s="62">
        <f t="shared" ca="1" si="207"/>
        <v>18966345.597188748</v>
      </c>
      <c r="W249" s="55"/>
      <c r="X249" s="62">
        <f t="shared" ca="1" si="232"/>
        <v>344505.59434479679</v>
      </c>
      <c r="Y249" s="55"/>
      <c r="Z249" s="118" t="b">
        <v>0</v>
      </c>
      <c r="AA249" s="120" t="b">
        <f t="shared" si="214"/>
        <v>0</v>
      </c>
      <c r="AB249" s="120" t="b">
        <f t="shared" si="215"/>
        <v>1</v>
      </c>
      <c r="AC249" s="120" t="b">
        <f t="shared" ca="1" si="216"/>
        <v>0</v>
      </c>
      <c r="AD249" s="121"/>
      <c r="AE249" s="129">
        <v>0</v>
      </c>
      <c r="AF249" s="69">
        <f ca="1">IF(Swap_Active="No",0,OFFSET(Vectors!$D$6,Vectors!A249,MATCH(Swap_In,lstInterestRates,0)))</f>
        <v>6.9369000000000056E-2</v>
      </c>
      <c r="AG249" s="62">
        <f t="shared" ca="1" si="233"/>
        <v>0</v>
      </c>
      <c r="AH249" s="69">
        <f ca="1">IF(Swap_Active="No",0,OFFSET(Vectors!$D$6,Vectors!A249,MATCH(Swap_Out,lstInterestRates,0)))</f>
        <v>0.04</v>
      </c>
      <c r="AI249" s="62">
        <f t="shared" ca="1" si="234"/>
        <v>0</v>
      </c>
      <c r="AJ249" s="62">
        <f t="shared" ca="1" si="235"/>
        <v>0</v>
      </c>
      <c r="AK249" s="62">
        <f t="shared" ca="1" si="236"/>
        <v>344505.59434479679</v>
      </c>
      <c r="AL249" s="121"/>
      <c r="AM249" s="123">
        <f t="shared" ca="1" si="217"/>
        <v>31947.95482470396</v>
      </c>
      <c r="AN249" s="124">
        <f t="shared" ca="1" si="237"/>
        <v>31947.95482470396</v>
      </c>
      <c r="AO249" s="125">
        <f t="shared" ca="1" si="238"/>
        <v>0</v>
      </c>
      <c r="AP249" s="123">
        <f t="shared" ca="1" si="239"/>
        <v>312557.63952009281</v>
      </c>
      <c r="AQ249" s="121"/>
      <c r="AR249" s="126">
        <f ca="1">IF(LiabIntType1="Fixed",LiabFxdRate1,OFFSET(Vectors!$D$6,Vectors!A249,MATCH(LiabLoanIndex1,lstInterestRates,0))+LiabMarg1)</f>
        <v>7.9369000000000051E-2</v>
      </c>
      <c r="AS249" s="122">
        <f t="shared" ca="1" si="240"/>
        <v>0</v>
      </c>
      <c r="AT249" s="124">
        <f t="shared" ca="1" si="241"/>
        <v>0</v>
      </c>
      <c r="AU249" s="123">
        <f t="shared" ca="1" si="242"/>
        <v>0</v>
      </c>
      <c r="AV249" s="123">
        <f t="shared" ca="1" si="218"/>
        <v>0</v>
      </c>
      <c r="AW249" s="123">
        <f t="shared" ca="1" si="243"/>
        <v>0</v>
      </c>
      <c r="AX249" s="124">
        <f t="shared" ca="1" si="244"/>
        <v>312557.63952009281</v>
      </c>
      <c r="AY249" s="121"/>
      <c r="AZ249" s="122">
        <f t="shared" ca="1" si="219"/>
        <v>0</v>
      </c>
      <c r="BA249" s="124">
        <f t="shared" ca="1" si="245"/>
        <v>0</v>
      </c>
      <c r="BB249" s="123">
        <f t="shared" ca="1" si="246"/>
        <v>0</v>
      </c>
      <c r="BC249" s="123">
        <f t="shared" ca="1" si="220"/>
        <v>0</v>
      </c>
      <c r="BD249" s="123">
        <f t="shared" ca="1" si="247"/>
        <v>0</v>
      </c>
      <c r="BE249" s="124">
        <f t="shared" ca="1" si="248"/>
        <v>312557.63952009281</v>
      </c>
      <c r="BF249" s="121"/>
      <c r="BG249" s="123">
        <f t="shared" si="221"/>
        <v>1000000</v>
      </c>
      <c r="BH249" s="123">
        <f t="shared" ca="1" si="249"/>
        <v>1000000</v>
      </c>
      <c r="BI249" s="123">
        <f t="shared" ca="1" si="250"/>
        <v>0</v>
      </c>
      <c r="BJ249" s="123">
        <f t="shared" ca="1" si="251"/>
        <v>0</v>
      </c>
      <c r="BK249" s="123">
        <f t="shared" ca="1" si="208"/>
        <v>1000000</v>
      </c>
      <c r="BL249" s="123">
        <f t="shared" ca="1" si="252"/>
        <v>312557.63952009281</v>
      </c>
      <c r="BM249" s="121"/>
      <c r="BN249" s="126">
        <f ca="1">IF(LiabIntType2="Fixed",LiabFxdRate2,OFFSET(Vectors!$D$6,Vectors!A249,MATCH(LiabLoanIndex2,lstInterestRates,0))+LiabMarg2)</f>
        <v>0.04</v>
      </c>
      <c r="BO249" s="122">
        <f t="shared" ca="1" si="253"/>
        <v>27126.293982684256</v>
      </c>
      <c r="BP249" s="124">
        <f t="shared" ca="1" si="254"/>
        <v>27126.293982684256</v>
      </c>
      <c r="BQ249" s="123">
        <f t="shared" ca="1" si="255"/>
        <v>0</v>
      </c>
      <c r="BR249" s="123">
        <f t="shared" ca="1" si="256"/>
        <v>285431.34553740855</v>
      </c>
      <c r="BS249" s="121"/>
      <c r="BT249" s="123">
        <f t="shared" ca="1" si="222"/>
        <v>20754.69212829864</v>
      </c>
      <c r="BU249" s="123">
        <f t="shared" ca="1" si="257"/>
        <v>20754.69212829864</v>
      </c>
      <c r="BV249" s="123">
        <f t="shared" ca="1" si="258"/>
        <v>0</v>
      </c>
      <c r="BW249" s="123">
        <f t="shared" ca="1" si="259"/>
        <v>264676.65340910992</v>
      </c>
      <c r="BX249" s="121"/>
      <c r="BY249" s="123">
        <f t="shared" si="260"/>
        <v>0</v>
      </c>
      <c r="BZ249" s="123">
        <f t="shared" ca="1" si="261"/>
        <v>264676.65340910992</v>
      </c>
      <c r="CA249" s="121"/>
      <c r="CB249" s="122">
        <f t="shared" ca="1" si="209"/>
        <v>0</v>
      </c>
      <c r="CC249" s="122">
        <f t="shared" ca="1" si="262"/>
        <v>0</v>
      </c>
      <c r="CD249" s="124">
        <f t="shared" ca="1" si="263"/>
        <v>0</v>
      </c>
      <c r="CE249" s="121"/>
      <c r="CF249" s="122">
        <f t="shared" ca="1" si="210"/>
        <v>8117133.5026769787</v>
      </c>
      <c r="CG249" s="124">
        <f t="shared" ca="1" si="264"/>
        <v>27126.293982684256</v>
      </c>
      <c r="CH249" s="123">
        <f t="shared" ca="1" si="265"/>
        <v>20754.69212829864</v>
      </c>
      <c r="CI249" s="121"/>
      <c r="CJ249" s="123">
        <f t="shared" ca="1" si="266"/>
        <v>344505.59434479679</v>
      </c>
      <c r="CK249" s="123">
        <f t="shared" ca="1" si="267"/>
        <v>344505.59434479679</v>
      </c>
      <c r="CL249" s="123">
        <f t="shared" ca="1" si="268"/>
        <v>0</v>
      </c>
      <c r="CM249" s="121"/>
      <c r="CN249" s="62">
        <f t="shared" ca="1" si="269"/>
        <v>202427.29763362894</v>
      </c>
      <c r="CO249" s="62" t="b">
        <f t="shared" si="270"/>
        <v>1</v>
      </c>
      <c r="CP249" s="126">
        <f t="shared" ca="1" si="271"/>
        <v>6.7499999999999739E-3</v>
      </c>
      <c r="CQ249" s="120"/>
      <c r="CR249" s="120"/>
      <c r="CS249" s="120"/>
      <c r="CT249" s="120"/>
      <c r="CU249" s="120"/>
      <c r="CV249" s="120"/>
      <c r="CW249" s="120"/>
      <c r="CX249" s="120"/>
      <c r="CY249" s="120"/>
      <c r="CZ249" s="120"/>
      <c r="DA249" s="120"/>
      <c r="DB249" s="120"/>
      <c r="DC249" s="120"/>
      <c r="DD249" s="120"/>
      <c r="DE249" s="116"/>
      <c r="DF249" s="116"/>
      <c r="DG249" s="116"/>
      <c r="DH249" s="116"/>
      <c r="DI249" s="116"/>
      <c r="DJ249" s="116"/>
      <c r="DK249" s="116"/>
      <c r="DL249" s="116"/>
      <c r="DM249" s="116"/>
      <c r="DN249" s="116"/>
    </row>
    <row r="250" spans="1:118" x14ac:dyDescent="0.2">
      <c r="A250" s="27">
        <v>244</v>
      </c>
      <c r="B250" s="29">
        <f t="shared" si="204"/>
        <v>46539</v>
      </c>
      <c r="C250" s="30">
        <f t="shared" si="205"/>
        <v>8.3333333333333329E-2</v>
      </c>
      <c r="D250" s="55"/>
      <c r="E250" s="62">
        <f t="shared" ca="1" si="223"/>
        <v>62526160.831884727</v>
      </c>
      <c r="F250" s="63">
        <f ca="1">IF(AssetIntType1="Fixed",AssetFxdRate1,IF(A250=1,OFFSET(Vectors!$D$6,A250,MATCH(AssetFltIndx1,lstInterestRates,0)),IF(MOD($A250,AssetRateReset1)=0,MAX(MIN(OFFSET(Vectors!$D$6,A250,MATCH(AssetFltIndx1,lstInterestRates,0)),(F249-AssetMarg1)+AssetPdCapFl1,AssetLifeCap1-AssetMarg1),(F249-AssetMarg1)-AssetPdCapFl1,AssetLifeFloor1-AssetMarg1),F249)))+AssetMarg1</f>
        <v>0.09</v>
      </c>
      <c r="G250" s="62">
        <f t="shared" ca="1" si="211"/>
        <v>804622.61694478267</v>
      </c>
      <c r="H250" s="62">
        <f t="shared" ca="1" si="224"/>
        <v>468946.20623913541</v>
      </c>
      <c r="I250" s="62">
        <f t="shared" ca="1" si="225"/>
        <v>335676.41070564726</v>
      </c>
      <c r="J250" s="62">
        <f t="shared" ca="1" si="206"/>
        <v>62190484.421179079</v>
      </c>
      <c r="K250" s="55"/>
      <c r="L250" s="62">
        <f t="shared" ca="1" si="226"/>
        <v>18966345.597188748</v>
      </c>
      <c r="M250" s="68">
        <f ca="1">IF(pdrLossTime1="",OFFSET(Vectors!$AE$6,A250+_Age1,MATCH(SDA_Loss,lstSDA,0)),OFFSET(Vectors!$X$6,A250+_Age1,MATCH(pdrLossTime1,lstDefaultCurve,0)))</f>
        <v>2.7777777777777779E-5</v>
      </c>
      <c r="N250" s="62">
        <f t="shared" ca="1" si="212"/>
        <v>2777.7777777777778</v>
      </c>
      <c r="O250" s="67">
        <f t="shared" ca="1" si="227"/>
        <v>0.62190484421179082</v>
      </c>
      <c r="P250" s="68">
        <f ca="1">OFFSET(Vectors!$L$6,A250+_Age1,MATCH(pdrPrepay1,lstPrepayCurve,0))*pdrPrepayStress1</f>
        <v>5.1430128318229462E-3</v>
      </c>
      <c r="Q250" s="62">
        <f t="shared" ca="1" si="228"/>
        <v>97020.48560507581</v>
      </c>
      <c r="R250" s="62">
        <f t="shared" ca="1" si="229"/>
        <v>101807.34423961086</v>
      </c>
      <c r="S250" s="69">
        <f t="shared" ca="1" si="230"/>
        <v>0.09</v>
      </c>
      <c r="T250" s="62">
        <f t="shared" ca="1" si="231"/>
        <v>142226.75864558227</v>
      </c>
      <c r="U250" s="62">
        <f t="shared" ca="1" si="213"/>
        <v>1111.1111111111111</v>
      </c>
      <c r="V250" s="62">
        <f t="shared" ca="1" si="207"/>
        <v>18764739.989566285</v>
      </c>
      <c r="W250" s="55"/>
      <c r="X250" s="62">
        <f t="shared" ca="1" si="232"/>
        <v>342165.69960138004</v>
      </c>
      <c r="Y250" s="55"/>
      <c r="Z250" s="118" t="b">
        <v>0</v>
      </c>
      <c r="AA250" s="120" t="b">
        <f t="shared" si="214"/>
        <v>0</v>
      </c>
      <c r="AB250" s="120" t="b">
        <f t="shared" si="215"/>
        <v>1</v>
      </c>
      <c r="AC250" s="120" t="b">
        <f t="shared" ca="1" si="216"/>
        <v>0</v>
      </c>
      <c r="AD250" s="121"/>
      <c r="AE250" s="129">
        <v>0</v>
      </c>
      <c r="AF250" s="69">
        <f ca="1">IF(Swap_Active="No",0,OFFSET(Vectors!$D$6,Vectors!A250,MATCH(Swap_In,lstInterestRates,0)))</f>
        <v>6.9369000000000056E-2</v>
      </c>
      <c r="AG250" s="62">
        <f t="shared" ca="1" si="233"/>
        <v>0</v>
      </c>
      <c r="AH250" s="69">
        <f ca="1">IF(Swap_Active="No",0,OFFSET(Vectors!$D$6,Vectors!A250,MATCH(Swap_Out,lstInterestRates,0)))</f>
        <v>0.04</v>
      </c>
      <c r="AI250" s="62">
        <f t="shared" ca="1" si="234"/>
        <v>0</v>
      </c>
      <c r="AJ250" s="62">
        <f t="shared" ca="1" si="235"/>
        <v>0</v>
      </c>
      <c r="AK250" s="62">
        <f t="shared" ca="1" si="236"/>
        <v>342165.69960138004</v>
      </c>
      <c r="AL250" s="121"/>
      <c r="AM250" s="123">
        <f t="shared" ca="1" si="217"/>
        <v>31610.575995314579</v>
      </c>
      <c r="AN250" s="124">
        <f t="shared" ca="1" si="237"/>
        <v>31610.575995314579</v>
      </c>
      <c r="AO250" s="125">
        <f t="shared" ca="1" si="238"/>
        <v>0</v>
      </c>
      <c r="AP250" s="123">
        <f t="shared" ca="1" si="239"/>
        <v>310555.12360606546</v>
      </c>
      <c r="AQ250" s="121"/>
      <c r="AR250" s="126">
        <f ca="1">IF(LiabIntType1="Fixed",LiabFxdRate1,OFFSET(Vectors!$D$6,Vectors!A250,MATCH(LiabLoanIndex1,lstInterestRates,0))+LiabMarg1)</f>
        <v>7.9369000000000051E-2</v>
      </c>
      <c r="AS250" s="122">
        <f t="shared" ca="1" si="240"/>
        <v>0</v>
      </c>
      <c r="AT250" s="124">
        <f t="shared" ca="1" si="241"/>
        <v>0</v>
      </c>
      <c r="AU250" s="123">
        <f t="shared" ca="1" si="242"/>
        <v>0</v>
      </c>
      <c r="AV250" s="123">
        <f t="shared" ca="1" si="218"/>
        <v>0</v>
      </c>
      <c r="AW250" s="123">
        <f t="shared" ca="1" si="243"/>
        <v>0</v>
      </c>
      <c r="AX250" s="124">
        <f t="shared" ca="1" si="244"/>
        <v>310555.12360606546</v>
      </c>
      <c r="AY250" s="121"/>
      <c r="AZ250" s="122">
        <f t="shared" ca="1" si="219"/>
        <v>0</v>
      </c>
      <c r="BA250" s="124">
        <f t="shared" ca="1" si="245"/>
        <v>0</v>
      </c>
      <c r="BB250" s="123">
        <f t="shared" ca="1" si="246"/>
        <v>0</v>
      </c>
      <c r="BC250" s="123">
        <f t="shared" ca="1" si="220"/>
        <v>0</v>
      </c>
      <c r="BD250" s="123">
        <f t="shared" ca="1" si="247"/>
        <v>0</v>
      </c>
      <c r="BE250" s="124">
        <f t="shared" ca="1" si="248"/>
        <v>310555.12360606546</v>
      </c>
      <c r="BF250" s="121"/>
      <c r="BG250" s="123">
        <f t="shared" si="221"/>
        <v>1000000</v>
      </c>
      <c r="BH250" s="123">
        <f t="shared" ca="1" si="249"/>
        <v>1000000</v>
      </c>
      <c r="BI250" s="123">
        <f t="shared" ca="1" si="250"/>
        <v>0</v>
      </c>
      <c r="BJ250" s="123">
        <f t="shared" ca="1" si="251"/>
        <v>0</v>
      </c>
      <c r="BK250" s="123">
        <f t="shared" ca="1" si="208"/>
        <v>1000000</v>
      </c>
      <c r="BL250" s="123">
        <f t="shared" ca="1" si="252"/>
        <v>310555.12360606546</v>
      </c>
      <c r="BM250" s="121"/>
      <c r="BN250" s="126">
        <f ca="1">IF(LiabIntType2="Fixed",LiabFxdRate2,OFFSET(Vectors!$D$6,Vectors!A250,MATCH(LiabLoanIndex2,lstInterestRates,0))+LiabMarg2)</f>
        <v>0.04</v>
      </c>
      <c r="BO250" s="122">
        <f t="shared" ca="1" si="253"/>
        <v>27057.111675589927</v>
      </c>
      <c r="BP250" s="124">
        <f t="shared" ca="1" si="254"/>
        <v>27057.111675589927</v>
      </c>
      <c r="BQ250" s="123">
        <f t="shared" ca="1" si="255"/>
        <v>0</v>
      </c>
      <c r="BR250" s="123">
        <f t="shared" ca="1" si="256"/>
        <v>283498.01193047554</v>
      </c>
      <c r="BS250" s="121"/>
      <c r="BT250" s="123">
        <f t="shared" ca="1" si="222"/>
        <v>20670.444976822644</v>
      </c>
      <c r="BU250" s="123">
        <f t="shared" ca="1" si="257"/>
        <v>20670.444976822644</v>
      </c>
      <c r="BV250" s="123">
        <f t="shared" ca="1" si="258"/>
        <v>0</v>
      </c>
      <c r="BW250" s="123">
        <f t="shared" ca="1" si="259"/>
        <v>262827.56695365289</v>
      </c>
      <c r="BX250" s="121"/>
      <c r="BY250" s="123">
        <f t="shared" si="260"/>
        <v>0</v>
      </c>
      <c r="BZ250" s="123">
        <f t="shared" ca="1" si="261"/>
        <v>262827.56695365289</v>
      </c>
      <c r="CA250" s="121"/>
      <c r="CB250" s="122">
        <f t="shared" ca="1" si="209"/>
        <v>0</v>
      </c>
      <c r="CC250" s="122">
        <f t="shared" ca="1" si="262"/>
        <v>0</v>
      </c>
      <c r="CD250" s="124">
        <f t="shared" ca="1" si="263"/>
        <v>0</v>
      </c>
      <c r="CE250" s="121"/>
      <c r="CF250" s="122">
        <f t="shared" ca="1" si="210"/>
        <v>8096463.0577001562</v>
      </c>
      <c r="CG250" s="124">
        <f t="shared" ca="1" si="264"/>
        <v>27057.111675589927</v>
      </c>
      <c r="CH250" s="123">
        <f t="shared" ca="1" si="265"/>
        <v>20670.444976822644</v>
      </c>
      <c r="CI250" s="121"/>
      <c r="CJ250" s="123">
        <f t="shared" ca="1" si="266"/>
        <v>342165.69960138004</v>
      </c>
      <c r="CK250" s="123">
        <f t="shared" ca="1" si="267"/>
        <v>342165.69960138004</v>
      </c>
      <c r="CL250" s="123">
        <f t="shared" ca="1" si="268"/>
        <v>0</v>
      </c>
      <c r="CM250" s="121"/>
      <c r="CN250" s="62">
        <f t="shared" ca="1" si="269"/>
        <v>201605.60762246445</v>
      </c>
      <c r="CO250" s="62" t="b">
        <f t="shared" si="270"/>
        <v>1</v>
      </c>
      <c r="CP250" s="126">
        <f t="shared" ca="1" si="271"/>
        <v>6.7777777777777515E-3</v>
      </c>
      <c r="CQ250" s="120"/>
      <c r="CR250" s="120"/>
      <c r="CS250" s="120"/>
      <c r="CT250" s="120"/>
      <c r="CU250" s="120"/>
      <c r="CV250" s="120"/>
      <c r="CW250" s="120"/>
      <c r="CX250" s="120"/>
      <c r="CY250" s="120"/>
      <c r="CZ250" s="120"/>
      <c r="DA250" s="120"/>
      <c r="DB250" s="120"/>
      <c r="DC250" s="120"/>
      <c r="DD250" s="120"/>
      <c r="DE250" s="116"/>
      <c r="DF250" s="116"/>
      <c r="DG250" s="116"/>
      <c r="DH250" s="116"/>
      <c r="DI250" s="116"/>
      <c r="DJ250" s="116"/>
      <c r="DK250" s="116"/>
      <c r="DL250" s="116"/>
      <c r="DM250" s="116"/>
      <c r="DN250" s="116"/>
    </row>
    <row r="251" spans="1:118" x14ac:dyDescent="0.2">
      <c r="A251" s="27">
        <v>245</v>
      </c>
      <c r="B251" s="29">
        <f t="shared" si="204"/>
        <v>46569</v>
      </c>
      <c r="C251" s="30">
        <f t="shared" si="205"/>
        <v>8.3333333333333329E-2</v>
      </c>
      <c r="D251" s="55"/>
      <c r="E251" s="62">
        <f t="shared" ca="1" si="223"/>
        <v>62190484.421179079</v>
      </c>
      <c r="F251" s="63">
        <f ca="1">IF(AssetIntType1="Fixed",AssetFxdRate1,IF(A251=1,OFFSET(Vectors!$D$6,A251,MATCH(AssetFltIndx1,lstInterestRates,0)),IF(MOD($A251,AssetRateReset1)=0,MAX(MIN(OFFSET(Vectors!$D$6,A251,MATCH(AssetFltIndx1,lstInterestRates,0)),(F250-AssetMarg1)+AssetPdCapFl1,AssetLifeCap1-AssetMarg1),(F250-AssetMarg1)-AssetPdCapFl1,AssetLifeFloor1-AssetMarg1),F250)))+AssetMarg1</f>
        <v>0.09</v>
      </c>
      <c r="G251" s="62">
        <f t="shared" ca="1" si="211"/>
        <v>804622.61694478267</v>
      </c>
      <c r="H251" s="62">
        <f t="shared" ca="1" si="224"/>
        <v>466428.63315884309</v>
      </c>
      <c r="I251" s="62">
        <f t="shared" ca="1" si="225"/>
        <v>338193.98378593958</v>
      </c>
      <c r="J251" s="62">
        <f t="shared" ca="1" si="206"/>
        <v>61852290.437393136</v>
      </c>
      <c r="K251" s="55"/>
      <c r="L251" s="62">
        <f t="shared" ca="1" si="226"/>
        <v>18764739.989566285</v>
      </c>
      <c r="M251" s="68">
        <f ca="1">IF(pdrLossTime1="",OFFSET(Vectors!$AE$6,A251+_Age1,MATCH(SDA_Loss,lstSDA,0)),OFFSET(Vectors!$X$6,A251+_Age1,MATCH(pdrLossTime1,lstDefaultCurve,0)))</f>
        <v>2.7777777777777779E-5</v>
      </c>
      <c r="N251" s="62">
        <f t="shared" ca="1" si="212"/>
        <v>2777.7777777777778</v>
      </c>
      <c r="O251" s="67">
        <f t="shared" ca="1" si="227"/>
        <v>0.61852290437393131</v>
      </c>
      <c r="P251" s="68">
        <f ca="1">OFFSET(Vectors!$L$6,A251+_Age1,MATCH(pdrPrepay1,lstPrepayCurve,0))*pdrPrepayStress1</f>
        <v>5.1430128318229462E-3</v>
      </c>
      <c r="Q251" s="62">
        <f t="shared" ca="1" si="228"/>
        <v>95982.488558066674</v>
      </c>
      <c r="R251" s="62">
        <f t="shared" ca="1" si="229"/>
        <v>102028.19294788085</v>
      </c>
      <c r="S251" s="69">
        <f t="shared" ca="1" si="230"/>
        <v>0.09</v>
      </c>
      <c r="T251" s="62">
        <f t="shared" ca="1" si="231"/>
        <v>140714.71658841381</v>
      </c>
      <c r="U251" s="62">
        <f t="shared" ca="1" si="213"/>
        <v>1111.1111111111111</v>
      </c>
      <c r="V251" s="62">
        <f t="shared" ca="1" si="207"/>
        <v>18563951.530282564</v>
      </c>
      <c r="W251" s="55"/>
      <c r="X251" s="62">
        <f t="shared" ca="1" si="232"/>
        <v>339836.50920547242</v>
      </c>
      <c r="Y251" s="55"/>
      <c r="Z251" s="118" t="b">
        <v>0</v>
      </c>
      <c r="AA251" s="120" t="b">
        <f t="shared" si="214"/>
        <v>0</v>
      </c>
      <c r="AB251" s="120" t="b">
        <f t="shared" si="215"/>
        <v>1</v>
      </c>
      <c r="AC251" s="120" t="b">
        <f t="shared" ca="1" si="216"/>
        <v>0</v>
      </c>
      <c r="AD251" s="121"/>
      <c r="AE251" s="129">
        <v>0</v>
      </c>
      <c r="AF251" s="69">
        <f ca="1">IF(Swap_Active="No",0,OFFSET(Vectors!$D$6,Vectors!A251,MATCH(Swap_In,lstInterestRates,0)))</f>
        <v>6.9369000000000056E-2</v>
      </c>
      <c r="AG251" s="62">
        <f t="shared" ca="1" si="233"/>
        <v>0</v>
      </c>
      <c r="AH251" s="69">
        <f ca="1">IF(Swap_Active="No",0,OFFSET(Vectors!$D$6,Vectors!A251,MATCH(Swap_Out,lstInterestRates,0)))</f>
        <v>0.04</v>
      </c>
      <c r="AI251" s="62">
        <f t="shared" ca="1" si="234"/>
        <v>0</v>
      </c>
      <c r="AJ251" s="62">
        <f t="shared" ca="1" si="235"/>
        <v>0</v>
      </c>
      <c r="AK251" s="62">
        <f t="shared" ca="1" si="236"/>
        <v>339836.50920547242</v>
      </c>
      <c r="AL251" s="121"/>
      <c r="AM251" s="123">
        <f t="shared" ca="1" si="217"/>
        <v>31274.566649277142</v>
      </c>
      <c r="AN251" s="124">
        <f t="shared" ca="1" si="237"/>
        <v>31274.566649277142</v>
      </c>
      <c r="AO251" s="125">
        <f t="shared" ca="1" si="238"/>
        <v>0</v>
      </c>
      <c r="AP251" s="123">
        <f t="shared" ca="1" si="239"/>
        <v>308561.94255619531</v>
      </c>
      <c r="AQ251" s="121"/>
      <c r="AR251" s="126">
        <f ca="1">IF(LiabIntType1="Fixed",LiabFxdRate1,OFFSET(Vectors!$D$6,Vectors!A251,MATCH(LiabLoanIndex1,lstInterestRates,0))+LiabMarg1)</f>
        <v>7.9369000000000051E-2</v>
      </c>
      <c r="AS251" s="122">
        <f t="shared" ca="1" si="240"/>
        <v>0</v>
      </c>
      <c r="AT251" s="124">
        <f t="shared" ca="1" si="241"/>
        <v>0</v>
      </c>
      <c r="AU251" s="123">
        <f t="shared" ca="1" si="242"/>
        <v>0</v>
      </c>
      <c r="AV251" s="123">
        <f t="shared" ca="1" si="218"/>
        <v>0</v>
      </c>
      <c r="AW251" s="123">
        <f t="shared" ca="1" si="243"/>
        <v>0</v>
      </c>
      <c r="AX251" s="124">
        <f t="shared" ca="1" si="244"/>
        <v>308561.94255619531</v>
      </c>
      <c r="AY251" s="121"/>
      <c r="AZ251" s="122">
        <f t="shared" ca="1" si="219"/>
        <v>0</v>
      </c>
      <c r="BA251" s="124">
        <f t="shared" ca="1" si="245"/>
        <v>0</v>
      </c>
      <c r="BB251" s="123">
        <f t="shared" ca="1" si="246"/>
        <v>0</v>
      </c>
      <c r="BC251" s="123">
        <f t="shared" ca="1" si="220"/>
        <v>0</v>
      </c>
      <c r="BD251" s="123">
        <f t="shared" ca="1" si="247"/>
        <v>0</v>
      </c>
      <c r="BE251" s="124">
        <f t="shared" ca="1" si="248"/>
        <v>308561.94255619531</v>
      </c>
      <c r="BF251" s="121"/>
      <c r="BG251" s="123">
        <f t="shared" si="221"/>
        <v>1000000</v>
      </c>
      <c r="BH251" s="123">
        <f t="shared" ca="1" si="249"/>
        <v>1000000</v>
      </c>
      <c r="BI251" s="123">
        <f t="shared" ca="1" si="250"/>
        <v>0</v>
      </c>
      <c r="BJ251" s="123">
        <f t="shared" ca="1" si="251"/>
        <v>0</v>
      </c>
      <c r="BK251" s="123">
        <f t="shared" ca="1" si="208"/>
        <v>1000000</v>
      </c>
      <c r="BL251" s="123">
        <f t="shared" ca="1" si="252"/>
        <v>308561.94255619531</v>
      </c>
      <c r="BM251" s="121"/>
      <c r="BN251" s="126">
        <f ca="1">IF(LiabIntType2="Fixed",LiabFxdRate2,OFFSET(Vectors!$D$6,Vectors!A251,MATCH(LiabLoanIndex2,lstInterestRates,0))+LiabMarg2)</f>
        <v>0.04</v>
      </c>
      <c r="BO251" s="122">
        <f t="shared" ca="1" si="253"/>
        <v>26988.210192333852</v>
      </c>
      <c r="BP251" s="124">
        <f t="shared" ca="1" si="254"/>
        <v>26988.210192333852</v>
      </c>
      <c r="BQ251" s="123">
        <f t="shared" ca="1" si="255"/>
        <v>0</v>
      </c>
      <c r="BR251" s="123">
        <f t="shared" ca="1" si="256"/>
        <v>281573.73236386146</v>
      </c>
      <c r="BS251" s="121"/>
      <c r="BT251" s="123">
        <f t="shared" ca="1" si="222"/>
        <v>20586.663479011135</v>
      </c>
      <c r="BU251" s="123">
        <f t="shared" ca="1" si="257"/>
        <v>20586.663479011135</v>
      </c>
      <c r="BV251" s="123">
        <f t="shared" ca="1" si="258"/>
        <v>0</v>
      </c>
      <c r="BW251" s="123">
        <f t="shared" ca="1" si="259"/>
        <v>260987.06888485033</v>
      </c>
      <c r="BX251" s="121"/>
      <c r="BY251" s="123">
        <f t="shared" si="260"/>
        <v>0</v>
      </c>
      <c r="BZ251" s="123">
        <f t="shared" ca="1" si="261"/>
        <v>260987.06888485033</v>
      </c>
      <c r="CA251" s="121"/>
      <c r="CB251" s="122">
        <f t="shared" ca="1" si="209"/>
        <v>0</v>
      </c>
      <c r="CC251" s="122">
        <f t="shared" ca="1" si="262"/>
        <v>0</v>
      </c>
      <c r="CD251" s="124">
        <f t="shared" ca="1" si="263"/>
        <v>0</v>
      </c>
      <c r="CE251" s="121"/>
      <c r="CF251" s="122">
        <f t="shared" ca="1" si="210"/>
        <v>8075876.3942211447</v>
      </c>
      <c r="CG251" s="124">
        <f t="shared" ca="1" si="264"/>
        <v>26988.210192333852</v>
      </c>
      <c r="CH251" s="123">
        <f t="shared" ca="1" si="265"/>
        <v>20586.663479011135</v>
      </c>
      <c r="CI251" s="121"/>
      <c r="CJ251" s="123">
        <f t="shared" ca="1" si="266"/>
        <v>339836.50920547242</v>
      </c>
      <c r="CK251" s="123">
        <f t="shared" ca="1" si="267"/>
        <v>339836.50920547242</v>
      </c>
      <c r="CL251" s="123">
        <f t="shared" ca="1" si="268"/>
        <v>0</v>
      </c>
      <c r="CM251" s="121"/>
      <c r="CN251" s="62">
        <f t="shared" ca="1" si="269"/>
        <v>200788.4592837253</v>
      </c>
      <c r="CO251" s="62" t="b">
        <f t="shared" si="270"/>
        <v>1</v>
      </c>
      <c r="CP251" s="126">
        <f t="shared" ca="1" si="271"/>
        <v>6.8055555555555291E-3</v>
      </c>
      <c r="CQ251" s="120"/>
      <c r="CR251" s="120"/>
      <c r="CS251" s="120"/>
      <c r="CT251" s="120"/>
      <c r="CU251" s="120"/>
      <c r="CV251" s="120"/>
      <c r="CW251" s="120"/>
      <c r="CX251" s="120"/>
      <c r="CY251" s="120"/>
      <c r="CZ251" s="120"/>
      <c r="DA251" s="120"/>
      <c r="DB251" s="120"/>
      <c r="DC251" s="120"/>
      <c r="DD251" s="120"/>
      <c r="DE251" s="116"/>
      <c r="DF251" s="116"/>
      <c r="DG251" s="116"/>
      <c r="DH251" s="116"/>
      <c r="DI251" s="116"/>
      <c r="DJ251" s="116"/>
      <c r="DK251" s="116"/>
      <c r="DL251" s="116"/>
      <c r="DM251" s="116"/>
      <c r="DN251" s="116"/>
    </row>
    <row r="252" spans="1:118" x14ac:dyDescent="0.2">
      <c r="A252" s="27">
        <v>246</v>
      </c>
      <c r="B252" s="29">
        <f t="shared" si="204"/>
        <v>46600</v>
      </c>
      <c r="C252" s="30">
        <f t="shared" si="205"/>
        <v>8.3333333333333329E-2</v>
      </c>
      <c r="D252" s="55"/>
      <c r="E252" s="62">
        <f t="shared" ca="1" si="223"/>
        <v>61852290.437393136</v>
      </c>
      <c r="F252" s="63">
        <f ca="1">IF(AssetIntType1="Fixed",AssetFxdRate1,IF(A252=1,OFFSET(Vectors!$D$6,A252,MATCH(AssetFltIndx1,lstInterestRates,0)),IF(MOD($A252,AssetRateReset1)=0,MAX(MIN(OFFSET(Vectors!$D$6,A252,MATCH(AssetFltIndx1,lstInterestRates,0)),(F251-AssetMarg1)+AssetPdCapFl1,AssetLifeCap1-AssetMarg1),(F251-AssetMarg1)-AssetPdCapFl1,AssetLifeFloor1-AssetMarg1),F251)))+AssetMarg1</f>
        <v>0.09</v>
      </c>
      <c r="G252" s="62">
        <f t="shared" ca="1" si="211"/>
        <v>804622.61694478267</v>
      </c>
      <c r="H252" s="62">
        <f t="shared" ca="1" si="224"/>
        <v>463892.17828044848</v>
      </c>
      <c r="I252" s="62">
        <f t="shared" ca="1" si="225"/>
        <v>340730.43866433419</v>
      </c>
      <c r="J252" s="62">
        <f t="shared" ca="1" si="206"/>
        <v>61511559.998728804</v>
      </c>
      <c r="K252" s="55"/>
      <c r="L252" s="62">
        <f t="shared" ca="1" si="226"/>
        <v>18563951.530282564</v>
      </c>
      <c r="M252" s="68">
        <f ca="1">IF(pdrLossTime1="",OFFSET(Vectors!$AE$6,A252+_Age1,MATCH(SDA_Loss,lstSDA,0)),OFFSET(Vectors!$X$6,A252+_Age1,MATCH(pdrLossTime1,lstDefaultCurve,0)))</f>
        <v>2.7777777777777779E-5</v>
      </c>
      <c r="N252" s="62">
        <f t="shared" ca="1" si="212"/>
        <v>2777.7777777777778</v>
      </c>
      <c r="O252" s="67">
        <f t="shared" ca="1" si="227"/>
        <v>0.61511559998728804</v>
      </c>
      <c r="P252" s="68">
        <f ca="1">OFFSET(Vectors!$L$6,A252+_Age1,MATCH(pdrPrepay1,lstPrepayCurve,0))*pdrPrepayStress1</f>
        <v>5.1430128318229462E-3</v>
      </c>
      <c r="Q252" s="62">
        <f t="shared" ca="1" si="228"/>
        <v>94948.692479570193</v>
      </c>
      <c r="R252" s="62">
        <f t="shared" ca="1" si="229"/>
        <v>102249.35616923144</v>
      </c>
      <c r="S252" s="69">
        <f t="shared" ca="1" si="230"/>
        <v>0.09</v>
      </c>
      <c r="T252" s="62">
        <f t="shared" ca="1" si="231"/>
        <v>139208.80314378592</v>
      </c>
      <c r="U252" s="62">
        <f t="shared" ca="1" si="213"/>
        <v>1111.1111111111111</v>
      </c>
      <c r="V252" s="62">
        <f t="shared" ca="1" si="207"/>
        <v>18363975.703855988</v>
      </c>
      <c r="W252" s="55"/>
      <c r="X252" s="62">
        <f t="shared" ca="1" si="232"/>
        <v>337517.96290369867</v>
      </c>
      <c r="Y252" s="55"/>
      <c r="Z252" s="118" t="b">
        <v>0</v>
      </c>
      <c r="AA252" s="120" t="b">
        <f t="shared" si="214"/>
        <v>0</v>
      </c>
      <c r="AB252" s="120" t="b">
        <f t="shared" si="215"/>
        <v>1</v>
      </c>
      <c r="AC252" s="120" t="b">
        <f t="shared" ca="1" si="216"/>
        <v>0</v>
      </c>
      <c r="AD252" s="121"/>
      <c r="AE252" s="129">
        <v>0</v>
      </c>
      <c r="AF252" s="69">
        <f ca="1">IF(Swap_Active="No",0,OFFSET(Vectors!$D$6,Vectors!A252,MATCH(Swap_In,lstInterestRates,0)))</f>
        <v>6.9369000000000056E-2</v>
      </c>
      <c r="AG252" s="62">
        <f t="shared" ca="1" si="233"/>
        <v>0</v>
      </c>
      <c r="AH252" s="69">
        <f ca="1">IF(Swap_Active="No",0,OFFSET(Vectors!$D$6,Vectors!A252,MATCH(Swap_Out,lstInterestRates,0)))</f>
        <v>0.04</v>
      </c>
      <c r="AI252" s="62">
        <f t="shared" ca="1" si="234"/>
        <v>0</v>
      </c>
      <c r="AJ252" s="62">
        <f t="shared" ca="1" si="235"/>
        <v>0</v>
      </c>
      <c r="AK252" s="62">
        <f t="shared" ca="1" si="236"/>
        <v>337517.96290369867</v>
      </c>
      <c r="AL252" s="121"/>
      <c r="AM252" s="123">
        <f t="shared" ca="1" si="217"/>
        <v>30939.919217137605</v>
      </c>
      <c r="AN252" s="124">
        <f t="shared" ca="1" si="237"/>
        <v>30939.919217137605</v>
      </c>
      <c r="AO252" s="125">
        <f t="shared" ca="1" si="238"/>
        <v>0</v>
      </c>
      <c r="AP252" s="123">
        <f t="shared" ca="1" si="239"/>
        <v>306578.04368656105</v>
      </c>
      <c r="AQ252" s="121"/>
      <c r="AR252" s="126">
        <f ca="1">IF(LiabIntType1="Fixed",LiabFxdRate1,OFFSET(Vectors!$D$6,Vectors!A252,MATCH(LiabLoanIndex1,lstInterestRates,0))+LiabMarg1)</f>
        <v>7.9369000000000051E-2</v>
      </c>
      <c r="AS252" s="122">
        <f t="shared" ca="1" si="240"/>
        <v>0</v>
      </c>
      <c r="AT252" s="124">
        <f t="shared" ca="1" si="241"/>
        <v>0</v>
      </c>
      <c r="AU252" s="123">
        <f t="shared" ca="1" si="242"/>
        <v>0</v>
      </c>
      <c r="AV252" s="123">
        <f t="shared" ca="1" si="218"/>
        <v>0</v>
      </c>
      <c r="AW252" s="123">
        <f t="shared" ca="1" si="243"/>
        <v>0</v>
      </c>
      <c r="AX252" s="124">
        <f t="shared" ca="1" si="244"/>
        <v>306578.04368656105</v>
      </c>
      <c r="AY252" s="121"/>
      <c r="AZ252" s="122">
        <f t="shared" ca="1" si="219"/>
        <v>0</v>
      </c>
      <c r="BA252" s="124">
        <f t="shared" ca="1" si="245"/>
        <v>0</v>
      </c>
      <c r="BB252" s="123">
        <f t="shared" ca="1" si="246"/>
        <v>0</v>
      </c>
      <c r="BC252" s="123">
        <f t="shared" ca="1" si="220"/>
        <v>0</v>
      </c>
      <c r="BD252" s="123">
        <f t="shared" ca="1" si="247"/>
        <v>0</v>
      </c>
      <c r="BE252" s="124">
        <f t="shared" ca="1" si="248"/>
        <v>306578.04368656105</v>
      </c>
      <c r="BF252" s="121"/>
      <c r="BG252" s="123">
        <f t="shared" si="221"/>
        <v>1000000</v>
      </c>
      <c r="BH252" s="123">
        <f t="shared" ca="1" si="249"/>
        <v>1000000</v>
      </c>
      <c r="BI252" s="123">
        <f t="shared" ca="1" si="250"/>
        <v>0</v>
      </c>
      <c r="BJ252" s="123">
        <f t="shared" ca="1" si="251"/>
        <v>0</v>
      </c>
      <c r="BK252" s="123">
        <f t="shared" ca="1" si="208"/>
        <v>1000000</v>
      </c>
      <c r="BL252" s="123">
        <f t="shared" ca="1" si="252"/>
        <v>306578.04368656105</v>
      </c>
      <c r="BM252" s="121"/>
      <c r="BN252" s="126">
        <f ca="1">IF(LiabIntType2="Fixed",LiabFxdRate2,OFFSET(Vectors!$D$6,Vectors!A252,MATCH(LiabLoanIndex2,lstInterestRates,0))+LiabMarg2)</f>
        <v>0.04</v>
      </c>
      <c r="BO252" s="122">
        <f t="shared" ca="1" si="253"/>
        <v>26919.587980737146</v>
      </c>
      <c r="BP252" s="124">
        <f t="shared" ca="1" si="254"/>
        <v>26919.587980737146</v>
      </c>
      <c r="BQ252" s="123">
        <f t="shared" ca="1" si="255"/>
        <v>0</v>
      </c>
      <c r="BR252" s="123">
        <f t="shared" ca="1" si="256"/>
        <v>279658.4557058239</v>
      </c>
      <c r="BS252" s="121"/>
      <c r="BT252" s="123">
        <f t="shared" ca="1" si="222"/>
        <v>20503.344949541221</v>
      </c>
      <c r="BU252" s="123">
        <f t="shared" ca="1" si="257"/>
        <v>20503.344949541221</v>
      </c>
      <c r="BV252" s="123">
        <f t="shared" ca="1" si="258"/>
        <v>0</v>
      </c>
      <c r="BW252" s="123">
        <f t="shared" ca="1" si="259"/>
        <v>259155.11075628269</v>
      </c>
      <c r="BX252" s="121"/>
      <c r="BY252" s="123">
        <f t="shared" si="260"/>
        <v>0</v>
      </c>
      <c r="BZ252" s="123">
        <f t="shared" ca="1" si="261"/>
        <v>259155.11075628269</v>
      </c>
      <c r="CA252" s="121"/>
      <c r="CB252" s="122">
        <f t="shared" ca="1" si="209"/>
        <v>0</v>
      </c>
      <c r="CC252" s="122">
        <f t="shared" ca="1" si="262"/>
        <v>0</v>
      </c>
      <c r="CD252" s="124">
        <f t="shared" ca="1" si="263"/>
        <v>0</v>
      </c>
      <c r="CE252" s="121"/>
      <c r="CF252" s="122">
        <f t="shared" ca="1" si="210"/>
        <v>8055373.0492716031</v>
      </c>
      <c r="CG252" s="124">
        <f t="shared" ca="1" si="264"/>
        <v>26919.587980737146</v>
      </c>
      <c r="CH252" s="123">
        <f t="shared" ca="1" si="265"/>
        <v>20503.344949541221</v>
      </c>
      <c r="CI252" s="121"/>
      <c r="CJ252" s="123">
        <f t="shared" ca="1" si="266"/>
        <v>337517.96290369867</v>
      </c>
      <c r="CK252" s="123">
        <f t="shared" ca="1" si="267"/>
        <v>337517.96290369867</v>
      </c>
      <c r="CL252" s="123">
        <f t="shared" ca="1" si="268"/>
        <v>0</v>
      </c>
      <c r="CM252" s="121"/>
      <c r="CN252" s="62">
        <f t="shared" ca="1" si="269"/>
        <v>199975.82642657941</v>
      </c>
      <c r="CO252" s="62" t="b">
        <f t="shared" si="270"/>
        <v>1</v>
      </c>
      <c r="CP252" s="126">
        <f t="shared" ca="1" si="271"/>
        <v>6.8333333333333067E-3</v>
      </c>
      <c r="CQ252" s="120"/>
      <c r="CR252" s="120"/>
      <c r="CS252" s="120"/>
      <c r="CT252" s="120"/>
      <c r="CU252" s="120"/>
      <c r="CV252" s="120"/>
      <c r="CW252" s="120"/>
      <c r="CX252" s="120"/>
      <c r="CY252" s="120"/>
      <c r="CZ252" s="120"/>
      <c r="DA252" s="120"/>
      <c r="DB252" s="120"/>
      <c r="DC252" s="120"/>
      <c r="DD252" s="120"/>
      <c r="DE252" s="116"/>
      <c r="DF252" s="116"/>
      <c r="DG252" s="116"/>
      <c r="DH252" s="116"/>
      <c r="DI252" s="116"/>
      <c r="DJ252" s="116"/>
      <c r="DK252" s="116"/>
      <c r="DL252" s="116"/>
      <c r="DM252" s="116"/>
      <c r="DN252" s="116"/>
    </row>
    <row r="253" spans="1:118" x14ac:dyDescent="0.2">
      <c r="A253" s="27">
        <v>247</v>
      </c>
      <c r="B253" s="29">
        <f t="shared" si="204"/>
        <v>46631</v>
      </c>
      <c r="C253" s="30">
        <f t="shared" si="205"/>
        <v>8.3333333333333329E-2</v>
      </c>
      <c r="D253" s="55"/>
      <c r="E253" s="62">
        <f t="shared" ca="1" si="223"/>
        <v>61511559.998728804</v>
      </c>
      <c r="F253" s="63">
        <f ca="1">IF(AssetIntType1="Fixed",AssetFxdRate1,IF(A253=1,OFFSET(Vectors!$D$6,A253,MATCH(AssetFltIndx1,lstInterestRates,0)),IF(MOD($A253,AssetRateReset1)=0,MAX(MIN(OFFSET(Vectors!$D$6,A253,MATCH(AssetFltIndx1,lstInterestRates,0)),(F252-AssetMarg1)+AssetPdCapFl1,AssetLifeCap1-AssetMarg1),(F252-AssetMarg1)-AssetPdCapFl1,AssetLifeFloor1-AssetMarg1),F252)))+AssetMarg1</f>
        <v>0.09</v>
      </c>
      <c r="G253" s="62">
        <f t="shared" ca="1" si="211"/>
        <v>804622.61694478267</v>
      </c>
      <c r="H253" s="62">
        <f t="shared" ca="1" si="224"/>
        <v>461336.699990466</v>
      </c>
      <c r="I253" s="62">
        <f t="shared" ca="1" si="225"/>
        <v>343285.91695431666</v>
      </c>
      <c r="J253" s="62">
        <f t="shared" ca="1" si="206"/>
        <v>61168274.081774488</v>
      </c>
      <c r="K253" s="55"/>
      <c r="L253" s="62">
        <f t="shared" ca="1" si="226"/>
        <v>18363975.703855988</v>
      </c>
      <c r="M253" s="68">
        <f ca="1">IF(pdrLossTime1="",OFFSET(Vectors!$AE$6,A253+_Age1,MATCH(SDA_Loss,lstSDA,0)),OFFSET(Vectors!$X$6,A253+_Age1,MATCH(pdrLossTime1,lstDefaultCurve,0)))</f>
        <v>2.7777777777777779E-5</v>
      </c>
      <c r="N253" s="62">
        <f t="shared" ca="1" si="212"/>
        <v>2777.7777777777778</v>
      </c>
      <c r="O253" s="67">
        <f t="shared" ca="1" si="227"/>
        <v>0.61168274081774487</v>
      </c>
      <c r="P253" s="68">
        <f ca="1">OFFSET(Vectors!$L$6,A253+_Age1,MATCH(pdrPrepay1,lstPrepayCurve,0))*pdrPrepayStress1</f>
        <v>5.1430128318229462E-3</v>
      </c>
      <c r="Q253" s="62">
        <f t="shared" ca="1" si="228"/>
        <v>93919.074161085489</v>
      </c>
      <c r="R253" s="62">
        <f t="shared" ca="1" si="229"/>
        <v>102470.83095541326</v>
      </c>
      <c r="S253" s="69">
        <f t="shared" ca="1" si="230"/>
        <v>0.09</v>
      </c>
      <c r="T253" s="62">
        <f t="shared" ca="1" si="231"/>
        <v>137708.98444558657</v>
      </c>
      <c r="U253" s="62">
        <f t="shared" ca="1" si="213"/>
        <v>1111.1111111111111</v>
      </c>
      <c r="V253" s="62">
        <f t="shared" ca="1" si="207"/>
        <v>18164808.020961713</v>
      </c>
      <c r="W253" s="55"/>
      <c r="X253" s="62">
        <f t="shared" ca="1" si="232"/>
        <v>335210.00067319645</v>
      </c>
      <c r="Y253" s="55"/>
      <c r="Z253" s="118" t="b">
        <v>0</v>
      </c>
      <c r="AA253" s="120" t="b">
        <f t="shared" si="214"/>
        <v>0</v>
      </c>
      <c r="AB253" s="120" t="b">
        <f t="shared" si="215"/>
        <v>1</v>
      </c>
      <c r="AC253" s="120" t="b">
        <f t="shared" ca="1" si="216"/>
        <v>0</v>
      </c>
      <c r="AD253" s="121"/>
      <c r="AE253" s="129">
        <v>0</v>
      </c>
      <c r="AF253" s="69">
        <f ca="1">IF(Swap_Active="No",0,OFFSET(Vectors!$D$6,Vectors!A253,MATCH(Swap_In,lstInterestRates,0)))</f>
        <v>6.9369000000000056E-2</v>
      </c>
      <c r="AG253" s="62">
        <f t="shared" ca="1" si="233"/>
        <v>0</v>
      </c>
      <c r="AH253" s="69">
        <f ca="1">IF(Swap_Active="No",0,OFFSET(Vectors!$D$6,Vectors!A253,MATCH(Swap_Out,lstInterestRates,0)))</f>
        <v>0.04</v>
      </c>
      <c r="AI253" s="62">
        <f t="shared" ca="1" si="234"/>
        <v>0</v>
      </c>
      <c r="AJ253" s="62">
        <f t="shared" ca="1" si="235"/>
        <v>0</v>
      </c>
      <c r="AK253" s="62">
        <f t="shared" ca="1" si="236"/>
        <v>335210.00067319645</v>
      </c>
      <c r="AL253" s="121"/>
      <c r="AM253" s="123">
        <f t="shared" ca="1" si="217"/>
        <v>30606.626173093311</v>
      </c>
      <c r="AN253" s="124">
        <f t="shared" ca="1" si="237"/>
        <v>30606.626173093311</v>
      </c>
      <c r="AO253" s="125">
        <f t="shared" ca="1" si="238"/>
        <v>0</v>
      </c>
      <c r="AP253" s="123">
        <f t="shared" ca="1" si="239"/>
        <v>304603.37450010312</v>
      </c>
      <c r="AQ253" s="121"/>
      <c r="AR253" s="126">
        <f ca="1">IF(LiabIntType1="Fixed",LiabFxdRate1,OFFSET(Vectors!$D$6,Vectors!A253,MATCH(LiabLoanIndex1,lstInterestRates,0))+LiabMarg1)</f>
        <v>7.9369000000000051E-2</v>
      </c>
      <c r="AS253" s="122">
        <f t="shared" ca="1" si="240"/>
        <v>0</v>
      </c>
      <c r="AT253" s="124">
        <f t="shared" ca="1" si="241"/>
        <v>0</v>
      </c>
      <c r="AU253" s="123">
        <f t="shared" ca="1" si="242"/>
        <v>0</v>
      </c>
      <c r="AV253" s="123">
        <f t="shared" ca="1" si="218"/>
        <v>0</v>
      </c>
      <c r="AW253" s="123">
        <f t="shared" ca="1" si="243"/>
        <v>0</v>
      </c>
      <c r="AX253" s="124">
        <f t="shared" ca="1" si="244"/>
        <v>304603.37450010312</v>
      </c>
      <c r="AY253" s="121"/>
      <c r="AZ253" s="122">
        <f t="shared" ca="1" si="219"/>
        <v>0</v>
      </c>
      <c r="BA253" s="124">
        <f t="shared" ca="1" si="245"/>
        <v>0</v>
      </c>
      <c r="BB253" s="123">
        <f t="shared" ca="1" si="246"/>
        <v>0</v>
      </c>
      <c r="BC253" s="123">
        <f t="shared" ca="1" si="220"/>
        <v>0</v>
      </c>
      <c r="BD253" s="123">
        <f t="shared" ca="1" si="247"/>
        <v>0</v>
      </c>
      <c r="BE253" s="124">
        <f t="shared" ca="1" si="248"/>
        <v>304603.37450010312</v>
      </c>
      <c r="BF253" s="121"/>
      <c r="BG253" s="123">
        <f t="shared" si="221"/>
        <v>1000000</v>
      </c>
      <c r="BH253" s="123">
        <f t="shared" ca="1" si="249"/>
        <v>1000000</v>
      </c>
      <c r="BI253" s="123">
        <f t="shared" ca="1" si="250"/>
        <v>0</v>
      </c>
      <c r="BJ253" s="123">
        <f t="shared" ca="1" si="251"/>
        <v>0</v>
      </c>
      <c r="BK253" s="123">
        <f t="shared" ca="1" si="208"/>
        <v>1000000</v>
      </c>
      <c r="BL253" s="123">
        <f t="shared" ca="1" si="252"/>
        <v>304603.37450010312</v>
      </c>
      <c r="BM253" s="121"/>
      <c r="BN253" s="126">
        <f ca="1">IF(LiabIntType2="Fixed",LiabFxdRate2,OFFSET(Vectors!$D$6,Vectors!A253,MATCH(LiabLoanIndex2,lstInterestRates,0))+LiabMarg2)</f>
        <v>0.04</v>
      </c>
      <c r="BO253" s="122">
        <f t="shared" ca="1" si="253"/>
        <v>26851.24349757201</v>
      </c>
      <c r="BP253" s="124">
        <f t="shared" ca="1" si="254"/>
        <v>26851.24349757201</v>
      </c>
      <c r="BQ253" s="123">
        <f t="shared" ca="1" si="255"/>
        <v>0</v>
      </c>
      <c r="BR253" s="123">
        <f t="shared" ca="1" si="256"/>
        <v>277752.1310025311</v>
      </c>
      <c r="BS253" s="121"/>
      <c r="BT253" s="123">
        <f t="shared" ca="1" si="222"/>
        <v>20420.486706584386</v>
      </c>
      <c r="BU253" s="123">
        <f t="shared" ca="1" si="257"/>
        <v>20420.486706584386</v>
      </c>
      <c r="BV253" s="123">
        <f t="shared" ca="1" si="258"/>
        <v>0</v>
      </c>
      <c r="BW253" s="123">
        <f t="shared" ca="1" si="259"/>
        <v>257331.64429594669</v>
      </c>
      <c r="BX253" s="121"/>
      <c r="BY253" s="123">
        <f t="shared" si="260"/>
        <v>0</v>
      </c>
      <c r="BZ253" s="123">
        <f t="shared" ca="1" si="261"/>
        <v>257331.64429594669</v>
      </c>
      <c r="CA253" s="121"/>
      <c r="CB253" s="122">
        <f t="shared" ca="1" si="209"/>
        <v>0</v>
      </c>
      <c r="CC253" s="122">
        <f t="shared" ca="1" si="262"/>
        <v>0</v>
      </c>
      <c r="CD253" s="124">
        <f t="shared" ca="1" si="263"/>
        <v>0</v>
      </c>
      <c r="CE253" s="121"/>
      <c r="CF253" s="122">
        <f t="shared" ca="1" si="210"/>
        <v>8034952.5625650184</v>
      </c>
      <c r="CG253" s="124">
        <f t="shared" ca="1" si="264"/>
        <v>26851.24349757201</v>
      </c>
      <c r="CH253" s="123">
        <f t="shared" ca="1" si="265"/>
        <v>20420.486706584386</v>
      </c>
      <c r="CI253" s="121"/>
      <c r="CJ253" s="123">
        <f t="shared" ca="1" si="266"/>
        <v>335210.00067319645</v>
      </c>
      <c r="CK253" s="123">
        <f t="shared" ca="1" si="267"/>
        <v>335210.00067319639</v>
      </c>
      <c r="CL253" s="123">
        <f t="shared" ca="1" si="268"/>
        <v>0</v>
      </c>
      <c r="CM253" s="121"/>
      <c r="CN253" s="62">
        <f t="shared" ca="1" si="269"/>
        <v>199167.68289427651</v>
      </c>
      <c r="CO253" s="62" t="b">
        <f t="shared" si="270"/>
        <v>1</v>
      </c>
      <c r="CP253" s="126">
        <f t="shared" ca="1" si="271"/>
        <v>6.8611111111110843E-3</v>
      </c>
      <c r="CQ253" s="120"/>
      <c r="CR253" s="120"/>
      <c r="CS253" s="120"/>
      <c r="CT253" s="120"/>
      <c r="CU253" s="120"/>
      <c r="CV253" s="120"/>
      <c r="CW253" s="120"/>
      <c r="CX253" s="120"/>
      <c r="CY253" s="120"/>
      <c r="CZ253" s="120"/>
      <c r="DA253" s="120"/>
      <c r="DB253" s="120"/>
      <c r="DC253" s="120"/>
      <c r="DD253" s="120"/>
      <c r="DE253" s="116"/>
      <c r="DF253" s="116"/>
      <c r="DG253" s="116"/>
      <c r="DH253" s="116"/>
      <c r="DI253" s="116"/>
      <c r="DJ253" s="116"/>
      <c r="DK253" s="116"/>
      <c r="DL253" s="116"/>
      <c r="DM253" s="116"/>
      <c r="DN253" s="116"/>
    </row>
    <row r="254" spans="1:118" x14ac:dyDescent="0.2">
      <c r="A254" s="27">
        <v>248</v>
      </c>
      <c r="B254" s="29">
        <f t="shared" si="204"/>
        <v>46661</v>
      </c>
      <c r="C254" s="30">
        <f t="shared" si="205"/>
        <v>8.3333333333333329E-2</v>
      </c>
      <c r="D254" s="55"/>
      <c r="E254" s="62">
        <f t="shared" ca="1" si="223"/>
        <v>61168274.081774488</v>
      </c>
      <c r="F254" s="63">
        <f ca="1">IF(AssetIntType1="Fixed",AssetFxdRate1,IF(A254=1,OFFSET(Vectors!$D$6,A254,MATCH(AssetFltIndx1,lstInterestRates,0)),IF(MOD($A254,AssetRateReset1)=0,MAX(MIN(OFFSET(Vectors!$D$6,A254,MATCH(AssetFltIndx1,lstInterestRates,0)),(F253-AssetMarg1)+AssetPdCapFl1,AssetLifeCap1-AssetMarg1),(F253-AssetMarg1)-AssetPdCapFl1,AssetLifeFloor1-AssetMarg1),F253)))+AssetMarg1</f>
        <v>0.09</v>
      </c>
      <c r="G254" s="62">
        <f t="shared" ca="1" si="211"/>
        <v>804622.61694478267</v>
      </c>
      <c r="H254" s="62">
        <f t="shared" ca="1" si="224"/>
        <v>458762.05561330862</v>
      </c>
      <c r="I254" s="62">
        <f t="shared" ca="1" si="225"/>
        <v>345860.56133147405</v>
      </c>
      <c r="J254" s="62">
        <f t="shared" ca="1" si="206"/>
        <v>60822413.520443015</v>
      </c>
      <c r="K254" s="55"/>
      <c r="L254" s="62">
        <f t="shared" ca="1" si="226"/>
        <v>18164808.020961713</v>
      </c>
      <c r="M254" s="68">
        <f ca="1">IF(pdrLossTime1="",OFFSET(Vectors!$AE$6,A254+_Age1,MATCH(SDA_Loss,lstSDA,0)),OFFSET(Vectors!$X$6,A254+_Age1,MATCH(pdrLossTime1,lstDefaultCurve,0)))</f>
        <v>2.7777777777777779E-5</v>
      </c>
      <c r="N254" s="62">
        <f t="shared" ca="1" si="212"/>
        <v>2777.7777777777778</v>
      </c>
      <c r="O254" s="67">
        <f t="shared" ca="1" si="227"/>
        <v>0.60822413520443019</v>
      </c>
      <c r="P254" s="68">
        <f ca="1">OFFSET(Vectors!$L$6,A254+_Age1,MATCH(pdrPrepay1,lstPrepayCurve,0))*pdrPrepayStress1</f>
        <v>5.1430128318229462E-3</v>
      </c>
      <c r="Q254" s="62">
        <f t="shared" ca="1" si="228"/>
        <v>92893.610529158032</v>
      </c>
      <c r="R254" s="62">
        <f t="shared" ca="1" si="229"/>
        <v>102692.61425341271</v>
      </c>
      <c r="S254" s="69">
        <f t="shared" ca="1" si="230"/>
        <v>0.09</v>
      </c>
      <c r="T254" s="62">
        <f t="shared" ca="1" si="231"/>
        <v>136215.22682387952</v>
      </c>
      <c r="U254" s="62">
        <f t="shared" ca="1" si="213"/>
        <v>1111.1111111111111</v>
      </c>
      <c r="V254" s="62">
        <f t="shared" ca="1" si="207"/>
        <v>17966444.018401366</v>
      </c>
      <c r="W254" s="55"/>
      <c r="X254" s="62">
        <f t="shared" ca="1" si="232"/>
        <v>332912.56271756138</v>
      </c>
      <c r="Y254" s="55"/>
      <c r="Z254" s="118" t="b">
        <v>0</v>
      </c>
      <c r="AA254" s="120" t="b">
        <f t="shared" si="214"/>
        <v>0</v>
      </c>
      <c r="AB254" s="120" t="b">
        <f t="shared" si="215"/>
        <v>1</v>
      </c>
      <c r="AC254" s="120" t="b">
        <f t="shared" ca="1" si="216"/>
        <v>0</v>
      </c>
      <c r="AD254" s="121"/>
      <c r="AE254" s="129">
        <v>0</v>
      </c>
      <c r="AF254" s="69">
        <f ca="1">IF(Swap_Active="No",0,OFFSET(Vectors!$D$6,Vectors!A254,MATCH(Swap_In,lstInterestRates,0)))</f>
        <v>6.9369000000000056E-2</v>
      </c>
      <c r="AG254" s="62">
        <f t="shared" ca="1" si="233"/>
        <v>0</v>
      </c>
      <c r="AH254" s="69">
        <f ca="1">IF(Swap_Active="No",0,OFFSET(Vectors!$D$6,Vectors!A254,MATCH(Swap_Out,lstInterestRates,0)))</f>
        <v>0.04</v>
      </c>
      <c r="AI254" s="62">
        <f t="shared" ca="1" si="234"/>
        <v>0</v>
      </c>
      <c r="AJ254" s="62">
        <f t="shared" ca="1" si="235"/>
        <v>0</v>
      </c>
      <c r="AK254" s="62">
        <f t="shared" ca="1" si="236"/>
        <v>332912.56271756138</v>
      </c>
      <c r="AL254" s="121"/>
      <c r="AM254" s="123">
        <f t="shared" ca="1" si="217"/>
        <v>30274.680034936187</v>
      </c>
      <c r="AN254" s="124">
        <f t="shared" ca="1" si="237"/>
        <v>30274.680034936187</v>
      </c>
      <c r="AO254" s="125">
        <f t="shared" ca="1" si="238"/>
        <v>0</v>
      </c>
      <c r="AP254" s="123">
        <f t="shared" ca="1" si="239"/>
        <v>302637.8826826252</v>
      </c>
      <c r="AQ254" s="121"/>
      <c r="AR254" s="126">
        <f ca="1">IF(LiabIntType1="Fixed",LiabFxdRate1,OFFSET(Vectors!$D$6,Vectors!A254,MATCH(LiabLoanIndex1,lstInterestRates,0))+LiabMarg1)</f>
        <v>7.9369000000000051E-2</v>
      </c>
      <c r="AS254" s="122">
        <f t="shared" ca="1" si="240"/>
        <v>0</v>
      </c>
      <c r="AT254" s="124">
        <f t="shared" ca="1" si="241"/>
        <v>0</v>
      </c>
      <c r="AU254" s="123">
        <f t="shared" ca="1" si="242"/>
        <v>0</v>
      </c>
      <c r="AV254" s="123">
        <f t="shared" ca="1" si="218"/>
        <v>0</v>
      </c>
      <c r="AW254" s="123">
        <f t="shared" ca="1" si="243"/>
        <v>0</v>
      </c>
      <c r="AX254" s="124">
        <f t="shared" ca="1" si="244"/>
        <v>302637.8826826252</v>
      </c>
      <c r="AY254" s="121"/>
      <c r="AZ254" s="122">
        <f t="shared" ca="1" si="219"/>
        <v>0</v>
      </c>
      <c r="BA254" s="124">
        <f t="shared" ca="1" si="245"/>
        <v>0</v>
      </c>
      <c r="BB254" s="123">
        <f t="shared" ca="1" si="246"/>
        <v>0</v>
      </c>
      <c r="BC254" s="123">
        <f t="shared" ca="1" si="220"/>
        <v>0</v>
      </c>
      <c r="BD254" s="123">
        <f t="shared" ca="1" si="247"/>
        <v>0</v>
      </c>
      <c r="BE254" s="124">
        <f t="shared" ca="1" si="248"/>
        <v>302637.8826826252</v>
      </c>
      <c r="BF254" s="121"/>
      <c r="BG254" s="123">
        <f t="shared" si="221"/>
        <v>1000000</v>
      </c>
      <c r="BH254" s="123">
        <f t="shared" ca="1" si="249"/>
        <v>1000000</v>
      </c>
      <c r="BI254" s="123">
        <f t="shared" ca="1" si="250"/>
        <v>0</v>
      </c>
      <c r="BJ254" s="123">
        <f t="shared" ca="1" si="251"/>
        <v>0</v>
      </c>
      <c r="BK254" s="123">
        <f t="shared" ca="1" si="208"/>
        <v>1000000</v>
      </c>
      <c r="BL254" s="123">
        <f t="shared" ca="1" si="252"/>
        <v>302637.8826826252</v>
      </c>
      <c r="BM254" s="121"/>
      <c r="BN254" s="126">
        <f ca="1">IF(LiabIntType2="Fixed",LiabFxdRate2,OFFSET(Vectors!$D$6,Vectors!A254,MATCH(LiabLoanIndex2,lstInterestRates,0))+LiabMarg2)</f>
        <v>0.04</v>
      </c>
      <c r="BO254" s="122">
        <f t="shared" ca="1" si="253"/>
        <v>26783.175208550059</v>
      </c>
      <c r="BP254" s="124">
        <f t="shared" ca="1" si="254"/>
        <v>26783.175208550059</v>
      </c>
      <c r="BQ254" s="123">
        <f t="shared" ca="1" si="255"/>
        <v>0</v>
      </c>
      <c r="BR254" s="123">
        <f t="shared" ca="1" si="256"/>
        <v>275854.70747407514</v>
      </c>
      <c r="BS254" s="121"/>
      <c r="BT254" s="123">
        <f t="shared" ca="1" si="222"/>
        <v>20338.086071416928</v>
      </c>
      <c r="BU254" s="123">
        <f t="shared" ca="1" si="257"/>
        <v>20338.086071416928</v>
      </c>
      <c r="BV254" s="123">
        <f t="shared" ca="1" si="258"/>
        <v>0</v>
      </c>
      <c r="BW254" s="123">
        <f t="shared" ca="1" si="259"/>
        <v>255516.6214026582</v>
      </c>
      <c r="BX254" s="121"/>
      <c r="BY254" s="123">
        <f t="shared" si="260"/>
        <v>0</v>
      </c>
      <c r="BZ254" s="123">
        <f t="shared" ca="1" si="261"/>
        <v>255516.6214026582</v>
      </c>
      <c r="CA254" s="121"/>
      <c r="CB254" s="122">
        <f t="shared" ca="1" si="209"/>
        <v>0</v>
      </c>
      <c r="CC254" s="122">
        <f t="shared" ca="1" si="262"/>
        <v>0</v>
      </c>
      <c r="CD254" s="124">
        <f t="shared" ca="1" si="263"/>
        <v>0</v>
      </c>
      <c r="CE254" s="121"/>
      <c r="CF254" s="122">
        <f t="shared" ca="1" si="210"/>
        <v>8014614.4764936017</v>
      </c>
      <c r="CG254" s="124">
        <f t="shared" ca="1" si="264"/>
        <v>26783.175208550059</v>
      </c>
      <c r="CH254" s="123">
        <f t="shared" ca="1" si="265"/>
        <v>20338.086071416928</v>
      </c>
      <c r="CI254" s="121"/>
      <c r="CJ254" s="123">
        <f t="shared" ca="1" si="266"/>
        <v>332912.56271756138</v>
      </c>
      <c r="CK254" s="123">
        <f t="shared" ca="1" si="267"/>
        <v>332912.56271756138</v>
      </c>
      <c r="CL254" s="123">
        <f t="shared" ca="1" si="268"/>
        <v>0</v>
      </c>
      <c r="CM254" s="121"/>
      <c r="CN254" s="62">
        <f t="shared" ca="1" si="269"/>
        <v>198364.00256034854</v>
      </c>
      <c r="CO254" s="62" t="b">
        <f t="shared" si="270"/>
        <v>1</v>
      </c>
      <c r="CP254" s="126">
        <f t="shared" ca="1" si="271"/>
        <v>6.888888888888862E-3</v>
      </c>
      <c r="CQ254" s="120"/>
      <c r="CR254" s="120"/>
      <c r="CS254" s="120"/>
      <c r="CT254" s="120"/>
      <c r="CU254" s="120"/>
      <c r="CV254" s="120"/>
      <c r="CW254" s="120"/>
      <c r="CX254" s="120"/>
      <c r="CY254" s="120"/>
      <c r="CZ254" s="120"/>
      <c r="DA254" s="120"/>
      <c r="DB254" s="120"/>
      <c r="DC254" s="120"/>
      <c r="DD254" s="120"/>
      <c r="DE254" s="116"/>
      <c r="DF254" s="116"/>
      <c r="DG254" s="116"/>
      <c r="DH254" s="116"/>
      <c r="DI254" s="116"/>
      <c r="DJ254" s="116"/>
      <c r="DK254" s="116"/>
      <c r="DL254" s="116"/>
      <c r="DM254" s="116"/>
      <c r="DN254" s="116"/>
    </row>
    <row r="255" spans="1:118" x14ac:dyDescent="0.2">
      <c r="A255" s="27">
        <v>249</v>
      </c>
      <c r="B255" s="29">
        <f t="shared" si="204"/>
        <v>46692</v>
      </c>
      <c r="C255" s="30">
        <f t="shared" si="205"/>
        <v>8.3333333333333329E-2</v>
      </c>
      <c r="D255" s="55"/>
      <c r="E255" s="62">
        <f t="shared" ca="1" si="223"/>
        <v>60822413.520443015</v>
      </c>
      <c r="F255" s="63">
        <f ca="1">IF(AssetIntType1="Fixed",AssetFxdRate1,IF(A255=1,OFFSET(Vectors!$D$6,A255,MATCH(AssetFltIndx1,lstInterestRates,0)),IF(MOD($A255,AssetRateReset1)=0,MAX(MIN(OFFSET(Vectors!$D$6,A255,MATCH(AssetFltIndx1,lstInterestRates,0)),(F254-AssetMarg1)+AssetPdCapFl1,AssetLifeCap1-AssetMarg1),(F254-AssetMarg1)-AssetPdCapFl1,AssetLifeFloor1-AssetMarg1),F254)))+AssetMarg1</f>
        <v>0.09</v>
      </c>
      <c r="G255" s="62">
        <f t="shared" ca="1" si="211"/>
        <v>804622.61694478267</v>
      </c>
      <c r="H255" s="62">
        <f t="shared" ca="1" si="224"/>
        <v>456168.10140332259</v>
      </c>
      <c r="I255" s="62">
        <f t="shared" ca="1" si="225"/>
        <v>348454.51554146007</v>
      </c>
      <c r="J255" s="62">
        <f t="shared" ca="1" si="206"/>
        <v>60473959.004901558</v>
      </c>
      <c r="K255" s="55"/>
      <c r="L255" s="62">
        <f t="shared" ca="1" si="226"/>
        <v>17966444.018401366</v>
      </c>
      <c r="M255" s="68">
        <f ca="1">IF(pdrLossTime1="",OFFSET(Vectors!$AE$6,A255+_Age1,MATCH(SDA_Loss,lstSDA,0)),OFFSET(Vectors!$X$6,A255+_Age1,MATCH(pdrLossTime1,lstDefaultCurve,0)))</f>
        <v>2.7777777777777779E-5</v>
      </c>
      <c r="N255" s="62">
        <f t="shared" ca="1" si="212"/>
        <v>2777.7777777777778</v>
      </c>
      <c r="O255" s="67">
        <f t="shared" ca="1" si="227"/>
        <v>0.60473959004901556</v>
      </c>
      <c r="P255" s="68">
        <f ca="1">OFFSET(Vectors!$L$6,A255+_Age1,MATCH(pdrPrepay1,lstPrepayCurve,0))*pdrPrepayStress1</f>
        <v>5.1430128318229462E-3</v>
      </c>
      <c r="Q255" s="62">
        <f t="shared" ca="1" si="228"/>
        <v>91872.27864524188</v>
      </c>
      <c r="R255" s="62">
        <f t="shared" ca="1" si="229"/>
        <v>102914.70290177067</v>
      </c>
      <c r="S255" s="69">
        <f t="shared" ca="1" si="230"/>
        <v>0.09</v>
      </c>
      <c r="T255" s="62">
        <f t="shared" ca="1" si="231"/>
        <v>134727.49680467692</v>
      </c>
      <c r="U255" s="62">
        <f t="shared" ca="1" si="213"/>
        <v>1111.1111111111111</v>
      </c>
      <c r="V255" s="62">
        <f t="shared" ca="1" si="207"/>
        <v>17768879.259076577</v>
      </c>
      <c r="W255" s="55"/>
      <c r="X255" s="62">
        <f t="shared" ca="1" si="232"/>
        <v>330625.58946280059</v>
      </c>
      <c r="Y255" s="55"/>
      <c r="Z255" s="118" t="b">
        <v>0</v>
      </c>
      <c r="AA255" s="120" t="b">
        <f t="shared" si="214"/>
        <v>0</v>
      </c>
      <c r="AB255" s="120" t="b">
        <f t="shared" si="215"/>
        <v>1</v>
      </c>
      <c r="AC255" s="120" t="b">
        <f t="shared" ca="1" si="216"/>
        <v>0</v>
      </c>
      <c r="AD255" s="121"/>
      <c r="AE255" s="129">
        <v>0</v>
      </c>
      <c r="AF255" s="69">
        <f ca="1">IF(Swap_Active="No",0,OFFSET(Vectors!$D$6,Vectors!A255,MATCH(Swap_In,lstInterestRates,0)))</f>
        <v>6.9369000000000056E-2</v>
      </c>
      <c r="AG255" s="62">
        <f t="shared" ca="1" si="233"/>
        <v>0</v>
      </c>
      <c r="AH255" s="69">
        <f ca="1">IF(Swap_Active="No",0,OFFSET(Vectors!$D$6,Vectors!A255,MATCH(Swap_Out,lstInterestRates,0)))</f>
        <v>0.04</v>
      </c>
      <c r="AI255" s="62">
        <f t="shared" ca="1" si="234"/>
        <v>0</v>
      </c>
      <c r="AJ255" s="62">
        <f t="shared" ca="1" si="235"/>
        <v>0</v>
      </c>
      <c r="AK255" s="62">
        <f t="shared" ca="1" si="236"/>
        <v>330625.58946280059</v>
      </c>
      <c r="AL255" s="121"/>
      <c r="AM255" s="123">
        <f t="shared" ca="1" si="217"/>
        <v>29944.073364002274</v>
      </c>
      <c r="AN255" s="124">
        <f t="shared" ca="1" si="237"/>
        <v>29944.073364002274</v>
      </c>
      <c r="AO255" s="125">
        <f t="shared" ca="1" si="238"/>
        <v>0</v>
      </c>
      <c r="AP255" s="123">
        <f t="shared" ca="1" si="239"/>
        <v>300681.51609879831</v>
      </c>
      <c r="AQ255" s="121"/>
      <c r="AR255" s="126">
        <f ca="1">IF(LiabIntType1="Fixed",LiabFxdRate1,OFFSET(Vectors!$D$6,Vectors!A255,MATCH(LiabLoanIndex1,lstInterestRates,0))+LiabMarg1)</f>
        <v>7.9369000000000051E-2</v>
      </c>
      <c r="AS255" s="122">
        <f t="shared" ca="1" si="240"/>
        <v>0</v>
      </c>
      <c r="AT255" s="124">
        <f t="shared" ca="1" si="241"/>
        <v>0</v>
      </c>
      <c r="AU255" s="123">
        <f t="shared" ca="1" si="242"/>
        <v>0</v>
      </c>
      <c r="AV255" s="123">
        <f t="shared" ca="1" si="218"/>
        <v>0</v>
      </c>
      <c r="AW255" s="123">
        <f t="shared" ca="1" si="243"/>
        <v>0</v>
      </c>
      <c r="AX255" s="124">
        <f t="shared" ca="1" si="244"/>
        <v>300681.51609879831</v>
      </c>
      <c r="AY255" s="121"/>
      <c r="AZ255" s="122">
        <f t="shared" ca="1" si="219"/>
        <v>0</v>
      </c>
      <c r="BA255" s="124">
        <f t="shared" ca="1" si="245"/>
        <v>0</v>
      </c>
      <c r="BB255" s="123">
        <f t="shared" ca="1" si="246"/>
        <v>0</v>
      </c>
      <c r="BC255" s="123">
        <f t="shared" ca="1" si="220"/>
        <v>0</v>
      </c>
      <c r="BD255" s="123">
        <f t="shared" ca="1" si="247"/>
        <v>0</v>
      </c>
      <c r="BE255" s="124">
        <f t="shared" ca="1" si="248"/>
        <v>300681.51609879831</v>
      </c>
      <c r="BF255" s="121"/>
      <c r="BG255" s="123">
        <f t="shared" si="221"/>
        <v>1000000</v>
      </c>
      <c r="BH255" s="123">
        <f t="shared" ca="1" si="249"/>
        <v>1000000</v>
      </c>
      <c r="BI255" s="123">
        <f t="shared" ca="1" si="250"/>
        <v>0</v>
      </c>
      <c r="BJ255" s="123">
        <f t="shared" ca="1" si="251"/>
        <v>0</v>
      </c>
      <c r="BK255" s="123">
        <f t="shared" ca="1" si="208"/>
        <v>1000000</v>
      </c>
      <c r="BL255" s="123">
        <f t="shared" ca="1" si="252"/>
        <v>300681.51609879831</v>
      </c>
      <c r="BM255" s="121"/>
      <c r="BN255" s="126">
        <f ca="1">IF(LiabIntType2="Fixed",LiabFxdRate2,OFFSET(Vectors!$D$6,Vectors!A255,MATCH(LiabLoanIndex2,lstInterestRates,0))+LiabMarg2)</f>
        <v>0.04</v>
      </c>
      <c r="BO255" s="122">
        <f t="shared" ca="1" si="253"/>
        <v>26715.381588312004</v>
      </c>
      <c r="BP255" s="124">
        <f t="shared" ca="1" si="254"/>
        <v>26715.381588312004</v>
      </c>
      <c r="BQ255" s="123">
        <f t="shared" ca="1" si="255"/>
        <v>0</v>
      </c>
      <c r="BR255" s="123">
        <f t="shared" ca="1" si="256"/>
        <v>273966.13451048633</v>
      </c>
      <c r="BS255" s="121"/>
      <c r="BT255" s="123">
        <f t="shared" ca="1" si="222"/>
        <v>20256.140368028355</v>
      </c>
      <c r="BU255" s="123">
        <f t="shared" ca="1" si="257"/>
        <v>20256.140368028355</v>
      </c>
      <c r="BV255" s="123">
        <f t="shared" ca="1" si="258"/>
        <v>0</v>
      </c>
      <c r="BW255" s="123">
        <f t="shared" ca="1" si="259"/>
        <v>253709.99414245796</v>
      </c>
      <c r="BX255" s="121"/>
      <c r="BY255" s="123">
        <f t="shared" si="260"/>
        <v>0</v>
      </c>
      <c r="BZ255" s="123">
        <f t="shared" ca="1" si="261"/>
        <v>253709.99414245796</v>
      </c>
      <c r="CA255" s="121"/>
      <c r="CB255" s="122">
        <f t="shared" ca="1" si="209"/>
        <v>0</v>
      </c>
      <c r="CC255" s="122">
        <f t="shared" ca="1" si="262"/>
        <v>0</v>
      </c>
      <c r="CD255" s="124">
        <f t="shared" ca="1" si="263"/>
        <v>0</v>
      </c>
      <c r="CE255" s="121"/>
      <c r="CF255" s="122">
        <f t="shared" ca="1" si="210"/>
        <v>7994358.3361255731</v>
      </c>
      <c r="CG255" s="124">
        <f t="shared" ca="1" si="264"/>
        <v>26715.381588312004</v>
      </c>
      <c r="CH255" s="123">
        <f t="shared" ca="1" si="265"/>
        <v>20256.140368028355</v>
      </c>
      <c r="CI255" s="121"/>
      <c r="CJ255" s="123">
        <f t="shared" ca="1" si="266"/>
        <v>330625.58946280059</v>
      </c>
      <c r="CK255" s="123">
        <f t="shared" ca="1" si="267"/>
        <v>330625.58946280059</v>
      </c>
      <c r="CL255" s="123">
        <f t="shared" ca="1" si="268"/>
        <v>0</v>
      </c>
      <c r="CM255" s="121"/>
      <c r="CN255" s="62">
        <f t="shared" ca="1" si="269"/>
        <v>197564.75932479033</v>
      </c>
      <c r="CO255" s="62" t="b">
        <f t="shared" si="270"/>
        <v>1</v>
      </c>
      <c r="CP255" s="126">
        <f t="shared" ca="1" si="271"/>
        <v>6.9166666666666396E-3</v>
      </c>
      <c r="CQ255" s="120"/>
      <c r="CR255" s="120"/>
      <c r="CS255" s="120"/>
      <c r="CT255" s="120"/>
      <c r="CU255" s="120"/>
      <c r="CV255" s="120"/>
      <c r="CW255" s="120"/>
      <c r="CX255" s="120"/>
      <c r="CY255" s="120"/>
      <c r="CZ255" s="120"/>
      <c r="DA255" s="120"/>
      <c r="DB255" s="120"/>
      <c r="DC255" s="120"/>
      <c r="DD255" s="120"/>
      <c r="DE255" s="116"/>
      <c r="DF255" s="116"/>
      <c r="DG255" s="116"/>
      <c r="DH255" s="116"/>
      <c r="DI255" s="116"/>
      <c r="DJ255" s="116"/>
      <c r="DK255" s="116"/>
      <c r="DL255" s="116"/>
      <c r="DM255" s="116"/>
      <c r="DN255" s="116"/>
    </row>
    <row r="256" spans="1:118" x14ac:dyDescent="0.2">
      <c r="A256" s="27">
        <v>250</v>
      </c>
      <c r="B256" s="29">
        <f t="shared" si="204"/>
        <v>46722</v>
      </c>
      <c r="C256" s="30">
        <f t="shared" si="205"/>
        <v>8.3333333333333329E-2</v>
      </c>
      <c r="D256" s="55"/>
      <c r="E256" s="62">
        <f t="shared" ca="1" si="223"/>
        <v>60473959.004901558</v>
      </c>
      <c r="F256" s="63">
        <f ca="1">IF(AssetIntType1="Fixed",AssetFxdRate1,IF(A256=1,OFFSET(Vectors!$D$6,A256,MATCH(AssetFltIndx1,lstInterestRates,0)),IF(MOD($A256,AssetRateReset1)=0,MAX(MIN(OFFSET(Vectors!$D$6,A256,MATCH(AssetFltIndx1,lstInterestRates,0)),(F255-AssetMarg1)+AssetPdCapFl1,AssetLifeCap1-AssetMarg1),(F255-AssetMarg1)-AssetPdCapFl1,AssetLifeFloor1-AssetMarg1),F255)))+AssetMarg1</f>
        <v>0.09</v>
      </c>
      <c r="G256" s="62">
        <f t="shared" ca="1" si="211"/>
        <v>804622.61694478267</v>
      </c>
      <c r="H256" s="62">
        <f t="shared" ca="1" si="224"/>
        <v>453554.69253676169</v>
      </c>
      <c r="I256" s="62">
        <f t="shared" ca="1" si="225"/>
        <v>351067.92440802098</v>
      </c>
      <c r="J256" s="62">
        <f t="shared" ca="1" si="206"/>
        <v>60122891.08049354</v>
      </c>
      <c r="K256" s="55"/>
      <c r="L256" s="62">
        <f t="shared" ca="1" si="226"/>
        <v>17768879.259076577</v>
      </c>
      <c r="M256" s="68">
        <f ca="1">IF(pdrLossTime1="",OFFSET(Vectors!$AE$6,A256+_Age1,MATCH(SDA_Loss,lstSDA,0)),OFFSET(Vectors!$X$6,A256+_Age1,MATCH(pdrLossTime1,lstDefaultCurve,0)))</f>
        <v>2.7777777777777779E-5</v>
      </c>
      <c r="N256" s="62">
        <f t="shared" ca="1" si="212"/>
        <v>2777.7777777777778</v>
      </c>
      <c r="O256" s="67">
        <f t="shared" ca="1" si="227"/>
        <v>0.60122891080493535</v>
      </c>
      <c r="P256" s="68">
        <f ca="1">OFFSET(Vectors!$L$6,A256+_Age1,MATCH(pdrPrepay1,lstPrepayCurve,0))*pdrPrepayStress1</f>
        <v>5.1430128318229462E-3</v>
      </c>
      <c r="Q256" s="62">
        <f t="shared" ca="1" si="228"/>
        <v>90855.055705583087</v>
      </c>
      <c r="R256" s="62">
        <f t="shared" ca="1" si="229"/>
        <v>103137.09362663596</v>
      </c>
      <c r="S256" s="69">
        <f t="shared" ca="1" si="230"/>
        <v>0.09</v>
      </c>
      <c r="T256" s="62">
        <f t="shared" ca="1" si="231"/>
        <v>133245.761109741</v>
      </c>
      <c r="U256" s="62">
        <f t="shared" ca="1" si="213"/>
        <v>1111.1111111111111</v>
      </c>
      <c r="V256" s="62">
        <f t="shared" ca="1" si="207"/>
        <v>17572109.331966579</v>
      </c>
      <c r="W256" s="55"/>
      <c r="X256" s="62">
        <f t="shared" ca="1" si="232"/>
        <v>328349.02155307116</v>
      </c>
      <c r="Y256" s="55"/>
      <c r="Z256" s="118" t="b">
        <v>0</v>
      </c>
      <c r="AA256" s="120" t="b">
        <f t="shared" si="214"/>
        <v>0</v>
      </c>
      <c r="AB256" s="120" t="b">
        <f t="shared" si="215"/>
        <v>1</v>
      </c>
      <c r="AC256" s="120" t="b">
        <f t="shared" ca="1" si="216"/>
        <v>0</v>
      </c>
      <c r="AD256" s="121"/>
      <c r="AE256" s="129">
        <v>0</v>
      </c>
      <c r="AF256" s="69">
        <f ca="1">IF(Swap_Active="No",0,OFFSET(Vectors!$D$6,Vectors!A256,MATCH(Swap_In,lstInterestRates,0)))</f>
        <v>6.9369000000000056E-2</v>
      </c>
      <c r="AG256" s="62">
        <f t="shared" ca="1" si="233"/>
        <v>0</v>
      </c>
      <c r="AH256" s="69">
        <f ca="1">IF(Swap_Active="No",0,OFFSET(Vectors!$D$6,Vectors!A256,MATCH(Swap_Out,lstInterestRates,0)))</f>
        <v>0.04</v>
      </c>
      <c r="AI256" s="62">
        <f t="shared" ca="1" si="234"/>
        <v>0</v>
      </c>
      <c r="AJ256" s="62">
        <f t="shared" ca="1" si="235"/>
        <v>0</v>
      </c>
      <c r="AK256" s="62">
        <f t="shared" ca="1" si="236"/>
        <v>328349.02155307116</v>
      </c>
      <c r="AL256" s="121"/>
      <c r="AM256" s="123">
        <f t="shared" ca="1" si="217"/>
        <v>29614.798765127627</v>
      </c>
      <c r="AN256" s="124">
        <f t="shared" ca="1" si="237"/>
        <v>29614.798765127627</v>
      </c>
      <c r="AO256" s="125">
        <f t="shared" ca="1" si="238"/>
        <v>0</v>
      </c>
      <c r="AP256" s="123">
        <f t="shared" ca="1" si="239"/>
        <v>298734.22278794355</v>
      </c>
      <c r="AQ256" s="121"/>
      <c r="AR256" s="126">
        <f ca="1">IF(LiabIntType1="Fixed",LiabFxdRate1,OFFSET(Vectors!$D$6,Vectors!A256,MATCH(LiabLoanIndex1,lstInterestRates,0))+LiabMarg1)</f>
        <v>7.9369000000000051E-2</v>
      </c>
      <c r="AS256" s="122">
        <f t="shared" ca="1" si="240"/>
        <v>0</v>
      </c>
      <c r="AT256" s="124">
        <f t="shared" ca="1" si="241"/>
        <v>0</v>
      </c>
      <c r="AU256" s="123">
        <f t="shared" ca="1" si="242"/>
        <v>0</v>
      </c>
      <c r="AV256" s="123">
        <f t="shared" ca="1" si="218"/>
        <v>0</v>
      </c>
      <c r="AW256" s="123">
        <f t="shared" ca="1" si="243"/>
        <v>0</v>
      </c>
      <c r="AX256" s="124">
        <f t="shared" ca="1" si="244"/>
        <v>298734.22278794355</v>
      </c>
      <c r="AY256" s="121"/>
      <c r="AZ256" s="122">
        <f t="shared" ca="1" si="219"/>
        <v>0</v>
      </c>
      <c r="BA256" s="124">
        <f t="shared" ca="1" si="245"/>
        <v>0</v>
      </c>
      <c r="BB256" s="123">
        <f t="shared" ca="1" si="246"/>
        <v>0</v>
      </c>
      <c r="BC256" s="123">
        <f t="shared" ca="1" si="220"/>
        <v>0</v>
      </c>
      <c r="BD256" s="123">
        <f t="shared" ca="1" si="247"/>
        <v>0</v>
      </c>
      <c r="BE256" s="124">
        <f t="shared" ca="1" si="248"/>
        <v>298734.22278794355</v>
      </c>
      <c r="BF256" s="121"/>
      <c r="BG256" s="123">
        <f t="shared" si="221"/>
        <v>1000000</v>
      </c>
      <c r="BH256" s="123">
        <f t="shared" ca="1" si="249"/>
        <v>1000000</v>
      </c>
      <c r="BI256" s="123">
        <f t="shared" ca="1" si="250"/>
        <v>0</v>
      </c>
      <c r="BJ256" s="123">
        <f t="shared" ca="1" si="251"/>
        <v>0</v>
      </c>
      <c r="BK256" s="123">
        <f t="shared" ca="1" si="208"/>
        <v>1000000</v>
      </c>
      <c r="BL256" s="123">
        <f t="shared" ca="1" si="252"/>
        <v>298734.22278794355</v>
      </c>
      <c r="BM256" s="121"/>
      <c r="BN256" s="126">
        <f ca="1">IF(LiabIntType2="Fixed",LiabFxdRate2,OFFSET(Vectors!$D$6,Vectors!A256,MATCH(LiabLoanIndex2,lstInterestRates,0))+LiabMarg2)</f>
        <v>0.04</v>
      </c>
      <c r="BO256" s="122">
        <f t="shared" ca="1" si="253"/>
        <v>26647.861120418576</v>
      </c>
      <c r="BP256" s="124">
        <f t="shared" ca="1" si="254"/>
        <v>26647.861120418576</v>
      </c>
      <c r="BQ256" s="123">
        <f t="shared" ca="1" si="255"/>
        <v>0</v>
      </c>
      <c r="BR256" s="123">
        <f t="shared" ca="1" si="256"/>
        <v>272086.36166752497</v>
      </c>
      <c r="BS256" s="121"/>
      <c r="BT256" s="123">
        <f t="shared" ca="1" si="222"/>
        <v>20174.64692270484</v>
      </c>
      <c r="BU256" s="123">
        <f t="shared" ca="1" si="257"/>
        <v>20174.64692270484</v>
      </c>
      <c r="BV256" s="123">
        <f t="shared" ca="1" si="258"/>
        <v>0</v>
      </c>
      <c r="BW256" s="123">
        <f t="shared" ca="1" si="259"/>
        <v>251911.71474482011</v>
      </c>
      <c r="BX256" s="121"/>
      <c r="BY256" s="123">
        <f t="shared" si="260"/>
        <v>0</v>
      </c>
      <c r="BZ256" s="123">
        <f t="shared" ca="1" si="261"/>
        <v>251911.71474482011</v>
      </c>
      <c r="CA256" s="121"/>
      <c r="CB256" s="122">
        <f t="shared" ca="1" si="209"/>
        <v>0</v>
      </c>
      <c r="CC256" s="122">
        <f t="shared" ca="1" si="262"/>
        <v>0</v>
      </c>
      <c r="CD256" s="124">
        <f t="shared" ca="1" si="263"/>
        <v>0</v>
      </c>
      <c r="CE256" s="121"/>
      <c r="CF256" s="122">
        <f t="shared" ca="1" si="210"/>
        <v>7974183.6892028684</v>
      </c>
      <c r="CG256" s="124">
        <f t="shared" ca="1" si="264"/>
        <v>26647.861120418576</v>
      </c>
      <c r="CH256" s="123">
        <f t="shared" ca="1" si="265"/>
        <v>20174.64692270484</v>
      </c>
      <c r="CI256" s="121"/>
      <c r="CJ256" s="123">
        <f t="shared" ca="1" si="266"/>
        <v>328349.02155307116</v>
      </c>
      <c r="CK256" s="123">
        <f t="shared" ca="1" si="267"/>
        <v>328349.02155307116</v>
      </c>
      <c r="CL256" s="123">
        <f t="shared" ca="1" si="268"/>
        <v>0</v>
      </c>
      <c r="CM256" s="121"/>
      <c r="CN256" s="62">
        <f t="shared" ca="1" si="269"/>
        <v>196769.92710999685</v>
      </c>
      <c r="CO256" s="62" t="b">
        <f t="shared" si="270"/>
        <v>1</v>
      </c>
      <c r="CP256" s="126">
        <f t="shared" ca="1" si="271"/>
        <v>6.9444444444444172E-3</v>
      </c>
      <c r="CQ256" s="120"/>
      <c r="CR256" s="120"/>
      <c r="CS256" s="120"/>
      <c r="CT256" s="120"/>
      <c r="CU256" s="120"/>
      <c r="CV256" s="120"/>
      <c r="CW256" s="120"/>
      <c r="CX256" s="120"/>
      <c r="CY256" s="120"/>
      <c r="CZ256" s="120"/>
      <c r="DA256" s="120"/>
      <c r="DB256" s="120"/>
      <c r="DC256" s="120"/>
      <c r="DD256" s="120"/>
      <c r="DE256" s="116"/>
      <c r="DF256" s="116"/>
      <c r="DG256" s="116"/>
      <c r="DH256" s="116"/>
      <c r="DI256" s="116"/>
      <c r="DJ256" s="116"/>
      <c r="DK256" s="116"/>
      <c r="DL256" s="116"/>
      <c r="DM256" s="116"/>
      <c r="DN256" s="116"/>
    </row>
    <row r="257" spans="1:118" x14ac:dyDescent="0.2">
      <c r="A257" s="27">
        <v>251</v>
      </c>
      <c r="B257" s="29">
        <f t="shared" si="204"/>
        <v>46753</v>
      </c>
      <c r="C257" s="30">
        <f t="shared" si="205"/>
        <v>8.3333333333333329E-2</v>
      </c>
      <c r="D257" s="55"/>
      <c r="E257" s="62">
        <f t="shared" ca="1" si="223"/>
        <v>60122891.08049354</v>
      </c>
      <c r="F257" s="63">
        <f ca="1">IF(AssetIntType1="Fixed",AssetFxdRate1,IF(A257=1,OFFSET(Vectors!$D$6,A257,MATCH(AssetFltIndx1,lstInterestRates,0)),IF(MOD($A257,AssetRateReset1)=0,MAX(MIN(OFFSET(Vectors!$D$6,A257,MATCH(AssetFltIndx1,lstInterestRates,0)),(F256-AssetMarg1)+AssetPdCapFl1,AssetLifeCap1-AssetMarg1),(F256-AssetMarg1)-AssetPdCapFl1,AssetLifeFloor1-AssetMarg1),F256)))+AssetMarg1</f>
        <v>0.09</v>
      </c>
      <c r="G257" s="62">
        <f t="shared" ca="1" si="211"/>
        <v>804622.61694478267</v>
      </c>
      <c r="H257" s="62">
        <f t="shared" ca="1" si="224"/>
        <v>450921.68310370151</v>
      </c>
      <c r="I257" s="62">
        <f t="shared" ca="1" si="225"/>
        <v>353700.93384108116</v>
      </c>
      <c r="J257" s="62">
        <f t="shared" ca="1" si="206"/>
        <v>59769190.14665246</v>
      </c>
      <c r="K257" s="55"/>
      <c r="L257" s="62">
        <f t="shared" ca="1" si="226"/>
        <v>17572109.331966579</v>
      </c>
      <c r="M257" s="68">
        <f ca="1">IF(pdrLossTime1="",OFFSET(Vectors!$AE$6,A257+_Age1,MATCH(SDA_Loss,lstSDA,0)),OFFSET(Vectors!$X$6,A257+_Age1,MATCH(pdrLossTime1,lstDefaultCurve,0)))</f>
        <v>2.7777777777777779E-5</v>
      </c>
      <c r="N257" s="62">
        <f t="shared" ca="1" si="212"/>
        <v>2777.7777777777778</v>
      </c>
      <c r="O257" s="67">
        <f t="shared" ca="1" si="227"/>
        <v>0.59769190146652462</v>
      </c>
      <c r="P257" s="68">
        <f ca="1">OFFSET(Vectors!$L$6,A257+_Age1,MATCH(pdrPrepay1,lstPrepayCurve,0))*pdrPrepayStress1</f>
        <v>5.1430128318229462E-3</v>
      </c>
      <c r="Q257" s="62">
        <f t="shared" ca="1" si="228"/>
        <v>89841.919041124493</v>
      </c>
      <c r="R257" s="62">
        <f t="shared" ca="1" si="229"/>
        <v>103359.7830377161</v>
      </c>
      <c r="S257" s="69">
        <f t="shared" ca="1" si="230"/>
        <v>0.09</v>
      </c>
      <c r="T257" s="62">
        <f t="shared" ca="1" si="231"/>
        <v>131769.986656416</v>
      </c>
      <c r="U257" s="62">
        <f t="shared" ca="1" si="213"/>
        <v>1111.1111111111111</v>
      </c>
      <c r="V257" s="62">
        <f t="shared" ca="1" si="207"/>
        <v>17376129.852109965</v>
      </c>
      <c r="W257" s="55"/>
      <c r="X257" s="62">
        <f t="shared" ca="1" si="232"/>
        <v>326082.79984636768</v>
      </c>
      <c r="Y257" s="55"/>
      <c r="Z257" s="118" t="b">
        <v>0</v>
      </c>
      <c r="AA257" s="120" t="b">
        <f t="shared" si="214"/>
        <v>0</v>
      </c>
      <c r="AB257" s="120" t="b">
        <f t="shared" si="215"/>
        <v>1</v>
      </c>
      <c r="AC257" s="120" t="b">
        <f t="shared" ca="1" si="216"/>
        <v>0</v>
      </c>
      <c r="AD257" s="121"/>
      <c r="AE257" s="129">
        <v>0</v>
      </c>
      <c r="AF257" s="69">
        <f ca="1">IF(Swap_Active="No",0,OFFSET(Vectors!$D$6,Vectors!A257,MATCH(Swap_In,lstInterestRates,0)))</f>
        <v>6.9369000000000056E-2</v>
      </c>
      <c r="AG257" s="62">
        <f t="shared" ca="1" si="233"/>
        <v>0</v>
      </c>
      <c r="AH257" s="69">
        <f ca="1">IF(Swap_Active="No",0,OFFSET(Vectors!$D$6,Vectors!A257,MATCH(Swap_Out,lstInterestRates,0)))</f>
        <v>0.04</v>
      </c>
      <c r="AI257" s="62">
        <f t="shared" ca="1" si="234"/>
        <v>0</v>
      </c>
      <c r="AJ257" s="62">
        <f t="shared" ca="1" si="235"/>
        <v>0</v>
      </c>
      <c r="AK257" s="62">
        <f t="shared" ca="1" si="236"/>
        <v>326082.79984636768</v>
      </c>
      <c r="AL257" s="121"/>
      <c r="AM257" s="123">
        <f t="shared" ca="1" si="217"/>
        <v>29286.848886610962</v>
      </c>
      <c r="AN257" s="124">
        <f t="shared" ca="1" si="237"/>
        <v>29286.848886610962</v>
      </c>
      <c r="AO257" s="125">
        <f t="shared" ca="1" si="238"/>
        <v>0</v>
      </c>
      <c r="AP257" s="123">
        <f t="shared" ca="1" si="239"/>
        <v>296795.95095975674</v>
      </c>
      <c r="AQ257" s="121"/>
      <c r="AR257" s="126">
        <f ca="1">IF(LiabIntType1="Fixed",LiabFxdRate1,OFFSET(Vectors!$D$6,Vectors!A257,MATCH(LiabLoanIndex1,lstInterestRates,0))+LiabMarg1)</f>
        <v>7.9369000000000051E-2</v>
      </c>
      <c r="AS257" s="122">
        <f t="shared" ca="1" si="240"/>
        <v>0</v>
      </c>
      <c r="AT257" s="124">
        <f t="shared" ca="1" si="241"/>
        <v>0</v>
      </c>
      <c r="AU257" s="123">
        <f t="shared" ca="1" si="242"/>
        <v>0</v>
      </c>
      <c r="AV257" s="123">
        <f t="shared" ca="1" si="218"/>
        <v>0</v>
      </c>
      <c r="AW257" s="123">
        <f t="shared" ca="1" si="243"/>
        <v>0</v>
      </c>
      <c r="AX257" s="124">
        <f t="shared" ca="1" si="244"/>
        <v>296795.95095975674</v>
      </c>
      <c r="AY257" s="121"/>
      <c r="AZ257" s="122">
        <f t="shared" ca="1" si="219"/>
        <v>0</v>
      </c>
      <c r="BA257" s="124">
        <f t="shared" ca="1" si="245"/>
        <v>0</v>
      </c>
      <c r="BB257" s="123">
        <f t="shared" ca="1" si="246"/>
        <v>0</v>
      </c>
      <c r="BC257" s="123">
        <f t="shared" ca="1" si="220"/>
        <v>0</v>
      </c>
      <c r="BD257" s="123">
        <f t="shared" ca="1" si="247"/>
        <v>0</v>
      </c>
      <c r="BE257" s="124">
        <f t="shared" ca="1" si="248"/>
        <v>296795.95095975674</v>
      </c>
      <c r="BF257" s="121"/>
      <c r="BG257" s="123">
        <f t="shared" si="221"/>
        <v>1000000</v>
      </c>
      <c r="BH257" s="123">
        <f t="shared" ca="1" si="249"/>
        <v>1000000</v>
      </c>
      <c r="BI257" s="123">
        <f t="shared" ca="1" si="250"/>
        <v>0</v>
      </c>
      <c r="BJ257" s="123">
        <f t="shared" ca="1" si="251"/>
        <v>0</v>
      </c>
      <c r="BK257" s="123">
        <f t="shared" ca="1" si="208"/>
        <v>1000000</v>
      </c>
      <c r="BL257" s="123">
        <f t="shared" ca="1" si="252"/>
        <v>296795.95095975674</v>
      </c>
      <c r="BM257" s="121"/>
      <c r="BN257" s="126">
        <f ca="1">IF(LiabIntType2="Fixed",LiabFxdRate2,OFFSET(Vectors!$D$6,Vectors!A257,MATCH(LiabLoanIndex2,lstInterestRates,0))+LiabMarg2)</f>
        <v>0.04</v>
      </c>
      <c r="BO257" s="122">
        <f t="shared" ca="1" si="253"/>
        <v>26580.612297342894</v>
      </c>
      <c r="BP257" s="124">
        <f t="shared" ca="1" si="254"/>
        <v>26580.612297342894</v>
      </c>
      <c r="BQ257" s="123">
        <f t="shared" ca="1" si="255"/>
        <v>0</v>
      </c>
      <c r="BR257" s="123">
        <f t="shared" ca="1" si="256"/>
        <v>270215.33866241382</v>
      </c>
      <c r="BS257" s="121"/>
      <c r="BT257" s="123">
        <f t="shared" ca="1" si="222"/>
        <v>20093.603063604271</v>
      </c>
      <c r="BU257" s="123">
        <f t="shared" ca="1" si="257"/>
        <v>20093.603063604271</v>
      </c>
      <c r="BV257" s="123">
        <f t="shared" ca="1" si="258"/>
        <v>0</v>
      </c>
      <c r="BW257" s="123">
        <f t="shared" ca="1" si="259"/>
        <v>250121.73559880955</v>
      </c>
      <c r="BX257" s="121"/>
      <c r="BY257" s="123">
        <f t="shared" si="260"/>
        <v>0</v>
      </c>
      <c r="BZ257" s="123">
        <f t="shared" ca="1" si="261"/>
        <v>250121.73559880955</v>
      </c>
      <c r="CA257" s="121"/>
      <c r="CB257" s="122">
        <f t="shared" ca="1" si="209"/>
        <v>0</v>
      </c>
      <c r="CC257" s="122">
        <f t="shared" ca="1" si="262"/>
        <v>0</v>
      </c>
      <c r="CD257" s="124">
        <f t="shared" ca="1" si="263"/>
        <v>0</v>
      </c>
      <c r="CE257" s="121"/>
      <c r="CF257" s="122">
        <f t="shared" ca="1" si="210"/>
        <v>7954090.0861392645</v>
      </c>
      <c r="CG257" s="124">
        <f t="shared" ca="1" si="264"/>
        <v>26580.612297342894</v>
      </c>
      <c r="CH257" s="123">
        <f t="shared" ca="1" si="265"/>
        <v>20093.603063604271</v>
      </c>
      <c r="CI257" s="121"/>
      <c r="CJ257" s="123">
        <f t="shared" ca="1" si="266"/>
        <v>326082.79984636768</v>
      </c>
      <c r="CK257" s="123">
        <f t="shared" ca="1" si="267"/>
        <v>326082.79984636768</v>
      </c>
      <c r="CL257" s="123">
        <f t="shared" ca="1" si="268"/>
        <v>0</v>
      </c>
      <c r="CM257" s="121"/>
      <c r="CN257" s="62">
        <f t="shared" ca="1" si="269"/>
        <v>195979.47985661839</v>
      </c>
      <c r="CO257" s="62" t="b">
        <f t="shared" si="270"/>
        <v>1</v>
      </c>
      <c r="CP257" s="126">
        <f t="shared" ca="1" si="271"/>
        <v>6.9722222222221948E-3</v>
      </c>
      <c r="CQ257" s="120"/>
      <c r="CR257" s="120"/>
      <c r="CS257" s="120"/>
      <c r="CT257" s="120"/>
      <c r="CU257" s="120"/>
      <c r="CV257" s="120"/>
      <c r="CW257" s="120"/>
      <c r="CX257" s="120"/>
      <c r="CY257" s="120"/>
      <c r="CZ257" s="120"/>
      <c r="DA257" s="120"/>
      <c r="DB257" s="120"/>
      <c r="DC257" s="120"/>
      <c r="DD257" s="120"/>
      <c r="DE257" s="116"/>
      <c r="DF257" s="116"/>
      <c r="DG257" s="116"/>
      <c r="DH257" s="116"/>
      <c r="DI257" s="116"/>
      <c r="DJ257" s="116"/>
      <c r="DK257" s="116"/>
      <c r="DL257" s="116"/>
      <c r="DM257" s="116"/>
      <c r="DN257" s="116"/>
    </row>
    <row r="258" spans="1:118" x14ac:dyDescent="0.2">
      <c r="A258" s="27">
        <v>252</v>
      </c>
      <c r="B258" s="29">
        <f t="shared" si="204"/>
        <v>46784</v>
      </c>
      <c r="C258" s="30">
        <f t="shared" si="205"/>
        <v>8.3333333333333329E-2</v>
      </c>
      <c r="D258" s="55"/>
      <c r="E258" s="62">
        <f t="shared" ca="1" si="223"/>
        <v>59769190.14665246</v>
      </c>
      <c r="F258" s="63">
        <f ca="1">IF(AssetIntType1="Fixed",AssetFxdRate1,IF(A258=1,OFFSET(Vectors!$D$6,A258,MATCH(AssetFltIndx1,lstInterestRates,0)),IF(MOD($A258,AssetRateReset1)=0,MAX(MIN(OFFSET(Vectors!$D$6,A258,MATCH(AssetFltIndx1,lstInterestRates,0)),(F257-AssetMarg1)+AssetPdCapFl1,AssetLifeCap1-AssetMarg1),(F257-AssetMarg1)-AssetPdCapFl1,AssetLifeFloor1-AssetMarg1),F257)))+AssetMarg1</f>
        <v>0.09</v>
      </c>
      <c r="G258" s="62">
        <f t="shared" ca="1" si="211"/>
        <v>804622.61694478267</v>
      </c>
      <c r="H258" s="62">
        <f t="shared" ca="1" si="224"/>
        <v>448268.92609989346</v>
      </c>
      <c r="I258" s="62">
        <f t="shared" ca="1" si="225"/>
        <v>356353.69084488921</v>
      </c>
      <c r="J258" s="62">
        <f t="shared" ca="1" si="206"/>
        <v>59412836.455807574</v>
      </c>
      <c r="K258" s="55"/>
      <c r="L258" s="62">
        <f t="shared" ca="1" si="226"/>
        <v>17376129.852109965</v>
      </c>
      <c r="M258" s="68">
        <f ca="1">IF(pdrLossTime1="",OFFSET(Vectors!$AE$6,A258+_Age1,MATCH(SDA_Loss,lstSDA,0)),OFFSET(Vectors!$X$6,A258+_Age1,MATCH(pdrLossTime1,lstDefaultCurve,0)))</f>
        <v>2.7777777777777779E-5</v>
      </c>
      <c r="N258" s="62">
        <f t="shared" ca="1" si="212"/>
        <v>2777.7777777777778</v>
      </c>
      <c r="O258" s="67">
        <f t="shared" ca="1" si="227"/>
        <v>0.59412836455807572</v>
      </c>
      <c r="P258" s="68">
        <f ca="1">OFFSET(Vectors!$L$6,A258+_Age1,MATCH(pdrPrepay1,lstPrepayCurve,0))*pdrPrepayStress1</f>
        <v>5.1430128318229462E-3</v>
      </c>
      <c r="Q258" s="62">
        <f t="shared" ca="1" si="228"/>
        <v>88832.846117432884</v>
      </c>
      <c r="R258" s="62">
        <f t="shared" ca="1" si="229"/>
        <v>103582.7676240099</v>
      </c>
      <c r="S258" s="69">
        <f t="shared" ca="1" si="230"/>
        <v>0.09</v>
      </c>
      <c r="T258" s="62">
        <f t="shared" ca="1" si="231"/>
        <v>130300.14055749141</v>
      </c>
      <c r="U258" s="62">
        <f t="shared" ca="1" si="213"/>
        <v>1111.1111111111111</v>
      </c>
      <c r="V258" s="62">
        <f t="shared" ca="1" si="207"/>
        <v>17180936.460590746</v>
      </c>
      <c r="W258" s="55"/>
      <c r="X258" s="62">
        <f t="shared" ca="1" si="232"/>
        <v>323826.86541004531</v>
      </c>
      <c r="Y258" s="55"/>
      <c r="Z258" s="118" t="b">
        <v>0</v>
      </c>
      <c r="AA258" s="120" t="b">
        <f t="shared" si="214"/>
        <v>0</v>
      </c>
      <c r="AB258" s="120" t="b">
        <f t="shared" si="215"/>
        <v>1</v>
      </c>
      <c r="AC258" s="120" t="b">
        <f t="shared" ca="1" si="216"/>
        <v>0</v>
      </c>
      <c r="AD258" s="121"/>
      <c r="AE258" s="129">
        <v>0</v>
      </c>
      <c r="AF258" s="69">
        <f ca="1">IF(Swap_Active="No",0,OFFSET(Vectors!$D$6,Vectors!A258,MATCH(Swap_In,lstInterestRates,0)))</f>
        <v>6.9369000000000056E-2</v>
      </c>
      <c r="AG258" s="62">
        <f t="shared" ca="1" si="233"/>
        <v>0</v>
      </c>
      <c r="AH258" s="69">
        <f ca="1">IF(Swap_Active="No",0,OFFSET(Vectors!$D$6,Vectors!A258,MATCH(Swap_Out,lstInterestRates,0)))</f>
        <v>0.04</v>
      </c>
      <c r="AI258" s="62">
        <f t="shared" ca="1" si="234"/>
        <v>0</v>
      </c>
      <c r="AJ258" s="62">
        <f t="shared" ca="1" si="235"/>
        <v>0</v>
      </c>
      <c r="AK258" s="62">
        <f t="shared" ca="1" si="236"/>
        <v>323826.86541004531</v>
      </c>
      <c r="AL258" s="121"/>
      <c r="AM258" s="123">
        <f t="shared" ca="1" si="217"/>
        <v>28960.216420183275</v>
      </c>
      <c r="AN258" s="124">
        <f t="shared" ca="1" si="237"/>
        <v>28960.216420183275</v>
      </c>
      <c r="AO258" s="125">
        <f t="shared" ca="1" si="238"/>
        <v>0</v>
      </c>
      <c r="AP258" s="123">
        <f t="shared" ca="1" si="239"/>
        <v>294866.64898986206</v>
      </c>
      <c r="AQ258" s="121"/>
      <c r="AR258" s="126">
        <f ca="1">IF(LiabIntType1="Fixed",LiabFxdRate1,OFFSET(Vectors!$D$6,Vectors!A258,MATCH(LiabLoanIndex1,lstInterestRates,0))+LiabMarg1)</f>
        <v>7.9369000000000051E-2</v>
      </c>
      <c r="AS258" s="122">
        <f t="shared" ca="1" si="240"/>
        <v>0</v>
      </c>
      <c r="AT258" s="124">
        <f t="shared" ca="1" si="241"/>
        <v>0</v>
      </c>
      <c r="AU258" s="123">
        <f t="shared" ca="1" si="242"/>
        <v>0</v>
      </c>
      <c r="AV258" s="123">
        <f t="shared" ca="1" si="218"/>
        <v>0</v>
      </c>
      <c r="AW258" s="123">
        <f t="shared" ca="1" si="243"/>
        <v>0</v>
      </c>
      <c r="AX258" s="124">
        <f t="shared" ca="1" si="244"/>
        <v>294866.64898986206</v>
      </c>
      <c r="AY258" s="121"/>
      <c r="AZ258" s="122">
        <f t="shared" ca="1" si="219"/>
        <v>0</v>
      </c>
      <c r="BA258" s="124">
        <f t="shared" ca="1" si="245"/>
        <v>0</v>
      </c>
      <c r="BB258" s="123">
        <f t="shared" ca="1" si="246"/>
        <v>0</v>
      </c>
      <c r="BC258" s="123">
        <f t="shared" ca="1" si="220"/>
        <v>0</v>
      </c>
      <c r="BD258" s="123">
        <f t="shared" ca="1" si="247"/>
        <v>0</v>
      </c>
      <c r="BE258" s="124">
        <f t="shared" ca="1" si="248"/>
        <v>294866.64898986206</v>
      </c>
      <c r="BF258" s="121"/>
      <c r="BG258" s="123">
        <f t="shared" si="221"/>
        <v>1000000</v>
      </c>
      <c r="BH258" s="123">
        <f t="shared" ca="1" si="249"/>
        <v>1000000</v>
      </c>
      <c r="BI258" s="123">
        <f t="shared" ca="1" si="250"/>
        <v>0</v>
      </c>
      <c r="BJ258" s="123">
        <f t="shared" ca="1" si="251"/>
        <v>0</v>
      </c>
      <c r="BK258" s="123">
        <f t="shared" ca="1" si="208"/>
        <v>1000000</v>
      </c>
      <c r="BL258" s="123">
        <f t="shared" ca="1" si="252"/>
        <v>294866.64898986206</v>
      </c>
      <c r="BM258" s="121"/>
      <c r="BN258" s="126">
        <f ca="1">IF(LiabIntType2="Fixed",LiabFxdRate2,OFFSET(Vectors!$D$6,Vectors!A258,MATCH(LiabLoanIndex2,lstInterestRates,0))+LiabMarg2)</f>
        <v>0.04</v>
      </c>
      <c r="BO258" s="122">
        <f t="shared" ca="1" si="253"/>
        <v>26513.633620464214</v>
      </c>
      <c r="BP258" s="124">
        <f t="shared" ca="1" si="254"/>
        <v>26513.633620464214</v>
      </c>
      <c r="BQ258" s="123">
        <f t="shared" ca="1" si="255"/>
        <v>0</v>
      </c>
      <c r="BR258" s="123">
        <f t="shared" ca="1" si="256"/>
        <v>268353.01536939782</v>
      </c>
      <c r="BS258" s="121"/>
      <c r="BT258" s="123">
        <f t="shared" ca="1" si="222"/>
        <v>20013.006120311242</v>
      </c>
      <c r="BU258" s="123">
        <f t="shared" ca="1" si="257"/>
        <v>20013.006120311242</v>
      </c>
      <c r="BV258" s="123">
        <f t="shared" ca="1" si="258"/>
        <v>0</v>
      </c>
      <c r="BW258" s="123">
        <f t="shared" ca="1" si="259"/>
        <v>248340.00924908658</v>
      </c>
      <c r="BX258" s="121"/>
      <c r="BY258" s="123">
        <f t="shared" si="260"/>
        <v>0</v>
      </c>
      <c r="BZ258" s="123">
        <f t="shared" ca="1" si="261"/>
        <v>248340.00924908658</v>
      </c>
      <c r="CA258" s="121"/>
      <c r="CB258" s="122">
        <f t="shared" ca="1" si="209"/>
        <v>0</v>
      </c>
      <c r="CC258" s="122">
        <f t="shared" ca="1" si="262"/>
        <v>0</v>
      </c>
      <c r="CD258" s="124">
        <f t="shared" ca="1" si="263"/>
        <v>0</v>
      </c>
      <c r="CE258" s="121"/>
      <c r="CF258" s="122">
        <f t="shared" ca="1" si="210"/>
        <v>7934077.0800189534</v>
      </c>
      <c r="CG258" s="124">
        <f t="shared" ca="1" si="264"/>
        <v>26513.633620464214</v>
      </c>
      <c r="CH258" s="123">
        <f t="shared" ca="1" si="265"/>
        <v>20013.006120311242</v>
      </c>
      <c r="CI258" s="121"/>
      <c r="CJ258" s="123">
        <f t="shared" ca="1" si="266"/>
        <v>323826.86541004531</v>
      </c>
      <c r="CK258" s="123">
        <f t="shared" ca="1" si="267"/>
        <v>323826.86541004531</v>
      </c>
      <c r="CL258" s="123">
        <f t="shared" ca="1" si="268"/>
        <v>0</v>
      </c>
      <c r="CM258" s="121"/>
      <c r="CN258" s="62">
        <f t="shared" ca="1" si="269"/>
        <v>195193.39151922055</v>
      </c>
      <c r="CO258" s="62" t="b">
        <f t="shared" si="270"/>
        <v>1</v>
      </c>
      <c r="CP258" s="126">
        <f t="shared" ca="1" si="271"/>
        <v>6.9999999999999724E-3</v>
      </c>
      <c r="CQ258" s="120"/>
      <c r="CR258" s="120"/>
      <c r="CS258" s="120"/>
      <c r="CT258" s="120"/>
      <c r="CU258" s="120"/>
      <c r="CV258" s="120"/>
      <c r="CW258" s="120"/>
      <c r="CX258" s="120"/>
      <c r="CY258" s="120"/>
      <c r="CZ258" s="120"/>
      <c r="DA258" s="120"/>
      <c r="DB258" s="120"/>
      <c r="DC258" s="120"/>
      <c r="DD258" s="120"/>
      <c r="DE258" s="116"/>
      <c r="DF258" s="116"/>
      <c r="DG258" s="116"/>
      <c r="DH258" s="116"/>
      <c r="DI258" s="116"/>
      <c r="DJ258" s="116"/>
      <c r="DK258" s="116"/>
      <c r="DL258" s="116"/>
      <c r="DM258" s="116"/>
      <c r="DN258" s="116"/>
    </row>
    <row r="259" spans="1:118" x14ac:dyDescent="0.2">
      <c r="A259" s="27">
        <v>253</v>
      </c>
      <c r="B259" s="29">
        <f t="shared" si="204"/>
        <v>46813</v>
      </c>
      <c r="C259" s="30">
        <f t="shared" si="205"/>
        <v>8.3333333333333329E-2</v>
      </c>
      <c r="D259" s="55"/>
      <c r="E259" s="62">
        <f t="shared" ca="1" si="223"/>
        <v>59412836.455807574</v>
      </c>
      <c r="F259" s="63">
        <f ca="1">IF(AssetIntType1="Fixed",AssetFxdRate1,IF(A259=1,OFFSET(Vectors!$D$6,A259,MATCH(AssetFltIndx1,lstInterestRates,0)),IF(MOD($A259,AssetRateReset1)=0,MAX(MIN(OFFSET(Vectors!$D$6,A259,MATCH(AssetFltIndx1,lstInterestRates,0)),(F258-AssetMarg1)+AssetPdCapFl1,AssetLifeCap1-AssetMarg1),(F258-AssetMarg1)-AssetPdCapFl1,AssetLifeFloor1-AssetMarg1),F258)))+AssetMarg1</f>
        <v>0.09</v>
      </c>
      <c r="G259" s="62">
        <f t="shared" ca="1" si="211"/>
        <v>804622.61694478267</v>
      </c>
      <c r="H259" s="62">
        <f t="shared" ca="1" si="224"/>
        <v>445596.27341855678</v>
      </c>
      <c r="I259" s="62">
        <f t="shared" ca="1" si="225"/>
        <v>359026.34352622589</v>
      </c>
      <c r="J259" s="62">
        <f t="shared" ca="1" si="206"/>
        <v>59053810.112281345</v>
      </c>
      <c r="K259" s="55"/>
      <c r="L259" s="62">
        <f t="shared" ca="1" si="226"/>
        <v>17180936.460590746</v>
      </c>
      <c r="M259" s="68">
        <f ca="1">IF(pdrLossTime1="",OFFSET(Vectors!$AE$6,A259+_Age1,MATCH(SDA_Loss,lstSDA,0)),OFFSET(Vectors!$X$6,A259+_Age1,MATCH(pdrLossTime1,lstDefaultCurve,0)))</f>
        <v>2.7777777777777779E-5</v>
      </c>
      <c r="N259" s="62">
        <f t="shared" ca="1" si="212"/>
        <v>2777.7777777777778</v>
      </c>
      <c r="O259" s="67">
        <f t="shared" ca="1" si="227"/>
        <v>0.59053810112281346</v>
      </c>
      <c r="P259" s="68">
        <f ca="1">OFFSET(Vectors!$L$6,A259+_Age1,MATCH(pdrPrepay1,lstPrepayCurve,0))*pdrPrepayStress1</f>
        <v>5.1430128318229462E-3</v>
      </c>
      <c r="Q259" s="62">
        <f t="shared" ca="1" si="228"/>
        <v>87827.814534649471</v>
      </c>
      <c r="R259" s="62">
        <f t="shared" ca="1" si="229"/>
        <v>103806.04374933388</v>
      </c>
      <c r="S259" s="69">
        <f t="shared" ca="1" si="230"/>
        <v>0.09</v>
      </c>
      <c r="T259" s="62">
        <f t="shared" ca="1" si="231"/>
        <v>128836.19012109727</v>
      </c>
      <c r="U259" s="62">
        <f t="shared" ca="1" si="213"/>
        <v>1111.1111111111111</v>
      </c>
      <c r="V259" s="62">
        <f t="shared" ca="1" si="207"/>
        <v>16986524.824528988</v>
      </c>
      <c r="W259" s="55"/>
      <c r="X259" s="62">
        <f t="shared" ca="1" si="232"/>
        <v>321581.15951619175</v>
      </c>
      <c r="Y259" s="55"/>
      <c r="Z259" s="118" t="b">
        <v>0</v>
      </c>
      <c r="AA259" s="120" t="b">
        <f t="shared" si="214"/>
        <v>0</v>
      </c>
      <c r="AB259" s="120" t="b">
        <f t="shared" si="215"/>
        <v>1</v>
      </c>
      <c r="AC259" s="120" t="b">
        <f t="shared" ca="1" si="216"/>
        <v>0</v>
      </c>
      <c r="AD259" s="121"/>
      <c r="AE259" s="129">
        <v>0</v>
      </c>
      <c r="AF259" s="69">
        <f ca="1">IF(Swap_Active="No",0,OFFSET(Vectors!$D$6,Vectors!A259,MATCH(Swap_In,lstInterestRates,0)))</f>
        <v>6.9369000000000056E-2</v>
      </c>
      <c r="AG259" s="62">
        <f t="shared" ca="1" si="233"/>
        <v>0</v>
      </c>
      <c r="AH259" s="69">
        <f ca="1">IF(Swap_Active="No",0,OFFSET(Vectors!$D$6,Vectors!A259,MATCH(Swap_Out,lstInterestRates,0)))</f>
        <v>0.04</v>
      </c>
      <c r="AI259" s="62">
        <f t="shared" ca="1" si="234"/>
        <v>0</v>
      </c>
      <c r="AJ259" s="62">
        <f t="shared" ca="1" si="235"/>
        <v>0</v>
      </c>
      <c r="AK259" s="62">
        <f t="shared" ca="1" si="236"/>
        <v>321581.15951619175</v>
      </c>
      <c r="AL259" s="121"/>
      <c r="AM259" s="123">
        <f t="shared" ca="1" si="217"/>
        <v>28634.894100984577</v>
      </c>
      <c r="AN259" s="124">
        <f t="shared" ca="1" si="237"/>
        <v>28634.894100984577</v>
      </c>
      <c r="AO259" s="125">
        <f t="shared" ca="1" si="238"/>
        <v>0</v>
      </c>
      <c r="AP259" s="123">
        <f t="shared" ca="1" si="239"/>
        <v>292946.26541520719</v>
      </c>
      <c r="AQ259" s="121"/>
      <c r="AR259" s="126">
        <f ca="1">IF(LiabIntType1="Fixed",LiabFxdRate1,OFFSET(Vectors!$D$6,Vectors!A259,MATCH(LiabLoanIndex1,lstInterestRates,0))+LiabMarg1)</f>
        <v>7.9369000000000051E-2</v>
      </c>
      <c r="AS259" s="122">
        <f t="shared" ca="1" si="240"/>
        <v>0</v>
      </c>
      <c r="AT259" s="124">
        <f t="shared" ca="1" si="241"/>
        <v>0</v>
      </c>
      <c r="AU259" s="123">
        <f t="shared" ca="1" si="242"/>
        <v>0</v>
      </c>
      <c r="AV259" s="123">
        <f t="shared" ca="1" si="218"/>
        <v>0</v>
      </c>
      <c r="AW259" s="123">
        <f t="shared" ca="1" si="243"/>
        <v>0</v>
      </c>
      <c r="AX259" s="124">
        <f t="shared" ca="1" si="244"/>
        <v>292946.26541520719</v>
      </c>
      <c r="AY259" s="121"/>
      <c r="AZ259" s="122">
        <f t="shared" ca="1" si="219"/>
        <v>0</v>
      </c>
      <c r="BA259" s="124">
        <f t="shared" ca="1" si="245"/>
        <v>0</v>
      </c>
      <c r="BB259" s="123">
        <f t="shared" ca="1" si="246"/>
        <v>0</v>
      </c>
      <c r="BC259" s="123">
        <f t="shared" ca="1" si="220"/>
        <v>0</v>
      </c>
      <c r="BD259" s="123">
        <f t="shared" ca="1" si="247"/>
        <v>0</v>
      </c>
      <c r="BE259" s="124">
        <f t="shared" ca="1" si="248"/>
        <v>292946.26541520719</v>
      </c>
      <c r="BF259" s="121"/>
      <c r="BG259" s="123">
        <f t="shared" si="221"/>
        <v>1000000</v>
      </c>
      <c r="BH259" s="123">
        <f t="shared" ca="1" si="249"/>
        <v>1000000</v>
      </c>
      <c r="BI259" s="123">
        <f t="shared" ca="1" si="250"/>
        <v>0</v>
      </c>
      <c r="BJ259" s="123">
        <f t="shared" ca="1" si="251"/>
        <v>0</v>
      </c>
      <c r="BK259" s="123">
        <f t="shared" ca="1" si="208"/>
        <v>1000000</v>
      </c>
      <c r="BL259" s="123">
        <f t="shared" ca="1" si="252"/>
        <v>292946.26541520719</v>
      </c>
      <c r="BM259" s="121"/>
      <c r="BN259" s="126">
        <f ca="1">IF(LiabIntType2="Fixed",LiabFxdRate2,OFFSET(Vectors!$D$6,Vectors!A259,MATCH(LiabLoanIndex2,lstInterestRates,0))+LiabMarg2)</f>
        <v>0.04</v>
      </c>
      <c r="BO259" s="122">
        <f t="shared" ca="1" si="253"/>
        <v>26446.923600063175</v>
      </c>
      <c r="BP259" s="124">
        <f t="shared" ca="1" si="254"/>
        <v>26446.923600063175</v>
      </c>
      <c r="BQ259" s="123">
        <f t="shared" ca="1" si="255"/>
        <v>0</v>
      </c>
      <c r="BR259" s="123">
        <f t="shared" ca="1" si="256"/>
        <v>266499.341815144</v>
      </c>
      <c r="BS259" s="121"/>
      <c r="BT259" s="123">
        <f t="shared" ca="1" si="222"/>
        <v>19932.853423373337</v>
      </c>
      <c r="BU259" s="123">
        <f t="shared" ca="1" si="257"/>
        <v>19932.853423373337</v>
      </c>
      <c r="BV259" s="123">
        <f t="shared" ca="1" si="258"/>
        <v>0</v>
      </c>
      <c r="BW259" s="123">
        <f t="shared" ca="1" si="259"/>
        <v>246566.48839177066</v>
      </c>
      <c r="BX259" s="121"/>
      <c r="BY259" s="123">
        <f t="shared" si="260"/>
        <v>0</v>
      </c>
      <c r="BZ259" s="123">
        <f t="shared" ca="1" si="261"/>
        <v>246566.48839177066</v>
      </c>
      <c r="CA259" s="121"/>
      <c r="CB259" s="122">
        <f t="shared" ca="1" si="209"/>
        <v>0</v>
      </c>
      <c r="CC259" s="122">
        <f t="shared" ca="1" si="262"/>
        <v>0</v>
      </c>
      <c r="CD259" s="124">
        <f t="shared" ca="1" si="263"/>
        <v>0</v>
      </c>
      <c r="CE259" s="121"/>
      <c r="CF259" s="122">
        <f t="shared" ca="1" si="210"/>
        <v>7914144.2265955796</v>
      </c>
      <c r="CG259" s="124">
        <f t="shared" ca="1" si="264"/>
        <v>26446.923600063175</v>
      </c>
      <c r="CH259" s="123">
        <f t="shared" ca="1" si="265"/>
        <v>19932.853423373337</v>
      </c>
      <c r="CI259" s="121"/>
      <c r="CJ259" s="123">
        <f t="shared" ca="1" si="266"/>
        <v>321581.15951619175</v>
      </c>
      <c r="CK259" s="123">
        <f t="shared" ca="1" si="267"/>
        <v>321581.15951619175</v>
      </c>
      <c r="CL259" s="123">
        <f t="shared" ca="1" si="268"/>
        <v>0</v>
      </c>
      <c r="CM259" s="121"/>
      <c r="CN259" s="62">
        <f t="shared" ca="1" si="269"/>
        <v>194411.63606176112</v>
      </c>
      <c r="CO259" s="62" t="b">
        <f t="shared" si="270"/>
        <v>1</v>
      </c>
      <c r="CP259" s="126">
        <f t="shared" ca="1" si="271"/>
        <v>7.02777777777775E-3</v>
      </c>
      <c r="CQ259" s="120"/>
      <c r="CR259" s="120"/>
      <c r="CS259" s="120"/>
      <c r="CT259" s="120"/>
      <c r="CU259" s="120"/>
      <c r="CV259" s="120"/>
      <c r="CW259" s="120"/>
      <c r="CX259" s="120"/>
      <c r="CY259" s="120"/>
      <c r="CZ259" s="120"/>
      <c r="DA259" s="120"/>
      <c r="DB259" s="120"/>
      <c r="DC259" s="120"/>
      <c r="DD259" s="120"/>
      <c r="DE259" s="116"/>
      <c r="DF259" s="116"/>
      <c r="DG259" s="116"/>
      <c r="DH259" s="116"/>
      <c r="DI259" s="116"/>
      <c r="DJ259" s="116"/>
      <c r="DK259" s="116"/>
      <c r="DL259" s="116"/>
      <c r="DM259" s="116"/>
      <c r="DN259" s="116"/>
    </row>
    <row r="260" spans="1:118" x14ac:dyDescent="0.2">
      <c r="A260" s="27">
        <v>254</v>
      </c>
      <c r="B260" s="29">
        <f t="shared" si="204"/>
        <v>46844</v>
      </c>
      <c r="C260" s="30">
        <f t="shared" si="205"/>
        <v>8.3333333333333329E-2</v>
      </c>
      <c r="D260" s="55"/>
      <c r="E260" s="62">
        <f t="shared" ca="1" si="223"/>
        <v>59053810.112281345</v>
      </c>
      <c r="F260" s="63">
        <f ca="1">IF(AssetIntType1="Fixed",AssetFxdRate1,IF(A260=1,OFFSET(Vectors!$D$6,A260,MATCH(AssetFltIndx1,lstInterestRates,0)),IF(MOD($A260,AssetRateReset1)=0,MAX(MIN(OFFSET(Vectors!$D$6,A260,MATCH(AssetFltIndx1,lstInterestRates,0)),(F259-AssetMarg1)+AssetPdCapFl1,AssetLifeCap1-AssetMarg1),(F259-AssetMarg1)-AssetPdCapFl1,AssetLifeFloor1-AssetMarg1),F259)))+AssetMarg1</f>
        <v>0.09</v>
      </c>
      <c r="G260" s="62">
        <f t="shared" ca="1" si="211"/>
        <v>804622.61694478267</v>
      </c>
      <c r="H260" s="62">
        <f t="shared" ca="1" si="224"/>
        <v>442903.57584211009</v>
      </c>
      <c r="I260" s="62">
        <f t="shared" ca="1" si="225"/>
        <v>361719.04110267258</v>
      </c>
      <c r="J260" s="62">
        <f t="shared" ca="1" si="206"/>
        <v>58692091.071178675</v>
      </c>
      <c r="K260" s="55"/>
      <c r="L260" s="62">
        <f t="shared" ca="1" si="226"/>
        <v>16986524.824528988</v>
      </c>
      <c r="M260" s="68">
        <f ca="1">IF(pdrLossTime1="",OFFSET(Vectors!$AE$6,A260+_Age1,MATCH(SDA_Loss,lstSDA,0)),OFFSET(Vectors!$X$6,A260+_Age1,MATCH(pdrLossTime1,lstDefaultCurve,0)))</f>
        <v>2.7777777777777779E-5</v>
      </c>
      <c r="N260" s="62">
        <f t="shared" ca="1" si="212"/>
        <v>2777.7777777777778</v>
      </c>
      <c r="O260" s="67">
        <f t="shared" ca="1" si="227"/>
        <v>0.58692091071178676</v>
      </c>
      <c r="P260" s="68">
        <f ca="1">OFFSET(Vectors!$L$6,A260+_Age1,MATCH(pdrPrepay1,lstPrepayCurve,0))*pdrPrepayStress1</f>
        <v>5.1430128318229462E-3</v>
      </c>
      <c r="Q260" s="62">
        <f t="shared" ca="1" si="228"/>
        <v>86826.80202746451</v>
      </c>
      <c r="R260" s="62">
        <f t="shared" ca="1" si="229"/>
        <v>104029.60764767954</v>
      </c>
      <c r="S260" s="69">
        <f t="shared" ca="1" si="230"/>
        <v>0.09</v>
      </c>
      <c r="T260" s="62">
        <f t="shared" ca="1" si="231"/>
        <v>127378.10285063408</v>
      </c>
      <c r="U260" s="62">
        <f t="shared" ca="1" si="213"/>
        <v>1111.1111111111111</v>
      </c>
      <c r="V260" s="62">
        <f t="shared" ca="1" si="207"/>
        <v>16792890.637076069</v>
      </c>
      <c r="W260" s="55"/>
      <c r="X260" s="62">
        <f t="shared" ca="1" si="232"/>
        <v>319345.62363688927</v>
      </c>
      <c r="Y260" s="55"/>
      <c r="Z260" s="118" t="b">
        <v>0</v>
      </c>
      <c r="AA260" s="120" t="b">
        <f t="shared" si="214"/>
        <v>0</v>
      </c>
      <c r="AB260" s="120" t="b">
        <f t="shared" si="215"/>
        <v>1</v>
      </c>
      <c r="AC260" s="120" t="b">
        <f t="shared" ca="1" si="216"/>
        <v>0</v>
      </c>
      <c r="AD260" s="121"/>
      <c r="AE260" s="129">
        <v>0</v>
      </c>
      <c r="AF260" s="69">
        <f ca="1">IF(Swap_Active="No",0,OFFSET(Vectors!$D$6,Vectors!A260,MATCH(Swap_In,lstInterestRates,0)))</f>
        <v>6.9369000000000056E-2</v>
      </c>
      <c r="AG260" s="62">
        <f t="shared" ca="1" si="233"/>
        <v>0</v>
      </c>
      <c r="AH260" s="69">
        <f ca="1">IF(Swap_Active="No",0,OFFSET(Vectors!$D$6,Vectors!A260,MATCH(Swap_Out,lstInterestRates,0)))</f>
        <v>0.04</v>
      </c>
      <c r="AI260" s="62">
        <f t="shared" ca="1" si="234"/>
        <v>0</v>
      </c>
      <c r="AJ260" s="62">
        <f t="shared" ca="1" si="235"/>
        <v>0</v>
      </c>
      <c r="AK260" s="62">
        <f t="shared" ca="1" si="236"/>
        <v>319345.62363688927</v>
      </c>
      <c r="AL260" s="121"/>
      <c r="AM260" s="123">
        <f t="shared" ca="1" si="217"/>
        <v>28310.874707548312</v>
      </c>
      <c r="AN260" s="124">
        <f t="shared" ca="1" si="237"/>
        <v>28310.874707548312</v>
      </c>
      <c r="AO260" s="125">
        <f t="shared" ca="1" si="238"/>
        <v>0</v>
      </c>
      <c r="AP260" s="123">
        <f t="shared" ca="1" si="239"/>
        <v>291034.74892934097</v>
      </c>
      <c r="AQ260" s="121"/>
      <c r="AR260" s="126">
        <f ca="1">IF(LiabIntType1="Fixed",LiabFxdRate1,OFFSET(Vectors!$D$6,Vectors!A260,MATCH(LiabLoanIndex1,lstInterestRates,0))+LiabMarg1)</f>
        <v>7.9369000000000051E-2</v>
      </c>
      <c r="AS260" s="122">
        <f t="shared" ca="1" si="240"/>
        <v>0</v>
      </c>
      <c r="AT260" s="124">
        <f t="shared" ca="1" si="241"/>
        <v>0</v>
      </c>
      <c r="AU260" s="123">
        <f t="shared" ca="1" si="242"/>
        <v>0</v>
      </c>
      <c r="AV260" s="123">
        <f t="shared" ca="1" si="218"/>
        <v>0</v>
      </c>
      <c r="AW260" s="123">
        <f t="shared" ca="1" si="243"/>
        <v>0</v>
      </c>
      <c r="AX260" s="124">
        <f t="shared" ca="1" si="244"/>
        <v>291034.74892934097</v>
      </c>
      <c r="AY260" s="121"/>
      <c r="AZ260" s="122">
        <f t="shared" ca="1" si="219"/>
        <v>0</v>
      </c>
      <c r="BA260" s="124">
        <f t="shared" ca="1" si="245"/>
        <v>0</v>
      </c>
      <c r="BB260" s="123">
        <f t="shared" ca="1" si="246"/>
        <v>0</v>
      </c>
      <c r="BC260" s="123">
        <f t="shared" ca="1" si="220"/>
        <v>0</v>
      </c>
      <c r="BD260" s="123">
        <f t="shared" ca="1" si="247"/>
        <v>0</v>
      </c>
      <c r="BE260" s="124">
        <f t="shared" ca="1" si="248"/>
        <v>291034.74892934097</v>
      </c>
      <c r="BF260" s="121"/>
      <c r="BG260" s="123">
        <f t="shared" si="221"/>
        <v>1000000</v>
      </c>
      <c r="BH260" s="123">
        <f t="shared" ca="1" si="249"/>
        <v>1000000</v>
      </c>
      <c r="BI260" s="123">
        <f t="shared" ca="1" si="250"/>
        <v>0</v>
      </c>
      <c r="BJ260" s="123">
        <f t="shared" ca="1" si="251"/>
        <v>0</v>
      </c>
      <c r="BK260" s="123">
        <f t="shared" ca="1" si="208"/>
        <v>1000000</v>
      </c>
      <c r="BL260" s="123">
        <f t="shared" ca="1" si="252"/>
        <v>291034.74892934097</v>
      </c>
      <c r="BM260" s="121"/>
      <c r="BN260" s="126">
        <f ca="1">IF(LiabIntType2="Fixed",LiabFxdRate2,OFFSET(Vectors!$D$6,Vectors!A260,MATCH(LiabLoanIndex2,lstInterestRates,0))+LiabMarg2)</f>
        <v>0.04</v>
      </c>
      <c r="BO260" s="122">
        <f t="shared" ca="1" si="253"/>
        <v>26380.480755318596</v>
      </c>
      <c r="BP260" s="124">
        <f t="shared" ca="1" si="254"/>
        <v>26380.480755318596</v>
      </c>
      <c r="BQ260" s="123">
        <f t="shared" ca="1" si="255"/>
        <v>0</v>
      </c>
      <c r="BR260" s="123">
        <f t="shared" ca="1" si="256"/>
        <v>264654.26817402238</v>
      </c>
      <c r="BS260" s="121"/>
      <c r="BT260" s="123">
        <f t="shared" ca="1" si="222"/>
        <v>19853.142303822468</v>
      </c>
      <c r="BU260" s="123">
        <f t="shared" ca="1" si="257"/>
        <v>19853.142303822468</v>
      </c>
      <c r="BV260" s="123">
        <f t="shared" ca="1" si="258"/>
        <v>0</v>
      </c>
      <c r="BW260" s="123">
        <f t="shared" ca="1" si="259"/>
        <v>244801.1258701999</v>
      </c>
      <c r="BX260" s="121"/>
      <c r="BY260" s="123">
        <f t="shared" si="260"/>
        <v>0</v>
      </c>
      <c r="BZ260" s="123">
        <f t="shared" ca="1" si="261"/>
        <v>244801.1258701999</v>
      </c>
      <c r="CA260" s="121"/>
      <c r="CB260" s="122">
        <f t="shared" ca="1" si="209"/>
        <v>0</v>
      </c>
      <c r="CC260" s="122">
        <f t="shared" ca="1" si="262"/>
        <v>0</v>
      </c>
      <c r="CD260" s="124">
        <f t="shared" ca="1" si="263"/>
        <v>0</v>
      </c>
      <c r="CE260" s="121"/>
      <c r="CF260" s="122">
        <f t="shared" ca="1" si="210"/>
        <v>7894291.0842917571</v>
      </c>
      <c r="CG260" s="124">
        <f t="shared" ca="1" si="264"/>
        <v>26380.480755318596</v>
      </c>
      <c r="CH260" s="123">
        <f t="shared" ca="1" si="265"/>
        <v>19853.142303822468</v>
      </c>
      <c r="CI260" s="121"/>
      <c r="CJ260" s="123">
        <f t="shared" ca="1" si="266"/>
        <v>319345.62363688927</v>
      </c>
      <c r="CK260" s="123">
        <f t="shared" ca="1" si="267"/>
        <v>319345.62363688927</v>
      </c>
      <c r="CL260" s="123">
        <f t="shared" ca="1" si="268"/>
        <v>0</v>
      </c>
      <c r="CM260" s="121"/>
      <c r="CN260" s="62">
        <f t="shared" ca="1" si="269"/>
        <v>193634.18745292182</v>
      </c>
      <c r="CO260" s="62" t="b">
        <f t="shared" si="270"/>
        <v>1</v>
      </c>
      <c r="CP260" s="126">
        <f t="shared" ca="1" si="271"/>
        <v>7.0555555555555276E-3</v>
      </c>
      <c r="CQ260" s="120"/>
      <c r="CR260" s="120"/>
      <c r="CS260" s="120"/>
      <c r="CT260" s="120"/>
      <c r="CU260" s="120"/>
      <c r="CV260" s="120"/>
      <c r="CW260" s="120"/>
      <c r="CX260" s="120"/>
      <c r="CY260" s="120"/>
      <c r="CZ260" s="120"/>
      <c r="DA260" s="120"/>
      <c r="DB260" s="120"/>
      <c r="DC260" s="120"/>
      <c r="DD260" s="120"/>
      <c r="DE260" s="116"/>
      <c r="DF260" s="116"/>
      <c r="DG260" s="116"/>
      <c r="DH260" s="116"/>
      <c r="DI260" s="116"/>
      <c r="DJ260" s="116"/>
      <c r="DK260" s="116"/>
      <c r="DL260" s="116"/>
      <c r="DM260" s="116"/>
      <c r="DN260" s="116"/>
    </row>
    <row r="261" spans="1:118" x14ac:dyDescent="0.2">
      <c r="A261" s="27">
        <v>255</v>
      </c>
      <c r="B261" s="29">
        <f t="shared" si="204"/>
        <v>46874</v>
      </c>
      <c r="C261" s="30">
        <f t="shared" si="205"/>
        <v>8.3333333333333329E-2</v>
      </c>
      <c r="D261" s="55"/>
      <c r="E261" s="62">
        <f t="shared" ca="1" si="223"/>
        <v>58692091.071178675</v>
      </c>
      <c r="F261" s="63">
        <f ca="1">IF(AssetIntType1="Fixed",AssetFxdRate1,IF(A261=1,OFFSET(Vectors!$D$6,A261,MATCH(AssetFltIndx1,lstInterestRates,0)),IF(MOD($A261,AssetRateReset1)=0,MAX(MIN(OFFSET(Vectors!$D$6,A261,MATCH(AssetFltIndx1,lstInterestRates,0)),(F260-AssetMarg1)+AssetPdCapFl1,AssetLifeCap1-AssetMarg1),(F260-AssetMarg1)-AssetPdCapFl1,AssetLifeFloor1-AssetMarg1),F260)))+AssetMarg1</f>
        <v>0.09</v>
      </c>
      <c r="G261" s="62">
        <f t="shared" ca="1" si="211"/>
        <v>804622.61694478267</v>
      </c>
      <c r="H261" s="62">
        <f t="shared" ca="1" si="224"/>
        <v>440190.68303384003</v>
      </c>
      <c r="I261" s="62">
        <f t="shared" ca="1" si="225"/>
        <v>364431.93391094264</v>
      </c>
      <c r="J261" s="62">
        <f t="shared" ca="1" si="206"/>
        <v>58327659.137267731</v>
      </c>
      <c r="K261" s="55"/>
      <c r="L261" s="62">
        <f t="shared" ca="1" si="226"/>
        <v>16792890.637076069</v>
      </c>
      <c r="M261" s="68">
        <f ca="1">IF(pdrLossTime1="",OFFSET(Vectors!$AE$6,A261+_Age1,MATCH(SDA_Loss,lstSDA,0)),OFFSET(Vectors!$X$6,A261+_Age1,MATCH(pdrLossTime1,lstDefaultCurve,0)))</f>
        <v>2.7777777777777779E-5</v>
      </c>
      <c r="N261" s="62">
        <f t="shared" ca="1" si="212"/>
        <v>2777.7777777777778</v>
      </c>
      <c r="O261" s="67">
        <f t="shared" ca="1" si="227"/>
        <v>0.58327659137267729</v>
      </c>
      <c r="P261" s="68">
        <f ca="1">OFFSET(Vectors!$L$6,A261+_Age1,MATCH(pdrPrepay1,lstPrepayCurve,0))*pdrPrepayStress1</f>
        <v>5.1430128318229462E-3</v>
      </c>
      <c r="Q261" s="62">
        <f t="shared" ca="1" si="228"/>
        <v>85829.78646511698</v>
      </c>
      <c r="R261" s="62">
        <f t="shared" ca="1" si="229"/>
        <v>104253.45541832001</v>
      </c>
      <c r="S261" s="69">
        <f t="shared" ca="1" si="230"/>
        <v>0.09</v>
      </c>
      <c r="T261" s="62">
        <f t="shared" ca="1" si="231"/>
        <v>125925.8464447372</v>
      </c>
      <c r="U261" s="62">
        <f t="shared" ca="1" si="213"/>
        <v>1111.1111111111111</v>
      </c>
      <c r="V261" s="62">
        <f t="shared" ca="1" si="207"/>
        <v>16600029.617414854</v>
      </c>
      <c r="W261" s="55"/>
      <c r="X261" s="62">
        <f t="shared" ca="1" si="232"/>
        <v>317120.19943928532</v>
      </c>
      <c r="Y261" s="55"/>
      <c r="Z261" s="118" t="b">
        <v>0</v>
      </c>
      <c r="AA261" s="120" t="b">
        <f t="shared" si="214"/>
        <v>0</v>
      </c>
      <c r="AB261" s="120" t="b">
        <f t="shared" si="215"/>
        <v>1</v>
      </c>
      <c r="AC261" s="120" t="b">
        <f t="shared" ca="1" si="216"/>
        <v>0</v>
      </c>
      <c r="AD261" s="121"/>
      <c r="AE261" s="129">
        <v>0</v>
      </c>
      <c r="AF261" s="69">
        <f ca="1">IF(Swap_Active="No",0,OFFSET(Vectors!$D$6,Vectors!A261,MATCH(Swap_In,lstInterestRates,0)))</f>
        <v>6.9369000000000056E-2</v>
      </c>
      <c r="AG261" s="62">
        <f t="shared" ca="1" si="233"/>
        <v>0</v>
      </c>
      <c r="AH261" s="69">
        <f ca="1">IF(Swap_Active="No",0,OFFSET(Vectors!$D$6,Vectors!A261,MATCH(Swap_Out,lstInterestRates,0)))</f>
        <v>0.04</v>
      </c>
      <c r="AI261" s="62">
        <f t="shared" ca="1" si="234"/>
        <v>0</v>
      </c>
      <c r="AJ261" s="62">
        <f t="shared" ca="1" si="235"/>
        <v>0</v>
      </c>
      <c r="AK261" s="62">
        <f t="shared" ca="1" si="236"/>
        <v>317120.19943928532</v>
      </c>
      <c r="AL261" s="121"/>
      <c r="AM261" s="123">
        <f t="shared" ca="1" si="217"/>
        <v>27988.151061793447</v>
      </c>
      <c r="AN261" s="124">
        <f t="shared" ca="1" si="237"/>
        <v>27988.151061793447</v>
      </c>
      <c r="AO261" s="125">
        <f t="shared" ca="1" si="238"/>
        <v>0</v>
      </c>
      <c r="AP261" s="123">
        <f t="shared" ca="1" si="239"/>
        <v>289132.04837749188</v>
      </c>
      <c r="AQ261" s="121"/>
      <c r="AR261" s="126">
        <f ca="1">IF(LiabIntType1="Fixed",LiabFxdRate1,OFFSET(Vectors!$D$6,Vectors!A261,MATCH(LiabLoanIndex1,lstInterestRates,0))+LiabMarg1)</f>
        <v>7.9369000000000051E-2</v>
      </c>
      <c r="AS261" s="122">
        <f t="shared" ca="1" si="240"/>
        <v>0</v>
      </c>
      <c r="AT261" s="124">
        <f t="shared" ca="1" si="241"/>
        <v>0</v>
      </c>
      <c r="AU261" s="123">
        <f t="shared" ca="1" si="242"/>
        <v>0</v>
      </c>
      <c r="AV261" s="123">
        <f t="shared" ca="1" si="218"/>
        <v>0</v>
      </c>
      <c r="AW261" s="123">
        <f t="shared" ca="1" si="243"/>
        <v>0</v>
      </c>
      <c r="AX261" s="124">
        <f t="shared" ca="1" si="244"/>
        <v>289132.04837749188</v>
      </c>
      <c r="AY261" s="121"/>
      <c r="AZ261" s="122">
        <f t="shared" ca="1" si="219"/>
        <v>0</v>
      </c>
      <c r="BA261" s="124">
        <f t="shared" ca="1" si="245"/>
        <v>0</v>
      </c>
      <c r="BB261" s="123">
        <f t="shared" ca="1" si="246"/>
        <v>0</v>
      </c>
      <c r="BC261" s="123">
        <f t="shared" ca="1" si="220"/>
        <v>0</v>
      </c>
      <c r="BD261" s="123">
        <f t="shared" ca="1" si="247"/>
        <v>0</v>
      </c>
      <c r="BE261" s="124">
        <f t="shared" ca="1" si="248"/>
        <v>289132.04837749188</v>
      </c>
      <c r="BF261" s="121"/>
      <c r="BG261" s="123">
        <f t="shared" si="221"/>
        <v>1000000</v>
      </c>
      <c r="BH261" s="123">
        <f t="shared" ca="1" si="249"/>
        <v>1000000</v>
      </c>
      <c r="BI261" s="123">
        <f t="shared" ca="1" si="250"/>
        <v>0</v>
      </c>
      <c r="BJ261" s="123">
        <f t="shared" ca="1" si="251"/>
        <v>0</v>
      </c>
      <c r="BK261" s="123">
        <f t="shared" ca="1" si="208"/>
        <v>1000000</v>
      </c>
      <c r="BL261" s="123">
        <f t="shared" ca="1" si="252"/>
        <v>289132.04837749188</v>
      </c>
      <c r="BM261" s="121"/>
      <c r="BN261" s="126">
        <f ca="1">IF(LiabIntType2="Fixed",LiabFxdRate2,OFFSET(Vectors!$D$6,Vectors!A261,MATCH(LiabLoanIndex2,lstInterestRates,0))+LiabMarg2)</f>
        <v>0.04</v>
      </c>
      <c r="BO261" s="122">
        <f t="shared" ca="1" si="253"/>
        <v>26314.303614305856</v>
      </c>
      <c r="BP261" s="124">
        <f t="shared" ca="1" si="254"/>
        <v>26314.303614305856</v>
      </c>
      <c r="BQ261" s="123">
        <f t="shared" ca="1" si="255"/>
        <v>0</v>
      </c>
      <c r="BR261" s="123">
        <f t="shared" ca="1" si="256"/>
        <v>262817.74476318603</v>
      </c>
      <c r="BS261" s="121"/>
      <c r="BT261" s="123">
        <f t="shared" ca="1" si="222"/>
        <v>19773.870092673162</v>
      </c>
      <c r="BU261" s="123">
        <f t="shared" ca="1" si="257"/>
        <v>19773.870092673162</v>
      </c>
      <c r="BV261" s="123">
        <f t="shared" ca="1" si="258"/>
        <v>0</v>
      </c>
      <c r="BW261" s="123">
        <f t="shared" ca="1" si="259"/>
        <v>243043.87467051286</v>
      </c>
      <c r="BX261" s="121"/>
      <c r="BY261" s="123">
        <f t="shared" si="260"/>
        <v>0</v>
      </c>
      <c r="BZ261" s="123">
        <f t="shared" ca="1" si="261"/>
        <v>243043.87467051286</v>
      </c>
      <c r="CA261" s="121"/>
      <c r="CB261" s="122">
        <f t="shared" ca="1" si="209"/>
        <v>0</v>
      </c>
      <c r="CC261" s="122">
        <f t="shared" ca="1" si="262"/>
        <v>0</v>
      </c>
      <c r="CD261" s="124">
        <f t="shared" ca="1" si="263"/>
        <v>0</v>
      </c>
      <c r="CE261" s="121"/>
      <c r="CF261" s="122">
        <f t="shared" ca="1" si="210"/>
        <v>7874517.2141990839</v>
      </c>
      <c r="CG261" s="124">
        <f t="shared" ca="1" si="264"/>
        <v>26314.303614305856</v>
      </c>
      <c r="CH261" s="123">
        <f t="shared" ca="1" si="265"/>
        <v>19773.870092673162</v>
      </c>
      <c r="CI261" s="121"/>
      <c r="CJ261" s="123">
        <f t="shared" ca="1" si="266"/>
        <v>317120.19943928532</v>
      </c>
      <c r="CK261" s="123">
        <f t="shared" ca="1" si="267"/>
        <v>317120.19943928532</v>
      </c>
      <c r="CL261" s="123">
        <f t="shared" ca="1" si="268"/>
        <v>0</v>
      </c>
      <c r="CM261" s="121"/>
      <c r="CN261" s="62">
        <f t="shared" ca="1" si="269"/>
        <v>192861.01966121478</v>
      </c>
      <c r="CO261" s="62" t="b">
        <f t="shared" si="270"/>
        <v>1</v>
      </c>
      <c r="CP261" s="126">
        <f t="shared" ca="1" si="271"/>
        <v>7.0833333333333052E-3</v>
      </c>
      <c r="CQ261" s="120"/>
      <c r="CR261" s="120"/>
      <c r="CS261" s="120"/>
      <c r="CT261" s="120"/>
      <c r="CU261" s="120"/>
      <c r="CV261" s="120"/>
      <c r="CW261" s="120"/>
      <c r="CX261" s="120"/>
      <c r="CY261" s="120"/>
      <c r="CZ261" s="120"/>
      <c r="DA261" s="120"/>
      <c r="DB261" s="120"/>
      <c r="DC261" s="120"/>
      <c r="DD261" s="120"/>
      <c r="DE261" s="116"/>
      <c r="DF261" s="116"/>
      <c r="DG261" s="116"/>
      <c r="DH261" s="116"/>
      <c r="DI261" s="116"/>
      <c r="DJ261" s="116"/>
      <c r="DK261" s="116"/>
      <c r="DL261" s="116"/>
      <c r="DM261" s="116"/>
      <c r="DN261" s="116"/>
    </row>
    <row r="262" spans="1:118" x14ac:dyDescent="0.2">
      <c r="A262" s="27">
        <v>256</v>
      </c>
      <c r="B262" s="29">
        <f t="shared" ref="B262:B325" si="272">IF(A262=0,ClosingDate,IF(A262=1,FirstPayDate,EDATE(B261,PmtFreqAdd)))</f>
        <v>46905</v>
      </c>
      <c r="C262" s="30">
        <f t="shared" ref="C262:C325" si="273">IF(A262=0,0,IF(DayCountSys="30 / 360",DAYS360(B261,B262)/360,IF(DayCountSys="Actual / 360",(B262-B261)/360,(B262-B261)/365)))</f>
        <v>8.3333333333333329E-2</v>
      </c>
      <c r="D262" s="55"/>
      <c r="E262" s="62">
        <f t="shared" ca="1" si="223"/>
        <v>58327659.137267731</v>
      </c>
      <c r="F262" s="63">
        <f ca="1">IF(AssetIntType1="Fixed",AssetFxdRate1,IF(A262=1,OFFSET(Vectors!$D$6,A262,MATCH(AssetFltIndx1,lstInterestRates,0)),IF(MOD($A262,AssetRateReset1)=0,MAX(MIN(OFFSET(Vectors!$D$6,A262,MATCH(AssetFltIndx1,lstInterestRates,0)),(F261-AssetMarg1)+AssetPdCapFl1,AssetLifeCap1-AssetMarg1),(F261-AssetMarg1)-AssetPdCapFl1,AssetLifeFloor1-AssetMarg1),F261)))+AssetMarg1</f>
        <v>0.09</v>
      </c>
      <c r="G262" s="62">
        <f t="shared" ca="1" si="211"/>
        <v>804622.61694478267</v>
      </c>
      <c r="H262" s="62">
        <f t="shared" ca="1" si="224"/>
        <v>437457.44352950796</v>
      </c>
      <c r="I262" s="62">
        <f t="shared" ca="1" si="225"/>
        <v>367165.17341527471</v>
      </c>
      <c r="J262" s="62">
        <f t="shared" ref="J262:J325" ca="1" si="274">IF(A262=0,AssetCurBal1,E262-I262)</f>
        <v>57960493.963852458</v>
      </c>
      <c r="K262" s="55"/>
      <c r="L262" s="62">
        <f t="shared" ca="1" si="226"/>
        <v>16600029.617414854</v>
      </c>
      <c r="M262" s="68">
        <f ca="1">IF(pdrLossTime1="",OFFSET(Vectors!$AE$6,A262+_Age1,MATCH(SDA_Loss,lstSDA,0)),OFFSET(Vectors!$X$6,A262+_Age1,MATCH(pdrLossTime1,lstDefaultCurve,0)))</f>
        <v>2.7777777777777779E-5</v>
      </c>
      <c r="N262" s="62">
        <f t="shared" ca="1" si="212"/>
        <v>2777.7777777777778</v>
      </c>
      <c r="O262" s="67">
        <f t="shared" ca="1" si="227"/>
        <v>0.57960493963852455</v>
      </c>
      <c r="P262" s="68">
        <f ca="1">OFFSET(Vectors!$L$6,A262+_Age1,MATCH(pdrPrepay1,lstPrepayCurve,0))*pdrPrepayStress1</f>
        <v>5.1430128318229462E-3</v>
      </c>
      <c r="Q262" s="62">
        <f t="shared" ca="1" si="228"/>
        <v>84836.74585142087</v>
      </c>
      <c r="R262" s="62">
        <f t="shared" ca="1" si="229"/>
        <v>104477.58302070573</v>
      </c>
      <c r="S262" s="69">
        <f t="shared" ca="1" si="230"/>
        <v>0.09</v>
      </c>
      <c r="T262" s="62">
        <f t="shared" ca="1" si="231"/>
        <v>124479.38879727806</v>
      </c>
      <c r="U262" s="62">
        <f t="shared" ca="1" si="213"/>
        <v>1111.1111111111111</v>
      </c>
      <c r="V262" s="62">
        <f t="shared" ref="V262:V325" ca="1" si="275">IF(A262=0,AssetCurBal1,L262-N262-Q262-R262)</f>
        <v>16407937.510764949</v>
      </c>
      <c r="W262" s="55"/>
      <c r="X262" s="62">
        <f t="shared" ca="1" si="232"/>
        <v>314904.82878051576</v>
      </c>
      <c r="Y262" s="55"/>
      <c r="Z262" s="118" t="b">
        <v>0</v>
      </c>
      <c r="AA262" s="120" t="b">
        <f t="shared" si="214"/>
        <v>0</v>
      </c>
      <c r="AB262" s="120" t="b">
        <f t="shared" si="215"/>
        <v>1</v>
      </c>
      <c r="AC262" s="120" t="b">
        <f t="shared" ca="1" si="216"/>
        <v>0</v>
      </c>
      <c r="AD262" s="121"/>
      <c r="AE262" s="129">
        <v>0</v>
      </c>
      <c r="AF262" s="69">
        <f ca="1">IF(Swap_Active="No",0,OFFSET(Vectors!$D$6,Vectors!A262,MATCH(Swap_In,lstInterestRates,0)))</f>
        <v>6.9369000000000056E-2</v>
      </c>
      <c r="AG262" s="62">
        <f t="shared" ca="1" si="233"/>
        <v>0</v>
      </c>
      <c r="AH262" s="69">
        <f ca="1">IF(Swap_Active="No",0,OFFSET(Vectors!$D$6,Vectors!A262,MATCH(Swap_Out,lstInterestRates,0)))</f>
        <v>0.04</v>
      </c>
      <c r="AI262" s="62">
        <f t="shared" ca="1" si="234"/>
        <v>0</v>
      </c>
      <c r="AJ262" s="62">
        <f t="shared" ca="1" si="235"/>
        <v>0</v>
      </c>
      <c r="AK262" s="62">
        <f t="shared" ca="1" si="236"/>
        <v>314904.82878051576</v>
      </c>
      <c r="AL262" s="121"/>
      <c r="AM262" s="123">
        <f t="shared" ca="1" si="217"/>
        <v>27666.716029024756</v>
      </c>
      <c r="AN262" s="124">
        <f t="shared" ca="1" si="237"/>
        <v>27666.716029024756</v>
      </c>
      <c r="AO262" s="125">
        <f t="shared" ca="1" si="238"/>
        <v>0</v>
      </c>
      <c r="AP262" s="123">
        <f t="shared" ca="1" si="239"/>
        <v>287238.11275149102</v>
      </c>
      <c r="AQ262" s="121"/>
      <c r="AR262" s="126">
        <f ca="1">IF(LiabIntType1="Fixed",LiabFxdRate1,OFFSET(Vectors!$D$6,Vectors!A262,MATCH(LiabLoanIndex1,lstInterestRates,0))+LiabMarg1)</f>
        <v>7.9369000000000051E-2</v>
      </c>
      <c r="AS262" s="122">
        <f t="shared" ca="1" si="240"/>
        <v>0</v>
      </c>
      <c r="AT262" s="124">
        <f t="shared" ca="1" si="241"/>
        <v>0</v>
      </c>
      <c r="AU262" s="123">
        <f t="shared" ca="1" si="242"/>
        <v>0</v>
      </c>
      <c r="AV262" s="123">
        <f t="shared" ca="1" si="218"/>
        <v>0</v>
      </c>
      <c r="AW262" s="123">
        <f t="shared" ca="1" si="243"/>
        <v>0</v>
      </c>
      <c r="AX262" s="124">
        <f t="shared" ca="1" si="244"/>
        <v>287238.11275149102</v>
      </c>
      <c r="AY262" s="121"/>
      <c r="AZ262" s="122">
        <f t="shared" ca="1" si="219"/>
        <v>0</v>
      </c>
      <c r="BA262" s="124">
        <f t="shared" ca="1" si="245"/>
        <v>0</v>
      </c>
      <c r="BB262" s="123">
        <f t="shared" ca="1" si="246"/>
        <v>0</v>
      </c>
      <c r="BC262" s="123">
        <f t="shared" ca="1" si="220"/>
        <v>0</v>
      </c>
      <c r="BD262" s="123">
        <f t="shared" ca="1" si="247"/>
        <v>0</v>
      </c>
      <c r="BE262" s="124">
        <f t="shared" ca="1" si="248"/>
        <v>287238.11275149102</v>
      </c>
      <c r="BF262" s="121"/>
      <c r="BG262" s="123">
        <f t="shared" si="221"/>
        <v>1000000</v>
      </c>
      <c r="BH262" s="123">
        <f t="shared" ca="1" si="249"/>
        <v>1000000</v>
      </c>
      <c r="BI262" s="123">
        <f t="shared" ca="1" si="250"/>
        <v>0</v>
      </c>
      <c r="BJ262" s="123">
        <f t="shared" ca="1" si="251"/>
        <v>0</v>
      </c>
      <c r="BK262" s="123">
        <f t="shared" ref="BK262:BK325" ca="1" si="276">IF(A262=0,AssetCurBal1*RsrvPercent,BH262-BI262+BJ262)</f>
        <v>1000000</v>
      </c>
      <c r="BL262" s="123">
        <f t="shared" ca="1" si="252"/>
        <v>287238.11275149102</v>
      </c>
      <c r="BM262" s="121"/>
      <c r="BN262" s="126">
        <f ca="1">IF(LiabIntType2="Fixed",LiabFxdRate2,OFFSET(Vectors!$D$6,Vectors!A262,MATCH(LiabLoanIndex2,lstInterestRates,0))+LiabMarg2)</f>
        <v>0.04</v>
      </c>
      <c r="BO262" s="122">
        <f t="shared" ca="1" si="253"/>
        <v>26248.390713996945</v>
      </c>
      <c r="BP262" s="124">
        <f t="shared" ca="1" si="254"/>
        <v>26248.390713996945</v>
      </c>
      <c r="BQ262" s="123">
        <f t="shared" ca="1" si="255"/>
        <v>0</v>
      </c>
      <c r="BR262" s="123">
        <f t="shared" ca="1" si="256"/>
        <v>260989.72203749407</v>
      </c>
      <c r="BS262" s="121"/>
      <c r="BT262" s="123">
        <f t="shared" ca="1" si="222"/>
        <v>19695.034120401906</v>
      </c>
      <c r="BU262" s="123">
        <f t="shared" ca="1" si="257"/>
        <v>19695.034120401906</v>
      </c>
      <c r="BV262" s="123">
        <f t="shared" ca="1" si="258"/>
        <v>0</v>
      </c>
      <c r="BW262" s="123">
        <f t="shared" ca="1" si="259"/>
        <v>241294.68791709217</v>
      </c>
      <c r="BX262" s="121"/>
      <c r="BY262" s="123">
        <f t="shared" si="260"/>
        <v>0</v>
      </c>
      <c r="BZ262" s="123">
        <f t="shared" ca="1" si="261"/>
        <v>241294.68791709217</v>
      </c>
      <c r="CA262" s="121"/>
      <c r="CB262" s="122">
        <f t="shared" ref="CB262:CB325" ca="1" si="277">IF(A262=0,V262*LiabAdvRate1,CB261-CD262)</f>
        <v>0</v>
      </c>
      <c r="CC262" s="122">
        <f t="shared" ca="1" si="262"/>
        <v>0</v>
      </c>
      <c r="CD262" s="124">
        <f t="shared" ca="1" si="263"/>
        <v>0</v>
      </c>
      <c r="CE262" s="121"/>
      <c r="CF262" s="122">
        <f t="shared" ref="CF262:CF325" ca="1" si="278">IF(A262=0,V262*LiabAdvRate2,CF261-CH262)</f>
        <v>7854822.1800786816</v>
      </c>
      <c r="CG262" s="124">
        <f t="shared" ca="1" si="264"/>
        <v>26248.390713996945</v>
      </c>
      <c r="CH262" s="123">
        <f t="shared" ca="1" si="265"/>
        <v>19695.034120401906</v>
      </c>
      <c r="CI262" s="121"/>
      <c r="CJ262" s="123">
        <f t="shared" ca="1" si="266"/>
        <v>314904.82878051576</v>
      </c>
      <c r="CK262" s="123">
        <f t="shared" ca="1" si="267"/>
        <v>314904.82878051582</v>
      </c>
      <c r="CL262" s="123">
        <f t="shared" ca="1" si="268"/>
        <v>0</v>
      </c>
      <c r="CM262" s="121"/>
      <c r="CN262" s="62">
        <f t="shared" ca="1" si="269"/>
        <v>192092.1066499044</v>
      </c>
      <c r="CO262" s="62" t="b">
        <f t="shared" si="270"/>
        <v>1</v>
      </c>
      <c r="CP262" s="126">
        <f t="shared" ca="1" si="271"/>
        <v>7.1111111111110828E-3</v>
      </c>
      <c r="CQ262" s="120"/>
      <c r="CR262" s="120"/>
      <c r="CS262" s="120"/>
      <c r="CT262" s="120"/>
      <c r="CU262" s="120"/>
      <c r="CV262" s="120"/>
      <c r="CW262" s="120"/>
      <c r="CX262" s="120"/>
      <c r="CY262" s="120"/>
      <c r="CZ262" s="120"/>
      <c r="DA262" s="120"/>
      <c r="DB262" s="120"/>
      <c r="DC262" s="120"/>
      <c r="DD262" s="120"/>
      <c r="DE262" s="116"/>
      <c r="DF262" s="116"/>
      <c r="DG262" s="116"/>
      <c r="DH262" s="116"/>
      <c r="DI262" s="116"/>
      <c r="DJ262" s="116"/>
      <c r="DK262" s="116"/>
      <c r="DL262" s="116"/>
      <c r="DM262" s="116"/>
      <c r="DN262" s="116"/>
    </row>
    <row r="263" spans="1:118" x14ac:dyDescent="0.2">
      <c r="A263" s="27">
        <v>257</v>
      </c>
      <c r="B263" s="29">
        <f t="shared" si="272"/>
        <v>46935</v>
      </c>
      <c r="C263" s="30">
        <f t="shared" si="273"/>
        <v>8.3333333333333329E-2</v>
      </c>
      <c r="D263" s="55"/>
      <c r="E263" s="62">
        <f t="shared" ca="1" si="223"/>
        <v>57960493.963852458</v>
      </c>
      <c r="F263" s="63">
        <f ca="1">IF(AssetIntType1="Fixed",AssetFxdRate1,IF(A263=1,OFFSET(Vectors!$D$6,A263,MATCH(AssetFltIndx1,lstInterestRates,0)),IF(MOD($A263,AssetRateReset1)=0,MAX(MIN(OFFSET(Vectors!$D$6,A263,MATCH(AssetFltIndx1,lstInterestRates,0)),(F262-AssetMarg1)+AssetPdCapFl1,AssetLifeCap1-AssetMarg1),(F262-AssetMarg1)-AssetPdCapFl1,AssetLifeFloor1-AssetMarg1),F262)))+AssetMarg1</f>
        <v>0.09</v>
      </c>
      <c r="G263" s="62">
        <f t="shared" ref="G263:G326" ca="1" si="279">IF(J262&lt;=G262,H263+E263,-PMT(F263*C263,OrgTerm1,AssetOrgBal1))</f>
        <v>804622.61694478267</v>
      </c>
      <c r="H263" s="62">
        <f t="shared" ca="1" si="224"/>
        <v>434703.70472889341</v>
      </c>
      <c r="I263" s="62">
        <f t="shared" ca="1" si="225"/>
        <v>369918.91221588926</v>
      </c>
      <c r="J263" s="62">
        <f t="shared" ca="1" si="274"/>
        <v>57590575.051636569</v>
      </c>
      <c r="K263" s="55"/>
      <c r="L263" s="62">
        <f t="shared" ca="1" si="226"/>
        <v>16407937.510764949</v>
      </c>
      <c r="M263" s="68">
        <f ca="1">IF(pdrLossTime1="",OFFSET(Vectors!$AE$6,A263+_Age1,MATCH(SDA_Loss,lstSDA,0)),OFFSET(Vectors!$X$6,A263+_Age1,MATCH(pdrLossTime1,lstDefaultCurve,0)))</f>
        <v>2.7777777777777779E-5</v>
      </c>
      <c r="N263" s="62">
        <f t="shared" ref="N263:N326" ca="1" si="280">MIN(L263,IF(pdrLossTime1="",L263*M263,$L$7*M263))</f>
        <v>2777.7777777777778</v>
      </c>
      <c r="O263" s="67">
        <f t="shared" ca="1" si="227"/>
        <v>0.57590575051636572</v>
      </c>
      <c r="P263" s="68">
        <f ca="1">OFFSET(Vectors!$L$6,A263+_Age1,MATCH(pdrPrepay1,lstPrepayCurve,0))*pdrPrepayStress1</f>
        <v>5.1430128318229462E-3</v>
      </c>
      <c r="Q263" s="62">
        <f t="shared" ca="1" si="228"/>
        <v>83847.658324818185</v>
      </c>
      <c r="R263" s="62">
        <f t="shared" ca="1" si="229"/>
        <v>104701.98626911479</v>
      </c>
      <c r="S263" s="69">
        <f t="shared" ca="1" si="230"/>
        <v>0.09</v>
      </c>
      <c r="T263" s="62">
        <f t="shared" ca="1" si="231"/>
        <v>123038.69799740378</v>
      </c>
      <c r="U263" s="62">
        <f t="shared" ref="U263:U326" ca="1" si="281">IF(A263&lt;=pdrRecovLag1,0,OFFSET(N263,-pdrRecovLag1,0)*pdrRecovRate1)</f>
        <v>1111.1111111111111</v>
      </c>
      <c r="V263" s="62">
        <f t="shared" ca="1" si="275"/>
        <v>16216610.088393237</v>
      </c>
      <c r="W263" s="55"/>
      <c r="X263" s="62">
        <f t="shared" ca="1" si="232"/>
        <v>312699.45370244788</v>
      </c>
      <c r="Y263" s="55"/>
      <c r="Z263" s="118" t="b">
        <v>0</v>
      </c>
      <c r="AA263" s="120" t="b">
        <f t="shared" ref="AA263:AA326" si="282">IF(GlobalTrigger="Yes",TRUE,FALSE)</f>
        <v>0</v>
      </c>
      <c r="AB263" s="120" t="b">
        <f t="shared" ref="AB263:AB326" si="283">IF(AND(A263&gt;=PostDefTriggerMo,PostDefTriggerMo&lt;&gt;0),TRUE,FALSE)</f>
        <v>1</v>
      </c>
      <c r="AC263" s="120" t="b">
        <f t="shared" ref="AC263:AC326" ca="1" si="284">IF(CP263&gt;Trigger_Def,TRUE,FALSE)</f>
        <v>0</v>
      </c>
      <c r="AD263" s="121"/>
      <c r="AE263" s="129">
        <v>0</v>
      </c>
      <c r="AF263" s="69">
        <f ca="1">IF(Swap_Active="No",0,OFFSET(Vectors!$D$6,Vectors!A263,MATCH(Swap_In,lstInterestRates,0)))</f>
        <v>6.9369000000000056E-2</v>
      </c>
      <c r="AG263" s="62">
        <f t="shared" ca="1" si="233"/>
        <v>0</v>
      </c>
      <c r="AH263" s="69">
        <f ca="1">IF(Swap_Active="No",0,OFFSET(Vectors!$D$6,Vectors!A263,MATCH(Swap_Out,lstInterestRates,0)))</f>
        <v>0.04</v>
      </c>
      <c r="AI263" s="62">
        <f t="shared" ca="1" si="234"/>
        <v>0</v>
      </c>
      <c r="AJ263" s="62">
        <f t="shared" ca="1" si="235"/>
        <v>0</v>
      </c>
      <c r="AK263" s="62">
        <f t="shared" ca="1" si="236"/>
        <v>312699.45370244788</v>
      </c>
      <c r="AL263" s="121"/>
      <c r="AM263" s="123">
        <f t="shared" ref="AM263:AM326" ca="1" si="285">(C263*AssetFee*L263)+(C263*LiabFees1*CB262)+(C263*LiabFees2*CF262)</f>
        <v>27346.56251794158</v>
      </c>
      <c r="AN263" s="124">
        <f t="shared" ca="1" si="237"/>
        <v>27346.56251794158</v>
      </c>
      <c r="AO263" s="125">
        <f t="shared" ca="1" si="238"/>
        <v>0</v>
      </c>
      <c r="AP263" s="123">
        <f t="shared" ca="1" si="239"/>
        <v>285352.8911845063</v>
      </c>
      <c r="AQ263" s="121"/>
      <c r="AR263" s="126">
        <f ca="1">IF(LiabIntType1="Fixed",LiabFxdRate1,OFFSET(Vectors!$D$6,Vectors!A263,MATCH(LiabLoanIndex1,lstInterestRates,0))+LiabMarg1)</f>
        <v>7.9369000000000051E-2</v>
      </c>
      <c r="AS263" s="122">
        <f t="shared" ca="1" si="240"/>
        <v>0</v>
      </c>
      <c r="AT263" s="124">
        <f t="shared" ca="1" si="241"/>
        <v>0</v>
      </c>
      <c r="AU263" s="123">
        <f t="shared" ca="1" si="242"/>
        <v>0</v>
      </c>
      <c r="AV263" s="123">
        <f t="shared" ref="AV263:AV326" ca="1" si="286">IF(LiabReserveOnOff1="No",0,MIN(AU263,BH263))</f>
        <v>0</v>
      </c>
      <c r="AW263" s="123">
        <f t="shared" ca="1" si="243"/>
        <v>0</v>
      </c>
      <c r="AX263" s="124">
        <f t="shared" ca="1" si="244"/>
        <v>285352.8911845063</v>
      </c>
      <c r="AY263" s="121"/>
      <c r="AZ263" s="122">
        <f t="shared" ref="AZ263:AZ326" ca="1" si="287">IF(OR(Z263, AB263,AC263),MIN(AX263,AX263+BH263-AV263,CB262),IF(LiabPrinType1="Sequential",MIN((N263+Q263+R263),CB262),MIN((N263+Q263+R263)*LiabAdvRate1,CB262)))</f>
        <v>0</v>
      </c>
      <c r="BA263" s="124">
        <f t="shared" ca="1" si="245"/>
        <v>0</v>
      </c>
      <c r="BB263" s="123">
        <f t="shared" ca="1" si="246"/>
        <v>0</v>
      </c>
      <c r="BC263" s="123">
        <f t="shared" ref="BC263:BC326" ca="1" si="288">IF(LiabReserveOnOff1="No",0,MIN(BB263,BH263-AV263))</f>
        <v>0</v>
      </c>
      <c r="BD263" s="123">
        <f t="shared" ca="1" si="247"/>
        <v>0</v>
      </c>
      <c r="BE263" s="124">
        <f t="shared" ca="1" si="248"/>
        <v>285352.8911845063</v>
      </c>
      <c r="BF263" s="121"/>
      <c r="BG263" s="123">
        <f t="shared" ref="BG263:BG326" si="289">AssetCurBal1*RsrvPercent</f>
        <v>1000000</v>
      </c>
      <c r="BH263" s="123">
        <f t="shared" ca="1" si="249"/>
        <v>1000000</v>
      </c>
      <c r="BI263" s="123">
        <f t="shared" ca="1" si="250"/>
        <v>0</v>
      </c>
      <c r="BJ263" s="123">
        <f t="shared" ca="1" si="251"/>
        <v>0</v>
      </c>
      <c r="BK263" s="123">
        <f t="shared" ca="1" si="276"/>
        <v>1000000</v>
      </c>
      <c r="BL263" s="123">
        <f t="shared" ca="1" si="252"/>
        <v>285352.8911845063</v>
      </c>
      <c r="BM263" s="121"/>
      <c r="BN263" s="126">
        <f ca="1">IF(LiabIntType2="Fixed",LiabFxdRate2,OFFSET(Vectors!$D$6,Vectors!A263,MATCH(LiabLoanIndex2,lstInterestRates,0))+LiabMarg2)</f>
        <v>0.04</v>
      </c>
      <c r="BO263" s="122">
        <f t="shared" ca="1" si="253"/>
        <v>26182.74060026227</v>
      </c>
      <c r="BP263" s="124">
        <f t="shared" ca="1" si="254"/>
        <v>26182.74060026227</v>
      </c>
      <c r="BQ263" s="123">
        <f t="shared" ca="1" si="255"/>
        <v>0</v>
      </c>
      <c r="BR263" s="123">
        <f t="shared" ca="1" si="256"/>
        <v>259170.15058424402</v>
      </c>
      <c r="BS263" s="121"/>
      <c r="BT263" s="123">
        <f t="shared" ref="BT263:BT326" ca="1" si="290">IF(AND(LiabPrinType2="Sequential",CB262&gt;0),0,IF(LiabPrinType2="Sequential",MIN((N263+Q263+R263),CF262),MIN((N263+Q263+R263)*LiabAdvRate2,CF262)))</f>
        <v>19616.631716404085</v>
      </c>
      <c r="BU263" s="123">
        <f t="shared" ca="1" si="257"/>
        <v>19616.631716404085</v>
      </c>
      <c r="BV263" s="123">
        <f t="shared" ca="1" si="258"/>
        <v>0</v>
      </c>
      <c r="BW263" s="123">
        <f t="shared" ca="1" si="259"/>
        <v>239553.51886783994</v>
      </c>
      <c r="BX263" s="121"/>
      <c r="BY263" s="123">
        <f t="shared" si="260"/>
        <v>0</v>
      </c>
      <c r="BZ263" s="123">
        <f t="shared" ca="1" si="261"/>
        <v>239553.51886783994</v>
      </c>
      <c r="CA263" s="121"/>
      <c r="CB263" s="122">
        <f t="shared" ca="1" si="277"/>
        <v>0</v>
      </c>
      <c r="CC263" s="122">
        <f t="shared" ca="1" si="262"/>
        <v>0</v>
      </c>
      <c r="CD263" s="124">
        <f t="shared" ca="1" si="263"/>
        <v>0</v>
      </c>
      <c r="CE263" s="121"/>
      <c r="CF263" s="122">
        <f t="shared" ca="1" si="278"/>
        <v>7835205.5483622774</v>
      </c>
      <c r="CG263" s="124">
        <f t="shared" ca="1" si="264"/>
        <v>26182.74060026227</v>
      </c>
      <c r="CH263" s="123">
        <f t="shared" ca="1" si="265"/>
        <v>19616.631716404085</v>
      </c>
      <c r="CI263" s="121"/>
      <c r="CJ263" s="123">
        <f t="shared" ca="1" si="266"/>
        <v>312699.45370244788</v>
      </c>
      <c r="CK263" s="123">
        <f t="shared" ca="1" si="267"/>
        <v>312699.45370244788</v>
      </c>
      <c r="CL263" s="123">
        <f t="shared" ca="1" si="268"/>
        <v>0</v>
      </c>
      <c r="CM263" s="121"/>
      <c r="CN263" s="62">
        <f t="shared" ca="1" si="269"/>
        <v>191327.42237171077</v>
      </c>
      <c r="CO263" s="62" t="b">
        <f t="shared" si="270"/>
        <v>1</v>
      </c>
      <c r="CP263" s="126">
        <f t="shared" ca="1" si="271"/>
        <v>7.1388888888888604E-3</v>
      </c>
      <c r="CQ263" s="120"/>
      <c r="CR263" s="120"/>
      <c r="CS263" s="120"/>
      <c r="CT263" s="120"/>
      <c r="CU263" s="120"/>
      <c r="CV263" s="120"/>
      <c r="CW263" s="120"/>
      <c r="CX263" s="120"/>
      <c r="CY263" s="120"/>
      <c r="CZ263" s="120"/>
      <c r="DA263" s="120"/>
      <c r="DB263" s="120"/>
      <c r="DC263" s="120"/>
      <c r="DD263" s="120"/>
      <c r="DE263" s="116"/>
      <c r="DF263" s="116"/>
      <c r="DG263" s="116"/>
      <c r="DH263" s="116"/>
      <c r="DI263" s="116"/>
      <c r="DJ263" s="116"/>
      <c r="DK263" s="116"/>
      <c r="DL263" s="116"/>
      <c r="DM263" s="116"/>
      <c r="DN263" s="116"/>
    </row>
    <row r="264" spans="1:118" x14ac:dyDescent="0.2">
      <c r="A264" s="27">
        <v>258</v>
      </c>
      <c r="B264" s="29">
        <f t="shared" si="272"/>
        <v>46966</v>
      </c>
      <c r="C264" s="30">
        <f t="shared" si="273"/>
        <v>8.3333333333333329E-2</v>
      </c>
      <c r="D264" s="55"/>
      <c r="E264" s="62">
        <f t="shared" ref="E264:E327" ca="1" si="291">J263</f>
        <v>57590575.051636569</v>
      </c>
      <c r="F264" s="63">
        <f ca="1">IF(AssetIntType1="Fixed",AssetFxdRate1,IF(A264=1,OFFSET(Vectors!$D$6,A264,MATCH(AssetFltIndx1,lstInterestRates,0)),IF(MOD($A264,AssetRateReset1)=0,MAX(MIN(OFFSET(Vectors!$D$6,A264,MATCH(AssetFltIndx1,lstInterestRates,0)),(F263-AssetMarg1)+AssetPdCapFl1,AssetLifeCap1-AssetMarg1),(F263-AssetMarg1)-AssetPdCapFl1,AssetLifeFloor1-AssetMarg1),F263)))+AssetMarg1</f>
        <v>0.09</v>
      </c>
      <c r="G264" s="62">
        <f t="shared" ca="1" si="279"/>
        <v>804622.61694478267</v>
      </c>
      <c r="H264" s="62">
        <f t="shared" ref="H264:H327" ca="1" si="292">F264*C264*E264</f>
        <v>431929.31288727425</v>
      </c>
      <c r="I264" s="62">
        <f t="shared" ref="I264:I327" ca="1" si="293">G264-H264</f>
        <v>372693.30405750842</v>
      </c>
      <c r="J264" s="62">
        <f t="shared" ca="1" si="274"/>
        <v>57217881.74757906</v>
      </c>
      <c r="K264" s="55"/>
      <c r="L264" s="62">
        <f t="shared" ref="L264:L327" ca="1" si="294">V263</f>
        <v>16216610.088393237</v>
      </c>
      <c r="M264" s="68">
        <f ca="1">IF(pdrLossTime1="",OFFSET(Vectors!$AE$6,A264+_Age1,MATCH(SDA_Loss,lstSDA,0)),OFFSET(Vectors!$X$6,A264+_Age1,MATCH(pdrLossTime1,lstDefaultCurve,0)))</f>
        <v>2.7777777777777779E-5</v>
      </c>
      <c r="N264" s="62">
        <f t="shared" ca="1" si="280"/>
        <v>2777.7777777777778</v>
      </c>
      <c r="O264" s="67">
        <f t="shared" ref="O264:O327" ca="1" si="295">IF(A264=0,1,J264/$J$6)</f>
        <v>0.57217881747579058</v>
      </c>
      <c r="P264" s="68">
        <f ca="1">OFFSET(Vectors!$L$6,A264+_Age1,MATCH(pdrPrepay1,lstPrepayCurve,0))*pdrPrepayStress1</f>
        <v>5.1430128318229462E-3</v>
      </c>
      <c r="Q264" s="62">
        <f t="shared" ref="Q264:Q327" ca="1" si="296">IF(L264=0,0,MAX(MIN((L264-N264),L264*O264/O263*P264),0))</f>
        <v>82862.502158460949</v>
      </c>
      <c r="R264" s="62">
        <f t="shared" ref="R264:R327" ca="1" si="297">(L264-N264)*(1-O264/O263)</f>
        <v>104926.6608270491</v>
      </c>
      <c r="S264" s="69">
        <f t="shared" ref="S264:S327" ca="1" si="298">F264</f>
        <v>0.09</v>
      </c>
      <c r="T264" s="62">
        <f t="shared" ref="T264:T327" ca="1" si="299">S264*C264*(L264-N264)</f>
        <v>121603.74232961594</v>
      </c>
      <c r="U264" s="62">
        <f t="shared" ca="1" si="281"/>
        <v>1111.1111111111111</v>
      </c>
      <c r="V264" s="62">
        <f t="shared" ca="1" si="275"/>
        <v>16026043.147629948</v>
      </c>
      <c r="W264" s="55"/>
      <c r="X264" s="62">
        <f t="shared" ref="X264:X327" ca="1" si="300">Q264+R264+T264+U264</f>
        <v>310504.01642623713</v>
      </c>
      <c r="Y264" s="55"/>
      <c r="Z264" s="118" t="b">
        <v>0</v>
      </c>
      <c r="AA264" s="120" t="b">
        <f t="shared" si="282"/>
        <v>0</v>
      </c>
      <c r="AB264" s="120" t="b">
        <f t="shared" si="283"/>
        <v>1</v>
      </c>
      <c r="AC264" s="120" t="b">
        <f t="shared" ca="1" si="284"/>
        <v>0</v>
      </c>
      <c r="AD264" s="121"/>
      <c r="AE264" s="129">
        <v>0</v>
      </c>
      <c r="AF264" s="69">
        <f ca="1">IF(Swap_Active="No",0,OFFSET(Vectors!$D$6,Vectors!A264,MATCH(Swap_In,lstInterestRates,0)))</f>
        <v>6.9369000000000056E-2</v>
      </c>
      <c r="AG264" s="62">
        <f t="shared" ref="AG264:AG327" ca="1" si="301">AE264*AF264*C264</f>
        <v>0</v>
      </c>
      <c r="AH264" s="69">
        <f ca="1">IF(Swap_Active="No",0,OFFSET(Vectors!$D$6,Vectors!A264,MATCH(Swap_Out,lstInterestRates,0)))</f>
        <v>0.04</v>
      </c>
      <c r="AI264" s="62">
        <f t="shared" ref="AI264:AI327" ca="1" si="302">AE264*AH264*C264</f>
        <v>0</v>
      </c>
      <c r="AJ264" s="62">
        <f t="shared" ref="AJ264:AJ327" ca="1" si="303">AG264-AI264</f>
        <v>0</v>
      </c>
      <c r="AK264" s="62">
        <f t="shared" ref="AK264:AK327" ca="1" si="304">X264+AJ264</f>
        <v>310504.01642623713</v>
      </c>
      <c r="AL264" s="121"/>
      <c r="AM264" s="123">
        <f t="shared" ca="1" si="285"/>
        <v>27027.683480655392</v>
      </c>
      <c r="AN264" s="124">
        <f t="shared" ref="AN264:AN327" ca="1" si="305">MIN(X264,AM264)</f>
        <v>27027.683480655392</v>
      </c>
      <c r="AO264" s="125">
        <f t="shared" ref="AO264:AO327" ca="1" si="306">AM264-AN264</f>
        <v>0</v>
      </c>
      <c r="AP264" s="123">
        <f t="shared" ref="AP264:AP327" ca="1" si="307">AK264-AN264</f>
        <v>283476.33294558176</v>
      </c>
      <c r="AQ264" s="121"/>
      <c r="AR264" s="126">
        <f ca="1">IF(LiabIntType1="Fixed",LiabFxdRate1,OFFSET(Vectors!$D$6,Vectors!A264,MATCH(LiabLoanIndex1,lstInterestRates,0))+LiabMarg1)</f>
        <v>7.9369000000000051E-2</v>
      </c>
      <c r="AS264" s="122">
        <f t="shared" ref="AS264:AS327" ca="1" si="308">C264*AR264*CB263</f>
        <v>0</v>
      </c>
      <c r="AT264" s="124">
        <f t="shared" ref="AT264:AT327" ca="1" si="309">MIN(AP264,AS264)</f>
        <v>0</v>
      </c>
      <c r="AU264" s="123">
        <f t="shared" ref="AU264:AU327" ca="1" si="310">AS264-AT264</f>
        <v>0</v>
      </c>
      <c r="AV264" s="123">
        <f t="shared" ca="1" si="286"/>
        <v>0</v>
      </c>
      <c r="AW264" s="123">
        <f t="shared" ref="AW264:AW327" ca="1" si="311">AU264-AV264</f>
        <v>0</v>
      </c>
      <c r="AX264" s="124">
        <f t="shared" ref="AX264:AX327" ca="1" si="312">AP264-AT264</f>
        <v>283476.33294558176</v>
      </c>
      <c r="AY264" s="121"/>
      <c r="AZ264" s="122">
        <f t="shared" ca="1" si="287"/>
        <v>0</v>
      </c>
      <c r="BA264" s="124">
        <f t="shared" ref="BA264:BA327" ca="1" si="313">MIN(AX264,AZ264)</f>
        <v>0</v>
      </c>
      <c r="BB264" s="123">
        <f t="shared" ref="BB264:BB327" ca="1" si="314">AZ264-BA264</f>
        <v>0</v>
      </c>
      <c r="BC264" s="123">
        <f t="shared" ca="1" si="288"/>
        <v>0</v>
      </c>
      <c r="BD264" s="123">
        <f t="shared" ref="BD264:BD327" ca="1" si="315">BB264-BC264</f>
        <v>0</v>
      </c>
      <c r="BE264" s="124">
        <f t="shared" ref="BE264:BE327" ca="1" si="316">AX264-BA264</f>
        <v>283476.33294558176</v>
      </c>
      <c r="BF264" s="121"/>
      <c r="BG264" s="123">
        <f t="shared" si="289"/>
        <v>1000000</v>
      </c>
      <c r="BH264" s="123">
        <f t="shared" ref="BH264:BH327" ca="1" si="317">BK263</f>
        <v>1000000</v>
      </c>
      <c r="BI264" s="123">
        <f t="shared" ref="BI264:BI327" ca="1" si="318">AV264+BC264</f>
        <v>0</v>
      </c>
      <c r="BJ264" s="123">
        <f t="shared" ref="BJ264:BJ327" ca="1" si="319">IF(CB263&lt;1,0,MAX(MIN(BG264-BH264,BE264),0))</f>
        <v>0</v>
      </c>
      <c r="BK264" s="123">
        <f t="shared" ca="1" si="276"/>
        <v>1000000</v>
      </c>
      <c r="BL264" s="123">
        <f t="shared" ref="BL264:BL327" ca="1" si="320">BE264-BJ264</f>
        <v>283476.33294558176</v>
      </c>
      <c r="BM264" s="121"/>
      <c r="BN264" s="126">
        <f ca="1">IF(LiabIntType2="Fixed",LiabFxdRate2,OFFSET(Vectors!$D$6,Vectors!A264,MATCH(LiabLoanIndex2,lstInterestRates,0))+LiabMarg2)</f>
        <v>0.04</v>
      </c>
      <c r="BO264" s="122">
        <f t="shared" ref="BO264:BO327" ca="1" si="321">C264*BN264*CF263</f>
        <v>26117.351827874256</v>
      </c>
      <c r="BP264" s="124">
        <f t="shared" ref="BP264:BP327" ca="1" si="322">MIN(BL264,BO264)</f>
        <v>26117.351827874256</v>
      </c>
      <c r="BQ264" s="123">
        <f t="shared" ref="BQ264:BQ327" ca="1" si="323">BO264-BP264</f>
        <v>0</v>
      </c>
      <c r="BR264" s="123">
        <f t="shared" ref="BR264:BR327" ca="1" si="324">BL264-BP264</f>
        <v>257358.9811177075</v>
      </c>
      <c r="BS264" s="121"/>
      <c r="BT264" s="123">
        <f t="shared" ca="1" si="290"/>
        <v>19538.660208427835</v>
      </c>
      <c r="BU264" s="123">
        <f t="shared" ref="BU264:BU327" ca="1" si="325">MIN(BR264,BT264)</f>
        <v>19538.660208427835</v>
      </c>
      <c r="BV264" s="123">
        <f t="shared" ref="BV264:BV327" ca="1" si="326">BT264-BU264</f>
        <v>0</v>
      </c>
      <c r="BW264" s="123">
        <f t="shared" ref="BW264:BW327" ca="1" si="327">BR264-BU264</f>
        <v>237820.32090927966</v>
      </c>
      <c r="BX264" s="121"/>
      <c r="BY264" s="123">
        <f t="shared" ref="BY264:BY327" si="328">IF(AA264,MIN(BW264,CB263-BA264),0)</f>
        <v>0</v>
      </c>
      <c r="BZ264" s="123">
        <f t="shared" ref="BZ264:BZ327" ca="1" si="329">BW264-BY264</f>
        <v>237820.32090927966</v>
      </c>
      <c r="CA264" s="121"/>
      <c r="CB264" s="122">
        <f t="shared" ca="1" si="277"/>
        <v>0</v>
      </c>
      <c r="CC264" s="122">
        <f t="shared" ref="CC264:CC327" ca="1" si="330">AT264+AV264</f>
        <v>0</v>
      </c>
      <c r="CD264" s="124">
        <f t="shared" ref="CD264:CD327" ca="1" si="331">BA264+BC264+BY264</f>
        <v>0</v>
      </c>
      <c r="CE264" s="121"/>
      <c r="CF264" s="122">
        <f t="shared" ca="1" si="278"/>
        <v>7815666.8881538492</v>
      </c>
      <c r="CG264" s="124">
        <f t="shared" ref="CG264:CG327" ca="1" si="332">BP264</f>
        <v>26117.351827874256</v>
      </c>
      <c r="CH264" s="123">
        <f t="shared" ref="CH264:CH327" ca="1" si="333">BU264</f>
        <v>19538.660208427835</v>
      </c>
      <c r="CI264" s="121"/>
      <c r="CJ264" s="123">
        <f t="shared" ref="CJ264:CJ327" ca="1" si="334">Q264+R264+T264+U264+AG264+BI264</f>
        <v>310504.01642623713</v>
      </c>
      <c r="CK264" s="123">
        <f t="shared" ref="CK264:CK327" ca="1" si="335">AI264+AN264+AT264+AV264+BA264+BC264+BJ264+BP264+BU264+BY264+BZ264</f>
        <v>310504.01642623718</v>
      </c>
      <c r="CL264" s="123">
        <f t="shared" ref="CL264:CL327" ca="1" si="336">CJ264-CK264</f>
        <v>0</v>
      </c>
      <c r="CM264" s="121"/>
      <c r="CN264" s="62">
        <f t="shared" ref="CN264:CN327" ca="1" si="337">N264+Q264+R264</f>
        <v>190566.94076328783</v>
      </c>
      <c r="CO264" s="62" t="b">
        <f t="shared" ref="CO264:CO327" si="338">OR(Z264:AB264)</f>
        <v>1</v>
      </c>
      <c r="CP264" s="126">
        <f t="shared" ref="CP264:CP327" ca="1" si="339">N264/$L$7+CP263</f>
        <v>7.166666666666638E-3</v>
      </c>
      <c r="CQ264" s="120"/>
      <c r="CR264" s="120"/>
      <c r="CS264" s="120"/>
      <c r="CT264" s="120"/>
      <c r="CU264" s="120"/>
      <c r="CV264" s="120"/>
      <c r="CW264" s="120"/>
      <c r="CX264" s="120"/>
      <c r="CY264" s="120"/>
      <c r="CZ264" s="120"/>
      <c r="DA264" s="120"/>
      <c r="DB264" s="120"/>
      <c r="DC264" s="120"/>
      <c r="DD264" s="120"/>
      <c r="DE264" s="116"/>
      <c r="DF264" s="116"/>
      <c r="DG264" s="116"/>
      <c r="DH264" s="116"/>
      <c r="DI264" s="116"/>
      <c r="DJ264" s="116"/>
      <c r="DK264" s="116"/>
      <c r="DL264" s="116"/>
      <c r="DM264" s="116"/>
      <c r="DN264" s="116"/>
    </row>
    <row r="265" spans="1:118" x14ac:dyDescent="0.2">
      <c r="A265" s="27">
        <v>259</v>
      </c>
      <c r="B265" s="29">
        <f t="shared" si="272"/>
        <v>46997</v>
      </c>
      <c r="C265" s="30">
        <f t="shared" si="273"/>
        <v>8.3333333333333329E-2</v>
      </c>
      <c r="D265" s="55"/>
      <c r="E265" s="62">
        <f t="shared" ca="1" si="291"/>
        <v>57217881.74757906</v>
      </c>
      <c r="F265" s="63">
        <f ca="1">IF(AssetIntType1="Fixed",AssetFxdRate1,IF(A265=1,OFFSET(Vectors!$D$6,A265,MATCH(AssetFltIndx1,lstInterestRates,0)),IF(MOD($A265,AssetRateReset1)=0,MAX(MIN(OFFSET(Vectors!$D$6,A265,MATCH(AssetFltIndx1,lstInterestRates,0)),(F264-AssetMarg1)+AssetPdCapFl1,AssetLifeCap1-AssetMarg1),(F264-AssetMarg1)-AssetPdCapFl1,AssetLifeFloor1-AssetMarg1),F264)))+AssetMarg1</f>
        <v>0.09</v>
      </c>
      <c r="G265" s="62">
        <f t="shared" ca="1" si="279"/>
        <v>804622.61694478267</v>
      </c>
      <c r="H265" s="62">
        <f t="shared" ca="1" si="292"/>
        <v>429134.11310684291</v>
      </c>
      <c r="I265" s="62">
        <f t="shared" ca="1" si="293"/>
        <v>375488.50383793976</v>
      </c>
      <c r="J265" s="62">
        <f t="shared" ca="1" si="274"/>
        <v>56842393.243741117</v>
      </c>
      <c r="K265" s="55"/>
      <c r="L265" s="62">
        <f t="shared" ca="1" si="294"/>
        <v>16026043.147629948</v>
      </c>
      <c r="M265" s="68">
        <f ca="1">IF(pdrLossTime1="",OFFSET(Vectors!$AE$6,A265+_Age1,MATCH(SDA_Loss,lstSDA,0)),OFFSET(Vectors!$X$6,A265+_Age1,MATCH(pdrLossTime1,lstDefaultCurve,0)))</f>
        <v>2.7777777777777779E-5</v>
      </c>
      <c r="N265" s="62">
        <f t="shared" ca="1" si="280"/>
        <v>2777.7777777777778</v>
      </c>
      <c r="O265" s="67">
        <f t="shared" ca="1" si="295"/>
        <v>0.56842393243741118</v>
      </c>
      <c r="P265" s="68">
        <f ca="1">OFFSET(Vectors!$L$6,A265+_Age1,MATCH(pdrPrepay1,lstPrepayCurve,0))*pdrPrepayStress1</f>
        <v>5.1430128318229462E-3</v>
      </c>
      <c r="Q265" s="62">
        <f t="shared" ca="1" si="296"/>
        <v>81881.25576032282</v>
      </c>
      <c r="R265" s="62">
        <f t="shared" ca="1" si="297"/>
        <v>105151.60220132781</v>
      </c>
      <c r="S265" s="69">
        <f t="shared" ca="1" si="298"/>
        <v>0.09</v>
      </c>
      <c r="T265" s="62">
        <f t="shared" ca="1" si="299"/>
        <v>120174.49027389128</v>
      </c>
      <c r="U265" s="62">
        <f t="shared" ca="1" si="281"/>
        <v>1111.1111111111111</v>
      </c>
      <c r="V265" s="62">
        <f t="shared" ca="1" si="275"/>
        <v>15836232.511890519</v>
      </c>
      <c r="W265" s="55"/>
      <c r="X265" s="62">
        <f t="shared" ca="1" si="300"/>
        <v>308318.45934665308</v>
      </c>
      <c r="Y265" s="55"/>
      <c r="Z265" s="118" t="b">
        <v>0</v>
      </c>
      <c r="AA265" s="120" t="b">
        <f t="shared" si="282"/>
        <v>0</v>
      </c>
      <c r="AB265" s="120" t="b">
        <f t="shared" si="283"/>
        <v>1</v>
      </c>
      <c r="AC265" s="120" t="b">
        <f t="shared" ca="1" si="284"/>
        <v>0</v>
      </c>
      <c r="AD265" s="121"/>
      <c r="AE265" s="129">
        <v>0</v>
      </c>
      <c r="AF265" s="69">
        <f ca="1">IF(Swap_Active="No",0,OFFSET(Vectors!$D$6,Vectors!A265,MATCH(Swap_In,lstInterestRates,0)))</f>
        <v>6.9369000000000056E-2</v>
      </c>
      <c r="AG265" s="62">
        <f t="shared" ca="1" si="301"/>
        <v>0</v>
      </c>
      <c r="AH265" s="69">
        <f ca="1">IF(Swap_Active="No",0,OFFSET(Vectors!$D$6,Vectors!A265,MATCH(Swap_Out,lstInterestRates,0)))</f>
        <v>0.04</v>
      </c>
      <c r="AI265" s="62">
        <f t="shared" ca="1" si="302"/>
        <v>0</v>
      </c>
      <c r="AJ265" s="62">
        <f t="shared" ca="1" si="303"/>
        <v>0</v>
      </c>
      <c r="AK265" s="62">
        <f t="shared" ca="1" si="304"/>
        <v>308318.45934665308</v>
      </c>
      <c r="AL265" s="121"/>
      <c r="AM265" s="123">
        <f t="shared" ca="1" si="285"/>
        <v>26710.071912716579</v>
      </c>
      <c r="AN265" s="124">
        <f t="shared" ca="1" si="305"/>
        <v>26710.071912716579</v>
      </c>
      <c r="AO265" s="125">
        <f t="shared" ca="1" si="306"/>
        <v>0</v>
      </c>
      <c r="AP265" s="123">
        <f t="shared" ca="1" si="307"/>
        <v>281608.38743393647</v>
      </c>
      <c r="AQ265" s="121"/>
      <c r="AR265" s="126">
        <f ca="1">IF(LiabIntType1="Fixed",LiabFxdRate1,OFFSET(Vectors!$D$6,Vectors!A265,MATCH(LiabLoanIndex1,lstInterestRates,0))+LiabMarg1)</f>
        <v>7.9369000000000051E-2</v>
      </c>
      <c r="AS265" s="122">
        <f t="shared" ca="1" si="308"/>
        <v>0</v>
      </c>
      <c r="AT265" s="124">
        <f t="shared" ca="1" si="309"/>
        <v>0</v>
      </c>
      <c r="AU265" s="123">
        <f t="shared" ca="1" si="310"/>
        <v>0</v>
      </c>
      <c r="AV265" s="123">
        <f t="shared" ca="1" si="286"/>
        <v>0</v>
      </c>
      <c r="AW265" s="123">
        <f t="shared" ca="1" si="311"/>
        <v>0</v>
      </c>
      <c r="AX265" s="124">
        <f t="shared" ca="1" si="312"/>
        <v>281608.38743393647</v>
      </c>
      <c r="AY265" s="121"/>
      <c r="AZ265" s="122">
        <f t="shared" ca="1" si="287"/>
        <v>0</v>
      </c>
      <c r="BA265" s="124">
        <f t="shared" ca="1" si="313"/>
        <v>0</v>
      </c>
      <c r="BB265" s="123">
        <f t="shared" ca="1" si="314"/>
        <v>0</v>
      </c>
      <c r="BC265" s="123">
        <f t="shared" ca="1" si="288"/>
        <v>0</v>
      </c>
      <c r="BD265" s="123">
        <f t="shared" ca="1" si="315"/>
        <v>0</v>
      </c>
      <c r="BE265" s="124">
        <f t="shared" ca="1" si="316"/>
        <v>281608.38743393647</v>
      </c>
      <c r="BF265" s="121"/>
      <c r="BG265" s="123">
        <f t="shared" si="289"/>
        <v>1000000</v>
      </c>
      <c r="BH265" s="123">
        <f t="shared" ca="1" si="317"/>
        <v>1000000</v>
      </c>
      <c r="BI265" s="123">
        <f t="shared" ca="1" si="318"/>
        <v>0</v>
      </c>
      <c r="BJ265" s="123">
        <f t="shared" ca="1" si="319"/>
        <v>0</v>
      </c>
      <c r="BK265" s="123">
        <f t="shared" ca="1" si="276"/>
        <v>1000000</v>
      </c>
      <c r="BL265" s="123">
        <f t="shared" ca="1" si="320"/>
        <v>281608.38743393647</v>
      </c>
      <c r="BM265" s="121"/>
      <c r="BN265" s="126">
        <f ca="1">IF(LiabIntType2="Fixed",LiabFxdRate2,OFFSET(Vectors!$D$6,Vectors!A265,MATCH(LiabLoanIndex2,lstInterestRates,0))+LiabMarg2)</f>
        <v>0.04</v>
      </c>
      <c r="BO265" s="122">
        <f t="shared" ca="1" si="321"/>
        <v>26052.22296051283</v>
      </c>
      <c r="BP265" s="124">
        <f t="shared" ca="1" si="322"/>
        <v>26052.22296051283</v>
      </c>
      <c r="BQ265" s="123">
        <f t="shared" ca="1" si="323"/>
        <v>0</v>
      </c>
      <c r="BR265" s="123">
        <f t="shared" ca="1" si="324"/>
        <v>255556.16447342365</v>
      </c>
      <c r="BS265" s="121"/>
      <c r="BT265" s="123">
        <f t="shared" ca="1" si="290"/>
        <v>19461.116921979887</v>
      </c>
      <c r="BU265" s="123">
        <f t="shared" ca="1" si="325"/>
        <v>19461.116921979887</v>
      </c>
      <c r="BV265" s="123">
        <f t="shared" ca="1" si="326"/>
        <v>0</v>
      </c>
      <c r="BW265" s="123">
        <f t="shared" ca="1" si="327"/>
        <v>236095.04755144377</v>
      </c>
      <c r="BX265" s="121"/>
      <c r="BY265" s="123">
        <f t="shared" si="328"/>
        <v>0</v>
      </c>
      <c r="BZ265" s="123">
        <f t="shared" ca="1" si="329"/>
        <v>236095.04755144377</v>
      </c>
      <c r="CA265" s="121"/>
      <c r="CB265" s="122">
        <f t="shared" ca="1" si="277"/>
        <v>0</v>
      </c>
      <c r="CC265" s="122">
        <f t="shared" ca="1" si="330"/>
        <v>0</v>
      </c>
      <c r="CD265" s="124">
        <f t="shared" ca="1" si="331"/>
        <v>0</v>
      </c>
      <c r="CE265" s="121"/>
      <c r="CF265" s="122">
        <f t="shared" ca="1" si="278"/>
        <v>7796205.7712318692</v>
      </c>
      <c r="CG265" s="124">
        <f t="shared" ca="1" si="332"/>
        <v>26052.22296051283</v>
      </c>
      <c r="CH265" s="123">
        <f t="shared" ca="1" si="333"/>
        <v>19461.116921979887</v>
      </c>
      <c r="CI265" s="121"/>
      <c r="CJ265" s="123">
        <f t="shared" ca="1" si="334"/>
        <v>308318.45934665308</v>
      </c>
      <c r="CK265" s="123">
        <f t="shared" ca="1" si="335"/>
        <v>308318.45934665308</v>
      </c>
      <c r="CL265" s="123">
        <f t="shared" ca="1" si="336"/>
        <v>0</v>
      </c>
      <c r="CM265" s="121"/>
      <c r="CN265" s="62">
        <f t="shared" ca="1" si="337"/>
        <v>189810.6357394284</v>
      </c>
      <c r="CO265" s="62" t="b">
        <f t="shared" si="338"/>
        <v>1</v>
      </c>
      <c r="CP265" s="126">
        <f t="shared" ca="1" si="339"/>
        <v>7.1944444444444157E-3</v>
      </c>
      <c r="CQ265" s="120"/>
      <c r="CR265" s="120"/>
      <c r="CS265" s="120"/>
      <c r="CT265" s="120"/>
      <c r="CU265" s="120"/>
      <c r="CV265" s="120"/>
      <c r="CW265" s="120"/>
      <c r="CX265" s="120"/>
      <c r="CY265" s="120"/>
      <c r="CZ265" s="120"/>
      <c r="DA265" s="120"/>
      <c r="DB265" s="120"/>
      <c r="DC265" s="120"/>
      <c r="DD265" s="120"/>
      <c r="DE265" s="116"/>
      <c r="DF265" s="116"/>
      <c r="DG265" s="116"/>
      <c r="DH265" s="116"/>
      <c r="DI265" s="116"/>
      <c r="DJ265" s="116"/>
      <c r="DK265" s="116"/>
      <c r="DL265" s="116"/>
      <c r="DM265" s="116"/>
      <c r="DN265" s="116"/>
    </row>
    <row r="266" spans="1:118" x14ac:dyDescent="0.2">
      <c r="A266" s="27">
        <v>260</v>
      </c>
      <c r="B266" s="29">
        <f t="shared" si="272"/>
        <v>47027</v>
      </c>
      <c r="C266" s="30">
        <f t="shared" si="273"/>
        <v>8.3333333333333329E-2</v>
      </c>
      <c r="D266" s="55"/>
      <c r="E266" s="62">
        <f t="shared" ca="1" si="291"/>
        <v>56842393.243741117</v>
      </c>
      <c r="F266" s="63">
        <f ca="1">IF(AssetIntType1="Fixed",AssetFxdRate1,IF(A266=1,OFFSET(Vectors!$D$6,A266,MATCH(AssetFltIndx1,lstInterestRates,0)),IF(MOD($A266,AssetRateReset1)=0,MAX(MIN(OFFSET(Vectors!$D$6,A266,MATCH(AssetFltIndx1,lstInterestRates,0)),(F265-AssetMarg1)+AssetPdCapFl1,AssetLifeCap1-AssetMarg1),(F265-AssetMarg1)-AssetPdCapFl1,AssetLifeFloor1-AssetMarg1),F265)))+AssetMarg1</f>
        <v>0.09</v>
      </c>
      <c r="G266" s="62">
        <f t="shared" ca="1" si="279"/>
        <v>804622.61694478267</v>
      </c>
      <c r="H266" s="62">
        <f t="shared" ca="1" si="292"/>
        <v>426317.94932805834</v>
      </c>
      <c r="I266" s="62">
        <f t="shared" ca="1" si="293"/>
        <v>378304.66761672433</v>
      </c>
      <c r="J266" s="62">
        <f t="shared" ca="1" si="274"/>
        <v>56464088.576124392</v>
      </c>
      <c r="K266" s="55"/>
      <c r="L266" s="62">
        <f t="shared" ca="1" si="294"/>
        <v>15836232.511890519</v>
      </c>
      <c r="M266" s="68">
        <f ca="1">IF(pdrLossTime1="",OFFSET(Vectors!$AE$6,A266+_Age1,MATCH(SDA_Loss,lstSDA,0)),OFFSET(Vectors!$X$6,A266+_Age1,MATCH(pdrLossTime1,lstDefaultCurve,0)))</f>
        <v>2.7777777777777779E-5</v>
      </c>
      <c r="N266" s="62">
        <f t="shared" ca="1" si="280"/>
        <v>2777.7777777777778</v>
      </c>
      <c r="O266" s="67">
        <f t="shared" ca="1" si="295"/>
        <v>0.56464088576124394</v>
      </c>
      <c r="P266" s="68">
        <f ca="1">OFFSET(Vectors!$L$6,A266+_Age1,MATCH(pdrPrepay1,lstPrepayCurve,0))*pdrPrepayStress1</f>
        <v>5.1430128318229462E-3</v>
      </c>
      <c r="Q266" s="62">
        <f t="shared" ca="1" si="296"/>
        <v>80903.897673341635</v>
      </c>
      <c r="R266" s="62">
        <f t="shared" ca="1" si="297"/>
        <v>105376.80573596303</v>
      </c>
      <c r="S266" s="69">
        <f t="shared" ca="1" si="298"/>
        <v>0.09</v>
      </c>
      <c r="T266" s="62">
        <f t="shared" ca="1" si="299"/>
        <v>118750.91050584556</v>
      </c>
      <c r="U266" s="62">
        <f t="shared" ca="1" si="281"/>
        <v>1111.1111111111111</v>
      </c>
      <c r="V266" s="62">
        <f t="shared" ca="1" si="275"/>
        <v>15647174.030703437</v>
      </c>
      <c r="W266" s="55"/>
      <c r="X266" s="62">
        <f t="shared" ca="1" si="300"/>
        <v>306142.72502626135</v>
      </c>
      <c r="Y266" s="55"/>
      <c r="Z266" s="118" t="b">
        <v>0</v>
      </c>
      <c r="AA266" s="120" t="b">
        <f t="shared" si="282"/>
        <v>0</v>
      </c>
      <c r="AB266" s="120" t="b">
        <f t="shared" si="283"/>
        <v>1</v>
      </c>
      <c r="AC266" s="120" t="b">
        <f t="shared" ca="1" si="284"/>
        <v>0</v>
      </c>
      <c r="AD266" s="121"/>
      <c r="AE266" s="129">
        <v>0</v>
      </c>
      <c r="AF266" s="69">
        <f ca="1">IF(Swap_Active="No",0,OFFSET(Vectors!$D$6,Vectors!A266,MATCH(Swap_In,lstInterestRates,0)))</f>
        <v>6.9369000000000056E-2</v>
      </c>
      <c r="AG266" s="62">
        <f t="shared" ca="1" si="301"/>
        <v>0</v>
      </c>
      <c r="AH266" s="69">
        <f ca="1">IF(Swap_Active="No",0,OFFSET(Vectors!$D$6,Vectors!A266,MATCH(Swap_Out,lstInterestRates,0)))</f>
        <v>0.04</v>
      </c>
      <c r="AI266" s="62">
        <f t="shared" ca="1" si="302"/>
        <v>0</v>
      </c>
      <c r="AJ266" s="62">
        <f t="shared" ca="1" si="303"/>
        <v>0</v>
      </c>
      <c r="AK266" s="62">
        <f t="shared" ca="1" si="304"/>
        <v>306142.72502626135</v>
      </c>
      <c r="AL266" s="121"/>
      <c r="AM266" s="123">
        <f t="shared" ca="1" si="285"/>
        <v>26393.720853150862</v>
      </c>
      <c r="AN266" s="124">
        <f t="shared" ca="1" si="305"/>
        <v>26393.720853150862</v>
      </c>
      <c r="AO266" s="125">
        <f t="shared" ca="1" si="306"/>
        <v>0</v>
      </c>
      <c r="AP266" s="123">
        <f t="shared" ca="1" si="307"/>
        <v>279749.00417311047</v>
      </c>
      <c r="AQ266" s="121"/>
      <c r="AR266" s="126">
        <f ca="1">IF(LiabIntType1="Fixed",LiabFxdRate1,OFFSET(Vectors!$D$6,Vectors!A266,MATCH(LiabLoanIndex1,lstInterestRates,0))+LiabMarg1)</f>
        <v>7.9369000000000051E-2</v>
      </c>
      <c r="AS266" s="122">
        <f t="shared" ca="1" si="308"/>
        <v>0</v>
      </c>
      <c r="AT266" s="124">
        <f t="shared" ca="1" si="309"/>
        <v>0</v>
      </c>
      <c r="AU266" s="123">
        <f t="shared" ca="1" si="310"/>
        <v>0</v>
      </c>
      <c r="AV266" s="123">
        <f t="shared" ca="1" si="286"/>
        <v>0</v>
      </c>
      <c r="AW266" s="123">
        <f t="shared" ca="1" si="311"/>
        <v>0</v>
      </c>
      <c r="AX266" s="124">
        <f t="shared" ca="1" si="312"/>
        <v>279749.00417311047</v>
      </c>
      <c r="AY266" s="121"/>
      <c r="AZ266" s="122">
        <f t="shared" ca="1" si="287"/>
        <v>0</v>
      </c>
      <c r="BA266" s="124">
        <f t="shared" ca="1" si="313"/>
        <v>0</v>
      </c>
      <c r="BB266" s="123">
        <f t="shared" ca="1" si="314"/>
        <v>0</v>
      </c>
      <c r="BC266" s="123">
        <f t="shared" ca="1" si="288"/>
        <v>0</v>
      </c>
      <c r="BD266" s="123">
        <f t="shared" ca="1" si="315"/>
        <v>0</v>
      </c>
      <c r="BE266" s="124">
        <f t="shared" ca="1" si="316"/>
        <v>279749.00417311047</v>
      </c>
      <c r="BF266" s="121"/>
      <c r="BG266" s="123">
        <f t="shared" si="289"/>
        <v>1000000</v>
      </c>
      <c r="BH266" s="123">
        <f t="shared" ca="1" si="317"/>
        <v>1000000</v>
      </c>
      <c r="BI266" s="123">
        <f t="shared" ca="1" si="318"/>
        <v>0</v>
      </c>
      <c r="BJ266" s="123">
        <f t="shared" ca="1" si="319"/>
        <v>0</v>
      </c>
      <c r="BK266" s="123">
        <f t="shared" ca="1" si="276"/>
        <v>1000000</v>
      </c>
      <c r="BL266" s="123">
        <f t="shared" ca="1" si="320"/>
        <v>279749.00417311047</v>
      </c>
      <c r="BM266" s="121"/>
      <c r="BN266" s="126">
        <f ca="1">IF(LiabIntType2="Fixed",LiabFxdRate2,OFFSET(Vectors!$D$6,Vectors!A266,MATCH(LiabLoanIndex2,lstInterestRates,0))+LiabMarg2)</f>
        <v>0.04</v>
      </c>
      <c r="BO266" s="122">
        <f t="shared" ca="1" si="321"/>
        <v>25987.352570772895</v>
      </c>
      <c r="BP266" s="124">
        <f t="shared" ca="1" si="322"/>
        <v>25987.352570772895</v>
      </c>
      <c r="BQ266" s="123">
        <f t="shared" ca="1" si="323"/>
        <v>0</v>
      </c>
      <c r="BR266" s="123">
        <f t="shared" ca="1" si="324"/>
        <v>253761.65160233757</v>
      </c>
      <c r="BS266" s="121"/>
      <c r="BT266" s="123">
        <f t="shared" ca="1" si="290"/>
        <v>19383.999179712278</v>
      </c>
      <c r="BU266" s="123">
        <f t="shared" ca="1" si="325"/>
        <v>19383.999179712278</v>
      </c>
      <c r="BV266" s="123">
        <f t="shared" ca="1" si="326"/>
        <v>0</v>
      </c>
      <c r="BW266" s="123">
        <f t="shared" ca="1" si="327"/>
        <v>234377.65242262528</v>
      </c>
      <c r="BX266" s="121"/>
      <c r="BY266" s="123">
        <f t="shared" si="328"/>
        <v>0</v>
      </c>
      <c r="BZ266" s="123">
        <f t="shared" ca="1" si="329"/>
        <v>234377.65242262528</v>
      </c>
      <c r="CA266" s="121"/>
      <c r="CB266" s="122">
        <f t="shared" ca="1" si="277"/>
        <v>0</v>
      </c>
      <c r="CC266" s="122">
        <f t="shared" ca="1" si="330"/>
        <v>0</v>
      </c>
      <c r="CD266" s="124">
        <f t="shared" ca="1" si="331"/>
        <v>0</v>
      </c>
      <c r="CE266" s="121"/>
      <c r="CF266" s="122">
        <f t="shared" ca="1" si="278"/>
        <v>7776821.7720521567</v>
      </c>
      <c r="CG266" s="124">
        <f t="shared" ca="1" si="332"/>
        <v>25987.352570772895</v>
      </c>
      <c r="CH266" s="123">
        <f t="shared" ca="1" si="333"/>
        <v>19383.999179712278</v>
      </c>
      <c r="CI266" s="121"/>
      <c r="CJ266" s="123">
        <f t="shared" ca="1" si="334"/>
        <v>306142.72502626135</v>
      </c>
      <c r="CK266" s="123">
        <f t="shared" ca="1" si="335"/>
        <v>306142.72502626129</v>
      </c>
      <c r="CL266" s="123">
        <f t="shared" ca="1" si="336"/>
        <v>0</v>
      </c>
      <c r="CM266" s="121"/>
      <c r="CN266" s="62">
        <f t="shared" ca="1" si="337"/>
        <v>189058.48118708245</v>
      </c>
      <c r="CO266" s="62" t="b">
        <f t="shared" si="338"/>
        <v>1</v>
      </c>
      <c r="CP266" s="126">
        <f t="shared" ca="1" si="339"/>
        <v>7.2222222222221933E-3</v>
      </c>
      <c r="CQ266" s="120"/>
      <c r="CR266" s="120"/>
      <c r="CS266" s="120"/>
      <c r="CT266" s="120"/>
      <c r="CU266" s="120"/>
      <c r="CV266" s="120"/>
      <c r="CW266" s="120"/>
      <c r="CX266" s="120"/>
      <c r="CY266" s="120"/>
      <c r="CZ266" s="120"/>
      <c r="DA266" s="120"/>
      <c r="DB266" s="120"/>
      <c r="DC266" s="120"/>
      <c r="DD266" s="120"/>
      <c r="DE266" s="116"/>
      <c r="DF266" s="116"/>
      <c r="DG266" s="116"/>
      <c r="DH266" s="116"/>
      <c r="DI266" s="116"/>
      <c r="DJ266" s="116"/>
      <c r="DK266" s="116"/>
      <c r="DL266" s="116"/>
      <c r="DM266" s="116"/>
      <c r="DN266" s="116"/>
    </row>
    <row r="267" spans="1:118" x14ac:dyDescent="0.2">
      <c r="A267" s="27">
        <v>261</v>
      </c>
      <c r="B267" s="29">
        <f t="shared" si="272"/>
        <v>47058</v>
      </c>
      <c r="C267" s="30">
        <f t="shared" si="273"/>
        <v>8.3333333333333329E-2</v>
      </c>
      <c r="D267" s="55"/>
      <c r="E267" s="62">
        <f t="shared" ca="1" si="291"/>
        <v>56464088.576124392</v>
      </c>
      <c r="F267" s="63">
        <f ca="1">IF(AssetIntType1="Fixed",AssetFxdRate1,IF(A267=1,OFFSET(Vectors!$D$6,A267,MATCH(AssetFltIndx1,lstInterestRates,0)),IF(MOD($A267,AssetRateReset1)=0,MAX(MIN(OFFSET(Vectors!$D$6,A267,MATCH(AssetFltIndx1,lstInterestRates,0)),(F266-AssetMarg1)+AssetPdCapFl1,AssetLifeCap1-AssetMarg1),(F266-AssetMarg1)-AssetPdCapFl1,AssetLifeFloor1-AssetMarg1),F266)))+AssetMarg1</f>
        <v>0.09</v>
      </c>
      <c r="G267" s="62">
        <f t="shared" ca="1" si="279"/>
        <v>804622.61694478267</v>
      </c>
      <c r="H267" s="62">
        <f t="shared" ca="1" si="292"/>
        <v>423480.66432093293</v>
      </c>
      <c r="I267" s="62">
        <f t="shared" ca="1" si="293"/>
        <v>381141.95262384973</v>
      </c>
      <c r="J267" s="62">
        <f t="shared" ca="1" si="274"/>
        <v>56082946.623500541</v>
      </c>
      <c r="K267" s="55"/>
      <c r="L267" s="62">
        <f t="shared" ca="1" si="294"/>
        <v>15647174.030703437</v>
      </c>
      <c r="M267" s="68">
        <f ca="1">IF(pdrLossTime1="",OFFSET(Vectors!$AE$6,A267+_Age1,MATCH(SDA_Loss,lstSDA,0)),OFFSET(Vectors!$X$6,A267+_Age1,MATCH(pdrLossTime1,lstDefaultCurve,0)))</f>
        <v>2.7777777777777779E-5</v>
      </c>
      <c r="N267" s="62">
        <f t="shared" ca="1" si="280"/>
        <v>2777.7777777777778</v>
      </c>
      <c r="O267" s="67">
        <f t="shared" ca="1" si="295"/>
        <v>0.5608294662350054</v>
      </c>
      <c r="P267" s="68">
        <f ca="1">OFFSET(Vectors!$L$6,A267+_Age1,MATCH(pdrPrepay1,lstPrepayCurve,0))*pdrPrepayStress1</f>
        <v>5.1430128318229462E-3</v>
      </c>
      <c r="Q267" s="62">
        <f t="shared" ca="1" si="296"/>
        <v>79930.406575594592</v>
      </c>
      <c r="R267" s="62">
        <f t="shared" ca="1" si="297"/>
        <v>105602.26660565833</v>
      </c>
      <c r="S267" s="69">
        <f t="shared" ca="1" si="298"/>
        <v>0.09</v>
      </c>
      <c r="T267" s="62">
        <f t="shared" ca="1" si="299"/>
        <v>117332.97189694243</v>
      </c>
      <c r="U267" s="62">
        <f t="shared" ca="1" si="281"/>
        <v>1111.1111111111111</v>
      </c>
      <c r="V267" s="62">
        <f t="shared" ca="1" si="275"/>
        <v>15458863.579744406</v>
      </c>
      <c r="W267" s="55"/>
      <c r="X267" s="62">
        <f t="shared" ca="1" si="300"/>
        <v>303976.75618930644</v>
      </c>
      <c r="Y267" s="55"/>
      <c r="Z267" s="118" t="b">
        <v>0</v>
      </c>
      <c r="AA267" s="120" t="b">
        <f t="shared" si="282"/>
        <v>0</v>
      </c>
      <c r="AB267" s="120" t="b">
        <f t="shared" si="283"/>
        <v>1</v>
      </c>
      <c r="AC267" s="120" t="b">
        <f t="shared" ca="1" si="284"/>
        <v>0</v>
      </c>
      <c r="AD267" s="121"/>
      <c r="AE267" s="129">
        <v>0</v>
      </c>
      <c r="AF267" s="69">
        <f ca="1">IF(Swap_Active="No",0,OFFSET(Vectors!$D$6,Vectors!A267,MATCH(Swap_In,lstInterestRates,0)))</f>
        <v>6.9369000000000056E-2</v>
      </c>
      <c r="AG267" s="62">
        <f t="shared" ca="1" si="301"/>
        <v>0</v>
      </c>
      <c r="AH267" s="69">
        <f ca="1">IF(Swap_Active="No",0,OFFSET(Vectors!$D$6,Vectors!A267,MATCH(Swap_Out,lstInterestRates,0)))</f>
        <v>0.04</v>
      </c>
      <c r="AI267" s="62">
        <f t="shared" ca="1" si="302"/>
        <v>0</v>
      </c>
      <c r="AJ267" s="62">
        <f t="shared" ca="1" si="303"/>
        <v>0</v>
      </c>
      <c r="AK267" s="62">
        <f t="shared" ca="1" si="304"/>
        <v>303976.75618930644</v>
      </c>
      <c r="AL267" s="121"/>
      <c r="AM267" s="123">
        <f t="shared" ca="1" si="285"/>
        <v>26078.623384505725</v>
      </c>
      <c r="AN267" s="124">
        <f t="shared" ca="1" si="305"/>
        <v>26078.623384505725</v>
      </c>
      <c r="AO267" s="125">
        <f t="shared" ca="1" si="306"/>
        <v>0</v>
      </c>
      <c r="AP267" s="123">
        <f t="shared" ca="1" si="307"/>
        <v>277898.1328048007</v>
      </c>
      <c r="AQ267" s="121"/>
      <c r="AR267" s="126">
        <f ca="1">IF(LiabIntType1="Fixed",LiabFxdRate1,OFFSET(Vectors!$D$6,Vectors!A267,MATCH(LiabLoanIndex1,lstInterestRates,0))+LiabMarg1)</f>
        <v>7.9369000000000051E-2</v>
      </c>
      <c r="AS267" s="122">
        <f t="shared" ca="1" si="308"/>
        <v>0</v>
      </c>
      <c r="AT267" s="124">
        <f t="shared" ca="1" si="309"/>
        <v>0</v>
      </c>
      <c r="AU267" s="123">
        <f t="shared" ca="1" si="310"/>
        <v>0</v>
      </c>
      <c r="AV267" s="123">
        <f t="shared" ca="1" si="286"/>
        <v>0</v>
      </c>
      <c r="AW267" s="123">
        <f t="shared" ca="1" si="311"/>
        <v>0</v>
      </c>
      <c r="AX267" s="124">
        <f t="shared" ca="1" si="312"/>
        <v>277898.1328048007</v>
      </c>
      <c r="AY267" s="121"/>
      <c r="AZ267" s="122">
        <f t="shared" ca="1" si="287"/>
        <v>0</v>
      </c>
      <c r="BA267" s="124">
        <f t="shared" ca="1" si="313"/>
        <v>0</v>
      </c>
      <c r="BB267" s="123">
        <f t="shared" ca="1" si="314"/>
        <v>0</v>
      </c>
      <c r="BC267" s="123">
        <f t="shared" ca="1" si="288"/>
        <v>0</v>
      </c>
      <c r="BD267" s="123">
        <f t="shared" ca="1" si="315"/>
        <v>0</v>
      </c>
      <c r="BE267" s="124">
        <f t="shared" ca="1" si="316"/>
        <v>277898.1328048007</v>
      </c>
      <c r="BF267" s="121"/>
      <c r="BG267" s="123">
        <f t="shared" si="289"/>
        <v>1000000</v>
      </c>
      <c r="BH267" s="123">
        <f t="shared" ca="1" si="317"/>
        <v>1000000</v>
      </c>
      <c r="BI267" s="123">
        <f t="shared" ca="1" si="318"/>
        <v>0</v>
      </c>
      <c r="BJ267" s="123">
        <f t="shared" ca="1" si="319"/>
        <v>0</v>
      </c>
      <c r="BK267" s="123">
        <f t="shared" ca="1" si="276"/>
        <v>1000000</v>
      </c>
      <c r="BL267" s="123">
        <f t="shared" ca="1" si="320"/>
        <v>277898.1328048007</v>
      </c>
      <c r="BM267" s="121"/>
      <c r="BN267" s="126">
        <f ca="1">IF(LiabIntType2="Fixed",LiabFxdRate2,OFFSET(Vectors!$D$6,Vectors!A267,MATCH(LiabLoanIndex2,lstInterestRates,0))+LiabMarg2)</f>
        <v>0.04</v>
      </c>
      <c r="BO267" s="122">
        <f t="shared" ca="1" si="321"/>
        <v>25922.739240173854</v>
      </c>
      <c r="BP267" s="124">
        <f t="shared" ca="1" si="322"/>
        <v>25922.739240173854</v>
      </c>
      <c r="BQ267" s="123">
        <f t="shared" ca="1" si="323"/>
        <v>0</v>
      </c>
      <c r="BR267" s="123">
        <f t="shared" ca="1" si="324"/>
        <v>251975.39356462684</v>
      </c>
      <c r="BS267" s="121"/>
      <c r="BT267" s="123">
        <f t="shared" ca="1" si="290"/>
        <v>19307.3043007737</v>
      </c>
      <c r="BU267" s="123">
        <f t="shared" ca="1" si="325"/>
        <v>19307.3043007737</v>
      </c>
      <c r="BV267" s="123">
        <f t="shared" ca="1" si="326"/>
        <v>0</v>
      </c>
      <c r="BW267" s="123">
        <f t="shared" ca="1" si="327"/>
        <v>232668.08926385315</v>
      </c>
      <c r="BX267" s="121"/>
      <c r="BY267" s="123">
        <f t="shared" si="328"/>
        <v>0</v>
      </c>
      <c r="BZ267" s="123">
        <f t="shared" ca="1" si="329"/>
        <v>232668.08926385315</v>
      </c>
      <c r="CA267" s="121"/>
      <c r="CB267" s="122">
        <f t="shared" ca="1" si="277"/>
        <v>0</v>
      </c>
      <c r="CC267" s="122">
        <f t="shared" ca="1" si="330"/>
        <v>0</v>
      </c>
      <c r="CD267" s="124">
        <f t="shared" ca="1" si="331"/>
        <v>0</v>
      </c>
      <c r="CE267" s="121"/>
      <c r="CF267" s="122">
        <f t="shared" ca="1" si="278"/>
        <v>7757514.4677513829</v>
      </c>
      <c r="CG267" s="124">
        <f t="shared" ca="1" si="332"/>
        <v>25922.739240173854</v>
      </c>
      <c r="CH267" s="123">
        <f t="shared" ca="1" si="333"/>
        <v>19307.3043007737</v>
      </c>
      <c r="CI267" s="121"/>
      <c r="CJ267" s="123">
        <f t="shared" ca="1" si="334"/>
        <v>303976.75618930644</v>
      </c>
      <c r="CK267" s="123">
        <f t="shared" ca="1" si="335"/>
        <v>303976.75618930644</v>
      </c>
      <c r="CL267" s="123">
        <f t="shared" ca="1" si="336"/>
        <v>0</v>
      </c>
      <c r="CM267" s="121"/>
      <c r="CN267" s="62">
        <f t="shared" ca="1" si="337"/>
        <v>188310.45095903071</v>
      </c>
      <c r="CO267" s="62" t="b">
        <f t="shared" si="338"/>
        <v>1</v>
      </c>
      <c r="CP267" s="126">
        <f t="shared" ca="1" si="339"/>
        <v>7.2499999999999709E-3</v>
      </c>
      <c r="CQ267" s="120"/>
      <c r="CR267" s="120"/>
      <c r="CS267" s="120"/>
      <c r="CT267" s="120"/>
      <c r="CU267" s="120"/>
      <c r="CV267" s="120"/>
      <c r="CW267" s="120"/>
      <c r="CX267" s="120"/>
      <c r="CY267" s="120"/>
      <c r="CZ267" s="120"/>
      <c r="DA267" s="120"/>
      <c r="DB267" s="120"/>
      <c r="DC267" s="120"/>
      <c r="DD267" s="120"/>
      <c r="DE267" s="116"/>
      <c r="DF267" s="116"/>
      <c r="DG267" s="116"/>
      <c r="DH267" s="116"/>
      <c r="DI267" s="116"/>
      <c r="DJ267" s="116"/>
      <c r="DK267" s="116"/>
      <c r="DL267" s="116"/>
      <c r="DM267" s="116"/>
      <c r="DN267" s="116"/>
    </row>
    <row r="268" spans="1:118" x14ac:dyDescent="0.2">
      <c r="A268" s="27">
        <v>262</v>
      </c>
      <c r="B268" s="29">
        <f t="shared" si="272"/>
        <v>47088</v>
      </c>
      <c r="C268" s="30">
        <f t="shared" si="273"/>
        <v>8.3333333333333329E-2</v>
      </c>
      <c r="D268" s="55"/>
      <c r="E268" s="62">
        <f t="shared" ca="1" si="291"/>
        <v>56082946.623500541</v>
      </c>
      <c r="F268" s="63">
        <f ca="1">IF(AssetIntType1="Fixed",AssetFxdRate1,IF(A268=1,OFFSET(Vectors!$D$6,A268,MATCH(AssetFltIndx1,lstInterestRates,0)),IF(MOD($A268,AssetRateReset1)=0,MAX(MIN(OFFSET(Vectors!$D$6,A268,MATCH(AssetFltIndx1,lstInterestRates,0)),(F267-AssetMarg1)+AssetPdCapFl1,AssetLifeCap1-AssetMarg1),(F267-AssetMarg1)-AssetPdCapFl1,AssetLifeFloor1-AssetMarg1),F267)))+AssetMarg1</f>
        <v>0.09</v>
      </c>
      <c r="G268" s="62">
        <f t="shared" ca="1" si="279"/>
        <v>804622.61694478267</v>
      </c>
      <c r="H268" s="62">
        <f t="shared" ca="1" si="292"/>
        <v>420622.09967625403</v>
      </c>
      <c r="I268" s="62">
        <f t="shared" ca="1" si="293"/>
        <v>384000.51726852864</v>
      </c>
      <c r="J268" s="62">
        <f t="shared" ca="1" si="274"/>
        <v>55698946.10623201</v>
      </c>
      <c r="K268" s="55"/>
      <c r="L268" s="62">
        <f t="shared" ca="1" si="294"/>
        <v>15458863.579744406</v>
      </c>
      <c r="M268" s="68">
        <f ca="1">IF(pdrLossTime1="",OFFSET(Vectors!$AE$6,A268+_Age1,MATCH(SDA_Loss,lstSDA,0)),OFFSET(Vectors!$X$6,A268+_Age1,MATCH(pdrLossTime1,lstDefaultCurve,0)))</f>
        <v>2.7777777777777779E-5</v>
      </c>
      <c r="N268" s="62">
        <f t="shared" ca="1" si="280"/>
        <v>2777.7777777777778</v>
      </c>
      <c r="O268" s="67">
        <f t="shared" ca="1" si="295"/>
        <v>0.55698946106232006</v>
      </c>
      <c r="P268" s="68">
        <f ca="1">OFFSET(Vectors!$L$6,A268+_Age1,MATCH(pdrPrepay1,lstPrepayCurve,0))*pdrPrepayStress1</f>
        <v>5.1430128318229462E-3</v>
      </c>
      <c r="Q268" s="62">
        <f t="shared" ca="1" si="296"/>
        <v>78960.761280507199</v>
      </c>
      <c r="R268" s="62">
        <f t="shared" ca="1" si="297"/>
        <v>105827.97980901752</v>
      </c>
      <c r="S268" s="69">
        <f t="shared" ca="1" si="298"/>
        <v>0.09</v>
      </c>
      <c r="T268" s="62">
        <f t="shared" ca="1" si="299"/>
        <v>115920.64351474971</v>
      </c>
      <c r="U268" s="62">
        <f t="shared" ca="1" si="281"/>
        <v>1111.1111111111111</v>
      </c>
      <c r="V268" s="62">
        <f t="shared" ca="1" si="275"/>
        <v>15271297.060877103</v>
      </c>
      <c r="W268" s="55"/>
      <c r="X268" s="62">
        <f t="shared" ca="1" si="300"/>
        <v>301820.49571538554</v>
      </c>
      <c r="Y268" s="55"/>
      <c r="Z268" s="118" t="b">
        <v>0</v>
      </c>
      <c r="AA268" s="120" t="b">
        <f t="shared" si="282"/>
        <v>0</v>
      </c>
      <c r="AB268" s="120" t="b">
        <f t="shared" si="283"/>
        <v>1</v>
      </c>
      <c r="AC268" s="120" t="b">
        <f t="shared" ca="1" si="284"/>
        <v>0</v>
      </c>
      <c r="AD268" s="121"/>
      <c r="AE268" s="129">
        <v>0</v>
      </c>
      <c r="AF268" s="69">
        <f ca="1">IF(Swap_Active="No",0,OFFSET(Vectors!$D$6,Vectors!A268,MATCH(Swap_In,lstInterestRates,0)))</f>
        <v>6.9369000000000056E-2</v>
      </c>
      <c r="AG268" s="62">
        <f t="shared" ca="1" si="301"/>
        <v>0</v>
      </c>
      <c r="AH268" s="69">
        <f ca="1">IF(Swap_Active="No",0,OFFSET(Vectors!$D$6,Vectors!A268,MATCH(Swap_Out,lstInterestRates,0)))</f>
        <v>0.04</v>
      </c>
      <c r="AI268" s="62">
        <f t="shared" ca="1" si="302"/>
        <v>0</v>
      </c>
      <c r="AJ268" s="62">
        <f t="shared" ca="1" si="303"/>
        <v>0</v>
      </c>
      <c r="AK268" s="62">
        <f t="shared" ca="1" si="304"/>
        <v>301820.49571538554</v>
      </c>
      <c r="AL268" s="121"/>
      <c r="AM268" s="123">
        <f t="shared" ca="1" si="285"/>
        <v>25764.772632907341</v>
      </c>
      <c r="AN268" s="124">
        <f t="shared" ca="1" si="305"/>
        <v>25764.772632907341</v>
      </c>
      <c r="AO268" s="125">
        <f t="shared" ca="1" si="306"/>
        <v>0</v>
      </c>
      <c r="AP268" s="123">
        <f t="shared" ca="1" si="307"/>
        <v>276055.72308247822</v>
      </c>
      <c r="AQ268" s="121"/>
      <c r="AR268" s="126">
        <f ca="1">IF(LiabIntType1="Fixed",LiabFxdRate1,OFFSET(Vectors!$D$6,Vectors!A268,MATCH(LiabLoanIndex1,lstInterestRates,0))+LiabMarg1)</f>
        <v>7.9369000000000051E-2</v>
      </c>
      <c r="AS268" s="122">
        <f t="shared" ca="1" si="308"/>
        <v>0</v>
      </c>
      <c r="AT268" s="124">
        <f t="shared" ca="1" si="309"/>
        <v>0</v>
      </c>
      <c r="AU268" s="123">
        <f t="shared" ca="1" si="310"/>
        <v>0</v>
      </c>
      <c r="AV268" s="123">
        <f t="shared" ca="1" si="286"/>
        <v>0</v>
      </c>
      <c r="AW268" s="123">
        <f t="shared" ca="1" si="311"/>
        <v>0</v>
      </c>
      <c r="AX268" s="124">
        <f t="shared" ca="1" si="312"/>
        <v>276055.72308247822</v>
      </c>
      <c r="AY268" s="121"/>
      <c r="AZ268" s="122">
        <f t="shared" ca="1" si="287"/>
        <v>0</v>
      </c>
      <c r="BA268" s="124">
        <f t="shared" ca="1" si="313"/>
        <v>0</v>
      </c>
      <c r="BB268" s="123">
        <f t="shared" ca="1" si="314"/>
        <v>0</v>
      </c>
      <c r="BC268" s="123">
        <f t="shared" ca="1" si="288"/>
        <v>0</v>
      </c>
      <c r="BD268" s="123">
        <f t="shared" ca="1" si="315"/>
        <v>0</v>
      </c>
      <c r="BE268" s="124">
        <f t="shared" ca="1" si="316"/>
        <v>276055.72308247822</v>
      </c>
      <c r="BF268" s="121"/>
      <c r="BG268" s="123">
        <f t="shared" si="289"/>
        <v>1000000</v>
      </c>
      <c r="BH268" s="123">
        <f t="shared" ca="1" si="317"/>
        <v>1000000</v>
      </c>
      <c r="BI268" s="123">
        <f t="shared" ca="1" si="318"/>
        <v>0</v>
      </c>
      <c r="BJ268" s="123">
        <f t="shared" ca="1" si="319"/>
        <v>0</v>
      </c>
      <c r="BK268" s="123">
        <f t="shared" ca="1" si="276"/>
        <v>1000000</v>
      </c>
      <c r="BL268" s="123">
        <f t="shared" ca="1" si="320"/>
        <v>276055.72308247822</v>
      </c>
      <c r="BM268" s="121"/>
      <c r="BN268" s="126">
        <f ca="1">IF(LiabIntType2="Fixed",LiabFxdRate2,OFFSET(Vectors!$D$6,Vectors!A268,MATCH(LiabLoanIndex2,lstInterestRates,0))+LiabMarg2)</f>
        <v>0.04</v>
      </c>
      <c r="BO268" s="122">
        <f t="shared" ca="1" si="321"/>
        <v>25858.381559171274</v>
      </c>
      <c r="BP268" s="124">
        <f t="shared" ca="1" si="322"/>
        <v>25858.381559171274</v>
      </c>
      <c r="BQ268" s="123">
        <f t="shared" ca="1" si="323"/>
        <v>0</v>
      </c>
      <c r="BR268" s="123">
        <f t="shared" ca="1" si="324"/>
        <v>250197.34152330694</v>
      </c>
      <c r="BS268" s="121"/>
      <c r="BT268" s="123">
        <f t="shared" ca="1" si="290"/>
        <v>19231.029600134636</v>
      </c>
      <c r="BU268" s="123">
        <f t="shared" ca="1" si="325"/>
        <v>19231.029600134636</v>
      </c>
      <c r="BV268" s="123">
        <f t="shared" ca="1" si="326"/>
        <v>0</v>
      </c>
      <c r="BW268" s="123">
        <f t="shared" ca="1" si="327"/>
        <v>230966.3119231723</v>
      </c>
      <c r="BX268" s="121"/>
      <c r="BY268" s="123">
        <f t="shared" si="328"/>
        <v>0</v>
      </c>
      <c r="BZ268" s="123">
        <f t="shared" ca="1" si="329"/>
        <v>230966.3119231723</v>
      </c>
      <c r="CA268" s="121"/>
      <c r="CB268" s="122">
        <f t="shared" ca="1" si="277"/>
        <v>0</v>
      </c>
      <c r="CC268" s="122">
        <f t="shared" ca="1" si="330"/>
        <v>0</v>
      </c>
      <c r="CD268" s="124">
        <f t="shared" ca="1" si="331"/>
        <v>0</v>
      </c>
      <c r="CE268" s="121"/>
      <c r="CF268" s="122">
        <f t="shared" ca="1" si="278"/>
        <v>7738283.4381512478</v>
      </c>
      <c r="CG268" s="124">
        <f t="shared" ca="1" si="332"/>
        <v>25858.381559171274</v>
      </c>
      <c r="CH268" s="123">
        <f t="shared" ca="1" si="333"/>
        <v>19231.029600134636</v>
      </c>
      <c r="CI268" s="121"/>
      <c r="CJ268" s="123">
        <f t="shared" ca="1" si="334"/>
        <v>301820.49571538554</v>
      </c>
      <c r="CK268" s="123">
        <f t="shared" ca="1" si="335"/>
        <v>301820.49571538554</v>
      </c>
      <c r="CL268" s="123">
        <f t="shared" ca="1" si="336"/>
        <v>0</v>
      </c>
      <c r="CM268" s="121"/>
      <c r="CN268" s="62">
        <f t="shared" ca="1" si="337"/>
        <v>187566.51886730251</v>
      </c>
      <c r="CO268" s="62" t="b">
        <f t="shared" si="338"/>
        <v>1</v>
      </c>
      <c r="CP268" s="126">
        <f t="shared" ca="1" si="339"/>
        <v>7.2777777777777485E-3</v>
      </c>
      <c r="CQ268" s="120"/>
      <c r="CR268" s="120"/>
      <c r="CS268" s="120"/>
      <c r="CT268" s="120"/>
      <c r="CU268" s="120"/>
      <c r="CV268" s="120"/>
      <c r="CW268" s="120"/>
      <c r="CX268" s="120"/>
      <c r="CY268" s="120"/>
      <c r="CZ268" s="120"/>
      <c r="DA268" s="120"/>
      <c r="DB268" s="120"/>
      <c r="DC268" s="120"/>
      <c r="DD268" s="120"/>
      <c r="DE268" s="116"/>
      <c r="DF268" s="116"/>
      <c r="DG268" s="116"/>
      <c r="DH268" s="116"/>
      <c r="DI268" s="116"/>
      <c r="DJ268" s="116"/>
      <c r="DK268" s="116"/>
      <c r="DL268" s="116"/>
      <c r="DM268" s="116"/>
      <c r="DN268" s="116"/>
    </row>
    <row r="269" spans="1:118" x14ac:dyDescent="0.2">
      <c r="A269" s="27">
        <v>263</v>
      </c>
      <c r="B269" s="29">
        <f t="shared" si="272"/>
        <v>47119</v>
      </c>
      <c r="C269" s="30">
        <f t="shared" si="273"/>
        <v>8.3333333333333329E-2</v>
      </c>
      <c r="D269" s="55"/>
      <c r="E269" s="62">
        <f t="shared" ca="1" si="291"/>
        <v>55698946.10623201</v>
      </c>
      <c r="F269" s="63">
        <f ca="1">IF(AssetIntType1="Fixed",AssetFxdRate1,IF(A269=1,OFFSET(Vectors!$D$6,A269,MATCH(AssetFltIndx1,lstInterestRates,0)),IF(MOD($A269,AssetRateReset1)=0,MAX(MIN(OFFSET(Vectors!$D$6,A269,MATCH(AssetFltIndx1,lstInterestRates,0)),(F268-AssetMarg1)+AssetPdCapFl1,AssetLifeCap1-AssetMarg1),(F268-AssetMarg1)-AssetPdCapFl1,AssetLifeFloor1-AssetMarg1),F268)))+AssetMarg1</f>
        <v>0.09</v>
      </c>
      <c r="G269" s="62">
        <f t="shared" ca="1" si="279"/>
        <v>804622.61694478267</v>
      </c>
      <c r="H269" s="62">
        <f t="shared" ca="1" si="292"/>
        <v>417742.09579674003</v>
      </c>
      <c r="I269" s="62">
        <f t="shared" ca="1" si="293"/>
        <v>386880.52114804264</v>
      </c>
      <c r="J269" s="62">
        <f t="shared" ca="1" si="274"/>
        <v>55312065.585083969</v>
      </c>
      <c r="K269" s="55"/>
      <c r="L269" s="62">
        <f t="shared" ca="1" si="294"/>
        <v>15271297.060877103</v>
      </c>
      <c r="M269" s="68">
        <f ca="1">IF(pdrLossTime1="",OFFSET(Vectors!$AE$6,A269+_Age1,MATCH(SDA_Loss,lstSDA,0)),OFFSET(Vectors!$X$6,A269+_Age1,MATCH(pdrLossTime1,lstDefaultCurve,0)))</f>
        <v>2.7777777777777779E-5</v>
      </c>
      <c r="N269" s="62">
        <f t="shared" ca="1" si="280"/>
        <v>2777.7777777777778</v>
      </c>
      <c r="O269" s="67">
        <f t="shared" ca="1" si="295"/>
        <v>0.55312065585083969</v>
      </c>
      <c r="P269" s="68">
        <f ca="1">OFFSET(Vectors!$L$6,A269+_Age1,MATCH(pdrPrepay1,lstPrepayCurve,0))*pdrPrepayStress1</f>
        <v>5.1430128318229462E-3</v>
      </c>
      <c r="Q269" s="62">
        <f t="shared" ca="1" si="296"/>
        <v>77994.94073709799</v>
      </c>
      <c r="R269" s="62">
        <f t="shared" ca="1" si="297"/>
        <v>106053.94016141699</v>
      </c>
      <c r="S269" s="69">
        <f t="shared" ca="1" si="298"/>
        <v>0.09</v>
      </c>
      <c r="T269" s="62">
        <f t="shared" ca="1" si="299"/>
        <v>114513.89462324494</v>
      </c>
      <c r="U269" s="62">
        <f t="shared" ca="1" si="281"/>
        <v>1111.1111111111111</v>
      </c>
      <c r="V269" s="62">
        <f t="shared" ca="1" si="275"/>
        <v>15084470.402200811</v>
      </c>
      <c r="W269" s="55"/>
      <c r="X269" s="62">
        <f t="shared" ca="1" si="300"/>
        <v>299673.88663287106</v>
      </c>
      <c r="Y269" s="55"/>
      <c r="Z269" s="118" t="b">
        <v>0</v>
      </c>
      <c r="AA269" s="120" t="b">
        <f t="shared" si="282"/>
        <v>0</v>
      </c>
      <c r="AB269" s="120" t="b">
        <f t="shared" si="283"/>
        <v>1</v>
      </c>
      <c r="AC269" s="120" t="b">
        <f t="shared" ca="1" si="284"/>
        <v>0</v>
      </c>
      <c r="AD269" s="121"/>
      <c r="AE269" s="129">
        <v>0</v>
      </c>
      <c r="AF269" s="69">
        <f ca="1">IF(Swap_Active="No",0,OFFSET(Vectors!$D$6,Vectors!A269,MATCH(Swap_In,lstInterestRates,0)))</f>
        <v>6.9369000000000056E-2</v>
      </c>
      <c r="AG269" s="62">
        <f t="shared" ca="1" si="301"/>
        <v>0</v>
      </c>
      <c r="AH269" s="69">
        <f ca="1">IF(Swap_Active="No",0,OFFSET(Vectors!$D$6,Vectors!A269,MATCH(Swap_Out,lstInterestRates,0)))</f>
        <v>0.04</v>
      </c>
      <c r="AI269" s="62">
        <f t="shared" ca="1" si="302"/>
        <v>0</v>
      </c>
      <c r="AJ269" s="62">
        <f t="shared" ca="1" si="303"/>
        <v>0</v>
      </c>
      <c r="AK269" s="62">
        <f t="shared" ca="1" si="304"/>
        <v>299673.88663287106</v>
      </c>
      <c r="AL269" s="121"/>
      <c r="AM269" s="123">
        <f t="shared" ca="1" si="285"/>
        <v>25452.161768128502</v>
      </c>
      <c r="AN269" s="124">
        <f t="shared" ca="1" si="305"/>
        <v>25452.161768128502</v>
      </c>
      <c r="AO269" s="125">
        <f t="shared" ca="1" si="306"/>
        <v>0</v>
      </c>
      <c r="AP269" s="123">
        <f t="shared" ca="1" si="307"/>
        <v>274221.72486474254</v>
      </c>
      <c r="AQ269" s="121"/>
      <c r="AR269" s="126">
        <f ca="1">IF(LiabIntType1="Fixed",LiabFxdRate1,OFFSET(Vectors!$D$6,Vectors!A269,MATCH(LiabLoanIndex1,lstInterestRates,0))+LiabMarg1)</f>
        <v>7.9369000000000051E-2</v>
      </c>
      <c r="AS269" s="122">
        <f t="shared" ca="1" si="308"/>
        <v>0</v>
      </c>
      <c r="AT269" s="124">
        <f t="shared" ca="1" si="309"/>
        <v>0</v>
      </c>
      <c r="AU269" s="123">
        <f t="shared" ca="1" si="310"/>
        <v>0</v>
      </c>
      <c r="AV269" s="123">
        <f t="shared" ca="1" si="286"/>
        <v>0</v>
      </c>
      <c r="AW269" s="123">
        <f t="shared" ca="1" si="311"/>
        <v>0</v>
      </c>
      <c r="AX269" s="124">
        <f t="shared" ca="1" si="312"/>
        <v>274221.72486474254</v>
      </c>
      <c r="AY269" s="121"/>
      <c r="AZ269" s="122">
        <f t="shared" ca="1" si="287"/>
        <v>0</v>
      </c>
      <c r="BA269" s="124">
        <f t="shared" ca="1" si="313"/>
        <v>0</v>
      </c>
      <c r="BB269" s="123">
        <f t="shared" ca="1" si="314"/>
        <v>0</v>
      </c>
      <c r="BC269" s="123">
        <f t="shared" ca="1" si="288"/>
        <v>0</v>
      </c>
      <c r="BD269" s="123">
        <f t="shared" ca="1" si="315"/>
        <v>0</v>
      </c>
      <c r="BE269" s="124">
        <f t="shared" ca="1" si="316"/>
        <v>274221.72486474254</v>
      </c>
      <c r="BF269" s="121"/>
      <c r="BG269" s="123">
        <f t="shared" si="289"/>
        <v>1000000</v>
      </c>
      <c r="BH269" s="123">
        <f t="shared" ca="1" si="317"/>
        <v>1000000</v>
      </c>
      <c r="BI269" s="123">
        <f t="shared" ca="1" si="318"/>
        <v>0</v>
      </c>
      <c r="BJ269" s="123">
        <f t="shared" ca="1" si="319"/>
        <v>0</v>
      </c>
      <c r="BK269" s="123">
        <f t="shared" ca="1" si="276"/>
        <v>1000000</v>
      </c>
      <c r="BL269" s="123">
        <f t="shared" ca="1" si="320"/>
        <v>274221.72486474254</v>
      </c>
      <c r="BM269" s="121"/>
      <c r="BN269" s="126">
        <f ca="1">IF(LiabIntType2="Fixed",LiabFxdRate2,OFFSET(Vectors!$D$6,Vectors!A269,MATCH(LiabLoanIndex2,lstInterestRates,0))+LiabMarg2)</f>
        <v>0.04</v>
      </c>
      <c r="BO269" s="122">
        <f t="shared" ca="1" si="321"/>
        <v>25794.278127170823</v>
      </c>
      <c r="BP269" s="124">
        <f t="shared" ca="1" si="322"/>
        <v>25794.278127170823</v>
      </c>
      <c r="BQ269" s="123">
        <f t="shared" ca="1" si="323"/>
        <v>0</v>
      </c>
      <c r="BR269" s="123">
        <f t="shared" ca="1" si="324"/>
        <v>248427.44673757174</v>
      </c>
      <c r="BS269" s="121"/>
      <c r="BT269" s="123">
        <f t="shared" ca="1" si="290"/>
        <v>19155.172387881652</v>
      </c>
      <c r="BU269" s="123">
        <f t="shared" ca="1" si="325"/>
        <v>19155.172387881652</v>
      </c>
      <c r="BV269" s="123">
        <f t="shared" ca="1" si="326"/>
        <v>0</v>
      </c>
      <c r="BW269" s="123">
        <f t="shared" ca="1" si="327"/>
        <v>229272.27434969009</v>
      </c>
      <c r="BX269" s="121"/>
      <c r="BY269" s="123">
        <f t="shared" si="328"/>
        <v>0</v>
      </c>
      <c r="BZ269" s="123">
        <f t="shared" ca="1" si="329"/>
        <v>229272.27434969009</v>
      </c>
      <c r="CA269" s="121"/>
      <c r="CB269" s="122">
        <f t="shared" ca="1" si="277"/>
        <v>0</v>
      </c>
      <c r="CC269" s="122">
        <f t="shared" ca="1" si="330"/>
        <v>0</v>
      </c>
      <c r="CD269" s="124">
        <f t="shared" ca="1" si="331"/>
        <v>0</v>
      </c>
      <c r="CE269" s="121"/>
      <c r="CF269" s="122">
        <f t="shared" ca="1" si="278"/>
        <v>7719128.2657633666</v>
      </c>
      <c r="CG269" s="124">
        <f t="shared" ca="1" si="332"/>
        <v>25794.278127170823</v>
      </c>
      <c r="CH269" s="123">
        <f t="shared" ca="1" si="333"/>
        <v>19155.172387881652</v>
      </c>
      <c r="CI269" s="121"/>
      <c r="CJ269" s="123">
        <f t="shared" ca="1" si="334"/>
        <v>299673.88663287106</v>
      </c>
      <c r="CK269" s="123">
        <f t="shared" ca="1" si="335"/>
        <v>299673.88663287106</v>
      </c>
      <c r="CL269" s="123">
        <f t="shared" ca="1" si="336"/>
        <v>0</v>
      </c>
      <c r="CM269" s="121"/>
      <c r="CN269" s="62">
        <f t="shared" ca="1" si="337"/>
        <v>186826.65867629275</v>
      </c>
      <c r="CO269" s="62" t="b">
        <f t="shared" si="338"/>
        <v>1</v>
      </c>
      <c r="CP269" s="126">
        <f t="shared" ca="1" si="339"/>
        <v>7.3055555555555261E-3</v>
      </c>
      <c r="CQ269" s="120"/>
      <c r="CR269" s="120"/>
      <c r="CS269" s="120"/>
      <c r="CT269" s="120"/>
      <c r="CU269" s="120"/>
      <c r="CV269" s="120"/>
      <c r="CW269" s="120"/>
      <c r="CX269" s="120"/>
      <c r="CY269" s="120"/>
      <c r="CZ269" s="120"/>
      <c r="DA269" s="120"/>
      <c r="DB269" s="120"/>
      <c r="DC269" s="120"/>
      <c r="DD269" s="120"/>
      <c r="DE269" s="116"/>
      <c r="DF269" s="116"/>
      <c r="DG269" s="116"/>
      <c r="DH269" s="116"/>
      <c r="DI269" s="116"/>
      <c r="DJ269" s="116"/>
      <c r="DK269" s="116"/>
      <c r="DL269" s="116"/>
      <c r="DM269" s="116"/>
      <c r="DN269" s="116"/>
    </row>
    <row r="270" spans="1:118" x14ac:dyDescent="0.2">
      <c r="A270" s="27">
        <v>264</v>
      </c>
      <c r="B270" s="29">
        <f t="shared" si="272"/>
        <v>47150</v>
      </c>
      <c r="C270" s="30">
        <f t="shared" si="273"/>
        <v>8.3333333333333329E-2</v>
      </c>
      <c r="D270" s="55"/>
      <c r="E270" s="62">
        <f t="shared" ca="1" si="291"/>
        <v>55312065.585083969</v>
      </c>
      <c r="F270" s="63">
        <f ca="1">IF(AssetIntType1="Fixed",AssetFxdRate1,IF(A270=1,OFFSET(Vectors!$D$6,A270,MATCH(AssetFltIndx1,lstInterestRates,0)),IF(MOD($A270,AssetRateReset1)=0,MAX(MIN(OFFSET(Vectors!$D$6,A270,MATCH(AssetFltIndx1,lstInterestRates,0)),(F269-AssetMarg1)+AssetPdCapFl1,AssetLifeCap1-AssetMarg1),(F269-AssetMarg1)-AssetPdCapFl1,AssetLifeFloor1-AssetMarg1),F269)))+AssetMarg1</f>
        <v>0.09</v>
      </c>
      <c r="G270" s="62">
        <f t="shared" ca="1" si="279"/>
        <v>804622.61694478267</v>
      </c>
      <c r="H270" s="62">
        <f t="shared" ca="1" si="292"/>
        <v>414840.49188812973</v>
      </c>
      <c r="I270" s="62">
        <f t="shared" ca="1" si="293"/>
        <v>389782.12505665293</v>
      </c>
      <c r="J270" s="62">
        <f t="shared" ca="1" si="274"/>
        <v>54922283.460027315</v>
      </c>
      <c r="K270" s="55"/>
      <c r="L270" s="62">
        <f t="shared" ca="1" si="294"/>
        <v>15084470.402200811</v>
      </c>
      <c r="M270" s="68">
        <f ca="1">IF(pdrLossTime1="",OFFSET(Vectors!$AE$6,A270+_Age1,MATCH(SDA_Loss,lstSDA,0)),OFFSET(Vectors!$X$6,A270+_Age1,MATCH(pdrLossTime1,lstDefaultCurve,0)))</f>
        <v>2.7777777777777779E-5</v>
      </c>
      <c r="N270" s="62">
        <f t="shared" ca="1" si="280"/>
        <v>2777.7777777777778</v>
      </c>
      <c r="O270" s="67">
        <f t="shared" ca="1" si="295"/>
        <v>0.5492228346002731</v>
      </c>
      <c r="P270" s="68">
        <f ca="1">OFFSET(Vectors!$L$6,A270+_Age1,MATCH(pdrPrepay1,lstPrepayCurve,0))*pdrPrepayStress1</f>
        <v>5.1430128318229462E-3</v>
      </c>
      <c r="Q270" s="62">
        <f t="shared" ca="1" si="296"/>
        <v>77032.924030260241</v>
      </c>
      <c r="R270" s="62">
        <f t="shared" ca="1" si="297"/>
        <v>106280.14228751247</v>
      </c>
      <c r="S270" s="69">
        <f t="shared" ca="1" si="298"/>
        <v>0.09</v>
      </c>
      <c r="T270" s="62">
        <f t="shared" ca="1" si="299"/>
        <v>113112.69468317274</v>
      </c>
      <c r="U270" s="62">
        <f t="shared" ca="1" si="281"/>
        <v>1111.1111111111111</v>
      </c>
      <c r="V270" s="62">
        <f t="shared" ca="1" si="275"/>
        <v>14898379.558105258</v>
      </c>
      <c r="W270" s="55"/>
      <c r="X270" s="62">
        <f t="shared" ca="1" si="300"/>
        <v>297536.87211205659</v>
      </c>
      <c r="Y270" s="55"/>
      <c r="Z270" s="118" t="b">
        <v>0</v>
      </c>
      <c r="AA270" s="120" t="b">
        <f t="shared" si="282"/>
        <v>0</v>
      </c>
      <c r="AB270" s="120" t="b">
        <f t="shared" si="283"/>
        <v>1</v>
      </c>
      <c r="AC270" s="120" t="b">
        <f t="shared" ca="1" si="284"/>
        <v>0</v>
      </c>
      <c r="AD270" s="121"/>
      <c r="AE270" s="129">
        <v>0</v>
      </c>
      <c r="AF270" s="69">
        <f ca="1">IF(Swap_Active="No",0,OFFSET(Vectors!$D$6,Vectors!A270,MATCH(Swap_In,lstInterestRates,0)))</f>
        <v>6.9369000000000056E-2</v>
      </c>
      <c r="AG270" s="62">
        <f t="shared" ca="1" si="301"/>
        <v>0</v>
      </c>
      <c r="AH270" s="69">
        <f ca="1">IF(Swap_Active="No",0,OFFSET(Vectors!$D$6,Vectors!A270,MATCH(Swap_Out,lstInterestRates,0)))</f>
        <v>0.04</v>
      </c>
      <c r="AI270" s="62">
        <f t="shared" ca="1" si="302"/>
        <v>0</v>
      </c>
      <c r="AJ270" s="62">
        <f t="shared" ca="1" si="303"/>
        <v>0</v>
      </c>
      <c r="AK270" s="62">
        <f t="shared" ca="1" si="304"/>
        <v>297536.87211205659</v>
      </c>
      <c r="AL270" s="121"/>
      <c r="AM270" s="123">
        <f t="shared" ca="1" si="285"/>
        <v>25140.784003668017</v>
      </c>
      <c r="AN270" s="124">
        <f t="shared" ca="1" si="305"/>
        <v>25140.784003668017</v>
      </c>
      <c r="AO270" s="125">
        <f t="shared" ca="1" si="306"/>
        <v>0</v>
      </c>
      <c r="AP270" s="123">
        <f t="shared" ca="1" si="307"/>
        <v>272396.08810838859</v>
      </c>
      <c r="AQ270" s="121"/>
      <c r="AR270" s="126">
        <f ca="1">IF(LiabIntType1="Fixed",LiabFxdRate1,OFFSET(Vectors!$D$6,Vectors!A270,MATCH(LiabLoanIndex1,lstInterestRates,0))+LiabMarg1)</f>
        <v>7.9369000000000051E-2</v>
      </c>
      <c r="AS270" s="122">
        <f t="shared" ca="1" si="308"/>
        <v>0</v>
      </c>
      <c r="AT270" s="124">
        <f t="shared" ca="1" si="309"/>
        <v>0</v>
      </c>
      <c r="AU270" s="123">
        <f t="shared" ca="1" si="310"/>
        <v>0</v>
      </c>
      <c r="AV270" s="123">
        <f t="shared" ca="1" si="286"/>
        <v>0</v>
      </c>
      <c r="AW270" s="123">
        <f t="shared" ca="1" si="311"/>
        <v>0</v>
      </c>
      <c r="AX270" s="124">
        <f t="shared" ca="1" si="312"/>
        <v>272396.08810838859</v>
      </c>
      <c r="AY270" s="121"/>
      <c r="AZ270" s="122">
        <f t="shared" ca="1" si="287"/>
        <v>0</v>
      </c>
      <c r="BA270" s="124">
        <f t="shared" ca="1" si="313"/>
        <v>0</v>
      </c>
      <c r="BB270" s="123">
        <f t="shared" ca="1" si="314"/>
        <v>0</v>
      </c>
      <c r="BC270" s="123">
        <f t="shared" ca="1" si="288"/>
        <v>0</v>
      </c>
      <c r="BD270" s="123">
        <f t="shared" ca="1" si="315"/>
        <v>0</v>
      </c>
      <c r="BE270" s="124">
        <f t="shared" ca="1" si="316"/>
        <v>272396.08810838859</v>
      </c>
      <c r="BF270" s="121"/>
      <c r="BG270" s="123">
        <f t="shared" si="289"/>
        <v>1000000</v>
      </c>
      <c r="BH270" s="123">
        <f t="shared" ca="1" si="317"/>
        <v>1000000</v>
      </c>
      <c r="BI270" s="123">
        <f t="shared" ca="1" si="318"/>
        <v>0</v>
      </c>
      <c r="BJ270" s="123">
        <f t="shared" ca="1" si="319"/>
        <v>0</v>
      </c>
      <c r="BK270" s="123">
        <f t="shared" ca="1" si="276"/>
        <v>1000000</v>
      </c>
      <c r="BL270" s="123">
        <f t="shared" ca="1" si="320"/>
        <v>272396.08810838859</v>
      </c>
      <c r="BM270" s="121"/>
      <c r="BN270" s="126">
        <f ca="1">IF(LiabIntType2="Fixed",LiabFxdRate2,OFFSET(Vectors!$D$6,Vectors!A270,MATCH(LiabLoanIndex2,lstInterestRates,0))+LiabMarg2)</f>
        <v>0.04</v>
      </c>
      <c r="BO270" s="122">
        <f t="shared" ca="1" si="321"/>
        <v>25730.427552544552</v>
      </c>
      <c r="BP270" s="124">
        <f t="shared" ca="1" si="322"/>
        <v>25730.427552544552</v>
      </c>
      <c r="BQ270" s="123">
        <f t="shared" ca="1" si="323"/>
        <v>0</v>
      </c>
      <c r="BR270" s="123">
        <f t="shared" ca="1" si="324"/>
        <v>246665.66055584405</v>
      </c>
      <c r="BS270" s="121"/>
      <c r="BT270" s="123">
        <f t="shared" ca="1" si="290"/>
        <v>19079.729968478026</v>
      </c>
      <c r="BU270" s="123">
        <f t="shared" ca="1" si="325"/>
        <v>19079.729968478026</v>
      </c>
      <c r="BV270" s="123">
        <f t="shared" ca="1" si="326"/>
        <v>0</v>
      </c>
      <c r="BW270" s="123">
        <f t="shared" ca="1" si="327"/>
        <v>227585.93058736602</v>
      </c>
      <c r="BX270" s="121"/>
      <c r="BY270" s="123">
        <f t="shared" si="328"/>
        <v>0</v>
      </c>
      <c r="BZ270" s="123">
        <f t="shared" ca="1" si="329"/>
        <v>227585.93058736602</v>
      </c>
      <c r="CA270" s="121"/>
      <c r="CB270" s="122">
        <f t="shared" ca="1" si="277"/>
        <v>0</v>
      </c>
      <c r="CC270" s="122">
        <f t="shared" ca="1" si="330"/>
        <v>0</v>
      </c>
      <c r="CD270" s="124">
        <f t="shared" ca="1" si="331"/>
        <v>0</v>
      </c>
      <c r="CE270" s="121"/>
      <c r="CF270" s="122">
        <f t="shared" ca="1" si="278"/>
        <v>7700048.5357948886</v>
      </c>
      <c r="CG270" s="124">
        <f t="shared" ca="1" si="332"/>
        <v>25730.427552544552</v>
      </c>
      <c r="CH270" s="123">
        <f t="shared" ca="1" si="333"/>
        <v>19079.729968478026</v>
      </c>
      <c r="CI270" s="121"/>
      <c r="CJ270" s="123">
        <f t="shared" ca="1" si="334"/>
        <v>297536.87211205659</v>
      </c>
      <c r="CK270" s="123">
        <f t="shared" ca="1" si="335"/>
        <v>297536.87211205659</v>
      </c>
      <c r="CL270" s="123">
        <f t="shared" ca="1" si="336"/>
        <v>0</v>
      </c>
      <c r="CM270" s="121"/>
      <c r="CN270" s="62">
        <f t="shared" ca="1" si="337"/>
        <v>186090.84409555048</v>
      </c>
      <c r="CO270" s="62" t="b">
        <f t="shared" si="338"/>
        <v>1</v>
      </c>
      <c r="CP270" s="126">
        <f t="shared" ca="1" si="339"/>
        <v>7.3333333333333037E-3</v>
      </c>
      <c r="CQ270" s="120"/>
      <c r="CR270" s="120"/>
      <c r="CS270" s="120"/>
      <c r="CT270" s="120"/>
      <c r="CU270" s="120"/>
      <c r="CV270" s="120"/>
      <c r="CW270" s="120"/>
      <c r="CX270" s="120"/>
      <c r="CY270" s="120"/>
      <c r="CZ270" s="120"/>
      <c r="DA270" s="120"/>
      <c r="DB270" s="120"/>
      <c r="DC270" s="120"/>
      <c r="DD270" s="120"/>
      <c r="DE270" s="116"/>
      <c r="DF270" s="116"/>
      <c r="DG270" s="116"/>
      <c r="DH270" s="116"/>
      <c r="DI270" s="116"/>
      <c r="DJ270" s="116"/>
      <c r="DK270" s="116"/>
      <c r="DL270" s="116"/>
      <c r="DM270" s="116"/>
      <c r="DN270" s="116"/>
    </row>
    <row r="271" spans="1:118" x14ac:dyDescent="0.2">
      <c r="A271" s="27">
        <v>265</v>
      </c>
      <c r="B271" s="29">
        <f t="shared" si="272"/>
        <v>47178</v>
      </c>
      <c r="C271" s="30">
        <f t="shared" si="273"/>
        <v>8.3333333333333329E-2</v>
      </c>
      <c r="D271" s="55"/>
      <c r="E271" s="62">
        <f t="shared" ca="1" si="291"/>
        <v>54922283.460027315</v>
      </c>
      <c r="F271" s="63">
        <f ca="1">IF(AssetIntType1="Fixed",AssetFxdRate1,IF(A271=1,OFFSET(Vectors!$D$6,A271,MATCH(AssetFltIndx1,lstInterestRates,0)),IF(MOD($A271,AssetRateReset1)=0,MAX(MIN(OFFSET(Vectors!$D$6,A271,MATCH(AssetFltIndx1,lstInterestRates,0)),(F270-AssetMarg1)+AssetPdCapFl1,AssetLifeCap1-AssetMarg1),(F270-AssetMarg1)-AssetPdCapFl1,AssetLifeFloor1-AssetMarg1),F270)))+AssetMarg1</f>
        <v>0.09</v>
      </c>
      <c r="G271" s="62">
        <f t="shared" ca="1" si="279"/>
        <v>804622.61694478267</v>
      </c>
      <c r="H271" s="62">
        <f t="shared" ca="1" si="292"/>
        <v>411917.12595020485</v>
      </c>
      <c r="I271" s="62">
        <f t="shared" ca="1" si="293"/>
        <v>392705.49099457782</v>
      </c>
      <c r="J271" s="62">
        <f t="shared" ca="1" si="274"/>
        <v>54529577.969032735</v>
      </c>
      <c r="K271" s="55"/>
      <c r="L271" s="62">
        <f t="shared" ca="1" si="294"/>
        <v>14898379.558105258</v>
      </c>
      <c r="M271" s="68">
        <f ca="1">IF(pdrLossTime1="",OFFSET(Vectors!$AE$6,A271+_Age1,MATCH(SDA_Loss,lstSDA,0)),OFFSET(Vectors!$X$6,A271+_Age1,MATCH(pdrLossTime1,lstDefaultCurve,0)))</f>
        <v>2.7777777777777779E-5</v>
      </c>
      <c r="N271" s="62">
        <f t="shared" ca="1" si="280"/>
        <v>2777.7777777777778</v>
      </c>
      <c r="O271" s="67">
        <f t="shared" ca="1" si="295"/>
        <v>0.54529577969032739</v>
      </c>
      <c r="P271" s="68">
        <f ca="1">OFFSET(Vectors!$L$6,A271+_Age1,MATCH(pdrPrepay1,lstPrepayCurve,0))*pdrPrepayStress1</f>
        <v>5.1430128318229462E-3</v>
      </c>
      <c r="Q271" s="62">
        <f t="shared" ca="1" si="296"/>
        <v>76074.690381082823</v>
      </c>
      <c r="R271" s="62">
        <f t="shared" ca="1" si="297"/>
        <v>106506.5806133212</v>
      </c>
      <c r="S271" s="69">
        <f t="shared" ca="1" si="298"/>
        <v>0.09</v>
      </c>
      <c r="T271" s="62">
        <f t="shared" ca="1" si="299"/>
        <v>111717.0133524561</v>
      </c>
      <c r="U271" s="62">
        <f t="shared" ca="1" si="281"/>
        <v>1111.1111111111111</v>
      </c>
      <c r="V271" s="62">
        <f t="shared" ca="1" si="275"/>
        <v>14713020.509333076</v>
      </c>
      <c r="W271" s="55"/>
      <c r="X271" s="62">
        <f t="shared" ca="1" si="300"/>
        <v>295409.39545797126</v>
      </c>
      <c r="Y271" s="55"/>
      <c r="Z271" s="118" t="b">
        <v>0</v>
      </c>
      <c r="AA271" s="120" t="b">
        <f t="shared" si="282"/>
        <v>0</v>
      </c>
      <c r="AB271" s="120" t="b">
        <f t="shared" si="283"/>
        <v>1</v>
      </c>
      <c r="AC271" s="120" t="b">
        <f t="shared" ca="1" si="284"/>
        <v>0</v>
      </c>
      <c r="AD271" s="121"/>
      <c r="AE271" s="129">
        <v>0</v>
      </c>
      <c r="AF271" s="69">
        <f ca="1">IF(Swap_Active="No",0,OFFSET(Vectors!$D$6,Vectors!A271,MATCH(Swap_In,lstInterestRates,0)))</f>
        <v>6.9369000000000056E-2</v>
      </c>
      <c r="AG271" s="62">
        <f t="shared" ca="1" si="301"/>
        <v>0</v>
      </c>
      <c r="AH271" s="69">
        <f ca="1">IF(Swap_Active="No",0,OFFSET(Vectors!$D$6,Vectors!A271,MATCH(Swap_Out,lstInterestRates,0)))</f>
        <v>0.04</v>
      </c>
      <c r="AI271" s="62">
        <f t="shared" ca="1" si="302"/>
        <v>0</v>
      </c>
      <c r="AJ271" s="62">
        <f t="shared" ca="1" si="303"/>
        <v>0</v>
      </c>
      <c r="AK271" s="62">
        <f t="shared" ca="1" si="304"/>
        <v>295409.39545797126</v>
      </c>
      <c r="AL271" s="121"/>
      <c r="AM271" s="123">
        <f t="shared" ca="1" si="285"/>
        <v>24830.632596842097</v>
      </c>
      <c r="AN271" s="124">
        <f t="shared" ca="1" si="305"/>
        <v>24830.632596842097</v>
      </c>
      <c r="AO271" s="125">
        <f t="shared" ca="1" si="306"/>
        <v>0</v>
      </c>
      <c r="AP271" s="123">
        <f t="shared" ca="1" si="307"/>
        <v>270578.76286112919</v>
      </c>
      <c r="AQ271" s="121"/>
      <c r="AR271" s="126">
        <f ca="1">IF(LiabIntType1="Fixed",LiabFxdRate1,OFFSET(Vectors!$D$6,Vectors!A271,MATCH(LiabLoanIndex1,lstInterestRates,0))+LiabMarg1)</f>
        <v>7.9369000000000051E-2</v>
      </c>
      <c r="AS271" s="122">
        <f t="shared" ca="1" si="308"/>
        <v>0</v>
      </c>
      <c r="AT271" s="124">
        <f t="shared" ca="1" si="309"/>
        <v>0</v>
      </c>
      <c r="AU271" s="123">
        <f t="shared" ca="1" si="310"/>
        <v>0</v>
      </c>
      <c r="AV271" s="123">
        <f t="shared" ca="1" si="286"/>
        <v>0</v>
      </c>
      <c r="AW271" s="123">
        <f t="shared" ca="1" si="311"/>
        <v>0</v>
      </c>
      <c r="AX271" s="124">
        <f t="shared" ca="1" si="312"/>
        <v>270578.76286112919</v>
      </c>
      <c r="AY271" s="121"/>
      <c r="AZ271" s="122">
        <f t="shared" ca="1" si="287"/>
        <v>0</v>
      </c>
      <c r="BA271" s="124">
        <f t="shared" ca="1" si="313"/>
        <v>0</v>
      </c>
      <c r="BB271" s="123">
        <f t="shared" ca="1" si="314"/>
        <v>0</v>
      </c>
      <c r="BC271" s="123">
        <f t="shared" ca="1" si="288"/>
        <v>0</v>
      </c>
      <c r="BD271" s="123">
        <f t="shared" ca="1" si="315"/>
        <v>0</v>
      </c>
      <c r="BE271" s="124">
        <f t="shared" ca="1" si="316"/>
        <v>270578.76286112919</v>
      </c>
      <c r="BF271" s="121"/>
      <c r="BG271" s="123">
        <f t="shared" si="289"/>
        <v>1000000</v>
      </c>
      <c r="BH271" s="123">
        <f t="shared" ca="1" si="317"/>
        <v>1000000</v>
      </c>
      <c r="BI271" s="123">
        <f t="shared" ca="1" si="318"/>
        <v>0</v>
      </c>
      <c r="BJ271" s="123">
        <f t="shared" ca="1" si="319"/>
        <v>0</v>
      </c>
      <c r="BK271" s="123">
        <f t="shared" ca="1" si="276"/>
        <v>1000000</v>
      </c>
      <c r="BL271" s="123">
        <f t="shared" ca="1" si="320"/>
        <v>270578.76286112919</v>
      </c>
      <c r="BM271" s="121"/>
      <c r="BN271" s="126">
        <f ca="1">IF(LiabIntType2="Fixed",LiabFxdRate2,OFFSET(Vectors!$D$6,Vectors!A271,MATCH(LiabLoanIndex2,lstInterestRates,0))+LiabMarg2)</f>
        <v>0.04</v>
      </c>
      <c r="BO271" s="122">
        <f t="shared" ca="1" si="321"/>
        <v>25666.828452649628</v>
      </c>
      <c r="BP271" s="124">
        <f t="shared" ca="1" si="322"/>
        <v>25666.828452649628</v>
      </c>
      <c r="BQ271" s="123">
        <f t="shared" ca="1" si="323"/>
        <v>0</v>
      </c>
      <c r="BR271" s="123">
        <f t="shared" ca="1" si="324"/>
        <v>244911.93440847954</v>
      </c>
      <c r="BS271" s="121"/>
      <c r="BT271" s="123">
        <f t="shared" ca="1" si="290"/>
        <v>19004.699639984807</v>
      </c>
      <c r="BU271" s="123">
        <f t="shared" ca="1" si="325"/>
        <v>19004.699639984807</v>
      </c>
      <c r="BV271" s="123">
        <f t="shared" ca="1" si="326"/>
        <v>0</v>
      </c>
      <c r="BW271" s="123">
        <f t="shared" ca="1" si="327"/>
        <v>225907.23476849473</v>
      </c>
      <c r="BX271" s="121"/>
      <c r="BY271" s="123">
        <f t="shared" si="328"/>
        <v>0</v>
      </c>
      <c r="BZ271" s="123">
        <f t="shared" ca="1" si="329"/>
        <v>225907.23476849473</v>
      </c>
      <c r="CA271" s="121"/>
      <c r="CB271" s="122">
        <f t="shared" ca="1" si="277"/>
        <v>0</v>
      </c>
      <c r="CC271" s="122">
        <f t="shared" ca="1" si="330"/>
        <v>0</v>
      </c>
      <c r="CD271" s="124">
        <f t="shared" ca="1" si="331"/>
        <v>0</v>
      </c>
      <c r="CE271" s="121"/>
      <c r="CF271" s="122">
        <f t="shared" ca="1" si="278"/>
        <v>7681043.8361549042</v>
      </c>
      <c r="CG271" s="124">
        <f t="shared" ca="1" si="332"/>
        <v>25666.828452649628</v>
      </c>
      <c r="CH271" s="123">
        <f t="shared" ca="1" si="333"/>
        <v>19004.699639984807</v>
      </c>
      <c r="CI271" s="121"/>
      <c r="CJ271" s="123">
        <f t="shared" ca="1" si="334"/>
        <v>295409.39545797126</v>
      </c>
      <c r="CK271" s="123">
        <f t="shared" ca="1" si="335"/>
        <v>295409.39545797126</v>
      </c>
      <c r="CL271" s="123">
        <f t="shared" ca="1" si="336"/>
        <v>0</v>
      </c>
      <c r="CM271" s="121"/>
      <c r="CN271" s="62">
        <f t="shared" ca="1" si="337"/>
        <v>185359.04877218179</v>
      </c>
      <c r="CO271" s="62" t="b">
        <f t="shared" si="338"/>
        <v>1</v>
      </c>
      <c r="CP271" s="126">
        <f t="shared" ca="1" si="339"/>
        <v>7.3611111111110813E-3</v>
      </c>
      <c r="CQ271" s="120"/>
      <c r="CR271" s="120"/>
      <c r="CS271" s="120"/>
      <c r="CT271" s="120"/>
      <c r="CU271" s="120"/>
      <c r="CV271" s="120"/>
      <c r="CW271" s="120"/>
      <c r="CX271" s="120"/>
      <c r="CY271" s="120"/>
      <c r="CZ271" s="120"/>
      <c r="DA271" s="120"/>
      <c r="DB271" s="120"/>
      <c r="DC271" s="120"/>
      <c r="DD271" s="120"/>
      <c r="DE271" s="116"/>
      <c r="DF271" s="116"/>
      <c r="DG271" s="116"/>
      <c r="DH271" s="116"/>
      <c r="DI271" s="116"/>
      <c r="DJ271" s="116"/>
      <c r="DK271" s="116"/>
      <c r="DL271" s="116"/>
      <c r="DM271" s="116"/>
      <c r="DN271" s="116"/>
    </row>
    <row r="272" spans="1:118" x14ac:dyDescent="0.2">
      <c r="A272" s="27">
        <v>266</v>
      </c>
      <c r="B272" s="29">
        <f t="shared" si="272"/>
        <v>47209</v>
      </c>
      <c r="C272" s="30">
        <f t="shared" si="273"/>
        <v>8.3333333333333329E-2</v>
      </c>
      <c r="D272" s="55"/>
      <c r="E272" s="62">
        <f t="shared" ca="1" si="291"/>
        <v>54529577.969032735</v>
      </c>
      <c r="F272" s="63">
        <f ca="1">IF(AssetIntType1="Fixed",AssetFxdRate1,IF(A272=1,OFFSET(Vectors!$D$6,A272,MATCH(AssetFltIndx1,lstInterestRates,0)),IF(MOD($A272,AssetRateReset1)=0,MAX(MIN(OFFSET(Vectors!$D$6,A272,MATCH(AssetFltIndx1,lstInterestRates,0)),(F271-AssetMarg1)+AssetPdCapFl1,AssetLifeCap1-AssetMarg1),(F271-AssetMarg1)-AssetPdCapFl1,AssetLifeFloor1-AssetMarg1),F271)))+AssetMarg1</f>
        <v>0.09</v>
      </c>
      <c r="G272" s="62">
        <f t="shared" ca="1" si="279"/>
        <v>804622.61694478267</v>
      </c>
      <c r="H272" s="62">
        <f t="shared" ca="1" si="292"/>
        <v>408971.83476774552</v>
      </c>
      <c r="I272" s="62">
        <f t="shared" ca="1" si="293"/>
        <v>395650.78217703715</v>
      </c>
      <c r="J272" s="62">
        <f t="shared" ca="1" si="274"/>
        <v>54133927.186855696</v>
      </c>
      <c r="K272" s="55"/>
      <c r="L272" s="62">
        <f t="shared" ca="1" si="294"/>
        <v>14713020.509333076</v>
      </c>
      <c r="M272" s="68">
        <f ca="1">IF(pdrLossTime1="",OFFSET(Vectors!$AE$6,A272+_Age1,MATCH(SDA_Loss,lstSDA,0)),OFFSET(Vectors!$X$6,A272+_Age1,MATCH(pdrLossTime1,lstDefaultCurve,0)))</f>
        <v>2.7777777777777779E-5</v>
      </c>
      <c r="N272" s="62">
        <f t="shared" ca="1" si="280"/>
        <v>2777.7777777777778</v>
      </c>
      <c r="O272" s="67">
        <f t="shared" ca="1" si="295"/>
        <v>0.54133927186855701</v>
      </c>
      <c r="P272" s="68">
        <f ca="1">OFFSET(Vectors!$L$6,A272+_Age1,MATCH(pdrPrepay1,lstPrepayCurve,0))*pdrPrepayStress1</f>
        <v>5.1430128318229462E-3</v>
      </c>
      <c r="Q272" s="62">
        <f t="shared" ca="1" si="296"/>
        <v>75120.219147211857</v>
      </c>
      <c r="R272" s="62">
        <f t="shared" ca="1" si="297"/>
        <v>106733.24935797605</v>
      </c>
      <c r="S272" s="69">
        <f t="shared" ca="1" si="298"/>
        <v>0.09</v>
      </c>
      <c r="T272" s="62">
        <f t="shared" ca="1" si="299"/>
        <v>110326.82048666473</v>
      </c>
      <c r="U272" s="62">
        <f t="shared" ca="1" si="281"/>
        <v>1111.1111111111111</v>
      </c>
      <c r="V272" s="62">
        <f t="shared" ca="1" si="275"/>
        <v>14528389.263050111</v>
      </c>
      <c r="W272" s="55"/>
      <c r="X272" s="62">
        <f t="shared" ca="1" si="300"/>
        <v>293291.40010296373</v>
      </c>
      <c r="Y272" s="55"/>
      <c r="Z272" s="118" t="b">
        <v>0</v>
      </c>
      <c r="AA272" s="120" t="b">
        <f t="shared" si="282"/>
        <v>0</v>
      </c>
      <c r="AB272" s="120" t="b">
        <f t="shared" si="283"/>
        <v>1</v>
      </c>
      <c r="AC272" s="120" t="b">
        <f t="shared" ca="1" si="284"/>
        <v>0</v>
      </c>
      <c r="AD272" s="121"/>
      <c r="AE272" s="129">
        <v>0</v>
      </c>
      <c r="AF272" s="69">
        <f ca="1">IF(Swap_Active="No",0,OFFSET(Vectors!$D$6,Vectors!A272,MATCH(Swap_In,lstInterestRates,0)))</f>
        <v>6.9369000000000056E-2</v>
      </c>
      <c r="AG272" s="62">
        <f t="shared" ca="1" si="301"/>
        <v>0</v>
      </c>
      <c r="AH272" s="69">
        <f ca="1">IF(Swap_Active="No",0,OFFSET(Vectors!$D$6,Vectors!A272,MATCH(Swap_Out,lstInterestRates,0)))</f>
        <v>0.04</v>
      </c>
      <c r="AI272" s="62">
        <f t="shared" ca="1" si="302"/>
        <v>0</v>
      </c>
      <c r="AJ272" s="62">
        <f t="shared" ca="1" si="303"/>
        <v>0</v>
      </c>
      <c r="AK272" s="62">
        <f t="shared" ca="1" si="304"/>
        <v>293291.40010296373</v>
      </c>
      <c r="AL272" s="121"/>
      <c r="AM272" s="123">
        <f t="shared" ca="1" si="285"/>
        <v>24521.700848888457</v>
      </c>
      <c r="AN272" s="124">
        <f t="shared" ca="1" si="305"/>
        <v>24521.700848888457</v>
      </c>
      <c r="AO272" s="125">
        <f t="shared" ca="1" si="306"/>
        <v>0</v>
      </c>
      <c r="AP272" s="123">
        <f t="shared" ca="1" si="307"/>
        <v>268769.6992540753</v>
      </c>
      <c r="AQ272" s="121"/>
      <c r="AR272" s="126">
        <f ca="1">IF(LiabIntType1="Fixed",LiabFxdRate1,OFFSET(Vectors!$D$6,Vectors!A272,MATCH(LiabLoanIndex1,lstInterestRates,0))+LiabMarg1)</f>
        <v>7.9369000000000051E-2</v>
      </c>
      <c r="AS272" s="122">
        <f t="shared" ca="1" si="308"/>
        <v>0</v>
      </c>
      <c r="AT272" s="124">
        <f t="shared" ca="1" si="309"/>
        <v>0</v>
      </c>
      <c r="AU272" s="123">
        <f t="shared" ca="1" si="310"/>
        <v>0</v>
      </c>
      <c r="AV272" s="123">
        <f t="shared" ca="1" si="286"/>
        <v>0</v>
      </c>
      <c r="AW272" s="123">
        <f t="shared" ca="1" si="311"/>
        <v>0</v>
      </c>
      <c r="AX272" s="124">
        <f t="shared" ca="1" si="312"/>
        <v>268769.6992540753</v>
      </c>
      <c r="AY272" s="121"/>
      <c r="AZ272" s="122">
        <f t="shared" ca="1" si="287"/>
        <v>0</v>
      </c>
      <c r="BA272" s="124">
        <f t="shared" ca="1" si="313"/>
        <v>0</v>
      </c>
      <c r="BB272" s="123">
        <f t="shared" ca="1" si="314"/>
        <v>0</v>
      </c>
      <c r="BC272" s="123">
        <f t="shared" ca="1" si="288"/>
        <v>0</v>
      </c>
      <c r="BD272" s="123">
        <f t="shared" ca="1" si="315"/>
        <v>0</v>
      </c>
      <c r="BE272" s="124">
        <f t="shared" ca="1" si="316"/>
        <v>268769.6992540753</v>
      </c>
      <c r="BF272" s="121"/>
      <c r="BG272" s="123">
        <f t="shared" si="289"/>
        <v>1000000</v>
      </c>
      <c r="BH272" s="123">
        <f t="shared" ca="1" si="317"/>
        <v>1000000</v>
      </c>
      <c r="BI272" s="123">
        <f t="shared" ca="1" si="318"/>
        <v>0</v>
      </c>
      <c r="BJ272" s="123">
        <f t="shared" ca="1" si="319"/>
        <v>0</v>
      </c>
      <c r="BK272" s="123">
        <f t="shared" ca="1" si="276"/>
        <v>1000000</v>
      </c>
      <c r="BL272" s="123">
        <f t="shared" ca="1" si="320"/>
        <v>268769.6992540753</v>
      </c>
      <c r="BM272" s="121"/>
      <c r="BN272" s="126">
        <f ca="1">IF(LiabIntType2="Fixed",LiabFxdRate2,OFFSET(Vectors!$D$6,Vectors!A272,MATCH(LiabLoanIndex2,lstInterestRates,0))+LiabMarg2)</f>
        <v>0.04</v>
      </c>
      <c r="BO272" s="122">
        <f t="shared" ca="1" si="321"/>
        <v>25603.479453849679</v>
      </c>
      <c r="BP272" s="124">
        <f t="shared" ca="1" si="322"/>
        <v>25603.479453849679</v>
      </c>
      <c r="BQ272" s="123">
        <f t="shared" ca="1" si="323"/>
        <v>0</v>
      </c>
      <c r="BR272" s="123">
        <f t="shared" ca="1" si="324"/>
        <v>243166.21980022563</v>
      </c>
      <c r="BS272" s="121"/>
      <c r="BT272" s="123">
        <f t="shared" ca="1" si="290"/>
        <v>18930.078693252475</v>
      </c>
      <c r="BU272" s="123">
        <f t="shared" ca="1" si="325"/>
        <v>18930.078693252475</v>
      </c>
      <c r="BV272" s="123">
        <f t="shared" ca="1" si="326"/>
        <v>0</v>
      </c>
      <c r="BW272" s="123">
        <f t="shared" ca="1" si="327"/>
        <v>224236.14110697317</v>
      </c>
      <c r="BX272" s="121"/>
      <c r="BY272" s="123">
        <f t="shared" si="328"/>
        <v>0</v>
      </c>
      <c r="BZ272" s="123">
        <f t="shared" ca="1" si="329"/>
        <v>224236.14110697317</v>
      </c>
      <c r="CA272" s="121"/>
      <c r="CB272" s="122">
        <f t="shared" ca="1" si="277"/>
        <v>0</v>
      </c>
      <c r="CC272" s="122">
        <f t="shared" ca="1" si="330"/>
        <v>0</v>
      </c>
      <c r="CD272" s="124">
        <f t="shared" ca="1" si="331"/>
        <v>0</v>
      </c>
      <c r="CE272" s="121"/>
      <c r="CF272" s="122">
        <f t="shared" ca="1" si="278"/>
        <v>7662113.7574616522</v>
      </c>
      <c r="CG272" s="124">
        <f t="shared" ca="1" si="332"/>
        <v>25603.479453849679</v>
      </c>
      <c r="CH272" s="123">
        <f t="shared" ca="1" si="333"/>
        <v>18930.078693252475</v>
      </c>
      <c r="CI272" s="121"/>
      <c r="CJ272" s="123">
        <f t="shared" ca="1" si="334"/>
        <v>293291.40010296373</v>
      </c>
      <c r="CK272" s="123">
        <f t="shared" ca="1" si="335"/>
        <v>293291.40010296379</v>
      </c>
      <c r="CL272" s="123">
        <f t="shared" ca="1" si="336"/>
        <v>0</v>
      </c>
      <c r="CM272" s="121"/>
      <c r="CN272" s="62">
        <f t="shared" ca="1" si="337"/>
        <v>184631.2462829657</v>
      </c>
      <c r="CO272" s="62" t="b">
        <f t="shared" si="338"/>
        <v>1</v>
      </c>
      <c r="CP272" s="126">
        <f t="shared" ca="1" si="339"/>
        <v>7.3888888888888589E-3</v>
      </c>
      <c r="CQ272" s="120"/>
      <c r="CR272" s="120"/>
      <c r="CS272" s="120"/>
      <c r="CT272" s="120"/>
      <c r="CU272" s="120"/>
      <c r="CV272" s="120"/>
      <c r="CW272" s="120"/>
      <c r="CX272" s="120"/>
      <c r="CY272" s="120"/>
      <c r="CZ272" s="120"/>
      <c r="DA272" s="120"/>
      <c r="DB272" s="120"/>
      <c r="DC272" s="120"/>
      <c r="DD272" s="120"/>
      <c r="DE272" s="116"/>
      <c r="DF272" s="116"/>
      <c r="DG272" s="116"/>
      <c r="DH272" s="116"/>
      <c r="DI272" s="116"/>
      <c r="DJ272" s="116"/>
      <c r="DK272" s="116"/>
      <c r="DL272" s="116"/>
      <c r="DM272" s="116"/>
      <c r="DN272" s="116"/>
    </row>
    <row r="273" spans="1:118" x14ac:dyDescent="0.2">
      <c r="A273" s="27">
        <v>267</v>
      </c>
      <c r="B273" s="29">
        <f t="shared" si="272"/>
        <v>47239</v>
      </c>
      <c r="C273" s="30">
        <f t="shared" si="273"/>
        <v>8.3333333333333329E-2</v>
      </c>
      <c r="D273" s="55"/>
      <c r="E273" s="62">
        <f t="shared" ca="1" si="291"/>
        <v>54133927.186855696</v>
      </c>
      <c r="F273" s="63">
        <f ca="1">IF(AssetIntType1="Fixed",AssetFxdRate1,IF(A273=1,OFFSET(Vectors!$D$6,A273,MATCH(AssetFltIndx1,lstInterestRates,0)),IF(MOD($A273,AssetRateReset1)=0,MAX(MIN(OFFSET(Vectors!$D$6,A273,MATCH(AssetFltIndx1,lstInterestRates,0)),(F272-AssetMarg1)+AssetPdCapFl1,AssetLifeCap1-AssetMarg1),(F272-AssetMarg1)-AssetPdCapFl1,AssetLifeFloor1-AssetMarg1),F272)))+AssetMarg1</f>
        <v>0.09</v>
      </c>
      <c r="G273" s="62">
        <f t="shared" ca="1" si="279"/>
        <v>804622.61694478267</v>
      </c>
      <c r="H273" s="62">
        <f t="shared" ca="1" si="292"/>
        <v>406004.45390141773</v>
      </c>
      <c r="I273" s="62">
        <f t="shared" ca="1" si="293"/>
        <v>398618.16304336494</v>
      </c>
      <c r="J273" s="62">
        <f t="shared" ca="1" si="274"/>
        <v>53735309.023812331</v>
      </c>
      <c r="K273" s="55"/>
      <c r="L273" s="62">
        <f t="shared" ca="1" si="294"/>
        <v>14528389.263050111</v>
      </c>
      <c r="M273" s="68">
        <f ca="1">IF(pdrLossTime1="",OFFSET(Vectors!$AE$6,A273+_Age1,MATCH(SDA_Loss,lstSDA,0)),OFFSET(Vectors!$X$6,A273+_Age1,MATCH(pdrLossTime1,lstDefaultCurve,0)))</f>
        <v>2.7777777777777779E-5</v>
      </c>
      <c r="N273" s="62">
        <f t="shared" ca="1" si="280"/>
        <v>2777.7777777777778</v>
      </c>
      <c r="O273" s="67">
        <f t="shared" ca="1" si="295"/>
        <v>0.53735309023812328</v>
      </c>
      <c r="P273" s="68">
        <f ca="1">OFFSET(Vectors!$L$6,A273+_Age1,MATCH(pdrPrepay1,lstPrepayCurve,0))*pdrPrepayStress1</f>
        <v>5.1430128318229462E-3</v>
      </c>
      <c r="Q273" s="62">
        <f t="shared" ca="1" si="296"/>
        <v>74169.489823255295</v>
      </c>
      <c r="R273" s="62">
        <f t="shared" ca="1" si="297"/>
        <v>106960.14252494363</v>
      </c>
      <c r="S273" s="69">
        <f t="shared" ca="1" si="298"/>
        <v>0.09</v>
      </c>
      <c r="T273" s="62">
        <f t="shared" ca="1" si="299"/>
        <v>108942.08613954249</v>
      </c>
      <c r="U273" s="62">
        <f t="shared" ca="1" si="281"/>
        <v>1111.1111111111111</v>
      </c>
      <c r="V273" s="62">
        <f t="shared" ca="1" si="275"/>
        <v>14344481.852924135</v>
      </c>
      <c r="W273" s="55"/>
      <c r="X273" s="62">
        <f t="shared" ca="1" si="300"/>
        <v>291182.82959885255</v>
      </c>
      <c r="Y273" s="55"/>
      <c r="Z273" s="118" t="b">
        <v>0</v>
      </c>
      <c r="AA273" s="120" t="b">
        <f t="shared" si="282"/>
        <v>0</v>
      </c>
      <c r="AB273" s="120" t="b">
        <f t="shared" si="283"/>
        <v>1</v>
      </c>
      <c r="AC273" s="120" t="b">
        <f t="shared" ca="1" si="284"/>
        <v>0</v>
      </c>
      <c r="AD273" s="121"/>
      <c r="AE273" s="129">
        <v>0</v>
      </c>
      <c r="AF273" s="69">
        <f ca="1">IF(Swap_Active="No",0,OFFSET(Vectors!$D$6,Vectors!A273,MATCH(Swap_In,lstInterestRates,0)))</f>
        <v>6.9369000000000056E-2</v>
      </c>
      <c r="AG273" s="62">
        <f t="shared" ca="1" si="301"/>
        <v>0</v>
      </c>
      <c r="AH273" s="69">
        <f ca="1">IF(Swap_Active="No",0,OFFSET(Vectors!$D$6,Vectors!A273,MATCH(Swap_Out,lstInterestRates,0)))</f>
        <v>0.04</v>
      </c>
      <c r="AI273" s="62">
        <f t="shared" ca="1" si="302"/>
        <v>0</v>
      </c>
      <c r="AJ273" s="62">
        <f t="shared" ca="1" si="303"/>
        <v>0</v>
      </c>
      <c r="AK273" s="62">
        <f t="shared" ca="1" si="304"/>
        <v>291182.82959885255</v>
      </c>
      <c r="AL273" s="121"/>
      <c r="AM273" s="123">
        <f t="shared" ca="1" si="285"/>
        <v>24213.982105083516</v>
      </c>
      <c r="AN273" s="124">
        <f t="shared" ca="1" si="305"/>
        <v>24213.982105083516</v>
      </c>
      <c r="AO273" s="125">
        <f t="shared" ca="1" si="306"/>
        <v>0</v>
      </c>
      <c r="AP273" s="123">
        <f t="shared" ca="1" si="307"/>
        <v>266968.84749376902</v>
      </c>
      <c r="AQ273" s="121"/>
      <c r="AR273" s="126">
        <f ca="1">IF(LiabIntType1="Fixed",LiabFxdRate1,OFFSET(Vectors!$D$6,Vectors!A273,MATCH(LiabLoanIndex1,lstInterestRates,0))+LiabMarg1)</f>
        <v>7.9369000000000051E-2</v>
      </c>
      <c r="AS273" s="122">
        <f t="shared" ca="1" si="308"/>
        <v>0</v>
      </c>
      <c r="AT273" s="124">
        <f t="shared" ca="1" si="309"/>
        <v>0</v>
      </c>
      <c r="AU273" s="123">
        <f t="shared" ca="1" si="310"/>
        <v>0</v>
      </c>
      <c r="AV273" s="123">
        <f t="shared" ca="1" si="286"/>
        <v>0</v>
      </c>
      <c r="AW273" s="123">
        <f t="shared" ca="1" si="311"/>
        <v>0</v>
      </c>
      <c r="AX273" s="124">
        <f t="shared" ca="1" si="312"/>
        <v>266968.84749376902</v>
      </c>
      <c r="AY273" s="121"/>
      <c r="AZ273" s="122">
        <f t="shared" ca="1" si="287"/>
        <v>0</v>
      </c>
      <c r="BA273" s="124">
        <f t="shared" ca="1" si="313"/>
        <v>0</v>
      </c>
      <c r="BB273" s="123">
        <f t="shared" ca="1" si="314"/>
        <v>0</v>
      </c>
      <c r="BC273" s="123">
        <f t="shared" ca="1" si="288"/>
        <v>0</v>
      </c>
      <c r="BD273" s="123">
        <f t="shared" ca="1" si="315"/>
        <v>0</v>
      </c>
      <c r="BE273" s="124">
        <f t="shared" ca="1" si="316"/>
        <v>266968.84749376902</v>
      </c>
      <c r="BF273" s="121"/>
      <c r="BG273" s="123">
        <f t="shared" si="289"/>
        <v>1000000</v>
      </c>
      <c r="BH273" s="123">
        <f t="shared" ca="1" si="317"/>
        <v>1000000</v>
      </c>
      <c r="BI273" s="123">
        <f t="shared" ca="1" si="318"/>
        <v>0</v>
      </c>
      <c r="BJ273" s="123">
        <f t="shared" ca="1" si="319"/>
        <v>0</v>
      </c>
      <c r="BK273" s="123">
        <f t="shared" ca="1" si="276"/>
        <v>1000000</v>
      </c>
      <c r="BL273" s="123">
        <f t="shared" ca="1" si="320"/>
        <v>266968.84749376902</v>
      </c>
      <c r="BM273" s="121"/>
      <c r="BN273" s="126">
        <f ca="1">IF(LiabIntType2="Fixed",LiabFxdRate2,OFFSET(Vectors!$D$6,Vectors!A273,MATCH(LiabLoanIndex2,lstInterestRates,0))+LiabMarg2)</f>
        <v>0.04</v>
      </c>
      <c r="BO273" s="122">
        <f t="shared" ca="1" si="321"/>
        <v>25540.379191538839</v>
      </c>
      <c r="BP273" s="124">
        <f t="shared" ca="1" si="322"/>
        <v>25540.379191538839</v>
      </c>
      <c r="BQ273" s="123">
        <f t="shared" ca="1" si="323"/>
        <v>0</v>
      </c>
      <c r="BR273" s="123">
        <f t="shared" ca="1" si="324"/>
        <v>241428.46830223018</v>
      </c>
      <c r="BS273" s="121"/>
      <c r="BT273" s="123">
        <f t="shared" ca="1" si="290"/>
        <v>18855.864411062001</v>
      </c>
      <c r="BU273" s="123">
        <f t="shared" ca="1" si="325"/>
        <v>18855.864411062001</v>
      </c>
      <c r="BV273" s="123">
        <f t="shared" ca="1" si="326"/>
        <v>0</v>
      </c>
      <c r="BW273" s="123">
        <f t="shared" ca="1" si="327"/>
        <v>222572.60389116817</v>
      </c>
      <c r="BX273" s="121"/>
      <c r="BY273" s="123">
        <f t="shared" si="328"/>
        <v>0</v>
      </c>
      <c r="BZ273" s="123">
        <f t="shared" ca="1" si="329"/>
        <v>222572.60389116817</v>
      </c>
      <c r="CA273" s="121"/>
      <c r="CB273" s="122">
        <f t="shared" ca="1" si="277"/>
        <v>0</v>
      </c>
      <c r="CC273" s="122">
        <f t="shared" ca="1" si="330"/>
        <v>0</v>
      </c>
      <c r="CD273" s="124">
        <f t="shared" ca="1" si="331"/>
        <v>0</v>
      </c>
      <c r="CE273" s="121"/>
      <c r="CF273" s="122">
        <f t="shared" ca="1" si="278"/>
        <v>7643257.8930505905</v>
      </c>
      <c r="CG273" s="124">
        <f t="shared" ca="1" si="332"/>
        <v>25540.379191538839</v>
      </c>
      <c r="CH273" s="123">
        <f t="shared" ca="1" si="333"/>
        <v>18855.864411062001</v>
      </c>
      <c r="CI273" s="121"/>
      <c r="CJ273" s="123">
        <f t="shared" ca="1" si="334"/>
        <v>291182.82959885255</v>
      </c>
      <c r="CK273" s="123">
        <f t="shared" ca="1" si="335"/>
        <v>291182.82959885255</v>
      </c>
      <c r="CL273" s="123">
        <f t="shared" ca="1" si="336"/>
        <v>0</v>
      </c>
      <c r="CM273" s="121"/>
      <c r="CN273" s="62">
        <f t="shared" ca="1" si="337"/>
        <v>183907.41012597672</v>
      </c>
      <c r="CO273" s="62" t="b">
        <f t="shared" si="338"/>
        <v>1</v>
      </c>
      <c r="CP273" s="126">
        <f t="shared" ca="1" si="339"/>
        <v>7.4166666666666365E-3</v>
      </c>
      <c r="CQ273" s="120"/>
      <c r="CR273" s="120"/>
      <c r="CS273" s="120"/>
      <c r="CT273" s="120"/>
      <c r="CU273" s="120"/>
      <c r="CV273" s="120"/>
      <c r="CW273" s="120"/>
      <c r="CX273" s="120"/>
      <c r="CY273" s="120"/>
      <c r="CZ273" s="120"/>
      <c r="DA273" s="120"/>
      <c r="DB273" s="120"/>
      <c r="DC273" s="120"/>
      <c r="DD273" s="120"/>
      <c r="DE273" s="116"/>
      <c r="DF273" s="116"/>
      <c r="DG273" s="116"/>
      <c r="DH273" s="116"/>
      <c r="DI273" s="116"/>
      <c r="DJ273" s="116"/>
      <c r="DK273" s="116"/>
      <c r="DL273" s="116"/>
      <c r="DM273" s="116"/>
      <c r="DN273" s="116"/>
    </row>
    <row r="274" spans="1:118" x14ac:dyDescent="0.2">
      <c r="A274" s="27">
        <v>268</v>
      </c>
      <c r="B274" s="29">
        <f t="shared" si="272"/>
        <v>47270</v>
      </c>
      <c r="C274" s="30">
        <f t="shared" si="273"/>
        <v>8.3333333333333329E-2</v>
      </c>
      <c r="D274" s="55"/>
      <c r="E274" s="62">
        <f t="shared" ca="1" si="291"/>
        <v>53735309.023812331</v>
      </c>
      <c r="F274" s="63">
        <f ca="1">IF(AssetIntType1="Fixed",AssetFxdRate1,IF(A274=1,OFFSET(Vectors!$D$6,A274,MATCH(AssetFltIndx1,lstInterestRates,0)),IF(MOD($A274,AssetRateReset1)=0,MAX(MIN(OFFSET(Vectors!$D$6,A274,MATCH(AssetFltIndx1,lstInterestRates,0)),(F273-AssetMarg1)+AssetPdCapFl1,AssetLifeCap1-AssetMarg1),(F273-AssetMarg1)-AssetPdCapFl1,AssetLifeFloor1-AssetMarg1),F273)))+AssetMarg1</f>
        <v>0.09</v>
      </c>
      <c r="G274" s="62">
        <f t="shared" ca="1" si="279"/>
        <v>804622.61694478267</v>
      </c>
      <c r="H274" s="62">
        <f t="shared" ca="1" si="292"/>
        <v>403014.81767859246</v>
      </c>
      <c r="I274" s="62">
        <f t="shared" ca="1" si="293"/>
        <v>401607.79926619021</v>
      </c>
      <c r="J274" s="62">
        <f t="shared" ca="1" si="274"/>
        <v>53333701.224546142</v>
      </c>
      <c r="K274" s="55"/>
      <c r="L274" s="62">
        <f t="shared" ca="1" si="294"/>
        <v>14344481.852924135</v>
      </c>
      <c r="M274" s="68">
        <f ca="1">IF(pdrLossTime1="",OFFSET(Vectors!$AE$6,A274+_Age1,MATCH(SDA_Loss,lstSDA,0)),OFFSET(Vectors!$X$6,A274+_Age1,MATCH(pdrLossTime1,lstDefaultCurve,0)))</f>
        <v>2.7777777777777779E-5</v>
      </c>
      <c r="N274" s="62">
        <f t="shared" ca="1" si="280"/>
        <v>2777.7777777777778</v>
      </c>
      <c r="O274" s="67">
        <f t="shared" ca="1" si="295"/>
        <v>0.53333701224546137</v>
      </c>
      <c r="P274" s="68">
        <f ca="1">OFFSET(Vectors!$L$6,A274+_Age1,MATCH(pdrPrepay1,lstPrepayCurve,0))*pdrPrepayStress1</f>
        <v>5.1430128318229462E-3</v>
      </c>
      <c r="Q274" s="62">
        <f t="shared" ca="1" si="296"/>
        <v>73222.482041232666</v>
      </c>
      <c r="R274" s="62">
        <f t="shared" ca="1" si="297"/>
        <v>107187.25389285674</v>
      </c>
      <c r="S274" s="69">
        <f t="shared" ca="1" si="298"/>
        <v>0.09</v>
      </c>
      <c r="T274" s="62">
        <f t="shared" ca="1" si="299"/>
        <v>107562.78056359767</v>
      </c>
      <c r="U274" s="62">
        <f t="shared" ca="1" si="281"/>
        <v>1111.1111111111111</v>
      </c>
      <c r="V274" s="62">
        <f t="shared" ca="1" si="275"/>
        <v>14161294.339212267</v>
      </c>
      <c r="W274" s="55"/>
      <c r="X274" s="62">
        <f t="shared" ca="1" si="300"/>
        <v>289083.62760879821</v>
      </c>
      <c r="Y274" s="55"/>
      <c r="Z274" s="118" t="b">
        <v>0</v>
      </c>
      <c r="AA274" s="120" t="b">
        <f t="shared" si="282"/>
        <v>0</v>
      </c>
      <c r="AB274" s="120" t="b">
        <f t="shared" si="283"/>
        <v>1</v>
      </c>
      <c r="AC274" s="120" t="b">
        <f t="shared" ca="1" si="284"/>
        <v>0</v>
      </c>
      <c r="AD274" s="121"/>
      <c r="AE274" s="129">
        <v>0</v>
      </c>
      <c r="AF274" s="69">
        <f ca="1">IF(Swap_Active="No",0,OFFSET(Vectors!$D$6,Vectors!A274,MATCH(Swap_In,lstInterestRates,0)))</f>
        <v>6.9369000000000056E-2</v>
      </c>
      <c r="AG274" s="62">
        <f t="shared" ca="1" si="301"/>
        <v>0</v>
      </c>
      <c r="AH274" s="69">
        <f ca="1">IF(Swap_Active="No",0,OFFSET(Vectors!$D$6,Vectors!A274,MATCH(Swap_Out,lstInterestRates,0)))</f>
        <v>0.04</v>
      </c>
      <c r="AI274" s="62">
        <f t="shared" ca="1" si="302"/>
        <v>0</v>
      </c>
      <c r="AJ274" s="62">
        <f t="shared" ca="1" si="303"/>
        <v>0</v>
      </c>
      <c r="AK274" s="62">
        <f t="shared" ca="1" si="304"/>
        <v>289083.62760879821</v>
      </c>
      <c r="AL274" s="121"/>
      <c r="AM274" s="123">
        <f t="shared" ca="1" si="285"/>
        <v>23907.469754873557</v>
      </c>
      <c r="AN274" s="124">
        <f t="shared" ca="1" si="305"/>
        <v>23907.469754873557</v>
      </c>
      <c r="AO274" s="125">
        <f t="shared" ca="1" si="306"/>
        <v>0</v>
      </c>
      <c r="AP274" s="123">
        <f t="shared" ca="1" si="307"/>
        <v>265176.15785392467</v>
      </c>
      <c r="AQ274" s="121"/>
      <c r="AR274" s="126">
        <f ca="1">IF(LiabIntType1="Fixed",LiabFxdRate1,OFFSET(Vectors!$D$6,Vectors!A274,MATCH(LiabLoanIndex1,lstInterestRates,0))+LiabMarg1)</f>
        <v>7.9369000000000051E-2</v>
      </c>
      <c r="AS274" s="122">
        <f t="shared" ca="1" si="308"/>
        <v>0</v>
      </c>
      <c r="AT274" s="124">
        <f t="shared" ca="1" si="309"/>
        <v>0</v>
      </c>
      <c r="AU274" s="123">
        <f t="shared" ca="1" si="310"/>
        <v>0</v>
      </c>
      <c r="AV274" s="123">
        <f t="shared" ca="1" si="286"/>
        <v>0</v>
      </c>
      <c r="AW274" s="123">
        <f t="shared" ca="1" si="311"/>
        <v>0</v>
      </c>
      <c r="AX274" s="124">
        <f t="shared" ca="1" si="312"/>
        <v>265176.15785392467</v>
      </c>
      <c r="AY274" s="121"/>
      <c r="AZ274" s="122">
        <f t="shared" ca="1" si="287"/>
        <v>0</v>
      </c>
      <c r="BA274" s="124">
        <f t="shared" ca="1" si="313"/>
        <v>0</v>
      </c>
      <c r="BB274" s="123">
        <f t="shared" ca="1" si="314"/>
        <v>0</v>
      </c>
      <c r="BC274" s="123">
        <f t="shared" ca="1" si="288"/>
        <v>0</v>
      </c>
      <c r="BD274" s="123">
        <f t="shared" ca="1" si="315"/>
        <v>0</v>
      </c>
      <c r="BE274" s="124">
        <f t="shared" ca="1" si="316"/>
        <v>265176.15785392467</v>
      </c>
      <c r="BF274" s="121"/>
      <c r="BG274" s="123">
        <f t="shared" si="289"/>
        <v>1000000</v>
      </c>
      <c r="BH274" s="123">
        <f t="shared" ca="1" si="317"/>
        <v>1000000</v>
      </c>
      <c r="BI274" s="123">
        <f t="shared" ca="1" si="318"/>
        <v>0</v>
      </c>
      <c r="BJ274" s="123">
        <f t="shared" ca="1" si="319"/>
        <v>0</v>
      </c>
      <c r="BK274" s="123">
        <f t="shared" ca="1" si="276"/>
        <v>1000000</v>
      </c>
      <c r="BL274" s="123">
        <f t="shared" ca="1" si="320"/>
        <v>265176.15785392467</v>
      </c>
      <c r="BM274" s="121"/>
      <c r="BN274" s="126">
        <f ca="1">IF(LiabIntType2="Fixed",LiabFxdRate2,OFFSET(Vectors!$D$6,Vectors!A274,MATCH(LiabLoanIndex2,lstInterestRates,0))+LiabMarg2)</f>
        <v>0.04</v>
      </c>
      <c r="BO274" s="122">
        <f t="shared" ca="1" si="321"/>
        <v>25477.526310168632</v>
      </c>
      <c r="BP274" s="124">
        <f t="shared" ca="1" si="322"/>
        <v>25477.526310168632</v>
      </c>
      <c r="BQ274" s="123">
        <f t="shared" ca="1" si="323"/>
        <v>0</v>
      </c>
      <c r="BR274" s="123">
        <f t="shared" ca="1" si="324"/>
        <v>239698.63154375603</v>
      </c>
      <c r="BS274" s="121"/>
      <c r="BT274" s="123">
        <f t="shared" ca="1" si="290"/>
        <v>18782.054067231042</v>
      </c>
      <c r="BU274" s="123">
        <f t="shared" ca="1" si="325"/>
        <v>18782.054067231042</v>
      </c>
      <c r="BV274" s="123">
        <f t="shared" ca="1" si="326"/>
        <v>0</v>
      </c>
      <c r="BW274" s="123">
        <f t="shared" ca="1" si="327"/>
        <v>220916.57747652498</v>
      </c>
      <c r="BX274" s="121"/>
      <c r="BY274" s="123">
        <f t="shared" si="328"/>
        <v>0</v>
      </c>
      <c r="BZ274" s="123">
        <f t="shared" ca="1" si="329"/>
        <v>220916.57747652498</v>
      </c>
      <c r="CA274" s="121"/>
      <c r="CB274" s="122">
        <f t="shared" ca="1" si="277"/>
        <v>0</v>
      </c>
      <c r="CC274" s="122">
        <f t="shared" ca="1" si="330"/>
        <v>0</v>
      </c>
      <c r="CD274" s="124">
        <f t="shared" ca="1" si="331"/>
        <v>0</v>
      </c>
      <c r="CE274" s="121"/>
      <c r="CF274" s="122">
        <f t="shared" ca="1" si="278"/>
        <v>7624475.8389833597</v>
      </c>
      <c r="CG274" s="124">
        <f t="shared" ca="1" si="332"/>
        <v>25477.526310168632</v>
      </c>
      <c r="CH274" s="123">
        <f t="shared" ca="1" si="333"/>
        <v>18782.054067231042</v>
      </c>
      <c r="CI274" s="121"/>
      <c r="CJ274" s="123">
        <f t="shared" ca="1" si="334"/>
        <v>289083.62760879821</v>
      </c>
      <c r="CK274" s="123">
        <f t="shared" ca="1" si="335"/>
        <v>289083.62760879821</v>
      </c>
      <c r="CL274" s="123">
        <f t="shared" ca="1" si="336"/>
        <v>0</v>
      </c>
      <c r="CM274" s="121"/>
      <c r="CN274" s="62">
        <f t="shared" ca="1" si="337"/>
        <v>183187.51371186718</v>
      </c>
      <c r="CO274" s="62" t="b">
        <f t="shared" si="338"/>
        <v>1</v>
      </c>
      <c r="CP274" s="126">
        <f t="shared" ca="1" si="339"/>
        <v>7.4444444444444141E-3</v>
      </c>
      <c r="CQ274" s="120"/>
      <c r="CR274" s="120"/>
      <c r="CS274" s="120"/>
      <c r="CT274" s="120"/>
      <c r="CU274" s="120"/>
      <c r="CV274" s="120"/>
      <c r="CW274" s="120"/>
      <c r="CX274" s="120"/>
      <c r="CY274" s="120"/>
      <c r="CZ274" s="120"/>
      <c r="DA274" s="120"/>
      <c r="DB274" s="120"/>
      <c r="DC274" s="120"/>
      <c r="DD274" s="120"/>
      <c r="DE274" s="116"/>
      <c r="DF274" s="116"/>
      <c r="DG274" s="116"/>
      <c r="DH274" s="116"/>
      <c r="DI274" s="116"/>
      <c r="DJ274" s="116"/>
      <c r="DK274" s="116"/>
      <c r="DL274" s="116"/>
      <c r="DM274" s="116"/>
      <c r="DN274" s="116"/>
    </row>
    <row r="275" spans="1:118" x14ac:dyDescent="0.2">
      <c r="A275" s="27">
        <v>269</v>
      </c>
      <c r="B275" s="29">
        <f t="shared" si="272"/>
        <v>47300</v>
      </c>
      <c r="C275" s="30">
        <f t="shared" si="273"/>
        <v>8.3333333333333329E-2</v>
      </c>
      <c r="D275" s="55"/>
      <c r="E275" s="62">
        <f t="shared" ca="1" si="291"/>
        <v>53333701.224546142</v>
      </c>
      <c r="F275" s="63">
        <f ca="1">IF(AssetIntType1="Fixed",AssetFxdRate1,IF(A275=1,OFFSET(Vectors!$D$6,A275,MATCH(AssetFltIndx1,lstInterestRates,0)),IF(MOD($A275,AssetRateReset1)=0,MAX(MIN(OFFSET(Vectors!$D$6,A275,MATCH(AssetFltIndx1,lstInterestRates,0)),(F274-AssetMarg1)+AssetPdCapFl1,AssetLifeCap1-AssetMarg1),(F274-AssetMarg1)-AssetPdCapFl1,AssetLifeFloor1-AssetMarg1),F274)))+AssetMarg1</f>
        <v>0.09</v>
      </c>
      <c r="G275" s="62">
        <f t="shared" ca="1" si="279"/>
        <v>804622.61694478267</v>
      </c>
      <c r="H275" s="62">
        <f t="shared" ca="1" si="292"/>
        <v>400002.75918409607</v>
      </c>
      <c r="I275" s="62">
        <f t="shared" ca="1" si="293"/>
        <v>404619.8577606866</v>
      </c>
      <c r="J275" s="62">
        <f t="shared" ca="1" si="274"/>
        <v>52929081.366785452</v>
      </c>
      <c r="K275" s="55"/>
      <c r="L275" s="62">
        <f t="shared" ca="1" si="294"/>
        <v>14161294.339212267</v>
      </c>
      <c r="M275" s="68">
        <f ca="1">IF(pdrLossTime1="",OFFSET(Vectors!$AE$6,A275+_Age1,MATCH(SDA_Loss,lstSDA,0)),OFFSET(Vectors!$X$6,A275+_Age1,MATCH(pdrLossTime1,lstDefaultCurve,0)))</f>
        <v>2.7777777777777779E-5</v>
      </c>
      <c r="N275" s="62">
        <f t="shared" ca="1" si="280"/>
        <v>2777.7777777777778</v>
      </c>
      <c r="O275" s="67">
        <f t="shared" ca="1" si="295"/>
        <v>0.52929081366785447</v>
      </c>
      <c r="P275" s="68">
        <f ca="1">OFFSET(Vectors!$L$6,A275+_Age1,MATCH(pdrPrepay1,lstPrepayCurve,0))*pdrPrepayStress1</f>
        <v>5.1430128318229462E-3</v>
      </c>
      <c r="Q275" s="62">
        <f t="shared" ca="1" si="296"/>
        <v>72279.175571072119</v>
      </c>
      <c r="R275" s="62">
        <f t="shared" ca="1" si="297"/>
        <v>107414.57700583091</v>
      </c>
      <c r="S275" s="69">
        <f t="shared" ca="1" si="298"/>
        <v>0.09</v>
      </c>
      <c r="T275" s="62">
        <f t="shared" ca="1" si="299"/>
        <v>106188.87421075866</v>
      </c>
      <c r="U275" s="62">
        <f t="shared" ca="1" si="281"/>
        <v>1111.1111111111111</v>
      </c>
      <c r="V275" s="62">
        <f t="shared" ca="1" si="275"/>
        <v>13978822.808857584</v>
      </c>
      <c r="W275" s="55"/>
      <c r="X275" s="62">
        <f t="shared" ca="1" si="300"/>
        <v>286993.73789877282</v>
      </c>
      <c r="Y275" s="55"/>
      <c r="Z275" s="118" t="b">
        <v>0</v>
      </c>
      <c r="AA275" s="120" t="b">
        <f t="shared" si="282"/>
        <v>0</v>
      </c>
      <c r="AB275" s="120" t="b">
        <f t="shared" si="283"/>
        <v>1</v>
      </c>
      <c r="AC275" s="120" t="b">
        <f t="shared" ca="1" si="284"/>
        <v>0</v>
      </c>
      <c r="AD275" s="121"/>
      <c r="AE275" s="129">
        <v>0</v>
      </c>
      <c r="AF275" s="69">
        <f ca="1">IF(Swap_Active="No",0,OFFSET(Vectors!$D$6,Vectors!A275,MATCH(Swap_In,lstInterestRates,0)))</f>
        <v>6.9369000000000056E-2</v>
      </c>
      <c r="AG275" s="62">
        <f t="shared" ca="1" si="301"/>
        <v>0</v>
      </c>
      <c r="AH275" s="69">
        <f ca="1">IF(Swap_Active="No",0,OFFSET(Vectors!$D$6,Vectors!A275,MATCH(Swap_Out,lstInterestRates,0)))</f>
        <v>0.04</v>
      </c>
      <c r="AI275" s="62">
        <f t="shared" ca="1" si="302"/>
        <v>0</v>
      </c>
      <c r="AJ275" s="62">
        <f t="shared" ca="1" si="303"/>
        <v>0</v>
      </c>
      <c r="AK275" s="62">
        <f t="shared" ca="1" si="304"/>
        <v>286993.73789877282</v>
      </c>
      <c r="AL275" s="121"/>
      <c r="AM275" s="123">
        <f t="shared" ca="1" si="285"/>
        <v>23602.157232020443</v>
      </c>
      <c r="AN275" s="124">
        <f t="shared" ca="1" si="305"/>
        <v>23602.157232020443</v>
      </c>
      <c r="AO275" s="125">
        <f t="shared" ca="1" si="306"/>
        <v>0</v>
      </c>
      <c r="AP275" s="123">
        <f t="shared" ca="1" si="307"/>
        <v>263391.58066675236</v>
      </c>
      <c r="AQ275" s="121"/>
      <c r="AR275" s="126">
        <f ca="1">IF(LiabIntType1="Fixed",LiabFxdRate1,OFFSET(Vectors!$D$6,Vectors!A275,MATCH(LiabLoanIndex1,lstInterestRates,0))+LiabMarg1)</f>
        <v>7.9369000000000051E-2</v>
      </c>
      <c r="AS275" s="122">
        <f t="shared" ca="1" si="308"/>
        <v>0</v>
      </c>
      <c r="AT275" s="124">
        <f t="shared" ca="1" si="309"/>
        <v>0</v>
      </c>
      <c r="AU275" s="123">
        <f t="shared" ca="1" si="310"/>
        <v>0</v>
      </c>
      <c r="AV275" s="123">
        <f t="shared" ca="1" si="286"/>
        <v>0</v>
      </c>
      <c r="AW275" s="123">
        <f t="shared" ca="1" si="311"/>
        <v>0</v>
      </c>
      <c r="AX275" s="124">
        <f t="shared" ca="1" si="312"/>
        <v>263391.58066675236</v>
      </c>
      <c r="AY275" s="121"/>
      <c r="AZ275" s="122">
        <f t="shared" ca="1" si="287"/>
        <v>0</v>
      </c>
      <c r="BA275" s="124">
        <f t="shared" ca="1" si="313"/>
        <v>0</v>
      </c>
      <c r="BB275" s="123">
        <f t="shared" ca="1" si="314"/>
        <v>0</v>
      </c>
      <c r="BC275" s="123">
        <f t="shared" ca="1" si="288"/>
        <v>0</v>
      </c>
      <c r="BD275" s="123">
        <f t="shared" ca="1" si="315"/>
        <v>0</v>
      </c>
      <c r="BE275" s="124">
        <f t="shared" ca="1" si="316"/>
        <v>263391.58066675236</v>
      </c>
      <c r="BF275" s="121"/>
      <c r="BG275" s="123">
        <f t="shared" si="289"/>
        <v>1000000</v>
      </c>
      <c r="BH275" s="123">
        <f t="shared" ca="1" si="317"/>
        <v>1000000</v>
      </c>
      <c r="BI275" s="123">
        <f t="shared" ca="1" si="318"/>
        <v>0</v>
      </c>
      <c r="BJ275" s="123">
        <f t="shared" ca="1" si="319"/>
        <v>0</v>
      </c>
      <c r="BK275" s="123">
        <f t="shared" ca="1" si="276"/>
        <v>1000000</v>
      </c>
      <c r="BL275" s="123">
        <f t="shared" ca="1" si="320"/>
        <v>263391.58066675236</v>
      </c>
      <c r="BM275" s="121"/>
      <c r="BN275" s="126">
        <f ca="1">IF(LiabIntType2="Fixed",LiabFxdRate2,OFFSET(Vectors!$D$6,Vectors!A275,MATCH(LiabLoanIndex2,lstInterestRates,0))+LiabMarg2)</f>
        <v>0.04</v>
      </c>
      <c r="BO275" s="122">
        <f t="shared" ca="1" si="321"/>
        <v>25414.919463277864</v>
      </c>
      <c r="BP275" s="124">
        <f t="shared" ca="1" si="322"/>
        <v>25414.919463277864</v>
      </c>
      <c r="BQ275" s="123">
        <f t="shared" ca="1" si="323"/>
        <v>0</v>
      </c>
      <c r="BR275" s="123">
        <f t="shared" ca="1" si="324"/>
        <v>237976.6612034745</v>
      </c>
      <c r="BS275" s="121"/>
      <c r="BT275" s="123">
        <f t="shared" ca="1" si="290"/>
        <v>18708.644925672063</v>
      </c>
      <c r="BU275" s="123">
        <f t="shared" ca="1" si="325"/>
        <v>18708.644925672063</v>
      </c>
      <c r="BV275" s="123">
        <f t="shared" ca="1" si="326"/>
        <v>0</v>
      </c>
      <c r="BW275" s="123">
        <f t="shared" ca="1" si="327"/>
        <v>219268.01627780244</v>
      </c>
      <c r="BX275" s="121"/>
      <c r="BY275" s="123">
        <f t="shared" si="328"/>
        <v>0</v>
      </c>
      <c r="BZ275" s="123">
        <f t="shared" ca="1" si="329"/>
        <v>219268.01627780244</v>
      </c>
      <c r="CA275" s="121"/>
      <c r="CB275" s="122">
        <f t="shared" ca="1" si="277"/>
        <v>0</v>
      </c>
      <c r="CC275" s="122">
        <f t="shared" ca="1" si="330"/>
        <v>0</v>
      </c>
      <c r="CD275" s="124">
        <f t="shared" ca="1" si="331"/>
        <v>0</v>
      </c>
      <c r="CE275" s="121"/>
      <c r="CF275" s="122">
        <f t="shared" ca="1" si="278"/>
        <v>7605767.1940576881</v>
      </c>
      <c r="CG275" s="124">
        <f t="shared" ca="1" si="332"/>
        <v>25414.919463277864</v>
      </c>
      <c r="CH275" s="123">
        <f t="shared" ca="1" si="333"/>
        <v>18708.644925672063</v>
      </c>
      <c r="CI275" s="121"/>
      <c r="CJ275" s="123">
        <f t="shared" ca="1" si="334"/>
        <v>286993.73789877282</v>
      </c>
      <c r="CK275" s="123">
        <f t="shared" ca="1" si="335"/>
        <v>286993.73789877282</v>
      </c>
      <c r="CL275" s="123">
        <f t="shared" ca="1" si="336"/>
        <v>0</v>
      </c>
      <c r="CM275" s="121"/>
      <c r="CN275" s="62">
        <f t="shared" ca="1" si="337"/>
        <v>182471.53035468081</v>
      </c>
      <c r="CO275" s="62" t="b">
        <f t="shared" si="338"/>
        <v>1</v>
      </c>
      <c r="CP275" s="126">
        <f t="shared" ca="1" si="339"/>
        <v>7.4722222222221918E-3</v>
      </c>
      <c r="CQ275" s="120"/>
      <c r="CR275" s="120"/>
      <c r="CS275" s="120"/>
      <c r="CT275" s="120"/>
      <c r="CU275" s="120"/>
      <c r="CV275" s="120"/>
      <c r="CW275" s="120"/>
      <c r="CX275" s="120"/>
      <c r="CY275" s="120"/>
      <c r="CZ275" s="120"/>
      <c r="DA275" s="120"/>
      <c r="DB275" s="120"/>
      <c r="DC275" s="120"/>
      <c r="DD275" s="120"/>
      <c r="DE275" s="116"/>
      <c r="DF275" s="116"/>
      <c r="DG275" s="116"/>
      <c r="DH275" s="116"/>
      <c r="DI275" s="116"/>
      <c r="DJ275" s="116"/>
      <c r="DK275" s="116"/>
      <c r="DL275" s="116"/>
      <c r="DM275" s="116"/>
      <c r="DN275" s="116"/>
    </row>
    <row r="276" spans="1:118" x14ac:dyDescent="0.2">
      <c r="A276" s="27">
        <v>270</v>
      </c>
      <c r="B276" s="29">
        <f t="shared" si="272"/>
        <v>47331</v>
      </c>
      <c r="C276" s="30">
        <f t="shared" si="273"/>
        <v>8.3333333333333329E-2</v>
      </c>
      <c r="D276" s="55"/>
      <c r="E276" s="62">
        <f t="shared" ca="1" si="291"/>
        <v>52929081.366785452</v>
      </c>
      <c r="F276" s="63">
        <f ca="1">IF(AssetIntType1="Fixed",AssetFxdRate1,IF(A276=1,OFFSET(Vectors!$D$6,A276,MATCH(AssetFltIndx1,lstInterestRates,0)),IF(MOD($A276,AssetRateReset1)=0,MAX(MIN(OFFSET(Vectors!$D$6,A276,MATCH(AssetFltIndx1,lstInterestRates,0)),(F275-AssetMarg1)+AssetPdCapFl1,AssetLifeCap1-AssetMarg1),(F275-AssetMarg1)-AssetPdCapFl1,AssetLifeFloor1-AssetMarg1),F275)))+AssetMarg1</f>
        <v>0.09</v>
      </c>
      <c r="G276" s="62">
        <f t="shared" ca="1" si="279"/>
        <v>804622.61694478267</v>
      </c>
      <c r="H276" s="62">
        <f t="shared" ca="1" si="292"/>
        <v>396968.1102508909</v>
      </c>
      <c r="I276" s="62">
        <f t="shared" ca="1" si="293"/>
        <v>407654.50669389177</v>
      </c>
      <c r="J276" s="62">
        <f t="shared" ca="1" si="274"/>
        <v>52521426.86009156</v>
      </c>
      <c r="K276" s="55"/>
      <c r="L276" s="62">
        <f t="shared" ca="1" si="294"/>
        <v>13978822.808857584</v>
      </c>
      <c r="M276" s="68">
        <f ca="1">IF(pdrLossTime1="",OFFSET(Vectors!$AE$6,A276+_Age1,MATCH(SDA_Loss,lstSDA,0)),OFFSET(Vectors!$X$6,A276+_Age1,MATCH(pdrLossTime1,lstDefaultCurve,0)))</f>
        <v>2.7777777777777779E-5</v>
      </c>
      <c r="N276" s="62">
        <f t="shared" ca="1" si="280"/>
        <v>2777.7777777777778</v>
      </c>
      <c r="O276" s="67">
        <f t="shared" ca="1" si="295"/>
        <v>0.52521426860091558</v>
      </c>
      <c r="P276" s="68">
        <f ca="1">OFFSET(Vectors!$L$6,A276+_Age1,MATCH(pdrPrepay1,lstPrepayCurve,0))*pdrPrepayStress1</f>
        <v>5.1430128318229462E-3</v>
      </c>
      <c r="Q276" s="62">
        <f t="shared" ca="1" si="296"/>
        <v>71339.550321157207</v>
      </c>
      <c r="R276" s="62">
        <f t="shared" ca="1" si="297"/>
        <v>107642.10516322468</v>
      </c>
      <c r="S276" s="69">
        <f t="shared" ca="1" si="298"/>
        <v>0.09</v>
      </c>
      <c r="T276" s="62">
        <f t="shared" ca="1" si="299"/>
        <v>104820.33773309854</v>
      </c>
      <c r="U276" s="62">
        <f t="shared" ca="1" si="281"/>
        <v>1111.1111111111111</v>
      </c>
      <c r="V276" s="62">
        <f t="shared" ca="1" si="275"/>
        <v>13797063.375595424</v>
      </c>
      <c r="W276" s="55"/>
      <c r="X276" s="62">
        <f t="shared" ca="1" si="300"/>
        <v>284913.10432859155</v>
      </c>
      <c r="Y276" s="55"/>
      <c r="Z276" s="118" t="b">
        <v>0</v>
      </c>
      <c r="AA276" s="120" t="b">
        <f t="shared" si="282"/>
        <v>0</v>
      </c>
      <c r="AB276" s="120" t="b">
        <f t="shared" si="283"/>
        <v>1</v>
      </c>
      <c r="AC276" s="120" t="b">
        <f t="shared" ca="1" si="284"/>
        <v>0</v>
      </c>
      <c r="AD276" s="121"/>
      <c r="AE276" s="129">
        <v>0</v>
      </c>
      <c r="AF276" s="69">
        <f ca="1">IF(Swap_Active="No",0,OFFSET(Vectors!$D$6,Vectors!A276,MATCH(Swap_In,lstInterestRates,0)))</f>
        <v>6.9369000000000056E-2</v>
      </c>
      <c r="AG276" s="62">
        <f t="shared" ca="1" si="301"/>
        <v>0</v>
      </c>
      <c r="AH276" s="69">
        <f ca="1">IF(Swap_Active="No",0,OFFSET(Vectors!$D$6,Vectors!A276,MATCH(Swap_Out,lstInterestRates,0)))</f>
        <v>0.04</v>
      </c>
      <c r="AI276" s="62">
        <f t="shared" ca="1" si="302"/>
        <v>0</v>
      </c>
      <c r="AJ276" s="62">
        <f t="shared" ca="1" si="303"/>
        <v>0</v>
      </c>
      <c r="AK276" s="62">
        <f t="shared" ca="1" si="304"/>
        <v>284913.10432859155</v>
      </c>
      <c r="AL276" s="121"/>
      <c r="AM276" s="123">
        <f t="shared" ca="1" si="285"/>
        <v>23298.038014762638</v>
      </c>
      <c r="AN276" s="124">
        <f t="shared" ca="1" si="305"/>
        <v>23298.038014762638</v>
      </c>
      <c r="AO276" s="125">
        <f t="shared" ca="1" si="306"/>
        <v>0</v>
      </c>
      <c r="AP276" s="123">
        <f t="shared" ca="1" si="307"/>
        <v>261615.06631382892</v>
      </c>
      <c r="AQ276" s="121"/>
      <c r="AR276" s="126">
        <f ca="1">IF(LiabIntType1="Fixed",LiabFxdRate1,OFFSET(Vectors!$D$6,Vectors!A276,MATCH(LiabLoanIndex1,lstInterestRates,0))+LiabMarg1)</f>
        <v>7.9369000000000051E-2</v>
      </c>
      <c r="AS276" s="122">
        <f t="shared" ca="1" si="308"/>
        <v>0</v>
      </c>
      <c r="AT276" s="124">
        <f t="shared" ca="1" si="309"/>
        <v>0</v>
      </c>
      <c r="AU276" s="123">
        <f t="shared" ca="1" si="310"/>
        <v>0</v>
      </c>
      <c r="AV276" s="123">
        <f t="shared" ca="1" si="286"/>
        <v>0</v>
      </c>
      <c r="AW276" s="123">
        <f t="shared" ca="1" si="311"/>
        <v>0</v>
      </c>
      <c r="AX276" s="124">
        <f t="shared" ca="1" si="312"/>
        <v>261615.06631382892</v>
      </c>
      <c r="AY276" s="121"/>
      <c r="AZ276" s="122">
        <f t="shared" ca="1" si="287"/>
        <v>0</v>
      </c>
      <c r="BA276" s="124">
        <f t="shared" ca="1" si="313"/>
        <v>0</v>
      </c>
      <c r="BB276" s="123">
        <f t="shared" ca="1" si="314"/>
        <v>0</v>
      </c>
      <c r="BC276" s="123">
        <f t="shared" ca="1" si="288"/>
        <v>0</v>
      </c>
      <c r="BD276" s="123">
        <f t="shared" ca="1" si="315"/>
        <v>0</v>
      </c>
      <c r="BE276" s="124">
        <f t="shared" ca="1" si="316"/>
        <v>261615.06631382892</v>
      </c>
      <c r="BF276" s="121"/>
      <c r="BG276" s="123">
        <f t="shared" si="289"/>
        <v>1000000</v>
      </c>
      <c r="BH276" s="123">
        <f t="shared" ca="1" si="317"/>
        <v>1000000</v>
      </c>
      <c r="BI276" s="123">
        <f t="shared" ca="1" si="318"/>
        <v>0</v>
      </c>
      <c r="BJ276" s="123">
        <f t="shared" ca="1" si="319"/>
        <v>0</v>
      </c>
      <c r="BK276" s="123">
        <f t="shared" ca="1" si="276"/>
        <v>1000000</v>
      </c>
      <c r="BL276" s="123">
        <f t="shared" ca="1" si="320"/>
        <v>261615.06631382892</v>
      </c>
      <c r="BM276" s="121"/>
      <c r="BN276" s="126">
        <f ca="1">IF(LiabIntType2="Fixed",LiabFxdRate2,OFFSET(Vectors!$D$6,Vectors!A276,MATCH(LiabLoanIndex2,lstInterestRates,0))+LiabMarg2)</f>
        <v>0.04</v>
      </c>
      <c r="BO276" s="122">
        <f t="shared" ca="1" si="321"/>
        <v>25352.557313525624</v>
      </c>
      <c r="BP276" s="124">
        <f t="shared" ca="1" si="322"/>
        <v>25352.557313525624</v>
      </c>
      <c r="BQ276" s="123">
        <f t="shared" ca="1" si="323"/>
        <v>0</v>
      </c>
      <c r="BR276" s="123">
        <f t="shared" ca="1" si="324"/>
        <v>236262.50900030331</v>
      </c>
      <c r="BS276" s="121"/>
      <c r="BT276" s="123">
        <f t="shared" ca="1" si="290"/>
        <v>18635.634239398507</v>
      </c>
      <c r="BU276" s="123">
        <f t="shared" ca="1" si="325"/>
        <v>18635.634239398507</v>
      </c>
      <c r="BV276" s="123">
        <f t="shared" ca="1" si="326"/>
        <v>0</v>
      </c>
      <c r="BW276" s="123">
        <f t="shared" ca="1" si="327"/>
        <v>217626.87476090482</v>
      </c>
      <c r="BX276" s="121"/>
      <c r="BY276" s="123">
        <f t="shared" si="328"/>
        <v>0</v>
      </c>
      <c r="BZ276" s="123">
        <f t="shared" ca="1" si="329"/>
        <v>217626.87476090482</v>
      </c>
      <c r="CA276" s="121"/>
      <c r="CB276" s="122">
        <f t="shared" ca="1" si="277"/>
        <v>0</v>
      </c>
      <c r="CC276" s="122">
        <f t="shared" ca="1" si="330"/>
        <v>0</v>
      </c>
      <c r="CD276" s="124">
        <f t="shared" ca="1" si="331"/>
        <v>0</v>
      </c>
      <c r="CE276" s="121"/>
      <c r="CF276" s="122">
        <f t="shared" ca="1" si="278"/>
        <v>7587131.5598182892</v>
      </c>
      <c r="CG276" s="124">
        <f t="shared" ca="1" si="332"/>
        <v>25352.557313525624</v>
      </c>
      <c r="CH276" s="123">
        <f t="shared" ca="1" si="333"/>
        <v>18635.634239398507</v>
      </c>
      <c r="CI276" s="121"/>
      <c r="CJ276" s="123">
        <f t="shared" ca="1" si="334"/>
        <v>284913.10432859155</v>
      </c>
      <c r="CK276" s="123">
        <f t="shared" ca="1" si="335"/>
        <v>284913.10432859161</v>
      </c>
      <c r="CL276" s="123">
        <f t="shared" ca="1" si="336"/>
        <v>0</v>
      </c>
      <c r="CM276" s="121"/>
      <c r="CN276" s="62">
        <f t="shared" ca="1" si="337"/>
        <v>181759.43326215967</v>
      </c>
      <c r="CO276" s="62" t="b">
        <f t="shared" si="338"/>
        <v>1</v>
      </c>
      <c r="CP276" s="126">
        <f t="shared" ca="1" si="339"/>
        <v>7.4999999999999694E-3</v>
      </c>
      <c r="CQ276" s="120"/>
      <c r="CR276" s="120"/>
      <c r="CS276" s="120"/>
      <c r="CT276" s="120"/>
      <c r="CU276" s="120"/>
      <c r="CV276" s="120"/>
      <c r="CW276" s="120"/>
      <c r="CX276" s="120"/>
      <c r="CY276" s="120"/>
      <c r="CZ276" s="120"/>
      <c r="DA276" s="120"/>
      <c r="DB276" s="120"/>
      <c r="DC276" s="120"/>
      <c r="DD276" s="120"/>
      <c r="DE276" s="116"/>
      <c r="DF276" s="116"/>
      <c r="DG276" s="116"/>
      <c r="DH276" s="116"/>
      <c r="DI276" s="116"/>
      <c r="DJ276" s="116"/>
      <c r="DK276" s="116"/>
      <c r="DL276" s="116"/>
      <c r="DM276" s="116"/>
      <c r="DN276" s="116"/>
    </row>
    <row r="277" spans="1:118" x14ac:dyDescent="0.2">
      <c r="A277" s="27">
        <v>271</v>
      </c>
      <c r="B277" s="29">
        <f t="shared" si="272"/>
        <v>47362</v>
      </c>
      <c r="C277" s="30">
        <f t="shared" si="273"/>
        <v>8.3333333333333329E-2</v>
      </c>
      <c r="D277" s="55"/>
      <c r="E277" s="62">
        <f t="shared" ca="1" si="291"/>
        <v>52521426.86009156</v>
      </c>
      <c r="F277" s="63">
        <f ca="1">IF(AssetIntType1="Fixed",AssetFxdRate1,IF(A277=1,OFFSET(Vectors!$D$6,A277,MATCH(AssetFltIndx1,lstInterestRates,0)),IF(MOD($A277,AssetRateReset1)=0,MAX(MIN(OFFSET(Vectors!$D$6,A277,MATCH(AssetFltIndx1,lstInterestRates,0)),(F276-AssetMarg1)+AssetPdCapFl1,AssetLifeCap1-AssetMarg1),(F276-AssetMarg1)-AssetPdCapFl1,AssetLifeFloor1-AssetMarg1),F276)))+AssetMarg1</f>
        <v>0.09</v>
      </c>
      <c r="G277" s="62">
        <f t="shared" ca="1" si="279"/>
        <v>804622.61694478267</v>
      </c>
      <c r="H277" s="62">
        <f t="shared" ca="1" si="292"/>
        <v>393910.70145068667</v>
      </c>
      <c r="I277" s="62">
        <f t="shared" ca="1" si="293"/>
        <v>410711.915494096</v>
      </c>
      <c r="J277" s="62">
        <f t="shared" ca="1" si="274"/>
        <v>52110714.94459746</v>
      </c>
      <c r="K277" s="55"/>
      <c r="L277" s="62">
        <f t="shared" ca="1" si="294"/>
        <v>13797063.375595424</v>
      </c>
      <c r="M277" s="68">
        <f ca="1">IF(pdrLossTime1="",OFFSET(Vectors!$AE$6,A277+_Age1,MATCH(SDA_Loss,lstSDA,0)),OFFSET(Vectors!$X$6,A277+_Age1,MATCH(pdrLossTime1,lstDefaultCurve,0)))</f>
        <v>2.7777777777777779E-5</v>
      </c>
      <c r="N277" s="62">
        <f t="shared" ca="1" si="280"/>
        <v>2777.7777777777778</v>
      </c>
      <c r="O277" s="67">
        <f t="shared" ca="1" si="295"/>
        <v>0.52110714944597458</v>
      </c>
      <c r="P277" s="68">
        <f ca="1">OFFSET(Vectors!$L$6,A277+_Age1,MATCH(pdrPrepay1,lstPrepayCurve,0))*pdrPrepayStress1</f>
        <v>5.1430128318229462E-3</v>
      </c>
      <c r="Q277" s="62">
        <f t="shared" ca="1" si="296"/>
        <v>70403.586338926369</v>
      </c>
      <c r="R277" s="62">
        <f t="shared" ca="1" si="297"/>
        <v>107869.8314088886</v>
      </c>
      <c r="S277" s="69">
        <f t="shared" ca="1" si="298"/>
        <v>0.09</v>
      </c>
      <c r="T277" s="62">
        <f t="shared" ca="1" si="299"/>
        <v>103457.14198363235</v>
      </c>
      <c r="U277" s="62">
        <f t="shared" ca="1" si="281"/>
        <v>1111.1111111111111</v>
      </c>
      <c r="V277" s="62">
        <f t="shared" ca="1" si="275"/>
        <v>13616012.180069832</v>
      </c>
      <c r="W277" s="55"/>
      <c r="X277" s="62">
        <f t="shared" ca="1" si="300"/>
        <v>282841.67084255844</v>
      </c>
      <c r="Y277" s="55"/>
      <c r="Z277" s="118" t="b">
        <v>0</v>
      </c>
      <c r="AA277" s="120" t="b">
        <f t="shared" si="282"/>
        <v>0</v>
      </c>
      <c r="AB277" s="120" t="b">
        <f t="shared" si="283"/>
        <v>1</v>
      </c>
      <c r="AC277" s="120" t="b">
        <f t="shared" ca="1" si="284"/>
        <v>0</v>
      </c>
      <c r="AD277" s="121"/>
      <c r="AE277" s="129">
        <v>0</v>
      </c>
      <c r="AF277" s="69">
        <f ca="1">IF(Swap_Active="No",0,OFFSET(Vectors!$D$6,Vectors!A277,MATCH(Swap_In,lstInterestRates,0)))</f>
        <v>6.9369000000000056E-2</v>
      </c>
      <c r="AG277" s="62">
        <f t="shared" ca="1" si="301"/>
        <v>0</v>
      </c>
      <c r="AH277" s="69">
        <f ca="1">IF(Swap_Active="No",0,OFFSET(Vectors!$D$6,Vectors!A277,MATCH(Swap_Out,lstInterestRates,0)))</f>
        <v>0.04</v>
      </c>
      <c r="AI277" s="62">
        <f t="shared" ca="1" si="302"/>
        <v>0</v>
      </c>
      <c r="AJ277" s="62">
        <f t="shared" ca="1" si="303"/>
        <v>0</v>
      </c>
      <c r="AK277" s="62">
        <f t="shared" ca="1" si="304"/>
        <v>282841.67084255844</v>
      </c>
      <c r="AL277" s="121"/>
      <c r="AM277" s="123">
        <f t="shared" ca="1" si="285"/>
        <v>22995.105625992372</v>
      </c>
      <c r="AN277" s="124">
        <f t="shared" ca="1" si="305"/>
        <v>22995.105625992372</v>
      </c>
      <c r="AO277" s="125">
        <f t="shared" ca="1" si="306"/>
        <v>0</v>
      </c>
      <c r="AP277" s="123">
        <f t="shared" ca="1" si="307"/>
        <v>259846.56521656606</v>
      </c>
      <c r="AQ277" s="121"/>
      <c r="AR277" s="126">
        <f ca="1">IF(LiabIntType1="Fixed",LiabFxdRate1,OFFSET(Vectors!$D$6,Vectors!A277,MATCH(LiabLoanIndex1,lstInterestRates,0))+LiabMarg1)</f>
        <v>7.9369000000000051E-2</v>
      </c>
      <c r="AS277" s="122">
        <f t="shared" ca="1" si="308"/>
        <v>0</v>
      </c>
      <c r="AT277" s="124">
        <f t="shared" ca="1" si="309"/>
        <v>0</v>
      </c>
      <c r="AU277" s="123">
        <f t="shared" ca="1" si="310"/>
        <v>0</v>
      </c>
      <c r="AV277" s="123">
        <f t="shared" ca="1" si="286"/>
        <v>0</v>
      </c>
      <c r="AW277" s="123">
        <f t="shared" ca="1" si="311"/>
        <v>0</v>
      </c>
      <c r="AX277" s="124">
        <f t="shared" ca="1" si="312"/>
        <v>259846.56521656606</v>
      </c>
      <c r="AY277" s="121"/>
      <c r="AZ277" s="122">
        <f t="shared" ca="1" si="287"/>
        <v>0</v>
      </c>
      <c r="BA277" s="124">
        <f t="shared" ca="1" si="313"/>
        <v>0</v>
      </c>
      <c r="BB277" s="123">
        <f t="shared" ca="1" si="314"/>
        <v>0</v>
      </c>
      <c r="BC277" s="123">
        <f t="shared" ca="1" si="288"/>
        <v>0</v>
      </c>
      <c r="BD277" s="123">
        <f t="shared" ca="1" si="315"/>
        <v>0</v>
      </c>
      <c r="BE277" s="124">
        <f t="shared" ca="1" si="316"/>
        <v>259846.56521656606</v>
      </c>
      <c r="BF277" s="121"/>
      <c r="BG277" s="123">
        <f t="shared" si="289"/>
        <v>1000000</v>
      </c>
      <c r="BH277" s="123">
        <f t="shared" ca="1" si="317"/>
        <v>1000000</v>
      </c>
      <c r="BI277" s="123">
        <f t="shared" ca="1" si="318"/>
        <v>0</v>
      </c>
      <c r="BJ277" s="123">
        <f t="shared" ca="1" si="319"/>
        <v>0</v>
      </c>
      <c r="BK277" s="123">
        <f t="shared" ca="1" si="276"/>
        <v>1000000</v>
      </c>
      <c r="BL277" s="123">
        <f t="shared" ca="1" si="320"/>
        <v>259846.56521656606</v>
      </c>
      <c r="BM277" s="121"/>
      <c r="BN277" s="126">
        <f ca="1">IF(LiabIntType2="Fixed",LiabFxdRate2,OFFSET(Vectors!$D$6,Vectors!A277,MATCH(LiabLoanIndex2,lstInterestRates,0))+LiabMarg2)</f>
        <v>0.04</v>
      </c>
      <c r="BO277" s="122">
        <f t="shared" ca="1" si="321"/>
        <v>25290.438532727629</v>
      </c>
      <c r="BP277" s="124">
        <f t="shared" ca="1" si="322"/>
        <v>25290.438532727629</v>
      </c>
      <c r="BQ277" s="123">
        <f t="shared" ca="1" si="323"/>
        <v>0</v>
      </c>
      <c r="BR277" s="123">
        <f t="shared" ca="1" si="324"/>
        <v>234556.12668383843</v>
      </c>
      <c r="BS277" s="121"/>
      <c r="BT277" s="123">
        <f t="shared" ca="1" si="290"/>
        <v>18563.019249483987</v>
      </c>
      <c r="BU277" s="123">
        <f t="shared" ca="1" si="325"/>
        <v>18563.019249483987</v>
      </c>
      <c r="BV277" s="123">
        <f t="shared" ca="1" si="326"/>
        <v>0</v>
      </c>
      <c r="BW277" s="123">
        <f t="shared" ca="1" si="327"/>
        <v>215993.10743435443</v>
      </c>
      <c r="BX277" s="121"/>
      <c r="BY277" s="123">
        <f t="shared" si="328"/>
        <v>0</v>
      </c>
      <c r="BZ277" s="123">
        <f t="shared" ca="1" si="329"/>
        <v>215993.10743435443</v>
      </c>
      <c r="CA277" s="121"/>
      <c r="CB277" s="122">
        <f t="shared" ca="1" si="277"/>
        <v>0</v>
      </c>
      <c r="CC277" s="122">
        <f t="shared" ca="1" si="330"/>
        <v>0</v>
      </c>
      <c r="CD277" s="124">
        <f t="shared" ca="1" si="331"/>
        <v>0</v>
      </c>
      <c r="CE277" s="121"/>
      <c r="CF277" s="122">
        <f t="shared" ca="1" si="278"/>
        <v>7568568.5405688053</v>
      </c>
      <c r="CG277" s="124">
        <f t="shared" ca="1" si="332"/>
        <v>25290.438532727629</v>
      </c>
      <c r="CH277" s="123">
        <f t="shared" ca="1" si="333"/>
        <v>18563.019249483987</v>
      </c>
      <c r="CI277" s="121"/>
      <c r="CJ277" s="123">
        <f t="shared" ca="1" si="334"/>
        <v>282841.67084255844</v>
      </c>
      <c r="CK277" s="123">
        <f t="shared" ca="1" si="335"/>
        <v>282841.67084255844</v>
      </c>
      <c r="CL277" s="123">
        <f t="shared" ca="1" si="336"/>
        <v>0</v>
      </c>
      <c r="CM277" s="121"/>
      <c r="CN277" s="62">
        <f t="shared" ca="1" si="337"/>
        <v>181051.19552559275</v>
      </c>
      <c r="CO277" s="62" t="b">
        <f t="shared" si="338"/>
        <v>1</v>
      </c>
      <c r="CP277" s="126">
        <f t="shared" ca="1" si="339"/>
        <v>7.527777777777747E-3</v>
      </c>
      <c r="CQ277" s="120"/>
      <c r="CR277" s="120"/>
      <c r="CS277" s="120"/>
      <c r="CT277" s="120"/>
      <c r="CU277" s="120"/>
      <c r="CV277" s="120"/>
      <c r="CW277" s="120"/>
      <c r="CX277" s="120"/>
      <c r="CY277" s="120"/>
      <c r="CZ277" s="120"/>
      <c r="DA277" s="120"/>
      <c r="DB277" s="120"/>
      <c r="DC277" s="120"/>
      <c r="DD277" s="120"/>
      <c r="DE277" s="116"/>
      <c r="DF277" s="116"/>
      <c r="DG277" s="116"/>
      <c r="DH277" s="116"/>
      <c r="DI277" s="116"/>
      <c r="DJ277" s="116"/>
      <c r="DK277" s="116"/>
      <c r="DL277" s="116"/>
      <c r="DM277" s="116"/>
      <c r="DN277" s="116"/>
    </row>
    <row r="278" spans="1:118" x14ac:dyDescent="0.2">
      <c r="A278" s="27">
        <v>272</v>
      </c>
      <c r="B278" s="29">
        <f t="shared" si="272"/>
        <v>47392</v>
      </c>
      <c r="C278" s="30">
        <f t="shared" si="273"/>
        <v>8.3333333333333329E-2</v>
      </c>
      <c r="D278" s="55"/>
      <c r="E278" s="62">
        <f t="shared" ca="1" si="291"/>
        <v>52110714.94459746</v>
      </c>
      <c r="F278" s="63">
        <f ca="1">IF(AssetIntType1="Fixed",AssetFxdRate1,IF(A278=1,OFFSET(Vectors!$D$6,A278,MATCH(AssetFltIndx1,lstInterestRates,0)),IF(MOD($A278,AssetRateReset1)=0,MAX(MIN(OFFSET(Vectors!$D$6,A278,MATCH(AssetFltIndx1,lstInterestRates,0)),(F277-AssetMarg1)+AssetPdCapFl1,AssetLifeCap1-AssetMarg1),(F277-AssetMarg1)-AssetPdCapFl1,AssetLifeFloor1-AssetMarg1),F277)))+AssetMarg1</f>
        <v>0.09</v>
      </c>
      <c r="G278" s="62">
        <f t="shared" ca="1" si="279"/>
        <v>804622.61694478267</v>
      </c>
      <c r="H278" s="62">
        <f t="shared" ca="1" si="292"/>
        <v>390830.36208448093</v>
      </c>
      <c r="I278" s="62">
        <f t="shared" ca="1" si="293"/>
        <v>413792.25486030173</v>
      </c>
      <c r="J278" s="62">
        <f t="shared" ca="1" si="274"/>
        <v>51696922.689737156</v>
      </c>
      <c r="K278" s="55"/>
      <c r="L278" s="62">
        <f t="shared" ca="1" si="294"/>
        <v>13616012.180069832</v>
      </c>
      <c r="M278" s="68">
        <f ca="1">IF(pdrLossTime1="",OFFSET(Vectors!$AE$6,A278+_Age1,MATCH(SDA_Loss,lstSDA,0)),OFFSET(Vectors!$X$6,A278+_Age1,MATCH(pdrLossTime1,lstDefaultCurve,0)))</f>
        <v>2.7777777777777779E-5</v>
      </c>
      <c r="N278" s="62">
        <f t="shared" ca="1" si="280"/>
        <v>2777.7777777777778</v>
      </c>
      <c r="O278" s="67">
        <f t="shared" ca="1" si="295"/>
        <v>0.51696922689737157</v>
      </c>
      <c r="P278" s="68">
        <f ca="1">OFFSET(Vectors!$L$6,A278+_Age1,MATCH(pdrPrepay1,lstPrepayCurve,0))*pdrPrepayStress1</f>
        <v>5.1430128318229462E-3</v>
      </c>
      <c r="Q278" s="62">
        <f t="shared" ca="1" si="296"/>
        <v>69471.263811527315</v>
      </c>
      <c r="R278" s="62">
        <f t="shared" ca="1" si="297"/>
        <v>108097.74851976459</v>
      </c>
      <c r="S278" s="69">
        <f t="shared" ca="1" si="298"/>
        <v>0.09</v>
      </c>
      <c r="T278" s="62">
        <f t="shared" ca="1" si="299"/>
        <v>102099.2580171904</v>
      </c>
      <c r="U278" s="62">
        <f t="shared" ca="1" si="281"/>
        <v>1111.1111111111111</v>
      </c>
      <c r="V278" s="62">
        <f t="shared" ca="1" si="275"/>
        <v>13435665.389960762</v>
      </c>
      <c r="W278" s="55"/>
      <c r="X278" s="62">
        <f t="shared" ca="1" si="300"/>
        <v>280779.38145959342</v>
      </c>
      <c r="Y278" s="55"/>
      <c r="Z278" s="118" t="b">
        <v>0</v>
      </c>
      <c r="AA278" s="120" t="b">
        <f t="shared" si="282"/>
        <v>0</v>
      </c>
      <c r="AB278" s="120" t="b">
        <f t="shared" si="283"/>
        <v>1</v>
      </c>
      <c r="AC278" s="120" t="b">
        <f t="shared" ca="1" si="284"/>
        <v>0</v>
      </c>
      <c r="AD278" s="121"/>
      <c r="AE278" s="129">
        <v>0</v>
      </c>
      <c r="AF278" s="69">
        <f ca="1">IF(Swap_Active="No",0,OFFSET(Vectors!$D$6,Vectors!A278,MATCH(Swap_In,lstInterestRates,0)))</f>
        <v>6.9369000000000056E-2</v>
      </c>
      <c r="AG278" s="62">
        <f t="shared" ca="1" si="301"/>
        <v>0</v>
      </c>
      <c r="AH278" s="69">
        <f ca="1">IF(Swap_Active="No",0,OFFSET(Vectors!$D$6,Vectors!A278,MATCH(Swap_Out,lstInterestRates,0)))</f>
        <v>0.04</v>
      </c>
      <c r="AI278" s="62">
        <f t="shared" ca="1" si="302"/>
        <v>0</v>
      </c>
      <c r="AJ278" s="62">
        <f t="shared" ca="1" si="303"/>
        <v>0</v>
      </c>
      <c r="AK278" s="62">
        <f t="shared" ca="1" si="304"/>
        <v>280779.38145959342</v>
      </c>
      <c r="AL278" s="121"/>
      <c r="AM278" s="123">
        <f t="shared" ca="1" si="285"/>
        <v>22693.353633449718</v>
      </c>
      <c r="AN278" s="124">
        <f t="shared" ca="1" si="305"/>
        <v>22693.353633449718</v>
      </c>
      <c r="AO278" s="125">
        <f t="shared" ca="1" si="306"/>
        <v>0</v>
      </c>
      <c r="AP278" s="123">
        <f t="shared" ca="1" si="307"/>
        <v>258086.02782614372</v>
      </c>
      <c r="AQ278" s="121"/>
      <c r="AR278" s="126">
        <f ca="1">IF(LiabIntType1="Fixed",LiabFxdRate1,OFFSET(Vectors!$D$6,Vectors!A278,MATCH(LiabLoanIndex1,lstInterestRates,0))+LiabMarg1)</f>
        <v>7.9369000000000051E-2</v>
      </c>
      <c r="AS278" s="122">
        <f t="shared" ca="1" si="308"/>
        <v>0</v>
      </c>
      <c r="AT278" s="124">
        <f t="shared" ca="1" si="309"/>
        <v>0</v>
      </c>
      <c r="AU278" s="123">
        <f t="shared" ca="1" si="310"/>
        <v>0</v>
      </c>
      <c r="AV278" s="123">
        <f t="shared" ca="1" si="286"/>
        <v>0</v>
      </c>
      <c r="AW278" s="123">
        <f t="shared" ca="1" si="311"/>
        <v>0</v>
      </c>
      <c r="AX278" s="124">
        <f t="shared" ca="1" si="312"/>
        <v>258086.02782614372</v>
      </c>
      <c r="AY278" s="121"/>
      <c r="AZ278" s="122">
        <f t="shared" ca="1" si="287"/>
        <v>0</v>
      </c>
      <c r="BA278" s="124">
        <f t="shared" ca="1" si="313"/>
        <v>0</v>
      </c>
      <c r="BB278" s="123">
        <f t="shared" ca="1" si="314"/>
        <v>0</v>
      </c>
      <c r="BC278" s="123">
        <f t="shared" ca="1" si="288"/>
        <v>0</v>
      </c>
      <c r="BD278" s="123">
        <f t="shared" ca="1" si="315"/>
        <v>0</v>
      </c>
      <c r="BE278" s="124">
        <f t="shared" ca="1" si="316"/>
        <v>258086.02782614372</v>
      </c>
      <c r="BF278" s="121"/>
      <c r="BG278" s="123">
        <f t="shared" si="289"/>
        <v>1000000</v>
      </c>
      <c r="BH278" s="123">
        <f t="shared" ca="1" si="317"/>
        <v>1000000</v>
      </c>
      <c r="BI278" s="123">
        <f t="shared" ca="1" si="318"/>
        <v>0</v>
      </c>
      <c r="BJ278" s="123">
        <f t="shared" ca="1" si="319"/>
        <v>0</v>
      </c>
      <c r="BK278" s="123">
        <f t="shared" ca="1" si="276"/>
        <v>1000000</v>
      </c>
      <c r="BL278" s="123">
        <f t="shared" ca="1" si="320"/>
        <v>258086.02782614372</v>
      </c>
      <c r="BM278" s="121"/>
      <c r="BN278" s="126">
        <f ca="1">IF(LiabIntType2="Fixed",LiabFxdRate2,OFFSET(Vectors!$D$6,Vectors!A278,MATCH(LiabLoanIndex2,lstInterestRates,0))+LiabMarg2)</f>
        <v>0.04</v>
      </c>
      <c r="BO278" s="122">
        <f t="shared" ca="1" si="321"/>
        <v>25228.561801896016</v>
      </c>
      <c r="BP278" s="124">
        <f t="shared" ca="1" si="322"/>
        <v>25228.561801896016</v>
      </c>
      <c r="BQ278" s="123">
        <f t="shared" ca="1" si="323"/>
        <v>0</v>
      </c>
      <c r="BR278" s="123">
        <f t="shared" ca="1" si="324"/>
        <v>232857.4660242477</v>
      </c>
      <c r="BS278" s="121"/>
      <c r="BT278" s="123">
        <f t="shared" ca="1" si="290"/>
        <v>18490.79718396048</v>
      </c>
      <c r="BU278" s="123">
        <f t="shared" ca="1" si="325"/>
        <v>18490.79718396048</v>
      </c>
      <c r="BV278" s="123">
        <f t="shared" ca="1" si="326"/>
        <v>0</v>
      </c>
      <c r="BW278" s="123">
        <f t="shared" ca="1" si="327"/>
        <v>214366.66884028722</v>
      </c>
      <c r="BX278" s="121"/>
      <c r="BY278" s="123">
        <f t="shared" si="328"/>
        <v>0</v>
      </c>
      <c r="BZ278" s="123">
        <f t="shared" ca="1" si="329"/>
        <v>214366.66884028722</v>
      </c>
      <c r="CA278" s="121"/>
      <c r="CB278" s="122">
        <f t="shared" ca="1" si="277"/>
        <v>0</v>
      </c>
      <c r="CC278" s="122">
        <f t="shared" ca="1" si="330"/>
        <v>0</v>
      </c>
      <c r="CD278" s="124">
        <f t="shared" ca="1" si="331"/>
        <v>0</v>
      </c>
      <c r="CE278" s="121"/>
      <c r="CF278" s="122">
        <f t="shared" ca="1" si="278"/>
        <v>7550077.7433848446</v>
      </c>
      <c r="CG278" s="124">
        <f t="shared" ca="1" si="332"/>
        <v>25228.561801896016</v>
      </c>
      <c r="CH278" s="123">
        <f t="shared" ca="1" si="333"/>
        <v>18490.79718396048</v>
      </c>
      <c r="CI278" s="121"/>
      <c r="CJ278" s="123">
        <f t="shared" ca="1" si="334"/>
        <v>280779.38145959342</v>
      </c>
      <c r="CK278" s="123">
        <f t="shared" ca="1" si="335"/>
        <v>280779.38145959342</v>
      </c>
      <c r="CL278" s="123">
        <f t="shared" ca="1" si="336"/>
        <v>0</v>
      </c>
      <c r="CM278" s="121"/>
      <c r="CN278" s="62">
        <f t="shared" ca="1" si="337"/>
        <v>180346.79010906967</v>
      </c>
      <c r="CO278" s="62" t="b">
        <f t="shared" si="338"/>
        <v>1</v>
      </c>
      <c r="CP278" s="126">
        <f t="shared" ca="1" si="339"/>
        <v>7.5555555555555246E-3</v>
      </c>
      <c r="CQ278" s="120"/>
      <c r="CR278" s="120"/>
      <c r="CS278" s="120"/>
      <c r="CT278" s="120"/>
      <c r="CU278" s="120"/>
      <c r="CV278" s="120"/>
      <c r="CW278" s="120"/>
      <c r="CX278" s="120"/>
      <c r="CY278" s="120"/>
      <c r="CZ278" s="120"/>
      <c r="DA278" s="120"/>
      <c r="DB278" s="120"/>
      <c r="DC278" s="120"/>
      <c r="DD278" s="120"/>
      <c r="DE278" s="116"/>
      <c r="DF278" s="116"/>
      <c r="DG278" s="116"/>
      <c r="DH278" s="116"/>
      <c r="DI278" s="116"/>
      <c r="DJ278" s="116"/>
      <c r="DK278" s="116"/>
      <c r="DL278" s="116"/>
      <c r="DM278" s="116"/>
      <c r="DN278" s="116"/>
    </row>
    <row r="279" spans="1:118" x14ac:dyDescent="0.2">
      <c r="A279" s="27">
        <v>273</v>
      </c>
      <c r="B279" s="29">
        <f t="shared" si="272"/>
        <v>47423</v>
      </c>
      <c r="C279" s="30">
        <f t="shared" si="273"/>
        <v>8.3333333333333329E-2</v>
      </c>
      <c r="D279" s="55"/>
      <c r="E279" s="62">
        <f t="shared" ca="1" si="291"/>
        <v>51696922.689737156</v>
      </c>
      <c r="F279" s="63">
        <f ca="1">IF(AssetIntType1="Fixed",AssetFxdRate1,IF(A279=1,OFFSET(Vectors!$D$6,A279,MATCH(AssetFltIndx1,lstInterestRates,0)),IF(MOD($A279,AssetRateReset1)=0,MAX(MIN(OFFSET(Vectors!$D$6,A279,MATCH(AssetFltIndx1,lstInterestRates,0)),(F278-AssetMarg1)+AssetPdCapFl1,AssetLifeCap1-AssetMarg1),(F278-AssetMarg1)-AssetPdCapFl1,AssetLifeFloor1-AssetMarg1),F278)))+AssetMarg1</f>
        <v>0.09</v>
      </c>
      <c r="G279" s="62">
        <f t="shared" ca="1" si="279"/>
        <v>804622.61694478267</v>
      </c>
      <c r="H279" s="62">
        <f t="shared" ca="1" si="292"/>
        <v>387726.92017302866</v>
      </c>
      <c r="I279" s="62">
        <f t="shared" ca="1" si="293"/>
        <v>416895.69677175401</v>
      </c>
      <c r="J279" s="62">
        <f t="shared" ca="1" si="274"/>
        <v>51280026.9929654</v>
      </c>
      <c r="K279" s="55"/>
      <c r="L279" s="62">
        <f t="shared" ca="1" si="294"/>
        <v>13435665.389960762</v>
      </c>
      <c r="M279" s="68">
        <f ca="1">IF(pdrLossTime1="",OFFSET(Vectors!$AE$6,A279+_Age1,MATCH(SDA_Loss,lstSDA,0)),OFFSET(Vectors!$X$6,A279+_Age1,MATCH(pdrLossTime1,lstDefaultCurve,0)))</f>
        <v>2.7777777777777779E-5</v>
      </c>
      <c r="N279" s="62">
        <f t="shared" ca="1" si="280"/>
        <v>2777.7777777777778</v>
      </c>
      <c r="O279" s="67">
        <f t="shared" ca="1" si="295"/>
        <v>0.512800269929654</v>
      </c>
      <c r="P279" s="68">
        <f ca="1">OFFSET(Vectors!$L$6,A279+_Age1,MATCH(pdrPrepay1,lstPrepayCurve,0))*pdrPrepayStress1</f>
        <v>5.1430128318229462E-3</v>
      </c>
      <c r="Q279" s="62">
        <f t="shared" ca="1" si="296"/>
        <v>68542.563066529881</v>
      </c>
      <c r="R279" s="62">
        <f t="shared" ca="1" si="297"/>
        <v>108325.84899389916</v>
      </c>
      <c r="S279" s="69">
        <f t="shared" ca="1" si="298"/>
        <v>0.09</v>
      </c>
      <c r="T279" s="62">
        <f t="shared" ca="1" si="299"/>
        <v>100746.65709137238</v>
      </c>
      <c r="U279" s="62">
        <f t="shared" ca="1" si="281"/>
        <v>1111.1111111111111</v>
      </c>
      <c r="V279" s="62">
        <f t="shared" ca="1" si="275"/>
        <v>13256019.200122556</v>
      </c>
      <c r="W279" s="55"/>
      <c r="X279" s="62">
        <f t="shared" ca="1" si="300"/>
        <v>278726.18026291253</v>
      </c>
      <c r="Y279" s="55"/>
      <c r="Z279" s="118" t="b">
        <v>0</v>
      </c>
      <c r="AA279" s="120" t="b">
        <f t="shared" si="282"/>
        <v>0</v>
      </c>
      <c r="AB279" s="120" t="b">
        <f t="shared" si="283"/>
        <v>1</v>
      </c>
      <c r="AC279" s="120" t="b">
        <f t="shared" ca="1" si="284"/>
        <v>0</v>
      </c>
      <c r="AD279" s="121"/>
      <c r="AE279" s="129">
        <v>0</v>
      </c>
      <c r="AF279" s="69">
        <f ca="1">IF(Swap_Active="No",0,OFFSET(Vectors!$D$6,Vectors!A279,MATCH(Swap_In,lstInterestRates,0)))</f>
        <v>6.9369000000000056E-2</v>
      </c>
      <c r="AG279" s="62">
        <f t="shared" ca="1" si="301"/>
        <v>0</v>
      </c>
      <c r="AH279" s="69">
        <f ca="1">IF(Swap_Active="No",0,OFFSET(Vectors!$D$6,Vectors!A279,MATCH(Swap_Out,lstInterestRates,0)))</f>
        <v>0.04</v>
      </c>
      <c r="AI279" s="62">
        <f t="shared" ca="1" si="302"/>
        <v>0</v>
      </c>
      <c r="AJ279" s="62">
        <f t="shared" ca="1" si="303"/>
        <v>0</v>
      </c>
      <c r="AK279" s="62">
        <f t="shared" ca="1" si="304"/>
        <v>278726.18026291253</v>
      </c>
      <c r="AL279" s="121"/>
      <c r="AM279" s="123">
        <f t="shared" ca="1" si="285"/>
        <v>22392.775649934603</v>
      </c>
      <c r="AN279" s="124">
        <f t="shared" ca="1" si="305"/>
        <v>22392.775649934603</v>
      </c>
      <c r="AO279" s="125">
        <f t="shared" ca="1" si="306"/>
        <v>0</v>
      </c>
      <c r="AP279" s="123">
        <f t="shared" ca="1" si="307"/>
        <v>256333.40461297793</v>
      </c>
      <c r="AQ279" s="121"/>
      <c r="AR279" s="126">
        <f ca="1">IF(LiabIntType1="Fixed",LiabFxdRate1,OFFSET(Vectors!$D$6,Vectors!A279,MATCH(LiabLoanIndex1,lstInterestRates,0))+LiabMarg1)</f>
        <v>7.9369000000000051E-2</v>
      </c>
      <c r="AS279" s="122">
        <f t="shared" ca="1" si="308"/>
        <v>0</v>
      </c>
      <c r="AT279" s="124">
        <f t="shared" ca="1" si="309"/>
        <v>0</v>
      </c>
      <c r="AU279" s="123">
        <f t="shared" ca="1" si="310"/>
        <v>0</v>
      </c>
      <c r="AV279" s="123">
        <f t="shared" ca="1" si="286"/>
        <v>0</v>
      </c>
      <c r="AW279" s="123">
        <f t="shared" ca="1" si="311"/>
        <v>0</v>
      </c>
      <c r="AX279" s="124">
        <f t="shared" ca="1" si="312"/>
        <v>256333.40461297793</v>
      </c>
      <c r="AY279" s="121"/>
      <c r="AZ279" s="122">
        <f t="shared" ca="1" si="287"/>
        <v>0</v>
      </c>
      <c r="BA279" s="124">
        <f t="shared" ca="1" si="313"/>
        <v>0</v>
      </c>
      <c r="BB279" s="123">
        <f t="shared" ca="1" si="314"/>
        <v>0</v>
      </c>
      <c r="BC279" s="123">
        <f t="shared" ca="1" si="288"/>
        <v>0</v>
      </c>
      <c r="BD279" s="123">
        <f t="shared" ca="1" si="315"/>
        <v>0</v>
      </c>
      <c r="BE279" s="124">
        <f t="shared" ca="1" si="316"/>
        <v>256333.40461297793</v>
      </c>
      <c r="BF279" s="121"/>
      <c r="BG279" s="123">
        <f t="shared" si="289"/>
        <v>1000000</v>
      </c>
      <c r="BH279" s="123">
        <f t="shared" ca="1" si="317"/>
        <v>1000000</v>
      </c>
      <c r="BI279" s="123">
        <f t="shared" ca="1" si="318"/>
        <v>0</v>
      </c>
      <c r="BJ279" s="123">
        <f t="shared" ca="1" si="319"/>
        <v>0</v>
      </c>
      <c r="BK279" s="123">
        <f t="shared" ca="1" si="276"/>
        <v>1000000</v>
      </c>
      <c r="BL279" s="123">
        <f t="shared" ca="1" si="320"/>
        <v>256333.40461297793</v>
      </c>
      <c r="BM279" s="121"/>
      <c r="BN279" s="126">
        <f ca="1">IF(LiabIntType2="Fixed",LiabFxdRate2,OFFSET(Vectors!$D$6,Vectors!A279,MATCH(LiabLoanIndex2,lstInterestRates,0))+LiabMarg2)</f>
        <v>0.04</v>
      </c>
      <c r="BO279" s="122">
        <f t="shared" ca="1" si="321"/>
        <v>25166.925811282814</v>
      </c>
      <c r="BP279" s="124">
        <f t="shared" ca="1" si="322"/>
        <v>25166.925811282814</v>
      </c>
      <c r="BQ279" s="123">
        <f t="shared" ca="1" si="323"/>
        <v>0</v>
      </c>
      <c r="BR279" s="123">
        <f t="shared" ca="1" si="324"/>
        <v>231166.47880169511</v>
      </c>
      <c r="BS279" s="121"/>
      <c r="BT279" s="123">
        <f t="shared" ca="1" si="290"/>
        <v>18418.965256662421</v>
      </c>
      <c r="BU279" s="123">
        <f t="shared" ca="1" si="325"/>
        <v>18418.965256662421</v>
      </c>
      <c r="BV279" s="123">
        <f t="shared" ca="1" si="326"/>
        <v>0</v>
      </c>
      <c r="BW279" s="123">
        <f t="shared" ca="1" si="327"/>
        <v>212747.51354503268</v>
      </c>
      <c r="BX279" s="121"/>
      <c r="BY279" s="123">
        <f t="shared" si="328"/>
        <v>0</v>
      </c>
      <c r="BZ279" s="123">
        <f t="shared" ca="1" si="329"/>
        <v>212747.51354503268</v>
      </c>
      <c r="CA279" s="121"/>
      <c r="CB279" s="122">
        <f t="shared" ca="1" si="277"/>
        <v>0</v>
      </c>
      <c r="CC279" s="122">
        <f t="shared" ca="1" si="330"/>
        <v>0</v>
      </c>
      <c r="CD279" s="124">
        <f t="shared" ca="1" si="331"/>
        <v>0</v>
      </c>
      <c r="CE279" s="121"/>
      <c r="CF279" s="122">
        <f t="shared" ca="1" si="278"/>
        <v>7531658.7781281825</v>
      </c>
      <c r="CG279" s="124">
        <f t="shared" ca="1" si="332"/>
        <v>25166.925811282814</v>
      </c>
      <c r="CH279" s="123">
        <f t="shared" ca="1" si="333"/>
        <v>18418.965256662421</v>
      </c>
      <c r="CI279" s="121"/>
      <c r="CJ279" s="123">
        <f t="shared" ca="1" si="334"/>
        <v>278726.18026291253</v>
      </c>
      <c r="CK279" s="123">
        <f t="shared" ca="1" si="335"/>
        <v>278726.18026291253</v>
      </c>
      <c r="CL279" s="123">
        <f t="shared" ca="1" si="336"/>
        <v>0</v>
      </c>
      <c r="CM279" s="121"/>
      <c r="CN279" s="62">
        <f t="shared" ca="1" si="337"/>
        <v>179646.1898382068</v>
      </c>
      <c r="CO279" s="62" t="b">
        <f t="shared" si="338"/>
        <v>1</v>
      </c>
      <c r="CP279" s="126">
        <f t="shared" ca="1" si="339"/>
        <v>7.5833333333333022E-3</v>
      </c>
      <c r="CQ279" s="120"/>
      <c r="CR279" s="120"/>
      <c r="CS279" s="120"/>
      <c r="CT279" s="120"/>
      <c r="CU279" s="120"/>
      <c r="CV279" s="120"/>
      <c r="CW279" s="120"/>
      <c r="CX279" s="120"/>
      <c r="CY279" s="120"/>
      <c r="CZ279" s="120"/>
      <c r="DA279" s="120"/>
      <c r="DB279" s="120"/>
      <c r="DC279" s="120"/>
      <c r="DD279" s="120"/>
      <c r="DE279" s="116"/>
      <c r="DF279" s="116"/>
      <c r="DG279" s="116"/>
      <c r="DH279" s="116"/>
      <c r="DI279" s="116"/>
      <c r="DJ279" s="116"/>
      <c r="DK279" s="116"/>
      <c r="DL279" s="116"/>
      <c r="DM279" s="116"/>
      <c r="DN279" s="116"/>
    </row>
    <row r="280" spans="1:118" x14ac:dyDescent="0.2">
      <c r="A280" s="27">
        <v>274</v>
      </c>
      <c r="B280" s="29">
        <f t="shared" si="272"/>
        <v>47453</v>
      </c>
      <c r="C280" s="30">
        <f t="shared" si="273"/>
        <v>8.3333333333333329E-2</v>
      </c>
      <c r="D280" s="55"/>
      <c r="E280" s="62">
        <f t="shared" ca="1" si="291"/>
        <v>51280026.9929654</v>
      </c>
      <c r="F280" s="63">
        <f ca="1">IF(AssetIntType1="Fixed",AssetFxdRate1,IF(A280=1,OFFSET(Vectors!$D$6,A280,MATCH(AssetFltIndx1,lstInterestRates,0)),IF(MOD($A280,AssetRateReset1)=0,MAX(MIN(OFFSET(Vectors!$D$6,A280,MATCH(AssetFltIndx1,lstInterestRates,0)),(F279-AssetMarg1)+AssetPdCapFl1,AssetLifeCap1-AssetMarg1),(F279-AssetMarg1)-AssetPdCapFl1,AssetLifeFloor1-AssetMarg1),F279)))+AssetMarg1</f>
        <v>0.09</v>
      </c>
      <c r="G280" s="62">
        <f t="shared" ca="1" si="279"/>
        <v>804622.61694478267</v>
      </c>
      <c r="H280" s="62">
        <f t="shared" ca="1" si="292"/>
        <v>384600.20244724047</v>
      </c>
      <c r="I280" s="62">
        <f t="shared" ca="1" si="293"/>
        <v>420022.4144975422</v>
      </c>
      <c r="J280" s="62">
        <f t="shared" ca="1" si="274"/>
        <v>50860004.578467861</v>
      </c>
      <c r="K280" s="55"/>
      <c r="L280" s="62">
        <f t="shared" ca="1" si="294"/>
        <v>13256019.200122556</v>
      </c>
      <c r="M280" s="68">
        <f ca="1">IF(pdrLossTime1="",OFFSET(Vectors!$AE$6,A280+_Age1,MATCH(SDA_Loss,lstSDA,0)),OFFSET(Vectors!$X$6,A280+_Age1,MATCH(pdrLossTime1,lstDefaultCurve,0)))</f>
        <v>2.7777777777777779E-5</v>
      </c>
      <c r="N280" s="62">
        <f t="shared" ca="1" si="280"/>
        <v>2777.7777777777778</v>
      </c>
      <c r="O280" s="67">
        <f t="shared" ca="1" si="295"/>
        <v>0.50860004578467866</v>
      </c>
      <c r="P280" s="68">
        <f ca="1">OFFSET(Vectors!$L$6,A280+_Age1,MATCH(pdrPrepay1,lstPrepayCurve,0))*pdrPrepayStress1</f>
        <v>5.1430128318229462E-3</v>
      </c>
      <c r="Q280" s="62">
        <f t="shared" ca="1" si="296"/>
        <v>67617.464572700206</v>
      </c>
      <c r="R280" s="62">
        <f t="shared" ca="1" si="297"/>
        <v>108554.12503771952</v>
      </c>
      <c r="S280" s="69">
        <f t="shared" ca="1" si="298"/>
        <v>0.09</v>
      </c>
      <c r="T280" s="62">
        <f t="shared" ca="1" si="299"/>
        <v>99399.310667585829</v>
      </c>
      <c r="U280" s="62">
        <f t="shared" ca="1" si="281"/>
        <v>1111.1111111111111</v>
      </c>
      <c r="V280" s="62">
        <f t="shared" ca="1" si="275"/>
        <v>13077069.832734358</v>
      </c>
      <c r="W280" s="55"/>
      <c r="X280" s="62">
        <f t="shared" ca="1" si="300"/>
        <v>276682.0113891167</v>
      </c>
      <c r="Y280" s="55"/>
      <c r="Z280" s="118" t="b">
        <v>0</v>
      </c>
      <c r="AA280" s="120" t="b">
        <f t="shared" si="282"/>
        <v>0</v>
      </c>
      <c r="AB280" s="120" t="b">
        <f t="shared" si="283"/>
        <v>1</v>
      </c>
      <c r="AC280" s="120" t="b">
        <f t="shared" ca="1" si="284"/>
        <v>0</v>
      </c>
      <c r="AD280" s="121"/>
      <c r="AE280" s="129">
        <v>0</v>
      </c>
      <c r="AF280" s="69">
        <f ca="1">IF(Swap_Active="No",0,OFFSET(Vectors!$D$6,Vectors!A280,MATCH(Swap_In,lstInterestRates,0)))</f>
        <v>6.9369000000000056E-2</v>
      </c>
      <c r="AG280" s="62">
        <f t="shared" ca="1" si="301"/>
        <v>0</v>
      </c>
      <c r="AH280" s="69">
        <f ca="1">IF(Swap_Active="No",0,OFFSET(Vectors!$D$6,Vectors!A280,MATCH(Swap_Out,lstInterestRates,0)))</f>
        <v>0.04</v>
      </c>
      <c r="AI280" s="62">
        <f t="shared" ca="1" si="302"/>
        <v>0</v>
      </c>
      <c r="AJ280" s="62">
        <f t="shared" ca="1" si="303"/>
        <v>0</v>
      </c>
      <c r="AK280" s="62">
        <f t="shared" ca="1" si="304"/>
        <v>276682.0113891167</v>
      </c>
      <c r="AL280" s="121"/>
      <c r="AM280" s="123">
        <f t="shared" ca="1" si="285"/>
        <v>22093.365333537593</v>
      </c>
      <c r="AN280" s="124">
        <f t="shared" ca="1" si="305"/>
        <v>22093.365333537593</v>
      </c>
      <c r="AO280" s="125">
        <f t="shared" ca="1" si="306"/>
        <v>0</v>
      </c>
      <c r="AP280" s="123">
        <f t="shared" ca="1" si="307"/>
        <v>254588.6460555791</v>
      </c>
      <c r="AQ280" s="121"/>
      <c r="AR280" s="126">
        <f ca="1">IF(LiabIntType1="Fixed",LiabFxdRate1,OFFSET(Vectors!$D$6,Vectors!A280,MATCH(LiabLoanIndex1,lstInterestRates,0))+LiabMarg1)</f>
        <v>7.9369000000000051E-2</v>
      </c>
      <c r="AS280" s="122">
        <f t="shared" ca="1" si="308"/>
        <v>0</v>
      </c>
      <c r="AT280" s="124">
        <f t="shared" ca="1" si="309"/>
        <v>0</v>
      </c>
      <c r="AU280" s="123">
        <f t="shared" ca="1" si="310"/>
        <v>0</v>
      </c>
      <c r="AV280" s="123">
        <f t="shared" ca="1" si="286"/>
        <v>0</v>
      </c>
      <c r="AW280" s="123">
        <f t="shared" ca="1" si="311"/>
        <v>0</v>
      </c>
      <c r="AX280" s="124">
        <f t="shared" ca="1" si="312"/>
        <v>254588.6460555791</v>
      </c>
      <c r="AY280" s="121"/>
      <c r="AZ280" s="122">
        <f t="shared" ca="1" si="287"/>
        <v>0</v>
      </c>
      <c r="BA280" s="124">
        <f t="shared" ca="1" si="313"/>
        <v>0</v>
      </c>
      <c r="BB280" s="123">
        <f t="shared" ca="1" si="314"/>
        <v>0</v>
      </c>
      <c r="BC280" s="123">
        <f t="shared" ca="1" si="288"/>
        <v>0</v>
      </c>
      <c r="BD280" s="123">
        <f t="shared" ca="1" si="315"/>
        <v>0</v>
      </c>
      <c r="BE280" s="124">
        <f t="shared" ca="1" si="316"/>
        <v>254588.6460555791</v>
      </c>
      <c r="BF280" s="121"/>
      <c r="BG280" s="123">
        <f t="shared" si="289"/>
        <v>1000000</v>
      </c>
      <c r="BH280" s="123">
        <f t="shared" ca="1" si="317"/>
        <v>1000000</v>
      </c>
      <c r="BI280" s="123">
        <f t="shared" ca="1" si="318"/>
        <v>0</v>
      </c>
      <c r="BJ280" s="123">
        <f t="shared" ca="1" si="319"/>
        <v>0</v>
      </c>
      <c r="BK280" s="123">
        <f t="shared" ca="1" si="276"/>
        <v>1000000</v>
      </c>
      <c r="BL280" s="123">
        <f t="shared" ca="1" si="320"/>
        <v>254588.6460555791</v>
      </c>
      <c r="BM280" s="121"/>
      <c r="BN280" s="126">
        <f ca="1">IF(LiabIntType2="Fixed",LiabFxdRate2,OFFSET(Vectors!$D$6,Vectors!A280,MATCH(LiabLoanIndex2,lstInterestRates,0))+LiabMarg2)</f>
        <v>0.04</v>
      </c>
      <c r="BO280" s="122">
        <f t="shared" ca="1" si="321"/>
        <v>25105.529260427273</v>
      </c>
      <c r="BP280" s="124">
        <f t="shared" ca="1" si="322"/>
        <v>25105.529260427273</v>
      </c>
      <c r="BQ280" s="123">
        <f t="shared" ca="1" si="323"/>
        <v>0</v>
      </c>
      <c r="BR280" s="123">
        <f t="shared" ca="1" si="324"/>
        <v>229483.11679515181</v>
      </c>
      <c r="BS280" s="121"/>
      <c r="BT280" s="123">
        <f t="shared" ca="1" si="290"/>
        <v>18347.520666001506</v>
      </c>
      <c r="BU280" s="123">
        <f t="shared" ca="1" si="325"/>
        <v>18347.520666001506</v>
      </c>
      <c r="BV280" s="123">
        <f t="shared" ca="1" si="326"/>
        <v>0</v>
      </c>
      <c r="BW280" s="123">
        <f t="shared" ca="1" si="327"/>
        <v>211135.5961291503</v>
      </c>
      <c r="BX280" s="121"/>
      <c r="BY280" s="123">
        <f t="shared" si="328"/>
        <v>0</v>
      </c>
      <c r="BZ280" s="123">
        <f t="shared" ca="1" si="329"/>
        <v>211135.5961291503</v>
      </c>
      <c r="CA280" s="121"/>
      <c r="CB280" s="122">
        <f t="shared" ca="1" si="277"/>
        <v>0</v>
      </c>
      <c r="CC280" s="122">
        <f t="shared" ca="1" si="330"/>
        <v>0</v>
      </c>
      <c r="CD280" s="124">
        <f t="shared" ca="1" si="331"/>
        <v>0</v>
      </c>
      <c r="CE280" s="121"/>
      <c r="CF280" s="122">
        <f t="shared" ca="1" si="278"/>
        <v>7513311.2574621812</v>
      </c>
      <c r="CG280" s="124">
        <f t="shared" ca="1" si="332"/>
        <v>25105.529260427273</v>
      </c>
      <c r="CH280" s="123">
        <f t="shared" ca="1" si="333"/>
        <v>18347.520666001506</v>
      </c>
      <c r="CI280" s="121"/>
      <c r="CJ280" s="123">
        <f t="shared" ca="1" si="334"/>
        <v>276682.0113891167</v>
      </c>
      <c r="CK280" s="123">
        <f t="shared" ca="1" si="335"/>
        <v>276682.0113891167</v>
      </c>
      <c r="CL280" s="123">
        <f t="shared" ca="1" si="336"/>
        <v>0</v>
      </c>
      <c r="CM280" s="121"/>
      <c r="CN280" s="62">
        <f t="shared" ca="1" si="337"/>
        <v>178949.36738819751</v>
      </c>
      <c r="CO280" s="62" t="b">
        <f t="shared" si="338"/>
        <v>1</v>
      </c>
      <c r="CP280" s="126">
        <f t="shared" ca="1" si="339"/>
        <v>7.6111111111110798E-3</v>
      </c>
      <c r="CQ280" s="120"/>
      <c r="CR280" s="120"/>
      <c r="CS280" s="120"/>
      <c r="CT280" s="120"/>
      <c r="CU280" s="120"/>
      <c r="CV280" s="120"/>
      <c r="CW280" s="120"/>
      <c r="CX280" s="120"/>
      <c r="CY280" s="120"/>
      <c r="CZ280" s="120"/>
      <c r="DA280" s="120"/>
      <c r="DB280" s="120"/>
      <c r="DC280" s="120"/>
      <c r="DD280" s="120"/>
      <c r="DE280" s="116"/>
      <c r="DF280" s="116"/>
      <c r="DG280" s="116"/>
      <c r="DH280" s="116"/>
      <c r="DI280" s="116"/>
      <c r="DJ280" s="116"/>
      <c r="DK280" s="116"/>
      <c r="DL280" s="116"/>
      <c r="DM280" s="116"/>
      <c r="DN280" s="116"/>
    </row>
    <row r="281" spans="1:118" x14ac:dyDescent="0.2">
      <c r="A281" s="27">
        <v>275</v>
      </c>
      <c r="B281" s="29">
        <f t="shared" si="272"/>
        <v>47484</v>
      </c>
      <c r="C281" s="30">
        <f t="shared" si="273"/>
        <v>8.3333333333333329E-2</v>
      </c>
      <c r="D281" s="55"/>
      <c r="E281" s="62">
        <f t="shared" ca="1" si="291"/>
        <v>50860004.578467861</v>
      </c>
      <c r="F281" s="63">
        <f ca="1">IF(AssetIntType1="Fixed",AssetFxdRate1,IF(A281=1,OFFSET(Vectors!$D$6,A281,MATCH(AssetFltIndx1,lstInterestRates,0)),IF(MOD($A281,AssetRateReset1)=0,MAX(MIN(OFFSET(Vectors!$D$6,A281,MATCH(AssetFltIndx1,lstInterestRates,0)),(F280-AssetMarg1)+AssetPdCapFl1,AssetLifeCap1-AssetMarg1),(F280-AssetMarg1)-AssetPdCapFl1,AssetLifeFloor1-AssetMarg1),F280)))+AssetMarg1</f>
        <v>0.09</v>
      </c>
      <c r="G281" s="62">
        <f t="shared" ca="1" si="279"/>
        <v>804622.61694478267</v>
      </c>
      <c r="H281" s="62">
        <f t="shared" ca="1" si="292"/>
        <v>381450.03433850897</v>
      </c>
      <c r="I281" s="62">
        <f t="shared" ca="1" si="293"/>
        <v>423172.5826062737</v>
      </c>
      <c r="J281" s="62">
        <f t="shared" ca="1" si="274"/>
        <v>50436831.99586159</v>
      </c>
      <c r="K281" s="55"/>
      <c r="L281" s="62">
        <f t="shared" ca="1" si="294"/>
        <v>13077069.832734358</v>
      </c>
      <c r="M281" s="68">
        <f ca="1">IF(pdrLossTime1="",OFFSET(Vectors!$AE$6,A281+_Age1,MATCH(SDA_Loss,lstSDA,0)),OFFSET(Vectors!$X$6,A281+_Age1,MATCH(pdrLossTime1,lstDefaultCurve,0)))</f>
        <v>2.7777777777777779E-5</v>
      </c>
      <c r="N281" s="62">
        <f t="shared" ca="1" si="280"/>
        <v>2777.7777777777778</v>
      </c>
      <c r="O281" s="67">
        <f t="shared" ca="1" si="295"/>
        <v>0.50436831995861586</v>
      </c>
      <c r="P281" s="68">
        <f ca="1">OFFSET(Vectors!$L$6,A281+_Age1,MATCH(pdrPrepay1,lstPrepayCurve,0))*pdrPrepayStress1</f>
        <v>5.1430128318229462E-3</v>
      </c>
      <c r="Q281" s="62">
        <f t="shared" ca="1" si="296"/>
        <v>66695.948940839735</v>
      </c>
      <c r="R281" s="62">
        <f t="shared" ca="1" si="297"/>
        <v>108782.56855263993</v>
      </c>
      <c r="S281" s="69">
        <f t="shared" ca="1" si="298"/>
        <v>0.09</v>
      </c>
      <c r="T281" s="62">
        <f t="shared" ca="1" si="299"/>
        <v>98057.190412174343</v>
      </c>
      <c r="U281" s="62">
        <f t="shared" ca="1" si="281"/>
        <v>1111.1111111111111</v>
      </c>
      <c r="V281" s="62">
        <f t="shared" ca="1" si="275"/>
        <v>12898813.537463101</v>
      </c>
      <c r="W281" s="55"/>
      <c r="X281" s="62">
        <f t="shared" ca="1" si="300"/>
        <v>274646.8190167651</v>
      </c>
      <c r="Y281" s="55"/>
      <c r="Z281" s="118" t="b">
        <v>0</v>
      </c>
      <c r="AA281" s="120" t="b">
        <f t="shared" si="282"/>
        <v>0</v>
      </c>
      <c r="AB281" s="120" t="b">
        <f t="shared" si="283"/>
        <v>1</v>
      </c>
      <c r="AC281" s="120" t="b">
        <f t="shared" ca="1" si="284"/>
        <v>0</v>
      </c>
      <c r="AD281" s="121"/>
      <c r="AE281" s="129">
        <v>0</v>
      </c>
      <c r="AF281" s="69">
        <f ca="1">IF(Swap_Active="No",0,OFFSET(Vectors!$D$6,Vectors!A281,MATCH(Swap_In,lstInterestRates,0)))</f>
        <v>6.9369000000000056E-2</v>
      </c>
      <c r="AG281" s="62">
        <f t="shared" ca="1" si="301"/>
        <v>0</v>
      </c>
      <c r="AH281" s="69">
        <f ca="1">IF(Swap_Active="No",0,OFFSET(Vectors!$D$6,Vectors!A281,MATCH(Swap_Out,lstInterestRates,0)))</f>
        <v>0.04</v>
      </c>
      <c r="AI281" s="62">
        <f t="shared" ca="1" si="302"/>
        <v>0</v>
      </c>
      <c r="AJ281" s="62">
        <f t="shared" ca="1" si="303"/>
        <v>0</v>
      </c>
      <c r="AK281" s="62">
        <f t="shared" ca="1" si="304"/>
        <v>274646.8190167651</v>
      </c>
      <c r="AL281" s="121"/>
      <c r="AM281" s="123">
        <f t="shared" ca="1" si="285"/>
        <v>21795.116387890594</v>
      </c>
      <c r="AN281" s="124">
        <f t="shared" ca="1" si="305"/>
        <v>21795.116387890594</v>
      </c>
      <c r="AO281" s="125">
        <f t="shared" ca="1" si="306"/>
        <v>0</v>
      </c>
      <c r="AP281" s="123">
        <f t="shared" ca="1" si="307"/>
        <v>252851.70262887451</v>
      </c>
      <c r="AQ281" s="121"/>
      <c r="AR281" s="126">
        <f ca="1">IF(LiabIntType1="Fixed",LiabFxdRate1,OFFSET(Vectors!$D$6,Vectors!A281,MATCH(LiabLoanIndex1,lstInterestRates,0))+LiabMarg1)</f>
        <v>7.9369000000000051E-2</v>
      </c>
      <c r="AS281" s="122">
        <f t="shared" ca="1" si="308"/>
        <v>0</v>
      </c>
      <c r="AT281" s="124">
        <f t="shared" ca="1" si="309"/>
        <v>0</v>
      </c>
      <c r="AU281" s="123">
        <f t="shared" ca="1" si="310"/>
        <v>0</v>
      </c>
      <c r="AV281" s="123">
        <f t="shared" ca="1" si="286"/>
        <v>0</v>
      </c>
      <c r="AW281" s="123">
        <f t="shared" ca="1" si="311"/>
        <v>0</v>
      </c>
      <c r="AX281" s="124">
        <f t="shared" ca="1" si="312"/>
        <v>252851.70262887451</v>
      </c>
      <c r="AY281" s="121"/>
      <c r="AZ281" s="122">
        <f t="shared" ca="1" si="287"/>
        <v>0</v>
      </c>
      <c r="BA281" s="124">
        <f t="shared" ca="1" si="313"/>
        <v>0</v>
      </c>
      <c r="BB281" s="123">
        <f t="shared" ca="1" si="314"/>
        <v>0</v>
      </c>
      <c r="BC281" s="123">
        <f t="shared" ca="1" si="288"/>
        <v>0</v>
      </c>
      <c r="BD281" s="123">
        <f t="shared" ca="1" si="315"/>
        <v>0</v>
      </c>
      <c r="BE281" s="124">
        <f t="shared" ca="1" si="316"/>
        <v>252851.70262887451</v>
      </c>
      <c r="BF281" s="121"/>
      <c r="BG281" s="123">
        <f t="shared" si="289"/>
        <v>1000000</v>
      </c>
      <c r="BH281" s="123">
        <f t="shared" ca="1" si="317"/>
        <v>1000000</v>
      </c>
      <c r="BI281" s="123">
        <f t="shared" ca="1" si="318"/>
        <v>0</v>
      </c>
      <c r="BJ281" s="123">
        <f t="shared" ca="1" si="319"/>
        <v>0</v>
      </c>
      <c r="BK281" s="123">
        <f t="shared" ca="1" si="276"/>
        <v>1000000</v>
      </c>
      <c r="BL281" s="123">
        <f t="shared" ca="1" si="320"/>
        <v>252851.70262887451</v>
      </c>
      <c r="BM281" s="121"/>
      <c r="BN281" s="126">
        <f ca="1">IF(LiabIntType2="Fixed",LiabFxdRate2,OFFSET(Vectors!$D$6,Vectors!A281,MATCH(LiabLoanIndex2,lstInterestRates,0))+LiabMarg2)</f>
        <v>0.04</v>
      </c>
      <c r="BO281" s="122">
        <f t="shared" ca="1" si="321"/>
        <v>25044.370858207269</v>
      </c>
      <c r="BP281" s="124">
        <f t="shared" ca="1" si="322"/>
        <v>25044.370858207269</v>
      </c>
      <c r="BQ281" s="123">
        <f t="shared" ca="1" si="323"/>
        <v>0</v>
      </c>
      <c r="BR281" s="123">
        <f t="shared" ca="1" si="324"/>
        <v>227807.33177066725</v>
      </c>
      <c r="BS281" s="121"/>
      <c r="BT281" s="123">
        <f t="shared" ca="1" si="290"/>
        <v>18276.460593679476</v>
      </c>
      <c r="BU281" s="123">
        <f t="shared" ca="1" si="325"/>
        <v>18276.460593679476</v>
      </c>
      <c r="BV281" s="123">
        <f t="shared" ca="1" si="326"/>
        <v>0</v>
      </c>
      <c r="BW281" s="123">
        <f t="shared" ca="1" si="327"/>
        <v>209530.87117698777</v>
      </c>
      <c r="BX281" s="121"/>
      <c r="BY281" s="123">
        <f t="shared" si="328"/>
        <v>0</v>
      </c>
      <c r="BZ281" s="123">
        <f t="shared" ca="1" si="329"/>
        <v>209530.87117698777</v>
      </c>
      <c r="CA281" s="121"/>
      <c r="CB281" s="122">
        <f t="shared" ca="1" si="277"/>
        <v>0</v>
      </c>
      <c r="CC281" s="122">
        <f t="shared" ca="1" si="330"/>
        <v>0</v>
      </c>
      <c r="CD281" s="124">
        <f t="shared" ca="1" si="331"/>
        <v>0</v>
      </c>
      <c r="CE281" s="121"/>
      <c r="CF281" s="122">
        <f t="shared" ca="1" si="278"/>
        <v>7495034.7968685012</v>
      </c>
      <c r="CG281" s="124">
        <f t="shared" ca="1" si="332"/>
        <v>25044.370858207269</v>
      </c>
      <c r="CH281" s="123">
        <f t="shared" ca="1" si="333"/>
        <v>18276.460593679476</v>
      </c>
      <c r="CI281" s="121"/>
      <c r="CJ281" s="123">
        <f t="shared" ca="1" si="334"/>
        <v>274646.8190167651</v>
      </c>
      <c r="CK281" s="123">
        <f t="shared" ca="1" si="335"/>
        <v>274646.8190167651</v>
      </c>
      <c r="CL281" s="123">
        <f t="shared" ca="1" si="336"/>
        <v>0</v>
      </c>
      <c r="CM281" s="121"/>
      <c r="CN281" s="62">
        <f t="shared" ca="1" si="337"/>
        <v>178256.29527125746</v>
      </c>
      <c r="CO281" s="62" t="b">
        <f t="shared" si="338"/>
        <v>1</v>
      </c>
      <c r="CP281" s="126">
        <f t="shared" ca="1" si="339"/>
        <v>7.6388888888888574E-3</v>
      </c>
      <c r="CQ281" s="120"/>
      <c r="CR281" s="120"/>
      <c r="CS281" s="120"/>
      <c r="CT281" s="120"/>
      <c r="CU281" s="120"/>
      <c r="CV281" s="120"/>
      <c r="CW281" s="120"/>
      <c r="CX281" s="120"/>
      <c r="CY281" s="120"/>
      <c r="CZ281" s="120"/>
      <c r="DA281" s="120"/>
      <c r="DB281" s="120"/>
      <c r="DC281" s="120"/>
      <c r="DD281" s="120"/>
      <c r="DE281" s="116"/>
      <c r="DF281" s="116"/>
      <c r="DG281" s="116"/>
      <c r="DH281" s="116"/>
      <c r="DI281" s="116"/>
      <c r="DJ281" s="116"/>
      <c r="DK281" s="116"/>
      <c r="DL281" s="116"/>
      <c r="DM281" s="116"/>
      <c r="DN281" s="116"/>
    </row>
    <row r="282" spans="1:118" x14ac:dyDescent="0.2">
      <c r="A282" s="27">
        <v>276</v>
      </c>
      <c r="B282" s="29">
        <f t="shared" si="272"/>
        <v>47515</v>
      </c>
      <c r="C282" s="30">
        <f t="shared" si="273"/>
        <v>8.3333333333333329E-2</v>
      </c>
      <c r="D282" s="55"/>
      <c r="E282" s="62">
        <f t="shared" ca="1" si="291"/>
        <v>50436831.99586159</v>
      </c>
      <c r="F282" s="63">
        <f ca="1">IF(AssetIntType1="Fixed",AssetFxdRate1,IF(A282=1,OFFSET(Vectors!$D$6,A282,MATCH(AssetFltIndx1,lstInterestRates,0)),IF(MOD($A282,AssetRateReset1)=0,MAX(MIN(OFFSET(Vectors!$D$6,A282,MATCH(AssetFltIndx1,lstInterestRates,0)),(F281-AssetMarg1)+AssetPdCapFl1,AssetLifeCap1-AssetMarg1),(F281-AssetMarg1)-AssetPdCapFl1,AssetLifeFloor1-AssetMarg1),F281)))+AssetMarg1</f>
        <v>0.09</v>
      </c>
      <c r="G282" s="62">
        <f t="shared" ca="1" si="279"/>
        <v>804622.61694478267</v>
      </c>
      <c r="H282" s="62">
        <f t="shared" ca="1" si="292"/>
        <v>378276.23996896192</v>
      </c>
      <c r="I282" s="62">
        <f t="shared" ca="1" si="293"/>
        <v>426346.37697582075</v>
      </c>
      <c r="J282" s="62">
        <f t="shared" ca="1" si="274"/>
        <v>50010485.61888577</v>
      </c>
      <c r="K282" s="55"/>
      <c r="L282" s="62">
        <f t="shared" ca="1" si="294"/>
        <v>12898813.537463101</v>
      </c>
      <c r="M282" s="68">
        <f ca="1">IF(pdrLossTime1="",OFFSET(Vectors!$AE$6,A282+_Age1,MATCH(SDA_Loss,lstSDA,0)),OFFSET(Vectors!$X$6,A282+_Age1,MATCH(pdrLossTime1,lstDefaultCurve,0)))</f>
        <v>2.7777777777777779E-5</v>
      </c>
      <c r="N282" s="62">
        <f t="shared" ca="1" si="280"/>
        <v>2777.7777777777778</v>
      </c>
      <c r="O282" s="67">
        <f t="shared" ca="1" si="295"/>
        <v>0.50010485618885769</v>
      </c>
      <c r="P282" s="68">
        <f ca="1">OFFSET(Vectors!$L$6,A282+_Age1,MATCH(pdrPrepay1,lstPrepayCurve,0))*pdrPrepayStress1</f>
        <v>5.1430128318229462E-3</v>
      </c>
      <c r="Q282" s="62">
        <f t="shared" ca="1" si="296"/>
        <v>65777.996924692779</v>
      </c>
      <c r="R282" s="62">
        <f t="shared" ca="1" si="297"/>
        <v>109011.17112081013</v>
      </c>
      <c r="S282" s="69">
        <f t="shared" ca="1" si="298"/>
        <v>0.09</v>
      </c>
      <c r="T282" s="62">
        <f t="shared" ca="1" si="299"/>
        <v>96720.268197639918</v>
      </c>
      <c r="U282" s="62">
        <f t="shared" ca="1" si="281"/>
        <v>1111.1111111111111</v>
      </c>
      <c r="V282" s="62">
        <f t="shared" ca="1" si="275"/>
        <v>12721246.59163982</v>
      </c>
      <c r="W282" s="55"/>
      <c r="X282" s="62">
        <f t="shared" ca="1" si="300"/>
        <v>272620.54735425394</v>
      </c>
      <c r="Y282" s="55"/>
      <c r="Z282" s="118" t="b">
        <v>0</v>
      </c>
      <c r="AA282" s="120" t="b">
        <f t="shared" si="282"/>
        <v>0</v>
      </c>
      <c r="AB282" s="120" t="b">
        <f t="shared" si="283"/>
        <v>1</v>
      </c>
      <c r="AC282" s="120" t="b">
        <f t="shared" ca="1" si="284"/>
        <v>0</v>
      </c>
      <c r="AD282" s="121"/>
      <c r="AE282" s="129">
        <v>0</v>
      </c>
      <c r="AF282" s="69">
        <f ca="1">IF(Swap_Active="No",0,OFFSET(Vectors!$D$6,Vectors!A282,MATCH(Swap_In,lstInterestRates,0)))</f>
        <v>6.9369000000000056E-2</v>
      </c>
      <c r="AG282" s="62">
        <f t="shared" ca="1" si="301"/>
        <v>0</v>
      </c>
      <c r="AH282" s="69">
        <f ca="1">IF(Swap_Active="No",0,OFFSET(Vectors!$D$6,Vectors!A282,MATCH(Swap_Out,lstInterestRates,0)))</f>
        <v>0.04</v>
      </c>
      <c r="AI282" s="62">
        <f t="shared" ca="1" si="302"/>
        <v>0</v>
      </c>
      <c r="AJ282" s="62">
        <f t="shared" ca="1" si="303"/>
        <v>0</v>
      </c>
      <c r="AK282" s="62">
        <f t="shared" ca="1" si="304"/>
        <v>272620.54735425394</v>
      </c>
      <c r="AL282" s="121"/>
      <c r="AM282" s="123">
        <f t="shared" ca="1" si="285"/>
        <v>21498.022562438498</v>
      </c>
      <c r="AN282" s="124">
        <f t="shared" ca="1" si="305"/>
        <v>21498.022562438498</v>
      </c>
      <c r="AO282" s="125">
        <f t="shared" ca="1" si="306"/>
        <v>0</v>
      </c>
      <c r="AP282" s="123">
        <f t="shared" ca="1" si="307"/>
        <v>251122.52479181543</v>
      </c>
      <c r="AQ282" s="121"/>
      <c r="AR282" s="126">
        <f ca="1">IF(LiabIntType1="Fixed",LiabFxdRate1,OFFSET(Vectors!$D$6,Vectors!A282,MATCH(LiabLoanIndex1,lstInterestRates,0))+LiabMarg1)</f>
        <v>7.9369000000000051E-2</v>
      </c>
      <c r="AS282" s="122">
        <f t="shared" ca="1" si="308"/>
        <v>0</v>
      </c>
      <c r="AT282" s="124">
        <f t="shared" ca="1" si="309"/>
        <v>0</v>
      </c>
      <c r="AU282" s="123">
        <f t="shared" ca="1" si="310"/>
        <v>0</v>
      </c>
      <c r="AV282" s="123">
        <f t="shared" ca="1" si="286"/>
        <v>0</v>
      </c>
      <c r="AW282" s="123">
        <f t="shared" ca="1" si="311"/>
        <v>0</v>
      </c>
      <c r="AX282" s="124">
        <f t="shared" ca="1" si="312"/>
        <v>251122.52479181543</v>
      </c>
      <c r="AY282" s="121"/>
      <c r="AZ282" s="122">
        <f t="shared" ca="1" si="287"/>
        <v>0</v>
      </c>
      <c r="BA282" s="124">
        <f t="shared" ca="1" si="313"/>
        <v>0</v>
      </c>
      <c r="BB282" s="123">
        <f t="shared" ca="1" si="314"/>
        <v>0</v>
      </c>
      <c r="BC282" s="123">
        <f t="shared" ca="1" si="288"/>
        <v>0</v>
      </c>
      <c r="BD282" s="123">
        <f t="shared" ca="1" si="315"/>
        <v>0</v>
      </c>
      <c r="BE282" s="124">
        <f t="shared" ca="1" si="316"/>
        <v>251122.52479181543</v>
      </c>
      <c r="BF282" s="121"/>
      <c r="BG282" s="123">
        <f t="shared" si="289"/>
        <v>1000000</v>
      </c>
      <c r="BH282" s="123">
        <f t="shared" ca="1" si="317"/>
        <v>1000000</v>
      </c>
      <c r="BI282" s="123">
        <f t="shared" ca="1" si="318"/>
        <v>0</v>
      </c>
      <c r="BJ282" s="123">
        <f t="shared" ca="1" si="319"/>
        <v>0</v>
      </c>
      <c r="BK282" s="123">
        <f t="shared" ca="1" si="276"/>
        <v>1000000</v>
      </c>
      <c r="BL282" s="123">
        <f t="shared" ca="1" si="320"/>
        <v>251122.52479181543</v>
      </c>
      <c r="BM282" s="121"/>
      <c r="BN282" s="126">
        <f ca="1">IF(LiabIntType2="Fixed",LiabFxdRate2,OFFSET(Vectors!$D$6,Vectors!A282,MATCH(LiabLoanIndex2,lstInterestRates,0))+LiabMarg2)</f>
        <v>0.04</v>
      </c>
      <c r="BO282" s="122">
        <f t="shared" ca="1" si="321"/>
        <v>24983.449322895001</v>
      </c>
      <c r="BP282" s="124">
        <f t="shared" ca="1" si="322"/>
        <v>24983.449322895001</v>
      </c>
      <c r="BQ282" s="123">
        <f t="shared" ca="1" si="323"/>
        <v>0</v>
      </c>
      <c r="BR282" s="123">
        <f t="shared" ca="1" si="324"/>
        <v>226139.07546892043</v>
      </c>
      <c r="BS282" s="121"/>
      <c r="BT282" s="123">
        <f t="shared" ca="1" si="290"/>
        <v>18205.782203319963</v>
      </c>
      <c r="BU282" s="123">
        <f t="shared" ca="1" si="325"/>
        <v>18205.782203319963</v>
      </c>
      <c r="BV282" s="123">
        <f t="shared" ca="1" si="326"/>
        <v>0</v>
      </c>
      <c r="BW282" s="123">
        <f t="shared" ca="1" si="327"/>
        <v>207933.29326560046</v>
      </c>
      <c r="BX282" s="121"/>
      <c r="BY282" s="123">
        <f t="shared" si="328"/>
        <v>0</v>
      </c>
      <c r="BZ282" s="123">
        <f t="shared" ca="1" si="329"/>
        <v>207933.29326560046</v>
      </c>
      <c r="CA282" s="121"/>
      <c r="CB282" s="122">
        <f t="shared" ca="1" si="277"/>
        <v>0</v>
      </c>
      <c r="CC282" s="122">
        <f t="shared" ca="1" si="330"/>
        <v>0</v>
      </c>
      <c r="CD282" s="124">
        <f t="shared" ca="1" si="331"/>
        <v>0</v>
      </c>
      <c r="CE282" s="121"/>
      <c r="CF282" s="122">
        <f t="shared" ca="1" si="278"/>
        <v>7476829.0146651808</v>
      </c>
      <c r="CG282" s="124">
        <f t="shared" ca="1" si="332"/>
        <v>24983.449322895001</v>
      </c>
      <c r="CH282" s="123">
        <f t="shared" ca="1" si="333"/>
        <v>18205.782203319963</v>
      </c>
      <c r="CI282" s="121"/>
      <c r="CJ282" s="123">
        <f t="shared" ca="1" si="334"/>
        <v>272620.54735425394</v>
      </c>
      <c r="CK282" s="123">
        <f t="shared" ca="1" si="335"/>
        <v>272620.54735425394</v>
      </c>
      <c r="CL282" s="123">
        <f t="shared" ca="1" si="336"/>
        <v>0</v>
      </c>
      <c r="CM282" s="121"/>
      <c r="CN282" s="62">
        <f t="shared" ca="1" si="337"/>
        <v>177566.94582328069</v>
      </c>
      <c r="CO282" s="62" t="b">
        <f t="shared" si="338"/>
        <v>1</v>
      </c>
      <c r="CP282" s="126">
        <f t="shared" ca="1" si="339"/>
        <v>7.666666666666635E-3</v>
      </c>
      <c r="CQ282" s="120"/>
      <c r="CR282" s="120"/>
      <c r="CS282" s="120"/>
      <c r="CT282" s="120"/>
      <c r="CU282" s="120"/>
      <c r="CV282" s="120"/>
      <c r="CW282" s="120"/>
      <c r="CX282" s="120"/>
      <c r="CY282" s="120"/>
      <c r="CZ282" s="120"/>
      <c r="DA282" s="120"/>
      <c r="DB282" s="120"/>
      <c r="DC282" s="120"/>
      <c r="DD282" s="120"/>
      <c r="DE282" s="116"/>
      <c r="DF282" s="116"/>
      <c r="DG282" s="116"/>
      <c r="DH282" s="116"/>
      <c r="DI282" s="116"/>
      <c r="DJ282" s="116"/>
      <c r="DK282" s="116"/>
      <c r="DL282" s="116"/>
      <c r="DM282" s="116"/>
      <c r="DN282" s="116"/>
    </row>
    <row r="283" spans="1:118" x14ac:dyDescent="0.2">
      <c r="A283" s="27">
        <v>277</v>
      </c>
      <c r="B283" s="29">
        <f t="shared" si="272"/>
        <v>47543</v>
      </c>
      <c r="C283" s="30">
        <f t="shared" si="273"/>
        <v>8.3333333333333329E-2</v>
      </c>
      <c r="D283" s="55"/>
      <c r="E283" s="62">
        <f t="shared" ca="1" si="291"/>
        <v>50010485.61888577</v>
      </c>
      <c r="F283" s="63">
        <f ca="1">IF(AssetIntType1="Fixed",AssetFxdRate1,IF(A283=1,OFFSET(Vectors!$D$6,A283,MATCH(AssetFltIndx1,lstInterestRates,0)),IF(MOD($A283,AssetRateReset1)=0,MAX(MIN(OFFSET(Vectors!$D$6,A283,MATCH(AssetFltIndx1,lstInterestRates,0)),(F282-AssetMarg1)+AssetPdCapFl1,AssetLifeCap1-AssetMarg1),(F282-AssetMarg1)-AssetPdCapFl1,AssetLifeFloor1-AssetMarg1),F282)))+AssetMarg1</f>
        <v>0.09</v>
      </c>
      <c r="G283" s="62">
        <f t="shared" ca="1" si="279"/>
        <v>804622.61694478267</v>
      </c>
      <c r="H283" s="62">
        <f t="shared" ca="1" si="292"/>
        <v>375078.64214164327</v>
      </c>
      <c r="I283" s="62">
        <f t="shared" ca="1" si="293"/>
        <v>429543.9748031394</v>
      </c>
      <c r="J283" s="62">
        <f t="shared" ca="1" si="274"/>
        <v>49580941.644082628</v>
      </c>
      <c r="K283" s="55"/>
      <c r="L283" s="62">
        <f t="shared" ca="1" si="294"/>
        <v>12721246.59163982</v>
      </c>
      <c r="M283" s="68">
        <f ca="1">IF(pdrLossTime1="",OFFSET(Vectors!$AE$6,A283+_Age1,MATCH(SDA_Loss,lstSDA,0)),OFFSET(Vectors!$X$6,A283+_Age1,MATCH(pdrLossTime1,lstDefaultCurve,0)))</f>
        <v>2.7777777777777779E-5</v>
      </c>
      <c r="N283" s="62">
        <f t="shared" ca="1" si="280"/>
        <v>2777.7777777777778</v>
      </c>
      <c r="O283" s="67">
        <f t="shared" ca="1" si="295"/>
        <v>0.49580941644082627</v>
      </c>
      <c r="P283" s="68">
        <f ca="1">OFFSET(Vectors!$L$6,A283+_Age1,MATCH(pdrPrepay1,lstPrepayCurve,0))*pdrPrepayStress1</f>
        <v>5.1430128318229462E-3</v>
      </c>
      <c r="Q283" s="62">
        <f t="shared" ca="1" si="296"/>
        <v>64863.589421926452</v>
      </c>
      <c r="R283" s="62">
        <f t="shared" ca="1" si="297"/>
        <v>109239.92399012035</v>
      </c>
      <c r="S283" s="69">
        <f t="shared" ca="1" si="298"/>
        <v>0.09</v>
      </c>
      <c r="T283" s="62">
        <f t="shared" ca="1" si="299"/>
        <v>95388.516103965318</v>
      </c>
      <c r="U283" s="62">
        <f t="shared" ca="1" si="281"/>
        <v>1111.1111111111111</v>
      </c>
      <c r="V283" s="62">
        <f t="shared" ca="1" si="275"/>
        <v>12544365.300449995</v>
      </c>
      <c r="W283" s="55"/>
      <c r="X283" s="62">
        <f t="shared" ca="1" si="300"/>
        <v>270603.14062712324</v>
      </c>
      <c r="Y283" s="55"/>
      <c r="Z283" s="118" t="b">
        <v>0</v>
      </c>
      <c r="AA283" s="120" t="b">
        <f t="shared" si="282"/>
        <v>0</v>
      </c>
      <c r="AB283" s="120" t="b">
        <f t="shared" si="283"/>
        <v>1</v>
      </c>
      <c r="AC283" s="120" t="b">
        <f t="shared" ca="1" si="284"/>
        <v>0</v>
      </c>
      <c r="AD283" s="121"/>
      <c r="AE283" s="129">
        <v>0</v>
      </c>
      <c r="AF283" s="69">
        <f ca="1">IF(Swap_Active="No",0,OFFSET(Vectors!$D$6,Vectors!A283,MATCH(Swap_In,lstInterestRates,0)))</f>
        <v>6.9369000000000056E-2</v>
      </c>
      <c r="AG283" s="62">
        <f t="shared" ca="1" si="301"/>
        <v>0</v>
      </c>
      <c r="AH283" s="69">
        <f ca="1">IF(Swap_Active="No",0,OFFSET(Vectors!$D$6,Vectors!A283,MATCH(Swap_Out,lstInterestRates,0)))</f>
        <v>0.04</v>
      </c>
      <c r="AI283" s="62">
        <f t="shared" ca="1" si="302"/>
        <v>0</v>
      </c>
      <c r="AJ283" s="62">
        <f t="shared" ca="1" si="303"/>
        <v>0</v>
      </c>
      <c r="AK283" s="62">
        <f t="shared" ca="1" si="304"/>
        <v>270603.14062712324</v>
      </c>
      <c r="AL283" s="121"/>
      <c r="AM283" s="123">
        <f t="shared" ca="1" si="285"/>
        <v>21202.077652733034</v>
      </c>
      <c r="AN283" s="124">
        <f t="shared" ca="1" si="305"/>
        <v>21202.077652733034</v>
      </c>
      <c r="AO283" s="125">
        <f t="shared" ca="1" si="306"/>
        <v>0</v>
      </c>
      <c r="AP283" s="123">
        <f t="shared" ca="1" si="307"/>
        <v>249401.0629743902</v>
      </c>
      <c r="AQ283" s="121"/>
      <c r="AR283" s="126">
        <f ca="1">IF(LiabIntType1="Fixed",LiabFxdRate1,OFFSET(Vectors!$D$6,Vectors!A283,MATCH(LiabLoanIndex1,lstInterestRates,0))+LiabMarg1)</f>
        <v>7.9369000000000051E-2</v>
      </c>
      <c r="AS283" s="122">
        <f t="shared" ca="1" si="308"/>
        <v>0</v>
      </c>
      <c r="AT283" s="124">
        <f t="shared" ca="1" si="309"/>
        <v>0</v>
      </c>
      <c r="AU283" s="123">
        <f t="shared" ca="1" si="310"/>
        <v>0</v>
      </c>
      <c r="AV283" s="123">
        <f t="shared" ca="1" si="286"/>
        <v>0</v>
      </c>
      <c r="AW283" s="123">
        <f t="shared" ca="1" si="311"/>
        <v>0</v>
      </c>
      <c r="AX283" s="124">
        <f t="shared" ca="1" si="312"/>
        <v>249401.0629743902</v>
      </c>
      <c r="AY283" s="121"/>
      <c r="AZ283" s="122">
        <f t="shared" ca="1" si="287"/>
        <v>0</v>
      </c>
      <c r="BA283" s="124">
        <f t="shared" ca="1" si="313"/>
        <v>0</v>
      </c>
      <c r="BB283" s="123">
        <f t="shared" ca="1" si="314"/>
        <v>0</v>
      </c>
      <c r="BC283" s="123">
        <f t="shared" ca="1" si="288"/>
        <v>0</v>
      </c>
      <c r="BD283" s="123">
        <f t="shared" ca="1" si="315"/>
        <v>0</v>
      </c>
      <c r="BE283" s="124">
        <f t="shared" ca="1" si="316"/>
        <v>249401.0629743902</v>
      </c>
      <c r="BF283" s="121"/>
      <c r="BG283" s="123">
        <f t="shared" si="289"/>
        <v>1000000</v>
      </c>
      <c r="BH283" s="123">
        <f t="shared" ca="1" si="317"/>
        <v>1000000</v>
      </c>
      <c r="BI283" s="123">
        <f t="shared" ca="1" si="318"/>
        <v>0</v>
      </c>
      <c r="BJ283" s="123">
        <f t="shared" ca="1" si="319"/>
        <v>0</v>
      </c>
      <c r="BK283" s="123">
        <f t="shared" ca="1" si="276"/>
        <v>1000000</v>
      </c>
      <c r="BL283" s="123">
        <f t="shared" ca="1" si="320"/>
        <v>249401.0629743902</v>
      </c>
      <c r="BM283" s="121"/>
      <c r="BN283" s="126">
        <f ca="1">IF(LiabIntType2="Fixed",LiabFxdRate2,OFFSET(Vectors!$D$6,Vectors!A283,MATCH(LiabLoanIndex2,lstInterestRates,0))+LiabMarg2)</f>
        <v>0.04</v>
      </c>
      <c r="BO283" s="122">
        <f t="shared" ca="1" si="321"/>
        <v>24922.763382217268</v>
      </c>
      <c r="BP283" s="124">
        <f t="shared" ca="1" si="322"/>
        <v>24922.763382217268</v>
      </c>
      <c r="BQ283" s="123">
        <f t="shared" ca="1" si="323"/>
        <v>0</v>
      </c>
      <c r="BR283" s="123">
        <f t="shared" ca="1" si="324"/>
        <v>224478.29959217293</v>
      </c>
      <c r="BS283" s="121"/>
      <c r="BT283" s="123">
        <f t="shared" ca="1" si="290"/>
        <v>18135.482639031561</v>
      </c>
      <c r="BU283" s="123">
        <f t="shared" ca="1" si="325"/>
        <v>18135.482639031561</v>
      </c>
      <c r="BV283" s="123">
        <f t="shared" ca="1" si="326"/>
        <v>0</v>
      </c>
      <c r="BW283" s="123">
        <f t="shared" ca="1" si="327"/>
        <v>206342.81695314136</v>
      </c>
      <c r="BX283" s="121"/>
      <c r="BY283" s="123">
        <f t="shared" si="328"/>
        <v>0</v>
      </c>
      <c r="BZ283" s="123">
        <f t="shared" ca="1" si="329"/>
        <v>206342.81695314136</v>
      </c>
      <c r="CA283" s="121"/>
      <c r="CB283" s="122">
        <f t="shared" ca="1" si="277"/>
        <v>0</v>
      </c>
      <c r="CC283" s="122">
        <f t="shared" ca="1" si="330"/>
        <v>0</v>
      </c>
      <c r="CD283" s="124">
        <f t="shared" ca="1" si="331"/>
        <v>0</v>
      </c>
      <c r="CE283" s="121"/>
      <c r="CF283" s="122">
        <f t="shared" ca="1" si="278"/>
        <v>7458693.5320261493</v>
      </c>
      <c r="CG283" s="124">
        <f t="shared" ca="1" si="332"/>
        <v>24922.763382217268</v>
      </c>
      <c r="CH283" s="123">
        <f t="shared" ca="1" si="333"/>
        <v>18135.482639031561</v>
      </c>
      <c r="CI283" s="121"/>
      <c r="CJ283" s="123">
        <f t="shared" ca="1" si="334"/>
        <v>270603.14062712324</v>
      </c>
      <c r="CK283" s="123">
        <f t="shared" ca="1" si="335"/>
        <v>270603.14062712324</v>
      </c>
      <c r="CL283" s="123">
        <f t="shared" ca="1" si="336"/>
        <v>0</v>
      </c>
      <c r="CM283" s="121"/>
      <c r="CN283" s="62">
        <f t="shared" ca="1" si="337"/>
        <v>176881.29118982458</v>
      </c>
      <c r="CO283" s="62" t="b">
        <f t="shared" si="338"/>
        <v>1</v>
      </c>
      <c r="CP283" s="126">
        <f t="shared" ca="1" si="339"/>
        <v>7.6944444444444126E-3</v>
      </c>
      <c r="CQ283" s="120"/>
      <c r="CR283" s="120"/>
      <c r="CS283" s="120"/>
      <c r="CT283" s="120"/>
      <c r="CU283" s="120"/>
      <c r="CV283" s="120"/>
      <c r="CW283" s="120"/>
      <c r="CX283" s="120"/>
      <c r="CY283" s="120"/>
      <c r="CZ283" s="120"/>
      <c r="DA283" s="120"/>
      <c r="DB283" s="120"/>
      <c r="DC283" s="120"/>
      <c r="DD283" s="120"/>
      <c r="DE283" s="116"/>
      <c r="DF283" s="116"/>
      <c r="DG283" s="116"/>
      <c r="DH283" s="116"/>
      <c r="DI283" s="116"/>
      <c r="DJ283" s="116"/>
      <c r="DK283" s="116"/>
      <c r="DL283" s="116"/>
      <c r="DM283" s="116"/>
      <c r="DN283" s="116"/>
    </row>
    <row r="284" spans="1:118" x14ac:dyDescent="0.2">
      <c r="A284" s="27">
        <v>278</v>
      </c>
      <c r="B284" s="29">
        <f t="shared" si="272"/>
        <v>47574</v>
      </c>
      <c r="C284" s="30">
        <f t="shared" si="273"/>
        <v>8.3333333333333329E-2</v>
      </c>
      <c r="D284" s="55"/>
      <c r="E284" s="62">
        <f t="shared" ca="1" si="291"/>
        <v>49580941.644082628</v>
      </c>
      <c r="F284" s="63">
        <f ca="1">IF(AssetIntType1="Fixed",AssetFxdRate1,IF(A284=1,OFFSET(Vectors!$D$6,A284,MATCH(AssetFltIndx1,lstInterestRates,0)),IF(MOD($A284,AssetRateReset1)=0,MAX(MIN(OFFSET(Vectors!$D$6,A284,MATCH(AssetFltIndx1,lstInterestRates,0)),(F283-AssetMarg1)+AssetPdCapFl1,AssetLifeCap1-AssetMarg1),(F283-AssetMarg1)-AssetPdCapFl1,AssetLifeFloor1-AssetMarg1),F283)))+AssetMarg1</f>
        <v>0.09</v>
      </c>
      <c r="G284" s="62">
        <f t="shared" ca="1" si="279"/>
        <v>804622.61694478267</v>
      </c>
      <c r="H284" s="62">
        <f t="shared" ca="1" si="292"/>
        <v>371857.06233061972</v>
      </c>
      <c r="I284" s="62">
        <f t="shared" ca="1" si="293"/>
        <v>432765.55461416295</v>
      </c>
      <c r="J284" s="62">
        <f t="shared" ca="1" si="274"/>
        <v>49148176.089468464</v>
      </c>
      <c r="K284" s="55"/>
      <c r="L284" s="62">
        <f t="shared" ca="1" si="294"/>
        <v>12544365.300449995</v>
      </c>
      <c r="M284" s="68">
        <f ca="1">IF(pdrLossTime1="",OFFSET(Vectors!$AE$6,A284+_Age1,MATCH(SDA_Loss,lstSDA,0)),OFFSET(Vectors!$X$6,A284+_Age1,MATCH(pdrLossTime1,lstDefaultCurve,0)))</f>
        <v>2.7777777777777779E-5</v>
      </c>
      <c r="N284" s="62">
        <f t="shared" ca="1" si="280"/>
        <v>2777.7777777777778</v>
      </c>
      <c r="O284" s="67">
        <f t="shared" ca="1" si="295"/>
        <v>0.49148176089468465</v>
      </c>
      <c r="P284" s="68">
        <f ca="1">OFFSET(Vectors!$L$6,A284+_Age1,MATCH(pdrPrepay1,lstPrepayCurve,0))*pdrPrepayStress1</f>
        <v>5.1430128318229462E-3</v>
      </c>
      <c r="Q284" s="62">
        <f t="shared" ca="1" si="296"/>
        <v>63952.707475187221</v>
      </c>
      <c r="R284" s="62">
        <f t="shared" ca="1" si="297"/>
        <v>109468.81805822009</v>
      </c>
      <c r="S284" s="69">
        <f t="shared" ca="1" si="298"/>
        <v>0.09</v>
      </c>
      <c r="T284" s="62">
        <f t="shared" ca="1" si="299"/>
        <v>94061.906420041632</v>
      </c>
      <c r="U284" s="62">
        <f t="shared" ca="1" si="281"/>
        <v>1111.1111111111111</v>
      </c>
      <c r="V284" s="62">
        <f t="shared" ca="1" si="275"/>
        <v>12368165.997138809</v>
      </c>
      <c r="W284" s="55"/>
      <c r="X284" s="62">
        <f t="shared" ca="1" si="300"/>
        <v>268594.54306456004</v>
      </c>
      <c r="Y284" s="55"/>
      <c r="Z284" s="118" t="b">
        <v>0</v>
      </c>
      <c r="AA284" s="120" t="b">
        <f t="shared" si="282"/>
        <v>0</v>
      </c>
      <c r="AB284" s="120" t="b">
        <f t="shared" si="283"/>
        <v>1</v>
      </c>
      <c r="AC284" s="120" t="b">
        <f t="shared" ca="1" si="284"/>
        <v>0</v>
      </c>
      <c r="AD284" s="121"/>
      <c r="AE284" s="129">
        <v>0</v>
      </c>
      <c r="AF284" s="69">
        <f ca="1">IF(Swap_Active="No",0,OFFSET(Vectors!$D$6,Vectors!A284,MATCH(Swap_In,lstInterestRates,0)))</f>
        <v>6.9369000000000056E-2</v>
      </c>
      <c r="AG284" s="62">
        <f t="shared" ca="1" si="301"/>
        <v>0</v>
      </c>
      <c r="AH284" s="69">
        <f ca="1">IF(Swap_Active="No",0,OFFSET(Vectors!$D$6,Vectors!A284,MATCH(Swap_Out,lstInterestRates,0)))</f>
        <v>0.04</v>
      </c>
      <c r="AI284" s="62">
        <f t="shared" ca="1" si="302"/>
        <v>0</v>
      </c>
      <c r="AJ284" s="62">
        <f t="shared" ca="1" si="303"/>
        <v>0</v>
      </c>
      <c r="AK284" s="62">
        <f t="shared" ca="1" si="304"/>
        <v>268594.54306456004</v>
      </c>
      <c r="AL284" s="121"/>
      <c r="AM284" s="123">
        <f t="shared" ca="1" si="285"/>
        <v>20907.275500749991</v>
      </c>
      <c r="AN284" s="124">
        <f t="shared" ca="1" si="305"/>
        <v>20907.275500749991</v>
      </c>
      <c r="AO284" s="125">
        <f t="shared" ca="1" si="306"/>
        <v>0</v>
      </c>
      <c r="AP284" s="123">
        <f t="shared" ca="1" si="307"/>
        <v>247687.26756381005</v>
      </c>
      <c r="AQ284" s="121"/>
      <c r="AR284" s="126">
        <f ca="1">IF(LiabIntType1="Fixed",LiabFxdRate1,OFFSET(Vectors!$D$6,Vectors!A284,MATCH(LiabLoanIndex1,lstInterestRates,0))+LiabMarg1)</f>
        <v>7.9369000000000051E-2</v>
      </c>
      <c r="AS284" s="122">
        <f t="shared" ca="1" si="308"/>
        <v>0</v>
      </c>
      <c r="AT284" s="124">
        <f t="shared" ca="1" si="309"/>
        <v>0</v>
      </c>
      <c r="AU284" s="123">
        <f t="shared" ca="1" si="310"/>
        <v>0</v>
      </c>
      <c r="AV284" s="123">
        <f t="shared" ca="1" si="286"/>
        <v>0</v>
      </c>
      <c r="AW284" s="123">
        <f t="shared" ca="1" si="311"/>
        <v>0</v>
      </c>
      <c r="AX284" s="124">
        <f t="shared" ca="1" si="312"/>
        <v>247687.26756381005</v>
      </c>
      <c r="AY284" s="121"/>
      <c r="AZ284" s="122">
        <f t="shared" ca="1" si="287"/>
        <v>0</v>
      </c>
      <c r="BA284" s="124">
        <f t="shared" ca="1" si="313"/>
        <v>0</v>
      </c>
      <c r="BB284" s="123">
        <f t="shared" ca="1" si="314"/>
        <v>0</v>
      </c>
      <c r="BC284" s="123">
        <f t="shared" ca="1" si="288"/>
        <v>0</v>
      </c>
      <c r="BD284" s="123">
        <f t="shared" ca="1" si="315"/>
        <v>0</v>
      </c>
      <c r="BE284" s="124">
        <f t="shared" ca="1" si="316"/>
        <v>247687.26756381005</v>
      </c>
      <c r="BF284" s="121"/>
      <c r="BG284" s="123">
        <f t="shared" si="289"/>
        <v>1000000</v>
      </c>
      <c r="BH284" s="123">
        <f t="shared" ca="1" si="317"/>
        <v>1000000</v>
      </c>
      <c r="BI284" s="123">
        <f t="shared" ca="1" si="318"/>
        <v>0</v>
      </c>
      <c r="BJ284" s="123">
        <f t="shared" ca="1" si="319"/>
        <v>0</v>
      </c>
      <c r="BK284" s="123">
        <f t="shared" ca="1" si="276"/>
        <v>1000000</v>
      </c>
      <c r="BL284" s="123">
        <f t="shared" ca="1" si="320"/>
        <v>247687.26756381005</v>
      </c>
      <c r="BM284" s="121"/>
      <c r="BN284" s="126">
        <f ca="1">IF(LiabIntType2="Fixed",LiabFxdRate2,OFFSET(Vectors!$D$6,Vectors!A284,MATCH(LiabLoanIndex2,lstInterestRates,0))+LiabMarg2)</f>
        <v>0.04</v>
      </c>
      <c r="BO284" s="122">
        <f t="shared" ca="1" si="321"/>
        <v>24862.311773420497</v>
      </c>
      <c r="BP284" s="124">
        <f t="shared" ca="1" si="322"/>
        <v>24862.311773420497</v>
      </c>
      <c r="BQ284" s="123">
        <f t="shared" ca="1" si="323"/>
        <v>0</v>
      </c>
      <c r="BR284" s="123">
        <f t="shared" ca="1" si="324"/>
        <v>222824.95579038956</v>
      </c>
      <c r="BS284" s="121"/>
      <c r="BT284" s="123">
        <f t="shared" ca="1" si="290"/>
        <v>18065.55902387758</v>
      </c>
      <c r="BU284" s="123">
        <f t="shared" ca="1" si="325"/>
        <v>18065.55902387758</v>
      </c>
      <c r="BV284" s="123">
        <f t="shared" ca="1" si="326"/>
        <v>0</v>
      </c>
      <c r="BW284" s="123">
        <f t="shared" ca="1" si="327"/>
        <v>204759.39676651199</v>
      </c>
      <c r="BX284" s="121"/>
      <c r="BY284" s="123">
        <f t="shared" si="328"/>
        <v>0</v>
      </c>
      <c r="BZ284" s="123">
        <f t="shared" ca="1" si="329"/>
        <v>204759.39676651199</v>
      </c>
      <c r="CA284" s="121"/>
      <c r="CB284" s="122">
        <f t="shared" ca="1" si="277"/>
        <v>0</v>
      </c>
      <c r="CC284" s="122">
        <f t="shared" ca="1" si="330"/>
        <v>0</v>
      </c>
      <c r="CD284" s="124">
        <f t="shared" ca="1" si="331"/>
        <v>0</v>
      </c>
      <c r="CE284" s="121"/>
      <c r="CF284" s="122">
        <f t="shared" ca="1" si="278"/>
        <v>7440627.9730022717</v>
      </c>
      <c r="CG284" s="124">
        <f t="shared" ca="1" si="332"/>
        <v>24862.311773420497</v>
      </c>
      <c r="CH284" s="123">
        <f t="shared" ca="1" si="333"/>
        <v>18065.55902387758</v>
      </c>
      <c r="CI284" s="121"/>
      <c r="CJ284" s="123">
        <f t="shared" ca="1" si="334"/>
        <v>268594.54306456004</v>
      </c>
      <c r="CK284" s="123">
        <f t="shared" ca="1" si="335"/>
        <v>268594.54306456004</v>
      </c>
      <c r="CL284" s="123">
        <f t="shared" ca="1" si="336"/>
        <v>0</v>
      </c>
      <c r="CM284" s="121"/>
      <c r="CN284" s="62">
        <f t="shared" ca="1" si="337"/>
        <v>176199.3033111851</v>
      </c>
      <c r="CO284" s="62" t="b">
        <f t="shared" si="338"/>
        <v>1</v>
      </c>
      <c r="CP284" s="126">
        <f t="shared" ca="1" si="339"/>
        <v>7.7222222222221902E-3</v>
      </c>
      <c r="CQ284" s="120"/>
      <c r="CR284" s="120"/>
      <c r="CS284" s="120"/>
      <c r="CT284" s="120"/>
      <c r="CU284" s="120"/>
      <c r="CV284" s="120"/>
      <c r="CW284" s="120"/>
      <c r="CX284" s="120"/>
      <c r="CY284" s="120"/>
      <c r="CZ284" s="120"/>
      <c r="DA284" s="120"/>
      <c r="DB284" s="120"/>
      <c r="DC284" s="120"/>
      <c r="DD284" s="120"/>
      <c r="DE284" s="116"/>
      <c r="DF284" s="116"/>
      <c r="DG284" s="116"/>
      <c r="DH284" s="116"/>
      <c r="DI284" s="116"/>
      <c r="DJ284" s="116"/>
      <c r="DK284" s="116"/>
      <c r="DL284" s="116"/>
      <c r="DM284" s="116"/>
      <c r="DN284" s="116"/>
    </row>
    <row r="285" spans="1:118" x14ac:dyDescent="0.2">
      <c r="A285" s="27">
        <v>279</v>
      </c>
      <c r="B285" s="29">
        <f t="shared" si="272"/>
        <v>47604</v>
      </c>
      <c r="C285" s="30">
        <f t="shared" si="273"/>
        <v>8.3333333333333329E-2</v>
      </c>
      <c r="D285" s="55"/>
      <c r="E285" s="62">
        <f t="shared" ca="1" si="291"/>
        <v>49148176.089468464</v>
      </c>
      <c r="F285" s="63">
        <f ca="1">IF(AssetIntType1="Fixed",AssetFxdRate1,IF(A285=1,OFFSET(Vectors!$D$6,A285,MATCH(AssetFltIndx1,lstInterestRates,0)),IF(MOD($A285,AssetRateReset1)=0,MAX(MIN(OFFSET(Vectors!$D$6,A285,MATCH(AssetFltIndx1,lstInterestRates,0)),(F284-AssetMarg1)+AssetPdCapFl1,AssetLifeCap1-AssetMarg1),(F284-AssetMarg1)-AssetPdCapFl1,AssetLifeFloor1-AssetMarg1),F284)))+AssetMarg1</f>
        <v>0.09</v>
      </c>
      <c r="G285" s="62">
        <f t="shared" ca="1" si="279"/>
        <v>804622.61694478267</v>
      </c>
      <c r="H285" s="62">
        <f t="shared" ca="1" si="292"/>
        <v>368611.32067101344</v>
      </c>
      <c r="I285" s="62">
        <f t="shared" ca="1" si="293"/>
        <v>436011.29627376923</v>
      </c>
      <c r="J285" s="62">
        <f t="shared" ca="1" si="274"/>
        <v>48712164.793194696</v>
      </c>
      <c r="K285" s="55"/>
      <c r="L285" s="62">
        <f t="shared" ca="1" si="294"/>
        <v>12368165.997138809</v>
      </c>
      <c r="M285" s="68">
        <f ca="1">IF(pdrLossTime1="",OFFSET(Vectors!$AE$6,A285+_Age1,MATCH(SDA_Loss,lstSDA,0)),OFFSET(Vectors!$X$6,A285+_Age1,MATCH(pdrLossTime1,lstDefaultCurve,0)))</f>
        <v>2.7777777777777779E-5</v>
      </c>
      <c r="N285" s="62">
        <f t="shared" ca="1" si="280"/>
        <v>2777.7777777777778</v>
      </c>
      <c r="O285" s="67">
        <f t="shared" ca="1" si="295"/>
        <v>0.48712164793194696</v>
      </c>
      <c r="P285" s="68">
        <f ca="1">OFFSET(Vectors!$L$6,A285+_Age1,MATCH(pdrPrepay1,lstPrepayCurve,0))*pdrPrepayStress1</f>
        <v>5.1430128318229462E-3</v>
      </c>
      <c r="Q285" s="62">
        <f t="shared" ca="1" si="296"/>
        <v>63045.33227323879</v>
      </c>
      <c r="R285" s="62">
        <f t="shared" ca="1" si="297"/>
        <v>109697.8438556395</v>
      </c>
      <c r="S285" s="69">
        <f t="shared" ca="1" si="298"/>
        <v>0.09</v>
      </c>
      <c r="T285" s="62">
        <f t="shared" ca="1" si="299"/>
        <v>92740.411645207729</v>
      </c>
      <c r="U285" s="62">
        <f t="shared" ca="1" si="281"/>
        <v>1111.1111111111111</v>
      </c>
      <c r="V285" s="62">
        <f t="shared" ca="1" si="275"/>
        <v>12192645.043232152</v>
      </c>
      <c r="W285" s="55"/>
      <c r="X285" s="62">
        <f t="shared" ca="1" si="300"/>
        <v>266594.69888519717</v>
      </c>
      <c r="Y285" s="55"/>
      <c r="Z285" s="118" t="b">
        <v>0</v>
      </c>
      <c r="AA285" s="120" t="b">
        <f t="shared" si="282"/>
        <v>0</v>
      </c>
      <c r="AB285" s="120" t="b">
        <f t="shared" si="283"/>
        <v>1</v>
      </c>
      <c r="AC285" s="120" t="b">
        <f t="shared" ca="1" si="284"/>
        <v>0</v>
      </c>
      <c r="AD285" s="121"/>
      <c r="AE285" s="129">
        <v>0</v>
      </c>
      <c r="AF285" s="69">
        <f ca="1">IF(Swap_Active="No",0,OFFSET(Vectors!$D$6,Vectors!A285,MATCH(Swap_In,lstInterestRates,0)))</f>
        <v>6.9369000000000056E-2</v>
      </c>
      <c r="AG285" s="62">
        <f t="shared" ca="1" si="301"/>
        <v>0</v>
      </c>
      <c r="AH285" s="69">
        <f ca="1">IF(Swap_Active="No",0,OFFSET(Vectors!$D$6,Vectors!A285,MATCH(Swap_Out,lstInterestRates,0)))</f>
        <v>0.04</v>
      </c>
      <c r="AI285" s="62">
        <f t="shared" ca="1" si="302"/>
        <v>0</v>
      </c>
      <c r="AJ285" s="62">
        <f t="shared" ca="1" si="303"/>
        <v>0</v>
      </c>
      <c r="AK285" s="62">
        <f t="shared" ca="1" si="304"/>
        <v>266594.69888519717</v>
      </c>
      <c r="AL285" s="121"/>
      <c r="AM285" s="123">
        <f t="shared" ca="1" si="285"/>
        <v>20613.609995231349</v>
      </c>
      <c r="AN285" s="124">
        <f t="shared" ca="1" si="305"/>
        <v>20613.609995231349</v>
      </c>
      <c r="AO285" s="125">
        <f t="shared" ca="1" si="306"/>
        <v>0</v>
      </c>
      <c r="AP285" s="123">
        <f t="shared" ca="1" si="307"/>
        <v>245981.08888996582</v>
      </c>
      <c r="AQ285" s="121"/>
      <c r="AR285" s="126">
        <f ca="1">IF(LiabIntType1="Fixed",LiabFxdRate1,OFFSET(Vectors!$D$6,Vectors!A285,MATCH(LiabLoanIndex1,lstInterestRates,0))+LiabMarg1)</f>
        <v>7.9369000000000051E-2</v>
      </c>
      <c r="AS285" s="122">
        <f t="shared" ca="1" si="308"/>
        <v>0</v>
      </c>
      <c r="AT285" s="124">
        <f t="shared" ca="1" si="309"/>
        <v>0</v>
      </c>
      <c r="AU285" s="123">
        <f t="shared" ca="1" si="310"/>
        <v>0</v>
      </c>
      <c r="AV285" s="123">
        <f t="shared" ca="1" si="286"/>
        <v>0</v>
      </c>
      <c r="AW285" s="123">
        <f t="shared" ca="1" si="311"/>
        <v>0</v>
      </c>
      <c r="AX285" s="124">
        <f t="shared" ca="1" si="312"/>
        <v>245981.08888996582</v>
      </c>
      <c r="AY285" s="121"/>
      <c r="AZ285" s="122">
        <f t="shared" ca="1" si="287"/>
        <v>0</v>
      </c>
      <c r="BA285" s="124">
        <f t="shared" ca="1" si="313"/>
        <v>0</v>
      </c>
      <c r="BB285" s="123">
        <f t="shared" ca="1" si="314"/>
        <v>0</v>
      </c>
      <c r="BC285" s="123">
        <f t="shared" ca="1" si="288"/>
        <v>0</v>
      </c>
      <c r="BD285" s="123">
        <f t="shared" ca="1" si="315"/>
        <v>0</v>
      </c>
      <c r="BE285" s="124">
        <f t="shared" ca="1" si="316"/>
        <v>245981.08888996582</v>
      </c>
      <c r="BF285" s="121"/>
      <c r="BG285" s="123">
        <f t="shared" si="289"/>
        <v>1000000</v>
      </c>
      <c r="BH285" s="123">
        <f t="shared" ca="1" si="317"/>
        <v>1000000</v>
      </c>
      <c r="BI285" s="123">
        <f t="shared" ca="1" si="318"/>
        <v>0</v>
      </c>
      <c r="BJ285" s="123">
        <f t="shared" ca="1" si="319"/>
        <v>0</v>
      </c>
      <c r="BK285" s="123">
        <f t="shared" ca="1" si="276"/>
        <v>1000000</v>
      </c>
      <c r="BL285" s="123">
        <f t="shared" ca="1" si="320"/>
        <v>245981.08888996582</v>
      </c>
      <c r="BM285" s="121"/>
      <c r="BN285" s="126">
        <f ca="1">IF(LiabIntType2="Fixed",LiabFxdRate2,OFFSET(Vectors!$D$6,Vectors!A285,MATCH(LiabLoanIndex2,lstInterestRates,0))+LiabMarg2)</f>
        <v>0.04</v>
      </c>
      <c r="BO285" s="122">
        <f t="shared" ca="1" si="321"/>
        <v>24802.093243340903</v>
      </c>
      <c r="BP285" s="124">
        <f t="shared" ca="1" si="322"/>
        <v>24802.093243340903</v>
      </c>
      <c r="BQ285" s="123">
        <f t="shared" ca="1" si="323"/>
        <v>0</v>
      </c>
      <c r="BR285" s="123">
        <f t="shared" ca="1" si="324"/>
        <v>221178.99564662491</v>
      </c>
      <c r="BS285" s="121"/>
      <c r="BT285" s="123">
        <f t="shared" ca="1" si="290"/>
        <v>17996.008458262186</v>
      </c>
      <c r="BU285" s="123">
        <f t="shared" ca="1" si="325"/>
        <v>17996.008458262186</v>
      </c>
      <c r="BV285" s="123">
        <f t="shared" ca="1" si="326"/>
        <v>0</v>
      </c>
      <c r="BW285" s="123">
        <f t="shared" ca="1" si="327"/>
        <v>203182.98718836272</v>
      </c>
      <c r="BX285" s="121"/>
      <c r="BY285" s="123">
        <f t="shared" si="328"/>
        <v>0</v>
      </c>
      <c r="BZ285" s="123">
        <f t="shared" ca="1" si="329"/>
        <v>203182.98718836272</v>
      </c>
      <c r="CA285" s="121"/>
      <c r="CB285" s="122">
        <f t="shared" ca="1" si="277"/>
        <v>0</v>
      </c>
      <c r="CC285" s="122">
        <f t="shared" ca="1" si="330"/>
        <v>0</v>
      </c>
      <c r="CD285" s="124">
        <f t="shared" ca="1" si="331"/>
        <v>0</v>
      </c>
      <c r="CE285" s="121"/>
      <c r="CF285" s="122">
        <f t="shared" ca="1" si="278"/>
        <v>7422631.9645440094</v>
      </c>
      <c r="CG285" s="124">
        <f t="shared" ca="1" si="332"/>
        <v>24802.093243340903</v>
      </c>
      <c r="CH285" s="123">
        <f t="shared" ca="1" si="333"/>
        <v>17996.008458262186</v>
      </c>
      <c r="CI285" s="121"/>
      <c r="CJ285" s="123">
        <f t="shared" ca="1" si="334"/>
        <v>266594.69888519717</v>
      </c>
      <c r="CK285" s="123">
        <f t="shared" ca="1" si="335"/>
        <v>266594.69888519717</v>
      </c>
      <c r="CL285" s="123">
        <f t="shared" ca="1" si="336"/>
        <v>0</v>
      </c>
      <c r="CM285" s="121"/>
      <c r="CN285" s="62">
        <f t="shared" ca="1" si="337"/>
        <v>175520.95390665607</v>
      </c>
      <c r="CO285" s="62" t="b">
        <f t="shared" si="338"/>
        <v>1</v>
      </c>
      <c r="CP285" s="126">
        <f t="shared" ca="1" si="339"/>
        <v>7.7499999999999679E-3</v>
      </c>
      <c r="CQ285" s="120"/>
      <c r="CR285" s="120"/>
      <c r="CS285" s="120"/>
      <c r="CT285" s="120"/>
      <c r="CU285" s="120"/>
      <c r="CV285" s="120"/>
      <c r="CW285" s="120"/>
      <c r="CX285" s="120"/>
      <c r="CY285" s="120"/>
      <c r="CZ285" s="120"/>
      <c r="DA285" s="120"/>
      <c r="DB285" s="120"/>
      <c r="DC285" s="120"/>
      <c r="DD285" s="120"/>
      <c r="DE285" s="116"/>
      <c r="DF285" s="116"/>
      <c r="DG285" s="116"/>
      <c r="DH285" s="116"/>
      <c r="DI285" s="116"/>
      <c r="DJ285" s="116"/>
      <c r="DK285" s="116"/>
      <c r="DL285" s="116"/>
      <c r="DM285" s="116"/>
      <c r="DN285" s="116"/>
    </row>
    <row r="286" spans="1:118" x14ac:dyDescent="0.2">
      <c r="A286" s="27">
        <v>280</v>
      </c>
      <c r="B286" s="29">
        <f t="shared" si="272"/>
        <v>47635</v>
      </c>
      <c r="C286" s="30">
        <f t="shared" si="273"/>
        <v>8.3333333333333329E-2</v>
      </c>
      <c r="D286" s="55"/>
      <c r="E286" s="62">
        <f t="shared" ca="1" si="291"/>
        <v>48712164.793194696</v>
      </c>
      <c r="F286" s="63">
        <f ca="1">IF(AssetIntType1="Fixed",AssetFxdRate1,IF(A286=1,OFFSET(Vectors!$D$6,A286,MATCH(AssetFltIndx1,lstInterestRates,0)),IF(MOD($A286,AssetRateReset1)=0,MAX(MIN(OFFSET(Vectors!$D$6,A286,MATCH(AssetFltIndx1,lstInterestRates,0)),(F285-AssetMarg1)+AssetPdCapFl1,AssetLifeCap1-AssetMarg1),(F285-AssetMarg1)-AssetPdCapFl1,AssetLifeFloor1-AssetMarg1),F285)))+AssetMarg1</f>
        <v>0.09</v>
      </c>
      <c r="G286" s="62">
        <f t="shared" ca="1" si="279"/>
        <v>804622.61694478267</v>
      </c>
      <c r="H286" s="62">
        <f t="shared" ca="1" si="292"/>
        <v>365341.23594896018</v>
      </c>
      <c r="I286" s="62">
        <f t="shared" ca="1" si="293"/>
        <v>439281.38099582249</v>
      </c>
      <c r="J286" s="62">
        <f t="shared" ca="1" si="274"/>
        <v>48272883.412198871</v>
      </c>
      <c r="K286" s="55"/>
      <c r="L286" s="62">
        <f t="shared" ca="1" si="294"/>
        <v>12192645.043232152</v>
      </c>
      <c r="M286" s="68">
        <f ca="1">IF(pdrLossTime1="",OFFSET(Vectors!$AE$6,A286+_Age1,MATCH(SDA_Loss,lstSDA,0)),OFFSET(Vectors!$X$6,A286+_Age1,MATCH(pdrLossTime1,lstDefaultCurve,0)))</f>
        <v>2.7777777777777779E-5</v>
      </c>
      <c r="N286" s="62">
        <f t="shared" ca="1" si="280"/>
        <v>2777.7777777777778</v>
      </c>
      <c r="O286" s="67">
        <f t="shared" ca="1" si="295"/>
        <v>0.48272883412198869</v>
      </c>
      <c r="P286" s="68">
        <f ca="1">OFFSET(Vectors!$L$6,A286+_Age1,MATCH(pdrPrepay1,lstPrepayCurve,0))*pdrPrepayStress1</f>
        <v>5.1430128318229462E-3</v>
      </c>
      <c r="Q286" s="62">
        <f t="shared" ca="1" si="296"/>
        <v>62141.445152185799</v>
      </c>
      <c r="R286" s="62">
        <f t="shared" ca="1" si="297"/>
        <v>109926.99152784681</v>
      </c>
      <c r="S286" s="69">
        <f t="shared" ca="1" si="298"/>
        <v>0.09</v>
      </c>
      <c r="T286" s="62">
        <f t="shared" ca="1" si="299"/>
        <v>91424.004490907799</v>
      </c>
      <c r="U286" s="62">
        <f t="shared" ca="1" si="281"/>
        <v>1111.1111111111111</v>
      </c>
      <c r="V286" s="62">
        <f t="shared" ca="1" si="275"/>
        <v>12017798.828774342</v>
      </c>
      <c r="W286" s="55"/>
      <c r="X286" s="62">
        <f t="shared" ca="1" si="300"/>
        <v>264603.55228205153</v>
      </c>
      <c r="Y286" s="55"/>
      <c r="Z286" s="118" t="b">
        <v>0</v>
      </c>
      <c r="AA286" s="120" t="b">
        <f t="shared" si="282"/>
        <v>0</v>
      </c>
      <c r="AB286" s="120" t="b">
        <f t="shared" si="283"/>
        <v>1</v>
      </c>
      <c r="AC286" s="120" t="b">
        <f t="shared" ca="1" si="284"/>
        <v>0</v>
      </c>
      <c r="AD286" s="121"/>
      <c r="AE286" s="129">
        <v>0</v>
      </c>
      <c r="AF286" s="69">
        <f ca="1">IF(Swap_Active="No",0,OFFSET(Vectors!$D$6,Vectors!A286,MATCH(Swap_In,lstInterestRates,0)))</f>
        <v>6.9369000000000056E-2</v>
      </c>
      <c r="AG286" s="62">
        <f t="shared" ca="1" si="301"/>
        <v>0</v>
      </c>
      <c r="AH286" s="69">
        <f ca="1">IF(Swap_Active="No",0,OFFSET(Vectors!$D$6,Vectors!A286,MATCH(Swap_Out,lstInterestRates,0)))</f>
        <v>0.04</v>
      </c>
      <c r="AI286" s="62">
        <f t="shared" ca="1" si="302"/>
        <v>0</v>
      </c>
      <c r="AJ286" s="62">
        <f t="shared" ca="1" si="303"/>
        <v>0</v>
      </c>
      <c r="AK286" s="62">
        <f t="shared" ca="1" si="304"/>
        <v>264603.55228205153</v>
      </c>
      <c r="AL286" s="121"/>
      <c r="AM286" s="123">
        <f t="shared" ca="1" si="285"/>
        <v>20321.075072053587</v>
      </c>
      <c r="AN286" s="124">
        <f t="shared" ca="1" si="305"/>
        <v>20321.075072053587</v>
      </c>
      <c r="AO286" s="125">
        <f t="shared" ca="1" si="306"/>
        <v>0</v>
      </c>
      <c r="AP286" s="123">
        <f t="shared" ca="1" si="307"/>
        <v>244282.47720999795</v>
      </c>
      <c r="AQ286" s="121"/>
      <c r="AR286" s="126">
        <f ca="1">IF(LiabIntType1="Fixed",LiabFxdRate1,OFFSET(Vectors!$D$6,Vectors!A286,MATCH(LiabLoanIndex1,lstInterestRates,0))+LiabMarg1)</f>
        <v>7.9369000000000051E-2</v>
      </c>
      <c r="AS286" s="122">
        <f t="shared" ca="1" si="308"/>
        <v>0</v>
      </c>
      <c r="AT286" s="124">
        <f t="shared" ca="1" si="309"/>
        <v>0</v>
      </c>
      <c r="AU286" s="123">
        <f t="shared" ca="1" si="310"/>
        <v>0</v>
      </c>
      <c r="AV286" s="123">
        <f t="shared" ca="1" si="286"/>
        <v>0</v>
      </c>
      <c r="AW286" s="123">
        <f t="shared" ca="1" si="311"/>
        <v>0</v>
      </c>
      <c r="AX286" s="124">
        <f t="shared" ca="1" si="312"/>
        <v>244282.47720999795</v>
      </c>
      <c r="AY286" s="121"/>
      <c r="AZ286" s="122">
        <f t="shared" ca="1" si="287"/>
        <v>0</v>
      </c>
      <c r="BA286" s="124">
        <f t="shared" ca="1" si="313"/>
        <v>0</v>
      </c>
      <c r="BB286" s="123">
        <f t="shared" ca="1" si="314"/>
        <v>0</v>
      </c>
      <c r="BC286" s="123">
        <f t="shared" ca="1" si="288"/>
        <v>0</v>
      </c>
      <c r="BD286" s="123">
        <f t="shared" ca="1" si="315"/>
        <v>0</v>
      </c>
      <c r="BE286" s="124">
        <f t="shared" ca="1" si="316"/>
        <v>244282.47720999795</v>
      </c>
      <c r="BF286" s="121"/>
      <c r="BG286" s="123">
        <f t="shared" si="289"/>
        <v>1000000</v>
      </c>
      <c r="BH286" s="123">
        <f t="shared" ca="1" si="317"/>
        <v>1000000</v>
      </c>
      <c r="BI286" s="123">
        <f t="shared" ca="1" si="318"/>
        <v>0</v>
      </c>
      <c r="BJ286" s="123">
        <f t="shared" ca="1" si="319"/>
        <v>0</v>
      </c>
      <c r="BK286" s="123">
        <f t="shared" ca="1" si="276"/>
        <v>1000000</v>
      </c>
      <c r="BL286" s="123">
        <f t="shared" ca="1" si="320"/>
        <v>244282.47720999795</v>
      </c>
      <c r="BM286" s="121"/>
      <c r="BN286" s="126">
        <f ca="1">IF(LiabIntType2="Fixed",LiabFxdRate2,OFFSET(Vectors!$D$6,Vectors!A286,MATCH(LiabLoanIndex2,lstInterestRates,0))+LiabMarg2)</f>
        <v>0.04</v>
      </c>
      <c r="BO286" s="122">
        <f t="shared" ca="1" si="321"/>
        <v>24742.106548480031</v>
      </c>
      <c r="BP286" s="124">
        <f t="shared" ca="1" si="322"/>
        <v>24742.106548480031</v>
      </c>
      <c r="BQ286" s="123">
        <f t="shared" ca="1" si="323"/>
        <v>0</v>
      </c>
      <c r="BR286" s="123">
        <f t="shared" ca="1" si="324"/>
        <v>219540.37066151793</v>
      </c>
      <c r="BS286" s="121"/>
      <c r="BT286" s="123">
        <f t="shared" ca="1" si="290"/>
        <v>17926.82801821622</v>
      </c>
      <c r="BU286" s="123">
        <f t="shared" ca="1" si="325"/>
        <v>17926.82801821622</v>
      </c>
      <c r="BV286" s="123">
        <f t="shared" ca="1" si="326"/>
        <v>0</v>
      </c>
      <c r="BW286" s="123">
        <f t="shared" ca="1" si="327"/>
        <v>201613.54264330171</v>
      </c>
      <c r="BX286" s="121"/>
      <c r="BY286" s="123">
        <f t="shared" si="328"/>
        <v>0</v>
      </c>
      <c r="BZ286" s="123">
        <f t="shared" ca="1" si="329"/>
        <v>201613.54264330171</v>
      </c>
      <c r="CA286" s="121"/>
      <c r="CB286" s="122">
        <f t="shared" ca="1" si="277"/>
        <v>0</v>
      </c>
      <c r="CC286" s="122">
        <f t="shared" ca="1" si="330"/>
        <v>0</v>
      </c>
      <c r="CD286" s="124">
        <f t="shared" ca="1" si="331"/>
        <v>0</v>
      </c>
      <c r="CE286" s="121"/>
      <c r="CF286" s="122">
        <f t="shared" ca="1" si="278"/>
        <v>7404705.136525793</v>
      </c>
      <c r="CG286" s="124">
        <f t="shared" ca="1" si="332"/>
        <v>24742.106548480031</v>
      </c>
      <c r="CH286" s="123">
        <f t="shared" ca="1" si="333"/>
        <v>17926.82801821622</v>
      </c>
      <c r="CI286" s="121"/>
      <c r="CJ286" s="123">
        <f t="shared" ca="1" si="334"/>
        <v>264603.55228205153</v>
      </c>
      <c r="CK286" s="123">
        <f t="shared" ca="1" si="335"/>
        <v>264603.55228205153</v>
      </c>
      <c r="CL286" s="123">
        <f t="shared" ca="1" si="336"/>
        <v>0</v>
      </c>
      <c r="CM286" s="121"/>
      <c r="CN286" s="62">
        <f t="shared" ca="1" si="337"/>
        <v>174846.21445781039</v>
      </c>
      <c r="CO286" s="62" t="b">
        <f t="shared" si="338"/>
        <v>1</v>
      </c>
      <c r="CP286" s="126">
        <f t="shared" ca="1" si="339"/>
        <v>7.7777777777777455E-3</v>
      </c>
      <c r="CQ286" s="120"/>
      <c r="CR286" s="120"/>
      <c r="CS286" s="120"/>
      <c r="CT286" s="120"/>
      <c r="CU286" s="120"/>
      <c r="CV286" s="120"/>
      <c r="CW286" s="120"/>
      <c r="CX286" s="120"/>
      <c r="CY286" s="120"/>
      <c r="CZ286" s="120"/>
      <c r="DA286" s="120"/>
      <c r="DB286" s="120"/>
      <c r="DC286" s="120"/>
      <c r="DD286" s="120"/>
      <c r="DE286" s="116"/>
      <c r="DF286" s="116"/>
      <c r="DG286" s="116"/>
      <c r="DH286" s="116"/>
      <c r="DI286" s="116"/>
      <c r="DJ286" s="116"/>
      <c r="DK286" s="116"/>
      <c r="DL286" s="116"/>
      <c r="DM286" s="116"/>
      <c r="DN286" s="116"/>
    </row>
    <row r="287" spans="1:118" x14ac:dyDescent="0.2">
      <c r="A287" s="27">
        <v>281</v>
      </c>
      <c r="B287" s="29">
        <f t="shared" si="272"/>
        <v>47665</v>
      </c>
      <c r="C287" s="30">
        <f t="shared" si="273"/>
        <v>8.3333333333333329E-2</v>
      </c>
      <c r="D287" s="55"/>
      <c r="E287" s="62">
        <f t="shared" ca="1" si="291"/>
        <v>48272883.412198871</v>
      </c>
      <c r="F287" s="63">
        <f ca="1">IF(AssetIntType1="Fixed",AssetFxdRate1,IF(A287=1,OFFSET(Vectors!$D$6,A287,MATCH(AssetFltIndx1,lstInterestRates,0)),IF(MOD($A287,AssetRateReset1)=0,MAX(MIN(OFFSET(Vectors!$D$6,A287,MATCH(AssetFltIndx1,lstInterestRates,0)),(F286-AssetMarg1)+AssetPdCapFl1,AssetLifeCap1-AssetMarg1),(F286-AssetMarg1)-AssetPdCapFl1,AssetLifeFloor1-AssetMarg1),F286)))+AssetMarg1</f>
        <v>0.09</v>
      </c>
      <c r="G287" s="62">
        <f t="shared" ca="1" si="279"/>
        <v>804622.61694478267</v>
      </c>
      <c r="H287" s="62">
        <f t="shared" ca="1" si="292"/>
        <v>362046.62559149152</v>
      </c>
      <c r="I287" s="62">
        <f t="shared" ca="1" si="293"/>
        <v>442575.99135329115</v>
      </c>
      <c r="J287" s="62">
        <f t="shared" ca="1" si="274"/>
        <v>47830307.420845583</v>
      </c>
      <c r="K287" s="55"/>
      <c r="L287" s="62">
        <f t="shared" ca="1" si="294"/>
        <v>12017798.828774342</v>
      </c>
      <c r="M287" s="68">
        <f ca="1">IF(pdrLossTime1="",OFFSET(Vectors!$AE$6,A287+_Age1,MATCH(SDA_Loss,lstSDA,0)),OFFSET(Vectors!$X$6,A287+_Age1,MATCH(pdrLossTime1,lstDefaultCurve,0)))</f>
        <v>2.7777777777777779E-5</v>
      </c>
      <c r="N287" s="62">
        <f t="shared" ca="1" si="280"/>
        <v>2777.7777777777778</v>
      </c>
      <c r="O287" s="67">
        <f t="shared" ca="1" si="295"/>
        <v>0.47830307420845586</v>
      </c>
      <c r="P287" s="68">
        <f ca="1">OFFSET(Vectors!$L$6,A287+_Age1,MATCH(pdrPrepay1,lstPrepayCurve,0))*pdrPrepayStress1</f>
        <v>5.1430128318229462E-3</v>
      </c>
      <c r="Q287" s="62">
        <f t="shared" ca="1" si="296"/>
        <v>61241.027596789012</v>
      </c>
      <c r="R287" s="62">
        <f t="shared" ca="1" si="297"/>
        <v>110156.2508161998</v>
      </c>
      <c r="S287" s="69">
        <f t="shared" ca="1" si="298"/>
        <v>0.09</v>
      </c>
      <c r="T287" s="62">
        <f t="shared" ca="1" si="299"/>
        <v>90112.657882474232</v>
      </c>
      <c r="U287" s="62">
        <f t="shared" ca="1" si="281"/>
        <v>1111.1111111111111</v>
      </c>
      <c r="V287" s="62">
        <f t="shared" ca="1" si="275"/>
        <v>11843623.772583576</v>
      </c>
      <c r="W287" s="55"/>
      <c r="X287" s="62">
        <f t="shared" ca="1" si="300"/>
        <v>262621.04740657419</v>
      </c>
      <c r="Y287" s="55"/>
      <c r="Z287" s="118" t="b">
        <v>0</v>
      </c>
      <c r="AA287" s="120" t="b">
        <f t="shared" si="282"/>
        <v>0</v>
      </c>
      <c r="AB287" s="120" t="b">
        <f t="shared" si="283"/>
        <v>1</v>
      </c>
      <c r="AC287" s="120" t="b">
        <f t="shared" ca="1" si="284"/>
        <v>0</v>
      </c>
      <c r="AD287" s="121"/>
      <c r="AE287" s="129">
        <v>0</v>
      </c>
      <c r="AF287" s="69">
        <f ca="1">IF(Swap_Active="No",0,OFFSET(Vectors!$D$6,Vectors!A287,MATCH(Swap_In,lstInterestRates,0)))</f>
        <v>6.9369000000000056E-2</v>
      </c>
      <c r="AG287" s="62">
        <f t="shared" ca="1" si="301"/>
        <v>0</v>
      </c>
      <c r="AH287" s="69">
        <f ca="1">IF(Swap_Active="No",0,OFFSET(Vectors!$D$6,Vectors!A287,MATCH(Swap_Out,lstInterestRates,0)))</f>
        <v>0.04</v>
      </c>
      <c r="AI287" s="62">
        <f t="shared" ca="1" si="302"/>
        <v>0</v>
      </c>
      <c r="AJ287" s="62">
        <f t="shared" ca="1" si="303"/>
        <v>0</v>
      </c>
      <c r="AK287" s="62">
        <f t="shared" ca="1" si="304"/>
        <v>262621.04740657419</v>
      </c>
      <c r="AL287" s="121"/>
      <c r="AM287" s="123">
        <f t="shared" ca="1" si="285"/>
        <v>20029.664714623901</v>
      </c>
      <c r="AN287" s="124">
        <f t="shared" ca="1" si="305"/>
        <v>20029.664714623901</v>
      </c>
      <c r="AO287" s="125">
        <f t="shared" ca="1" si="306"/>
        <v>0</v>
      </c>
      <c r="AP287" s="123">
        <f t="shared" ca="1" si="307"/>
        <v>242591.38269195028</v>
      </c>
      <c r="AQ287" s="121"/>
      <c r="AR287" s="126">
        <f ca="1">IF(LiabIntType1="Fixed",LiabFxdRate1,OFFSET(Vectors!$D$6,Vectors!A287,MATCH(LiabLoanIndex1,lstInterestRates,0))+LiabMarg1)</f>
        <v>7.9369000000000051E-2</v>
      </c>
      <c r="AS287" s="122">
        <f t="shared" ca="1" si="308"/>
        <v>0</v>
      </c>
      <c r="AT287" s="124">
        <f t="shared" ca="1" si="309"/>
        <v>0</v>
      </c>
      <c r="AU287" s="123">
        <f t="shared" ca="1" si="310"/>
        <v>0</v>
      </c>
      <c r="AV287" s="123">
        <f t="shared" ca="1" si="286"/>
        <v>0</v>
      </c>
      <c r="AW287" s="123">
        <f t="shared" ca="1" si="311"/>
        <v>0</v>
      </c>
      <c r="AX287" s="124">
        <f t="shared" ca="1" si="312"/>
        <v>242591.38269195028</v>
      </c>
      <c r="AY287" s="121"/>
      <c r="AZ287" s="122">
        <f t="shared" ca="1" si="287"/>
        <v>0</v>
      </c>
      <c r="BA287" s="124">
        <f t="shared" ca="1" si="313"/>
        <v>0</v>
      </c>
      <c r="BB287" s="123">
        <f t="shared" ca="1" si="314"/>
        <v>0</v>
      </c>
      <c r="BC287" s="123">
        <f t="shared" ca="1" si="288"/>
        <v>0</v>
      </c>
      <c r="BD287" s="123">
        <f t="shared" ca="1" si="315"/>
        <v>0</v>
      </c>
      <c r="BE287" s="124">
        <f t="shared" ca="1" si="316"/>
        <v>242591.38269195028</v>
      </c>
      <c r="BF287" s="121"/>
      <c r="BG287" s="123">
        <f t="shared" si="289"/>
        <v>1000000</v>
      </c>
      <c r="BH287" s="123">
        <f t="shared" ca="1" si="317"/>
        <v>1000000</v>
      </c>
      <c r="BI287" s="123">
        <f t="shared" ca="1" si="318"/>
        <v>0</v>
      </c>
      <c r="BJ287" s="123">
        <f t="shared" ca="1" si="319"/>
        <v>0</v>
      </c>
      <c r="BK287" s="123">
        <f t="shared" ca="1" si="276"/>
        <v>1000000</v>
      </c>
      <c r="BL287" s="123">
        <f t="shared" ca="1" si="320"/>
        <v>242591.38269195028</v>
      </c>
      <c r="BM287" s="121"/>
      <c r="BN287" s="126">
        <f ca="1">IF(LiabIntType2="Fixed",LiabFxdRate2,OFFSET(Vectors!$D$6,Vectors!A287,MATCH(LiabLoanIndex2,lstInterestRates,0))+LiabMarg2)</f>
        <v>0.04</v>
      </c>
      <c r="BO287" s="122">
        <f t="shared" ca="1" si="321"/>
        <v>24682.350455085976</v>
      </c>
      <c r="BP287" s="124">
        <f t="shared" ca="1" si="322"/>
        <v>24682.350455085976</v>
      </c>
      <c r="BQ287" s="123">
        <f t="shared" ca="1" si="323"/>
        <v>0</v>
      </c>
      <c r="BR287" s="123">
        <f t="shared" ca="1" si="324"/>
        <v>217909.0322368643</v>
      </c>
      <c r="BS287" s="121"/>
      <c r="BT287" s="123">
        <f t="shared" ca="1" si="290"/>
        <v>17858.01475357902</v>
      </c>
      <c r="BU287" s="123">
        <f t="shared" ca="1" si="325"/>
        <v>17858.01475357902</v>
      </c>
      <c r="BV287" s="123">
        <f t="shared" ca="1" si="326"/>
        <v>0</v>
      </c>
      <c r="BW287" s="123">
        <f t="shared" ca="1" si="327"/>
        <v>200051.01748328528</v>
      </c>
      <c r="BX287" s="121"/>
      <c r="BY287" s="123">
        <f t="shared" si="328"/>
        <v>0</v>
      </c>
      <c r="BZ287" s="123">
        <f t="shared" ca="1" si="329"/>
        <v>200051.01748328528</v>
      </c>
      <c r="CA287" s="121"/>
      <c r="CB287" s="122">
        <f t="shared" ca="1" si="277"/>
        <v>0</v>
      </c>
      <c r="CC287" s="122">
        <f t="shared" ca="1" si="330"/>
        <v>0</v>
      </c>
      <c r="CD287" s="124">
        <f t="shared" ca="1" si="331"/>
        <v>0</v>
      </c>
      <c r="CE287" s="121"/>
      <c r="CF287" s="122">
        <f t="shared" ca="1" si="278"/>
        <v>7386847.1217722138</v>
      </c>
      <c r="CG287" s="124">
        <f t="shared" ca="1" si="332"/>
        <v>24682.350455085976</v>
      </c>
      <c r="CH287" s="123">
        <f t="shared" ca="1" si="333"/>
        <v>17858.01475357902</v>
      </c>
      <c r="CI287" s="121"/>
      <c r="CJ287" s="123">
        <f t="shared" ca="1" si="334"/>
        <v>262621.04740657419</v>
      </c>
      <c r="CK287" s="123">
        <f t="shared" ca="1" si="335"/>
        <v>262621.04740657419</v>
      </c>
      <c r="CL287" s="123">
        <f t="shared" ca="1" si="336"/>
        <v>0</v>
      </c>
      <c r="CM287" s="121"/>
      <c r="CN287" s="62">
        <f t="shared" ca="1" si="337"/>
        <v>174175.0561907666</v>
      </c>
      <c r="CO287" s="62" t="b">
        <f t="shared" si="338"/>
        <v>1</v>
      </c>
      <c r="CP287" s="126">
        <f t="shared" ca="1" si="339"/>
        <v>7.8055555555555231E-3</v>
      </c>
      <c r="CQ287" s="120"/>
      <c r="CR287" s="120"/>
      <c r="CS287" s="120"/>
      <c r="CT287" s="120"/>
      <c r="CU287" s="120"/>
      <c r="CV287" s="120"/>
      <c r="CW287" s="120"/>
      <c r="CX287" s="120"/>
      <c r="CY287" s="120"/>
      <c r="CZ287" s="120"/>
      <c r="DA287" s="120"/>
      <c r="DB287" s="120"/>
      <c r="DC287" s="120"/>
      <c r="DD287" s="120"/>
      <c r="DE287" s="116"/>
      <c r="DF287" s="116"/>
      <c r="DG287" s="116"/>
      <c r="DH287" s="116"/>
      <c r="DI287" s="116"/>
      <c r="DJ287" s="116"/>
      <c r="DK287" s="116"/>
      <c r="DL287" s="116"/>
      <c r="DM287" s="116"/>
      <c r="DN287" s="116"/>
    </row>
    <row r="288" spans="1:118" x14ac:dyDescent="0.2">
      <c r="A288" s="27">
        <v>282</v>
      </c>
      <c r="B288" s="29">
        <f t="shared" si="272"/>
        <v>47696</v>
      </c>
      <c r="C288" s="30">
        <f t="shared" si="273"/>
        <v>8.3333333333333329E-2</v>
      </c>
      <c r="D288" s="55"/>
      <c r="E288" s="62">
        <f t="shared" ca="1" si="291"/>
        <v>47830307.420845583</v>
      </c>
      <c r="F288" s="63">
        <f ca="1">IF(AssetIntType1="Fixed",AssetFxdRate1,IF(A288=1,OFFSET(Vectors!$D$6,A288,MATCH(AssetFltIndx1,lstInterestRates,0)),IF(MOD($A288,AssetRateReset1)=0,MAX(MIN(OFFSET(Vectors!$D$6,A288,MATCH(AssetFltIndx1,lstInterestRates,0)),(F287-AssetMarg1)+AssetPdCapFl1,AssetLifeCap1-AssetMarg1),(F287-AssetMarg1)-AssetPdCapFl1,AssetLifeFloor1-AssetMarg1),F287)))+AssetMarg1</f>
        <v>0.09</v>
      </c>
      <c r="G288" s="62">
        <f t="shared" ca="1" si="279"/>
        <v>804622.61694478267</v>
      </c>
      <c r="H288" s="62">
        <f t="shared" ca="1" si="292"/>
        <v>358727.30565634184</v>
      </c>
      <c r="I288" s="62">
        <f t="shared" ca="1" si="293"/>
        <v>445895.31128844083</v>
      </c>
      <c r="J288" s="62">
        <f t="shared" ca="1" si="274"/>
        <v>47384412.109557144</v>
      </c>
      <c r="K288" s="55"/>
      <c r="L288" s="62">
        <f t="shared" ca="1" si="294"/>
        <v>11843623.772583576</v>
      </c>
      <c r="M288" s="68">
        <f ca="1">IF(pdrLossTime1="",OFFSET(Vectors!$AE$6,A288+_Age1,MATCH(SDA_Loss,lstSDA,0)),OFFSET(Vectors!$X$6,A288+_Age1,MATCH(pdrLossTime1,lstDefaultCurve,0)))</f>
        <v>2.7777777777777779E-5</v>
      </c>
      <c r="N288" s="62">
        <f t="shared" ca="1" si="280"/>
        <v>2777.7777777777778</v>
      </c>
      <c r="O288" s="67">
        <f t="shared" ca="1" si="295"/>
        <v>0.47384412109557145</v>
      </c>
      <c r="P288" s="68">
        <f ca="1">OFFSET(Vectors!$L$6,A288+_Age1,MATCH(pdrPrepay1,lstPrepayCurve,0))*pdrPrepayStress1</f>
        <v>5.1430128318229462E-3</v>
      </c>
      <c r="Q288" s="62">
        <f t="shared" ca="1" si="296"/>
        <v>60344.061241877149</v>
      </c>
      <c r="R288" s="62">
        <f t="shared" ca="1" si="297"/>
        <v>110385.61103772758</v>
      </c>
      <c r="S288" s="69">
        <f t="shared" ca="1" si="298"/>
        <v>0.09</v>
      </c>
      <c r="T288" s="62">
        <f t="shared" ca="1" si="299"/>
        <v>88806.344961043476</v>
      </c>
      <c r="U288" s="62">
        <f t="shared" ca="1" si="281"/>
        <v>1111.1111111111111</v>
      </c>
      <c r="V288" s="62">
        <f t="shared" ca="1" si="275"/>
        <v>11670116.322526194</v>
      </c>
      <c r="W288" s="55"/>
      <c r="X288" s="62">
        <f t="shared" ca="1" si="300"/>
        <v>260647.12835175931</v>
      </c>
      <c r="Y288" s="55"/>
      <c r="Z288" s="118" t="b">
        <v>0</v>
      </c>
      <c r="AA288" s="120" t="b">
        <f t="shared" si="282"/>
        <v>0</v>
      </c>
      <c r="AB288" s="120" t="b">
        <f t="shared" si="283"/>
        <v>1</v>
      </c>
      <c r="AC288" s="120" t="b">
        <f t="shared" ca="1" si="284"/>
        <v>0</v>
      </c>
      <c r="AD288" s="121"/>
      <c r="AE288" s="129">
        <v>0</v>
      </c>
      <c r="AF288" s="69">
        <f ca="1">IF(Swap_Active="No",0,OFFSET(Vectors!$D$6,Vectors!A288,MATCH(Swap_In,lstInterestRates,0)))</f>
        <v>6.9369000000000056E-2</v>
      </c>
      <c r="AG288" s="62">
        <f t="shared" ca="1" si="301"/>
        <v>0</v>
      </c>
      <c r="AH288" s="69">
        <f ca="1">IF(Swap_Active="No",0,OFFSET(Vectors!$D$6,Vectors!A288,MATCH(Swap_Out,lstInterestRates,0)))</f>
        <v>0.04</v>
      </c>
      <c r="AI288" s="62">
        <f t="shared" ca="1" si="302"/>
        <v>0</v>
      </c>
      <c r="AJ288" s="62">
        <f t="shared" ca="1" si="303"/>
        <v>0</v>
      </c>
      <c r="AK288" s="62">
        <f t="shared" ca="1" si="304"/>
        <v>260647.12835175931</v>
      </c>
      <c r="AL288" s="121"/>
      <c r="AM288" s="123">
        <f t="shared" ca="1" si="285"/>
        <v>19739.37295430596</v>
      </c>
      <c r="AN288" s="124">
        <f t="shared" ca="1" si="305"/>
        <v>19739.37295430596</v>
      </c>
      <c r="AO288" s="125">
        <f t="shared" ca="1" si="306"/>
        <v>0</v>
      </c>
      <c r="AP288" s="123">
        <f t="shared" ca="1" si="307"/>
        <v>240907.75539745335</v>
      </c>
      <c r="AQ288" s="121"/>
      <c r="AR288" s="126">
        <f ca="1">IF(LiabIntType1="Fixed",LiabFxdRate1,OFFSET(Vectors!$D$6,Vectors!A288,MATCH(LiabLoanIndex1,lstInterestRates,0))+LiabMarg1)</f>
        <v>7.9369000000000051E-2</v>
      </c>
      <c r="AS288" s="122">
        <f t="shared" ca="1" si="308"/>
        <v>0</v>
      </c>
      <c r="AT288" s="124">
        <f t="shared" ca="1" si="309"/>
        <v>0</v>
      </c>
      <c r="AU288" s="123">
        <f t="shared" ca="1" si="310"/>
        <v>0</v>
      </c>
      <c r="AV288" s="123">
        <f t="shared" ca="1" si="286"/>
        <v>0</v>
      </c>
      <c r="AW288" s="123">
        <f t="shared" ca="1" si="311"/>
        <v>0</v>
      </c>
      <c r="AX288" s="124">
        <f t="shared" ca="1" si="312"/>
        <v>240907.75539745335</v>
      </c>
      <c r="AY288" s="121"/>
      <c r="AZ288" s="122">
        <f t="shared" ca="1" si="287"/>
        <v>0</v>
      </c>
      <c r="BA288" s="124">
        <f t="shared" ca="1" si="313"/>
        <v>0</v>
      </c>
      <c r="BB288" s="123">
        <f t="shared" ca="1" si="314"/>
        <v>0</v>
      </c>
      <c r="BC288" s="123">
        <f t="shared" ca="1" si="288"/>
        <v>0</v>
      </c>
      <c r="BD288" s="123">
        <f t="shared" ca="1" si="315"/>
        <v>0</v>
      </c>
      <c r="BE288" s="124">
        <f t="shared" ca="1" si="316"/>
        <v>240907.75539745335</v>
      </c>
      <c r="BF288" s="121"/>
      <c r="BG288" s="123">
        <f t="shared" si="289"/>
        <v>1000000</v>
      </c>
      <c r="BH288" s="123">
        <f t="shared" ca="1" si="317"/>
        <v>1000000</v>
      </c>
      <c r="BI288" s="123">
        <f t="shared" ca="1" si="318"/>
        <v>0</v>
      </c>
      <c r="BJ288" s="123">
        <f t="shared" ca="1" si="319"/>
        <v>0</v>
      </c>
      <c r="BK288" s="123">
        <f t="shared" ca="1" si="276"/>
        <v>1000000</v>
      </c>
      <c r="BL288" s="123">
        <f t="shared" ca="1" si="320"/>
        <v>240907.75539745335</v>
      </c>
      <c r="BM288" s="121"/>
      <c r="BN288" s="126">
        <f ca="1">IF(LiabIntType2="Fixed",LiabFxdRate2,OFFSET(Vectors!$D$6,Vectors!A288,MATCH(LiabLoanIndex2,lstInterestRates,0))+LiabMarg2)</f>
        <v>0.04</v>
      </c>
      <c r="BO288" s="122">
        <f t="shared" ca="1" si="321"/>
        <v>24622.82373924071</v>
      </c>
      <c r="BP288" s="124">
        <f t="shared" ca="1" si="322"/>
        <v>24622.82373924071</v>
      </c>
      <c r="BQ288" s="123">
        <f t="shared" ca="1" si="323"/>
        <v>0</v>
      </c>
      <c r="BR288" s="123">
        <f t="shared" ca="1" si="324"/>
        <v>216284.93165821265</v>
      </c>
      <c r="BS288" s="121"/>
      <c r="BT288" s="123">
        <f t="shared" ca="1" si="290"/>
        <v>17789.565686070211</v>
      </c>
      <c r="BU288" s="123">
        <f t="shared" ca="1" si="325"/>
        <v>17789.565686070211</v>
      </c>
      <c r="BV288" s="123">
        <f t="shared" ca="1" si="326"/>
        <v>0</v>
      </c>
      <c r="BW288" s="123">
        <f t="shared" ca="1" si="327"/>
        <v>198495.36597214243</v>
      </c>
      <c r="BX288" s="121"/>
      <c r="BY288" s="123">
        <f t="shared" si="328"/>
        <v>0</v>
      </c>
      <c r="BZ288" s="123">
        <f t="shared" ca="1" si="329"/>
        <v>198495.36597214243</v>
      </c>
      <c r="CA288" s="121"/>
      <c r="CB288" s="122">
        <f t="shared" ca="1" si="277"/>
        <v>0</v>
      </c>
      <c r="CC288" s="122">
        <f t="shared" ca="1" si="330"/>
        <v>0</v>
      </c>
      <c r="CD288" s="124">
        <f t="shared" ca="1" si="331"/>
        <v>0</v>
      </c>
      <c r="CE288" s="121"/>
      <c r="CF288" s="122">
        <f t="shared" ca="1" si="278"/>
        <v>7369057.5560861435</v>
      </c>
      <c r="CG288" s="124">
        <f t="shared" ca="1" si="332"/>
        <v>24622.82373924071</v>
      </c>
      <c r="CH288" s="123">
        <f t="shared" ca="1" si="333"/>
        <v>17789.565686070211</v>
      </c>
      <c r="CI288" s="121"/>
      <c r="CJ288" s="123">
        <f t="shared" ca="1" si="334"/>
        <v>260647.12835175931</v>
      </c>
      <c r="CK288" s="123">
        <f t="shared" ca="1" si="335"/>
        <v>260647.12835175931</v>
      </c>
      <c r="CL288" s="123">
        <f t="shared" ca="1" si="336"/>
        <v>0</v>
      </c>
      <c r="CM288" s="121"/>
      <c r="CN288" s="62">
        <f t="shared" ca="1" si="337"/>
        <v>173507.45005738252</v>
      </c>
      <c r="CO288" s="62" t="b">
        <f t="shared" si="338"/>
        <v>1</v>
      </c>
      <c r="CP288" s="126">
        <f t="shared" ca="1" si="339"/>
        <v>7.8333333333333015E-3</v>
      </c>
      <c r="CQ288" s="120"/>
      <c r="CR288" s="120"/>
      <c r="CS288" s="120"/>
      <c r="CT288" s="120"/>
      <c r="CU288" s="120"/>
      <c r="CV288" s="120"/>
      <c r="CW288" s="120"/>
      <c r="CX288" s="120"/>
      <c r="CY288" s="120"/>
      <c r="CZ288" s="120"/>
      <c r="DA288" s="120"/>
      <c r="DB288" s="120"/>
      <c r="DC288" s="120"/>
      <c r="DD288" s="120"/>
      <c r="DE288" s="116"/>
      <c r="DF288" s="116"/>
      <c r="DG288" s="116"/>
      <c r="DH288" s="116"/>
      <c r="DI288" s="116"/>
      <c r="DJ288" s="116"/>
      <c r="DK288" s="116"/>
      <c r="DL288" s="116"/>
      <c r="DM288" s="116"/>
      <c r="DN288" s="116"/>
    </row>
    <row r="289" spans="1:118" x14ac:dyDescent="0.2">
      <c r="A289" s="27">
        <v>283</v>
      </c>
      <c r="B289" s="29">
        <f t="shared" si="272"/>
        <v>47727</v>
      </c>
      <c r="C289" s="30">
        <f t="shared" si="273"/>
        <v>8.3333333333333329E-2</v>
      </c>
      <c r="D289" s="55"/>
      <c r="E289" s="62">
        <f t="shared" ca="1" si="291"/>
        <v>47384412.109557144</v>
      </c>
      <c r="F289" s="63">
        <f ca="1">IF(AssetIntType1="Fixed",AssetFxdRate1,IF(A289=1,OFFSET(Vectors!$D$6,A289,MATCH(AssetFltIndx1,lstInterestRates,0)),IF(MOD($A289,AssetRateReset1)=0,MAX(MIN(OFFSET(Vectors!$D$6,A289,MATCH(AssetFltIndx1,lstInterestRates,0)),(F288-AssetMarg1)+AssetPdCapFl1,AssetLifeCap1-AssetMarg1),(F288-AssetMarg1)-AssetPdCapFl1,AssetLifeFloor1-AssetMarg1),F288)))+AssetMarg1</f>
        <v>0.09</v>
      </c>
      <c r="G289" s="62">
        <f t="shared" ca="1" si="279"/>
        <v>804622.61694478267</v>
      </c>
      <c r="H289" s="62">
        <f t="shared" ca="1" si="292"/>
        <v>355383.09082167858</v>
      </c>
      <c r="I289" s="62">
        <f t="shared" ca="1" si="293"/>
        <v>449239.52612310409</v>
      </c>
      <c r="J289" s="62">
        <f t="shared" ca="1" si="274"/>
        <v>46935172.583434038</v>
      </c>
      <c r="K289" s="55"/>
      <c r="L289" s="62">
        <f t="shared" ca="1" si="294"/>
        <v>11670116.322526194</v>
      </c>
      <c r="M289" s="68">
        <f ca="1">IF(pdrLossTime1="",OFFSET(Vectors!$AE$6,A289+_Age1,MATCH(SDA_Loss,lstSDA,0)),OFFSET(Vectors!$X$6,A289+_Age1,MATCH(pdrLossTime1,lstDefaultCurve,0)))</f>
        <v>2.7777777777777779E-5</v>
      </c>
      <c r="N289" s="62">
        <f t="shared" ca="1" si="280"/>
        <v>2777.7777777777778</v>
      </c>
      <c r="O289" s="67">
        <f t="shared" ca="1" si="295"/>
        <v>0.46935172583434037</v>
      </c>
      <c r="P289" s="68">
        <f ca="1">OFFSET(Vectors!$L$6,A289+_Age1,MATCH(pdrPrepay1,lstPrepayCurve,0))*pdrPrepayStress1</f>
        <v>5.1430128318229462E-3</v>
      </c>
      <c r="Q289" s="62">
        <f t="shared" ca="1" si="296"/>
        <v>59450.527873861945</v>
      </c>
      <c r="R289" s="62">
        <f t="shared" ca="1" si="297"/>
        <v>110615.06106358266</v>
      </c>
      <c r="S289" s="69">
        <f t="shared" ca="1" si="298"/>
        <v>0.09</v>
      </c>
      <c r="T289" s="62">
        <f t="shared" ca="1" si="299"/>
        <v>87505.039085613113</v>
      </c>
      <c r="U289" s="62">
        <f t="shared" ca="1" si="281"/>
        <v>1111.1111111111111</v>
      </c>
      <c r="V289" s="62">
        <f t="shared" ca="1" si="275"/>
        <v>11497272.955810972</v>
      </c>
      <c r="W289" s="55"/>
      <c r="X289" s="62">
        <f t="shared" ca="1" si="300"/>
        <v>258681.73913416883</v>
      </c>
      <c r="Y289" s="55"/>
      <c r="Z289" s="118" t="b">
        <v>0</v>
      </c>
      <c r="AA289" s="120" t="b">
        <f t="shared" si="282"/>
        <v>0</v>
      </c>
      <c r="AB289" s="120" t="b">
        <f t="shared" si="283"/>
        <v>1</v>
      </c>
      <c r="AC289" s="120" t="b">
        <f t="shared" ca="1" si="284"/>
        <v>0</v>
      </c>
      <c r="AD289" s="121"/>
      <c r="AE289" s="129">
        <v>0</v>
      </c>
      <c r="AF289" s="69">
        <f ca="1">IF(Swap_Active="No",0,OFFSET(Vectors!$D$6,Vectors!A289,MATCH(Swap_In,lstInterestRates,0)))</f>
        <v>6.9369000000000056E-2</v>
      </c>
      <c r="AG289" s="62">
        <f t="shared" ca="1" si="301"/>
        <v>0</v>
      </c>
      <c r="AH289" s="69">
        <f ca="1">IF(Swap_Active="No",0,OFFSET(Vectors!$D$6,Vectors!A289,MATCH(Swap_Out,lstInterestRates,0)))</f>
        <v>0.04</v>
      </c>
      <c r="AI289" s="62">
        <f t="shared" ca="1" si="302"/>
        <v>0</v>
      </c>
      <c r="AJ289" s="62">
        <f t="shared" ca="1" si="303"/>
        <v>0</v>
      </c>
      <c r="AK289" s="62">
        <f t="shared" ca="1" si="304"/>
        <v>258681.73913416883</v>
      </c>
      <c r="AL289" s="121"/>
      <c r="AM289" s="123">
        <f t="shared" ca="1" si="285"/>
        <v>19450.193870876989</v>
      </c>
      <c r="AN289" s="124">
        <f t="shared" ca="1" si="305"/>
        <v>19450.193870876989</v>
      </c>
      <c r="AO289" s="125">
        <f t="shared" ca="1" si="306"/>
        <v>0</v>
      </c>
      <c r="AP289" s="123">
        <f t="shared" ca="1" si="307"/>
        <v>239231.54526329186</v>
      </c>
      <c r="AQ289" s="121"/>
      <c r="AR289" s="126">
        <f ca="1">IF(LiabIntType1="Fixed",LiabFxdRate1,OFFSET(Vectors!$D$6,Vectors!A289,MATCH(LiabLoanIndex1,lstInterestRates,0))+LiabMarg1)</f>
        <v>7.9369000000000051E-2</v>
      </c>
      <c r="AS289" s="122">
        <f t="shared" ca="1" si="308"/>
        <v>0</v>
      </c>
      <c r="AT289" s="124">
        <f t="shared" ca="1" si="309"/>
        <v>0</v>
      </c>
      <c r="AU289" s="123">
        <f t="shared" ca="1" si="310"/>
        <v>0</v>
      </c>
      <c r="AV289" s="123">
        <f t="shared" ca="1" si="286"/>
        <v>0</v>
      </c>
      <c r="AW289" s="123">
        <f t="shared" ca="1" si="311"/>
        <v>0</v>
      </c>
      <c r="AX289" s="124">
        <f t="shared" ca="1" si="312"/>
        <v>239231.54526329186</v>
      </c>
      <c r="AY289" s="121"/>
      <c r="AZ289" s="122">
        <f t="shared" ca="1" si="287"/>
        <v>0</v>
      </c>
      <c r="BA289" s="124">
        <f t="shared" ca="1" si="313"/>
        <v>0</v>
      </c>
      <c r="BB289" s="123">
        <f t="shared" ca="1" si="314"/>
        <v>0</v>
      </c>
      <c r="BC289" s="123">
        <f t="shared" ca="1" si="288"/>
        <v>0</v>
      </c>
      <c r="BD289" s="123">
        <f t="shared" ca="1" si="315"/>
        <v>0</v>
      </c>
      <c r="BE289" s="124">
        <f t="shared" ca="1" si="316"/>
        <v>239231.54526329186</v>
      </c>
      <c r="BF289" s="121"/>
      <c r="BG289" s="123">
        <f t="shared" si="289"/>
        <v>1000000</v>
      </c>
      <c r="BH289" s="123">
        <f t="shared" ca="1" si="317"/>
        <v>1000000</v>
      </c>
      <c r="BI289" s="123">
        <f t="shared" ca="1" si="318"/>
        <v>0</v>
      </c>
      <c r="BJ289" s="123">
        <f t="shared" ca="1" si="319"/>
        <v>0</v>
      </c>
      <c r="BK289" s="123">
        <f t="shared" ca="1" si="276"/>
        <v>1000000</v>
      </c>
      <c r="BL289" s="123">
        <f t="shared" ca="1" si="320"/>
        <v>239231.54526329186</v>
      </c>
      <c r="BM289" s="121"/>
      <c r="BN289" s="126">
        <f ca="1">IF(LiabIntType2="Fixed",LiabFxdRate2,OFFSET(Vectors!$D$6,Vectors!A289,MATCH(LiabLoanIndex2,lstInterestRates,0))+LiabMarg2)</f>
        <v>0.04</v>
      </c>
      <c r="BO289" s="122">
        <f t="shared" ca="1" si="321"/>
        <v>24563.525186953811</v>
      </c>
      <c r="BP289" s="124">
        <f t="shared" ca="1" si="322"/>
        <v>24563.525186953811</v>
      </c>
      <c r="BQ289" s="123">
        <f t="shared" ca="1" si="323"/>
        <v>0</v>
      </c>
      <c r="BR289" s="123">
        <f t="shared" ca="1" si="324"/>
        <v>214668.02007633806</v>
      </c>
      <c r="BS289" s="121"/>
      <c r="BT289" s="123">
        <f t="shared" ca="1" si="290"/>
        <v>17721.477807235751</v>
      </c>
      <c r="BU289" s="123">
        <f t="shared" ca="1" si="325"/>
        <v>17721.477807235751</v>
      </c>
      <c r="BV289" s="123">
        <f t="shared" ca="1" si="326"/>
        <v>0</v>
      </c>
      <c r="BW289" s="123">
        <f t="shared" ca="1" si="327"/>
        <v>196946.5422691023</v>
      </c>
      <c r="BX289" s="121"/>
      <c r="BY289" s="123">
        <f t="shared" si="328"/>
        <v>0</v>
      </c>
      <c r="BZ289" s="123">
        <f t="shared" ca="1" si="329"/>
        <v>196946.5422691023</v>
      </c>
      <c r="CA289" s="121"/>
      <c r="CB289" s="122">
        <f t="shared" ca="1" si="277"/>
        <v>0</v>
      </c>
      <c r="CC289" s="122">
        <f t="shared" ca="1" si="330"/>
        <v>0</v>
      </c>
      <c r="CD289" s="124">
        <f t="shared" ca="1" si="331"/>
        <v>0</v>
      </c>
      <c r="CE289" s="121"/>
      <c r="CF289" s="122">
        <f t="shared" ca="1" si="278"/>
        <v>7351336.0782789076</v>
      </c>
      <c r="CG289" s="124">
        <f t="shared" ca="1" si="332"/>
        <v>24563.525186953811</v>
      </c>
      <c r="CH289" s="123">
        <f t="shared" ca="1" si="333"/>
        <v>17721.477807235751</v>
      </c>
      <c r="CI289" s="121"/>
      <c r="CJ289" s="123">
        <f t="shared" ca="1" si="334"/>
        <v>258681.73913416883</v>
      </c>
      <c r="CK289" s="123">
        <f t="shared" ca="1" si="335"/>
        <v>258681.73913416883</v>
      </c>
      <c r="CL289" s="123">
        <f t="shared" ca="1" si="336"/>
        <v>0</v>
      </c>
      <c r="CM289" s="121"/>
      <c r="CN289" s="62">
        <f t="shared" ca="1" si="337"/>
        <v>172843.36671522239</v>
      </c>
      <c r="CO289" s="62" t="b">
        <f t="shared" si="338"/>
        <v>1</v>
      </c>
      <c r="CP289" s="126">
        <f t="shared" ca="1" si="339"/>
        <v>7.8611111111110792E-3</v>
      </c>
      <c r="CQ289" s="120"/>
      <c r="CR289" s="120"/>
      <c r="CS289" s="120"/>
      <c r="CT289" s="120"/>
      <c r="CU289" s="120"/>
      <c r="CV289" s="120"/>
      <c r="CW289" s="120"/>
      <c r="CX289" s="120"/>
      <c r="CY289" s="120"/>
      <c r="CZ289" s="120"/>
      <c r="DA289" s="120"/>
      <c r="DB289" s="120"/>
      <c r="DC289" s="120"/>
      <c r="DD289" s="120"/>
      <c r="DE289" s="116"/>
      <c r="DF289" s="116"/>
      <c r="DG289" s="116"/>
      <c r="DH289" s="116"/>
      <c r="DI289" s="116"/>
      <c r="DJ289" s="116"/>
      <c r="DK289" s="116"/>
      <c r="DL289" s="116"/>
      <c r="DM289" s="116"/>
      <c r="DN289" s="116"/>
    </row>
    <row r="290" spans="1:118" x14ac:dyDescent="0.2">
      <c r="A290" s="27">
        <v>284</v>
      </c>
      <c r="B290" s="29">
        <f t="shared" si="272"/>
        <v>47757</v>
      </c>
      <c r="C290" s="30">
        <f t="shared" si="273"/>
        <v>8.3333333333333329E-2</v>
      </c>
      <c r="D290" s="55"/>
      <c r="E290" s="62">
        <f t="shared" ca="1" si="291"/>
        <v>46935172.583434038</v>
      </c>
      <c r="F290" s="63">
        <f ca="1">IF(AssetIntType1="Fixed",AssetFxdRate1,IF(A290=1,OFFSET(Vectors!$D$6,A290,MATCH(AssetFltIndx1,lstInterestRates,0)),IF(MOD($A290,AssetRateReset1)=0,MAX(MIN(OFFSET(Vectors!$D$6,A290,MATCH(AssetFltIndx1,lstInterestRates,0)),(F289-AssetMarg1)+AssetPdCapFl1,AssetLifeCap1-AssetMarg1),(F289-AssetMarg1)-AssetPdCapFl1,AssetLifeFloor1-AssetMarg1),F289)))+AssetMarg1</f>
        <v>0.09</v>
      </c>
      <c r="G290" s="62">
        <f t="shared" ca="1" si="279"/>
        <v>804622.61694478267</v>
      </c>
      <c r="H290" s="62">
        <f t="shared" ca="1" si="292"/>
        <v>352013.79437575524</v>
      </c>
      <c r="I290" s="62">
        <f t="shared" ca="1" si="293"/>
        <v>452608.82256902743</v>
      </c>
      <c r="J290" s="62">
        <f t="shared" ca="1" si="274"/>
        <v>46482563.76086501</v>
      </c>
      <c r="K290" s="55"/>
      <c r="L290" s="62">
        <f t="shared" ca="1" si="294"/>
        <v>11497272.955810972</v>
      </c>
      <c r="M290" s="68">
        <f ca="1">IF(pdrLossTime1="",OFFSET(Vectors!$AE$6,A290+_Age1,MATCH(SDA_Loss,lstSDA,0)),OFFSET(Vectors!$X$6,A290+_Age1,MATCH(pdrLossTime1,lstDefaultCurve,0)))</f>
        <v>2.7777777777777779E-5</v>
      </c>
      <c r="N290" s="62">
        <f t="shared" ca="1" si="280"/>
        <v>2777.7777777777778</v>
      </c>
      <c r="O290" s="67">
        <f t="shared" ca="1" si="295"/>
        <v>0.46482563760865009</v>
      </c>
      <c r="P290" s="68">
        <f ca="1">OFFSET(Vectors!$L$6,A290+_Age1,MATCH(pdrPrepay1,lstPrepayCurve,0))*pdrPrepayStress1</f>
        <v>5.1430128318229462E-3</v>
      </c>
      <c r="Q290" s="62">
        <f t="shared" ca="1" si="296"/>
        <v>58560.409432362576</v>
      </c>
      <c r="R290" s="62">
        <f t="shared" ca="1" si="297"/>
        <v>110844.58929615702</v>
      </c>
      <c r="S290" s="69">
        <f t="shared" ca="1" si="298"/>
        <v>0.09</v>
      </c>
      <c r="T290" s="62">
        <f t="shared" ca="1" si="299"/>
        <v>86208.713835248942</v>
      </c>
      <c r="U290" s="62">
        <f t="shared" ca="1" si="281"/>
        <v>1111.1111111111111</v>
      </c>
      <c r="V290" s="62">
        <f t="shared" ca="1" si="275"/>
        <v>11325090.179304674</v>
      </c>
      <c r="W290" s="55"/>
      <c r="X290" s="62">
        <f t="shared" ca="1" si="300"/>
        <v>256724.82367487968</v>
      </c>
      <c r="Y290" s="55"/>
      <c r="Z290" s="118" t="b">
        <v>0</v>
      </c>
      <c r="AA290" s="120" t="b">
        <f t="shared" si="282"/>
        <v>0</v>
      </c>
      <c r="AB290" s="120" t="b">
        <f t="shared" si="283"/>
        <v>1</v>
      </c>
      <c r="AC290" s="120" t="b">
        <f t="shared" ca="1" si="284"/>
        <v>0</v>
      </c>
      <c r="AD290" s="121"/>
      <c r="AE290" s="129">
        <v>0</v>
      </c>
      <c r="AF290" s="69">
        <f ca="1">IF(Swap_Active="No",0,OFFSET(Vectors!$D$6,Vectors!A290,MATCH(Swap_In,lstInterestRates,0)))</f>
        <v>6.9369000000000056E-2</v>
      </c>
      <c r="AG290" s="62">
        <f t="shared" ca="1" si="301"/>
        <v>0</v>
      </c>
      <c r="AH290" s="69">
        <f ca="1">IF(Swap_Active="No",0,OFFSET(Vectors!$D$6,Vectors!A290,MATCH(Swap_Out,lstInterestRates,0)))</f>
        <v>0.04</v>
      </c>
      <c r="AI290" s="62">
        <f t="shared" ca="1" si="302"/>
        <v>0</v>
      </c>
      <c r="AJ290" s="62">
        <f t="shared" ca="1" si="303"/>
        <v>0</v>
      </c>
      <c r="AK290" s="62">
        <f t="shared" ca="1" si="304"/>
        <v>256724.82367487968</v>
      </c>
      <c r="AL290" s="121"/>
      <c r="AM290" s="123">
        <f t="shared" ca="1" si="285"/>
        <v>19162.121593018284</v>
      </c>
      <c r="AN290" s="124">
        <f t="shared" ca="1" si="305"/>
        <v>19162.121593018284</v>
      </c>
      <c r="AO290" s="125">
        <f t="shared" ca="1" si="306"/>
        <v>0</v>
      </c>
      <c r="AP290" s="123">
        <f t="shared" ca="1" si="307"/>
        <v>237562.70208186138</v>
      </c>
      <c r="AQ290" s="121"/>
      <c r="AR290" s="126">
        <f ca="1">IF(LiabIntType1="Fixed",LiabFxdRate1,OFFSET(Vectors!$D$6,Vectors!A290,MATCH(LiabLoanIndex1,lstInterestRates,0))+LiabMarg1)</f>
        <v>7.9369000000000051E-2</v>
      </c>
      <c r="AS290" s="122">
        <f t="shared" ca="1" si="308"/>
        <v>0</v>
      </c>
      <c r="AT290" s="124">
        <f t="shared" ca="1" si="309"/>
        <v>0</v>
      </c>
      <c r="AU290" s="123">
        <f t="shared" ca="1" si="310"/>
        <v>0</v>
      </c>
      <c r="AV290" s="123">
        <f t="shared" ca="1" si="286"/>
        <v>0</v>
      </c>
      <c r="AW290" s="123">
        <f t="shared" ca="1" si="311"/>
        <v>0</v>
      </c>
      <c r="AX290" s="124">
        <f t="shared" ca="1" si="312"/>
        <v>237562.70208186138</v>
      </c>
      <c r="AY290" s="121"/>
      <c r="AZ290" s="122">
        <f t="shared" ca="1" si="287"/>
        <v>0</v>
      </c>
      <c r="BA290" s="124">
        <f t="shared" ca="1" si="313"/>
        <v>0</v>
      </c>
      <c r="BB290" s="123">
        <f t="shared" ca="1" si="314"/>
        <v>0</v>
      </c>
      <c r="BC290" s="123">
        <f t="shared" ca="1" si="288"/>
        <v>0</v>
      </c>
      <c r="BD290" s="123">
        <f t="shared" ca="1" si="315"/>
        <v>0</v>
      </c>
      <c r="BE290" s="124">
        <f t="shared" ca="1" si="316"/>
        <v>237562.70208186138</v>
      </c>
      <c r="BF290" s="121"/>
      <c r="BG290" s="123">
        <f t="shared" si="289"/>
        <v>1000000</v>
      </c>
      <c r="BH290" s="123">
        <f t="shared" ca="1" si="317"/>
        <v>1000000</v>
      </c>
      <c r="BI290" s="123">
        <f t="shared" ca="1" si="318"/>
        <v>0</v>
      </c>
      <c r="BJ290" s="123">
        <f t="shared" ca="1" si="319"/>
        <v>0</v>
      </c>
      <c r="BK290" s="123">
        <f t="shared" ca="1" si="276"/>
        <v>1000000</v>
      </c>
      <c r="BL290" s="123">
        <f t="shared" ca="1" si="320"/>
        <v>237562.70208186138</v>
      </c>
      <c r="BM290" s="121"/>
      <c r="BN290" s="126">
        <f ca="1">IF(LiabIntType2="Fixed",LiabFxdRate2,OFFSET(Vectors!$D$6,Vectors!A290,MATCH(LiabLoanIndex2,lstInterestRates,0))+LiabMarg2)</f>
        <v>0.04</v>
      </c>
      <c r="BO290" s="122">
        <f t="shared" ca="1" si="321"/>
        <v>24504.453594263025</v>
      </c>
      <c r="BP290" s="124">
        <f t="shared" ca="1" si="322"/>
        <v>24504.453594263025</v>
      </c>
      <c r="BQ290" s="123">
        <f t="shared" ca="1" si="323"/>
        <v>0</v>
      </c>
      <c r="BR290" s="123">
        <f t="shared" ca="1" si="324"/>
        <v>213058.24848759835</v>
      </c>
      <c r="BS290" s="121"/>
      <c r="BT290" s="123">
        <f t="shared" ca="1" si="290"/>
        <v>17653.748076268235</v>
      </c>
      <c r="BU290" s="123">
        <f t="shared" ca="1" si="325"/>
        <v>17653.748076268235</v>
      </c>
      <c r="BV290" s="123">
        <f t="shared" ca="1" si="326"/>
        <v>0</v>
      </c>
      <c r="BW290" s="123">
        <f t="shared" ca="1" si="327"/>
        <v>195404.50041133011</v>
      </c>
      <c r="BX290" s="121"/>
      <c r="BY290" s="123">
        <f t="shared" si="328"/>
        <v>0</v>
      </c>
      <c r="BZ290" s="123">
        <f t="shared" ca="1" si="329"/>
        <v>195404.50041133011</v>
      </c>
      <c r="CA290" s="121"/>
      <c r="CB290" s="122">
        <f t="shared" ca="1" si="277"/>
        <v>0</v>
      </c>
      <c r="CC290" s="122">
        <f t="shared" ca="1" si="330"/>
        <v>0</v>
      </c>
      <c r="CD290" s="124">
        <f t="shared" ca="1" si="331"/>
        <v>0</v>
      </c>
      <c r="CE290" s="121"/>
      <c r="CF290" s="122">
        <f t="shared" ca="1" si="278"/>
        <v>7333682.3302026391</v>
      </c>
      <c r="CG290" s="124">
        <f t="shared" ca="1" si="332"/>
        <v>24504.453594263025</v>
      </c>
      <c r="CH290" s="123">
        <f t="shared" ca="1" si="333"/>
        <v>17653.748076268235</v>
      </c>
      <c r="CI290" s="121"/>
      <c r="CJ290" s="123">
        <f t="shared" ca="1" si="334"/>
        <v>256724.82367487968</v>
      </c>
      <c r="CK290" s="123">
        <f t="shared" ca="1" si="335"/>
        <v>256724.82367487968</v>
      </c>
      <c r="CL290" s="123">
        <f t="shared" ca="1" si="336"/>
        <v>0</v>
      </c>
      <c r="CM290" s="121"/>
      <c r="CN290" s="62">
        <f t="shared" ca="1" si="337"/>
        <v>172182.77650629738</v>
      </c>
      <c r="CO290" s="62" t="b">
        <f t="shared" si="338"/>
        <v>1</v>
      </c>
      <c r="CP290" s="126">
        <f t="shared" ca="1" si="339"/>
        <v>7.8888888888888568E-3</v>
      </c>
      <c r="CQ290" s="120"/>
      <c r="CR290" s="120"/>
      <c r="CS290" s="120"/>
      <c r="CT290" s="120"/>
      <c r="CU290" s="120"/>
      <c r="CV290" s="120"/>
      <c r="CW290" s="120"/>
      <c r="CX290" s="120"/>
      <c r="CY290" s="120"/>
      <c r="CZ290" s="120"/>
      <c r="DA290" s="120"/>
      <c r="DB290" s="120"/>
      <c r="DC290" s="120"/>
      <c r="DD290" s="120"/>
      <c r="DE290" s="116"/>
      <c r="DF290" s="116"/>
      <c r="DG290" s="116"/>
      <c r="DH290" s="116"/>
      <c r="DI290" s="116"/>
      <c r="DJ290" s="116"/>
      <c r="DK290" s="116"/>
      <c r="DL290" s="116"/>
      <c r="DM290" s="116"/>
      <c r="DN290" s="116"/>
    </row>
    <row r="291" spans="1:118" x14ac:dyDescent="0.2">
      <c r="A291" s="27">
        <v>285</v>
      </c>
      <c r="B291" s="29">
        <f t="shared" si="272"/>
        <v>47788</v>
      </c>
      <c r="C291" s="30">
        <f t="shared" si="273"/>
        <v>8.3333333333333329E-2</v>
      </c>
      <c r="D291" s="55"/>
      <c r="E291" s="62">
        <f t="shared" ca="1" si="291"/>
        <v>46482563.76086501</v>
      </c>
      <c r="F291" s="63">
        <f ca="1">IF(AssetIntType1="Fixed",AssetFxdRate1,IF(A291=1,OFFSET(Vectors!$D$6,A291,MATCH(AssetFltIndx1,lstInterestRates,0)),IF(MOD($A291,AssetRateReset1)=0,MAX(MIN(OFFSET(Vectors!$D$6,A291,MATCH(AssetFltIndx1,lstInterestRates,0)),(F290-AssetMarg1)+AssetPdCapFl1,AssetLifeCap1-AssetMarg1),(F290-AssetMarg1)-AssetPdCapFl1,AssetLifeFloor1-AssetMarg1),F290)))+AssetMarg1</f>
        <v>0.09</v>
      </c>
      <c r="G291" s="62">
        <f t="shared" ca="1" si="279"/>
        <v>804622.61694478267</v>
      </c>
      <c r="H291" s="62">
        <f t="shared" ca="1" si="292"/>
        <v>348619.22820648755</v>
      </c>
      <c r="I291" s="62">
        <f t="shared" ca="1" si="293"/>
        <v>456003.38873829512</v>
      </c>
      <c r="J291" s="62">
        <f t="shared" ca="1" si="274"/>
        <v>46026560.372126713</v>
      </c>
      <c r="K291" s="55"/>
      <c r="L291" s="62">
        <f t="shared" ca="1" si="294"/>
        <v>11325090.179304674</v>
      </c>
      <c r="M291" s="68">
        <f ca="1">IF(pdrLossTime1="",OFFSET(Vectors!$AE$6,A291+_Age1,MATCH(SDA_Loss,lstSDA,0)),OFFSET(Vectors!$X$6,A291+_Age1,MATCH(pdrLossTime1,lstDefaultCurve,0)))</f>
        <v>2.7777777777777779E-5</v>
      </c>
      <c r="N291" s="62">
        <f t="shared" ca="1" si="280"/>
        <v>2777.7777777777778</v>
      </c>
      <c r="O291" s="67">
        <f t="shared" ca="1" si="295"/>
        <v>0.46026560372126712</v>
      </c>
      <c r="P291" s="68">
        <f ca="1">OFFSET(Vectors!$L$6,A291+_Age1,MATCH(pdrPrepay1,lstPrepayCurve,0))*pdrPrepayStress1</f>
        <v>5.1430128318229462E-3</v>
      </c>
      <c r="Q291" s="62">
        <f t="shared" ca="1" si="296"/>
        <v>57673.688011946666</v>
      </c>
      <c r="R291" s="62">
        <f t="shared" ca="1" si="297"/>
        <v>111074.183644681</v>
      </c>
      <c r="S291" s="69">
        <f t="shared" ca="1" si="298"/>
        <v>0.09</v>
      </c>
      <c r="T291" s="62">
        <f t="shared" ca="1" si="299"/>
        <v>84917.343011451725</v>
      </c>
      <c r="U291" s="62">
        <f t="shared" ca="1" si="281"/>
        <v>1111.1111111111111</v>
      </c>
      <c r="V291" s="62">
        <f t="shared" ca="1" si="275"/>
        <v>11153564.52987027</v>
      </c>
      <c r="W291" s="55"/>
      <c r="X291" s="62">
        <f t="shared" ca="1" si="300"/>
        <v>254776.32577919052</v>
      </c>
      <c r="Y291" s="55"/>
      <c r="Z291" s="118" t="b">
        <v>0</v>
      </c>
      <c r="AA291" s="120" t="b">
        <f t="shared" si="282"/>
        <v>0</v>
      </c>
      <c r="AB291" s="120" t="b">
        <f t="shared" si="283"/>
        <v>1</v>
      </c>
      <c r="AC291" s="120" t="b">
        <f t="shared" ca="1" si="284"/>
        <v>0</v>
      </c>
      <c r="AD291" s="121"/>
      <c r="AE291" s="129">
        <v>0</v>
      </c>
      <c r="AF291" s="69">
        <f ca="1">IF(Swap_Active="No",0,OFFSET(Vectors!$D$6,Vectors!A291,MATCH(Swap_In,lstInterestRates,0)))</f>
        <v>6.9369000000000056E-2</v>
      </c>
      <c r="AG291" s="62">
        <f t="shared" ca="1" si="301"/>
        <v>0</v>
      </c>
      <c r="AH291" s="69">
        <f ca="1">IF(Swap_Active="No",0,OFFSET(Vectors!$D$6,Vectors!A291,MATCH(Swap_Out,lstInterestRates,0)))</f>
        <v>0.04</v>
      </c>
      <c r="AI291" s="62">
        <f t="shared" ca="1" si="302"/>
        <v>0</v>
      </c>
      <c r="AJ291" s="62">
        <f t="shared" ca="1" si="303"/>
        <v>0</v>
      </c>
      <c r="AK291" s="62">
        <f t="shared" ca="1" si="304"/>
        <v>254776.32577919052</v>
      </c>
      <c r="AL291" s="121"/>
      <c r="AM291" s="123">
        <f t="shared" ca="1" si="285"/>
        <v>18875.150298841123</v>
      </c>
      <c r="AN291" s="124">
        <f t="shared" ca="1" si="305"/>
        <v>18875.150298841123</v>
      </c>
      <c r="AO291" s="125">
        <f t="shared" ca="1" si="306"/>
        <v>0</v>
      </c>
      <c r="AP291" s="123">
        <f t="shared" ca="1" si="307"/>
        <v>235901.1754803494</v>
      </c>
      <c r="AQ291" s="121"/>
      <c r="AR291" s="126">
        <f ca="1">IF(LiabIntType1="Fixed",LiabFxdRate1,OFFSET(Vectors!$D$6,Vectors!A291,MATCH(LiabLoanIndex1,lstInterestRates,0))+LiabMarg1)</f>
        <v>7.9369000000000051E-2</v>
      </c>
      <c r="AS291" s="122">
        <f t="shared" ca="1" si="308"/>
        <v>0</v>
      </c>
      <c r="AT291" s="124">
        <f t="shared" ca="1" si="309"/>
        <v>0</v>
      </c>
      <c r="AU291" s="123">
        <f t="shared" ca="1" si="310"/>
        <v>0</v>
      </c>
      <c r="AV291" s="123">
        <f t="shared" ca="1" si="286"/>
        <v>0</v>
      </c>
      <c r="AW291" s="123">
        <f t="shared" ca="1" si="311"/>
        <v>0</v>
      </c>
      <c r="AX291" s="124">
        <f t="shared" ca="1" si="312"/>
        <v>235901.1754803494</v>
      </c>
      <c r="AY291" s="121"/>
      <c r="AZ291" s="122">
        <f t="shared" ca="1" si="287"/>
        <v>0</v>
      </c>
      <c r="BA291" s="124">
        <f t="shared" ca="1" si="313"/>
        <v>0</v>
      </c>
      <c r="BB291" s="123">
        <f t="shared" ca="1" si="314"/>
        <v>0</v>
      </c>
      <c r="BC291" s="123">
        <f t="shared" ca="1" si="288"/>
        <v>0</v>
      </c>
      <c r="BD291" s="123">
        <f t="shared" ca="1" si="315"/>
        <v>0</v>
      </c>
      <c r="BE291" s="124">
        <f t="shared" ca="1" si="316"/>
        <v>235901.1754803494</v>
      </c>
      <c r="BF291" s="121"/>
      <c r="BG291" s="123">
        <f t="shared" si="289"/>
        <v>1000000</v>
      </c>
      <c r="BH291" s="123">
        <f t="shared" ca="1" si="317"/>
        <v>1000000</v>
      </c>
      <c r="BI291" s="123">
        <f t="shared" ca="1" si="318"/>
        <v>0</v>
      </c>
      <c r="BJ291" s="123">
        <f t="shared" ca="1" si="319"/>
        <v>0</v>
      </c>
      <c r="BK291" s="123">
        <f t="shared" ca="1" si="276"/>
        <v>1000000</v>
      </c>
      <c r="BL291" s="123">
        <f t="shared" ca="1" si="320"/>
        <v>235901.1754803494</v>
      </c>
      <c r="BM291" s="121"/>
      <c r="BN291" s="126">
        <f ca="1">IF(LiabIntType2="Fixed",LiabFxdRate2,OFFSET(Vectors!$D$6,Vectors!A291,MATCH(LiabLoanIndex2,lstInterestRates,0))+LiabMarg2)</f>
        <v>0.04</v>
      </c>
      <c r="BO291" s="122">
        <f t="shared" ca="1" si="321"/>
        <v>24445.607767342128</v>
      </c>
      <c r="BP291" s="124">
        <f t="shared" ca="1" si="322"/>
        <v>24445.607767342128</v>
      </c>
      <c r="BQ291" s="123">
        <f t="shared" ca="1" si="323"/>
        <v>0</v>
      </c>
      <c r="BR291" s="123">
        <f t="shared" ca="1" si="324"/>
        <v>211455.56771300727</v>
      </c>
      <c r="BS291" s="121"/>
      <c r="BT291" s="123">
        <f t="shared" ca="1" si="290"/>
        <v>17586.373417683542</v>
      </c>
      <c r="BU291" s="123">
        <f t="shared" ca="1" si="325"/>
        <v>17586.373417683542</v>
      </c>
      <c r="BV291" s="123">
        <f t="shared" ca="1" si="326"/>
        <v>0</v>
      </c>
      <c r="BW291" s="123">
        <f t="shared" ca="1" si="327"/>
        <v>193869.19429532374</v>
      </c>
      <c r="BX291" s="121"/>
      <c r="BY291" s="123">
        <f t="shared" si="328"/>
        <v>0</v>
      </c>
      <c r="BZ291" s="123">
        <f t="shared" ca="1" si="329"/>
        <v>193869.19429532374</v>
      </c>
      <c r="CA291" s="121"/>
      <c r="CB291" s="122">
        <f t="shared" ca="1" si="277"/>
        <v>0</v>
      </c>
      <c r="CC291" s="122">
        <f t="shared" ca="1" si="330"/>
        <v>0</v>
      </c>
      <c r="CD291" s="124">
        <f t="shared" ca="1" si="331"/>
        <v>0</v>
      </c>
      <c r="CE291" s="121"/>
      <c r="CF291" s="122">
        <f t="shared" ca="1" si="278"/>
        <v>7316095.9567849552</v>
      </c>
      <c r="CG291" s="124">
        <f t="shared" ca="1" si="332"/>
        <v>24445.607767342128</v>
      </c>
      <c r="CH291" s="123">
        <f t="shared" ca="1" si="333"/>
        <v>17586.373417683542</v>
      </c>
      <c r="CI291" s="121"/>
      <c r="CJ291" s="123">
        <f t="shared" ca="1" si="334"/>
        <v>254776.32577919052</v>
      </c>
      <c r="CK291" s="123">
        <f t="shared" ca="1" si="335"/>
        <v>254776.32577919052</v>
      </c>
      <c r="CL291" s="123">
        <f t="shared" ca="1" si="336"/>
        <v>0</v>
      </c>
      <c r="CM291" s="121"/>
      <c r="CN291" s="62">
        <f t="shared" ca="1" si="337"/>
        <v>171525.64943440544</v>
      </c>
      <c r="CO291" s="62" t="b">
        <f t="shared" si="338"/>
        <v>1</v>
      </c>
      <c r="CP291" s="126">
        <f t="shared" ca="1" si="339"/>
        <v>7.9166666666666344E-3</v>
      </c>
      <c r="CQ291" s="120"/>
      <c r="CR291" s="120"/>
      <c r="CS291" s="120"/>
      <c r="CT291" s="120"/>
      <c r="CU291" s="120"/>
      <c r="CV291" s="120"/>
      <c r="CW291" s="120"/>
      <c r="CX291" s="120"/>
      <c r="CY291" s="120"/>
      <c r="CZ291" s="120"/>
      <c r="DA291" s="120"/>
      <c r="DB291" s="120"/>
      <c r="DC291" s="120"/>
      <c r="DD291" s="120"/>
      <c r="DE291" s="116"/>
      <c r="DF291" s="116"/>
      <c r="DG291" s="116"/>
      <c r="DH291" s="116"/>
      <c r="DI291" s="116"/>
      <c r="DJ291" s="116"/>
      <c r="DK291" s="116"/>
      <c r="DL291" s="116"/>
      <c r="DM291" s="116"/>
      <c r="DN291" s="116"/>
    </row>
    <row r="292" spans="1:118" x14ac:dyDescent="0.2">
      <c r="A292" s="27">
        <v>286</v>
      </c>
      <c r="B292" s="29">
        <f t="shared" si="272"/>
        <v>47818</v>
      </c>
      <c r="C292" s="30">
        <f t="shared" si="273"/>
        <v>8.3333333333333329E-2</v>
      </c>
      <c r="D292" s="55"/>
      <c r="E292" s="62">
        <f t="shared" ca="1" si="291"/>
        <v>46026560.372126713</v>
      </c>
      <c r="F292" s="63">
        <f ca="1">IF(AssetIntType1="Fixed",AssetFxdRate1,IF(A292=1,OFFSET(Vectors!$D$6,A292,MATCH(AssetFltIndx1,lstInterestRates,0)),IF(MOD($A292,AssetRateReset1)=0,MAX(MIN(OFFSET(Vectors!$D$6,A292,MATCH(AssetFltIndx1,lstInterestRates,0)),(F291-AssetMarg1)+AssetPdCapFl1,AssetLifeCap1-AssetMarg1),(F291-AssetMarg1)-AssetPdCapFl1,AssetLifeFloor1-AssetMarg1),F291)))+AssetMarg1</f>
        <v>0.09</v>
      </c>
      <c r="G292" s="62">
        <f t="shared" ca="1" si="279"/>
        <v>804622.61694478267</v>
      </c>
      <c r="H292" s="62">
        <f t="shared" ca="1" si="292"/>
        <v>345199.20279095037</v>
      </c>
      <c r="I292" s="62">
        <f t="shared" ca="1" si="293"/>
        <v>459423.4141538323</v>
      </c>
      <c r="J292" s="62">
        <f t="shared" ca="1" si="274"/>
        <v>45567136.957972884</v>
      </c>
      <c r="K292" s="55"/>
      <c r="L292" s="62">
        <f t="shared" ca="1" si="294"/>
        <v>11153564.52987027</v>
      </c>
      <c r="M292" s="68">
        <f ca="1">IF(pdrLossTime1="",OFFSET(Vectors!$AE$6,A292+_Age1,MATCH(SDA_Loss,lstSDA,0)),OFFSET(Vectors!$X$6,A292+_Age1,MATCH(pdrLossTime1,lstDefaultCurve,0)))</f>
        <v>2.7777777777777779E-5</v>
      </c>
      <c r="N292" s="62">
        <f t="shared" ca="1" si="280"/>
        <v>2777.7777777777778</v>
      </c>
      <c r="O292" s="67">
        <f t="shared" ca="1" si="295"/>
        <v>0.45567136957972887</v>
      </c>
      <c r="P292" s="68">
        <f ca="1">OFFSET(Vectors!$L$6,A292+_Age1,MATCH(pdrPrepay1,lstPrepayCurve,0))*pdrPrepayStress1</f>
        <v>5.1430128318229462E-3</v>
      </c>
      <c r="Q292" s="62">
        <f t="shared" ca="1" si="296"/>
        <v>56790.345863995535</v>
      </c>
      <c r="R292" s="62">
        <f t="shared" ca="1" si="297"/>
        <v>111303.83149921401</v>
      </c>
      <c r="S292" s="69">
        <f t="shared" ca="1" si="298"/>
        <v>0.09</v>
      </c>
      <c r="T292" s="62">
        <f t="shared" ca="1" si="299"/>
        <v>83630.900640693682</v>
      </c>
      <c r="U292" s="62">
        <f t="shared" ca="1" si="281"/>
        <v>1111.1111111111111</v>
      </c>
      <c r="V292" s="62">
        <f t="shared" ca="1" si="275"/>
        <v>10982692.574729282</v>
      </c>
      <c r="W292" s="55"/>
      <c r="X292" s="62">
        <f t="shared" ca="1" si="300"/>
        <v>252836.18911501433</v>
      </c>
      <c r="Y292" s="55"/>
      <c r="Z292" s="118" t="b">
        <v>0</v>
      </c>
      <c r="AA292" s="120" t="b">
        <f t="shared" si="282"/>
        <v>0</v>
      </c>
      <c r="AB292" s="120" t="b">
        <f t="shared" si="283"/>
        <v>1</v>
      </c>
      <c r="AC292" s="120" t="b">
        <f t="shared" ca="1" si="284"/>
        <v>0</v>
      </c>
      <c r="AD292" s="121"/>
      <c r="AE292" s="129">
        <v>0</v>
      </c>
      <c r="AF292" s="69">
        <f ca="1">IF(Swap_Active="No",0,OFFSET(Vectors!$D$6,Vectors!A292,MATCH(Swap_In,lstInterestRates,0)))</f>
        <v>6.9369000000000056E-2</v>
      </c>
      <c r="AG292" s="62">
        <f t="shared" ca="1" si="301"/>
        <v>0</v>
      </c>
      <c r="AH292" s="69">
        <f ca="1">IF(Swap_Active="No",0,OFFSET(Vectors!$D$6,Vectors!A292,MATCH(Swap_Out,lstInterestRates,0)))</f>
        <v>0.04</v>
      </c>
      <c r="AI292" s="62">
        <f t="shared" ca="1" si="302"/>
        <v>0</v>
      </c>
      <c r="AJ292" s="62">
        <f t="shared" ca="1" si="303"/>
        <v>0</v>
      </c>
      <c r="AK292" s="62">
        <f t="shared" ca="1" si="304"/>
        <v>252836.18911501433</v>
      </c>
      <c r="AL292" s="121"/>
      <c r="AM292" s="123">
        <f t="shared" ca="1" si="285"/>
        <v>18589.274216450449</v>
      </c>
      <c r="AN292" s="124">
        <f t="shared" ca="1" si="305"/>
        <v>18589.274216450449</v>
      </c>
      <c r="AO292" s="125">
        <f t="shared" ca="1" si="306"/>
        <v>0</v>
      </c>
      <c r="AP292" s="123">
        <f t="shared" ca="1" si="307"/>
        <v>234246.91489856387</v>
      </c>
      <c r="AQ292" s="121"/>
      <c r="AR292" s="126">
        <f ca="1">IF(LiabIntType1="Fixed",LiabFxdRate1,OFFSET(Vectors!$D$6,Vectors!A292,MATCH(LiabLoanIndex1,lstInterestRates,0))+LiabMarg1)</f>
        <v>7.9369000000000051E-2</v>
      </c>
      <c r="AS292" s="122">
        <f t="shared" ca="1" si="308"/>
        <v>0</v>
      </c>
      <c r="AT292" s="124">
        <f t="shared" ca="1" si="309"/>
        <v>0</v>
      </c>
      <c r="AU292" s="123">
        <f t="shared" ca="1" si="310"/>
        <v>0</v>
      </c>
      <c r="AV292" s="123">
        <f t="shared" ca="1" si="286"/>
        <v>0</v>
      </c>
      <c r="AW292" s="123">
        <f t="shared" ca="1" si="311"/>
        <v>0</v>
      </c>
      <c r="AX292" s="124">
        <f t="shared" ca="1" si="312"/>
        <v>234246.91489856387</v>
      </c>
      <c r="AY292" s="121"/>
      <c r="AZ292" s="122">
        <f t="shared" ca="1" si="287"/>
        <v>0</v>
      </c>
      <c r="BA292" s="124">
        <f t="shared" ca="1" si="313"/>
        <v>0</v>
      </c>
      <c r="BB292" s="123">
        <f t="shared" ca="1" si="314"/>
        <v>0</v>
      </c>
      <c r="BC292" s="123">
        <f t="shared" ca="1" si="288"/>
        <v>0</v>
      </c>
      <c r="BD292" s="123">
        <f t="shared" ca="1" si="315"/>
        <v>0</v>
      </c>
      <c r="BE292" s="124">
        <f t="shared" ca="1" si="316"/>
        <v>234246.91489856387</v>
      </c>
      <c r="BF292" s="121"/>
      <c r="BG292" s="123">
        <f t="shared" si="289"/>
        <v>1000000</v>
      </c>
      <c r="BH292" s="123">
        <f t="shared" ca="1" si="317"/>
        <v>1000000</v>
      </c>
      <c r="BI292" s="123">
        <f t="shared" ca="1" si="318"/>
        <v>0</v>
      </c>
      <c r="BJ292" s="123">
        <f t="shared" ca="1" si="319"/>
        <v>0</v>
      </c>
      <c r="BK292" s="123">
        <f t="shared" ca="1" si="276"/>
        <v>1000000</v>
      </c>
      <c r="BL292" s="123">
        <f t="shared" ca="1" si="320"/>
        <v>234246.91489856387</v>
      </c>
      <c r="BM292" s="121"/>
      <c r="BN292" s="126">
        <f ca="1">IF(LiabIntType2="Fixed",LiabFxdRate2,OFFSET(Vectors!$D$6,Vectors!A292,MATCH(LiabLoanIndex2,lstInterestRates,0))+LiabMarg2)</f>
        <v>0.04</v>
      </c>
      <c r="BO292" s="122">
        <f t="shared" ca="1" si="321"/>
        <v>24386.986522616517</v>
      </c>
      <c r="BP292" s="124">
        <f t="shared" ca="1" si="322"/>
        <v>24386.986522616517</v>
      </c>
      <c r="BQ292" s="123">
        <f t="shared" ca="1" si="323"/>
        <v>0</v>
      </c>
      <c r="BR292" s="123">
        <f t="shared" ca="1" si="324"/>
        <v>209859.92837594735</v>
      </c>
      <c r="BS292" s="121"/>
      <c r="BT292" s="123">
        <f t="shared" ca="1" si="290"/>
        <v>17519.350718845395</v>
      </c>
      <c r="BU292" s="123">
        <f t="shared" ca="1" si="325"/>
        <v>17519.350718845395</v>
      </c>
      <c r="BV292" s="123">
        <f t="shared" ca="1" si="326"/>
        <v>0</v>
      </c>
      <c r="BW292" s="123">
        <f t="shared" ca="1" si="327"/>
        <v>192340.57765710197</v>
      </c>
      <c r="BX292" s="121"/>
      <c r="BY292" s="123">
        <f t="shared" si="328"/>
        <v>0</v>
      </c>
      <c r="BZ292" s="123">
        <f t="shared" ca="1" si="329"/>
        <v>192340.57765710197</v>
      </c>
      <c r="CA292" s="121"/>
      <c r="CB292" s="122">
        <f t="shared" ca="1" si="277"/>
        <v>0</v>
      </c>
      <c r="CC292" s="122">
        <f t="shared" ca="1" si="330"/>
        <v>0</v>
      </c>
      <c r="CD292" s="124">
        <f t="shared" ca="1" si="331"/>
        <v>0</v>
      </c>
      <c r="CE292" s="121"/>
      <c r="CF292" s="122">
        <f t="shared" ca="1" si="278"/>
        <v>7298576.6060661096</v>
      </c>
      <c r="CG292" s="124">
        <f t="shared" ca="1" si="332"/>
        <v>24386.986522616517</v>
      </c>
      <c r="CH292" s="123">
        <f t="shared" ca="1" si="333"/>
        <v>17519.350718845395</v>
      </c>
      <c r="CI292" s="121"/>
      <c r="CJ292" s="123">
        <f t="shared" ca="1" si="334"/>
        <v>252836.18911501433</v>
      </c>
      <c r="CK292" s="123">
        <f t="shared" ca="1" si="335"/>
        <v>252836.18911501433</v>
      </c>
      <c r="CL292" s="123">
        <f t="shared" ca="1" si="336"/>
        <v>0</v>
      </c>
      <c r="CM292" s="121"/>
      <c r="CN292" s="62">
        <f t="shared" ca="1" si="337"/>
        <v>170871.95514098732</v>
      </c>
      <c r="CO292" s="62" t="b">
        <f t="shared" si="338"/>
        <v>1</v>
      </c>
      <c r="CP292" s="126">
        <f t="shared" ca="1" si="339"/>
        <v>7.944444444444412E-3</v>
      </c>
      <c r="CQ292" s="120"/>
      <c r="CR292" s="120"/>
      <c r="CS292" s="120"/>
      <c r="CT292" s="120"/>
      <c r="CU292" s="120"/>
      <c r="CV292" s="120"/>
      <c r="CW292" s="120"/>
      <c r="CX292" s="120"/>
      <c r="CY292" s="120"/>
      <c r="CZ292" s="120"/>
      <c r="DA292" s="120"/>
      <c r="DB292" s="120"/>
      <c r="DC292" s="120"/>
      <c r="DD292" s="120"/>
      <c r="DE292" s="116"/>
      <c r="DF292" s="116"/>
      <c r="DG292" s="116"/>
      <c r="DH292" s="116"/>
      <c r="DI292" s="116"/>
      <c r="DJ292" s="116"/>
      <c r="DK292" s="116"/>
      <c r="DL292" s="116"/>
      <c r="DM292" s="116"/>
      <c r="DN292" s="116"/>
    </row>
    <row r="293" spans="1:118" x14ac:dyDescent="0.2">
      <c r="A293" s="27">
        <v>287</v>
      </c>
      <c r="B293" s="29">
        <f t="shared" si="272"/>
        <v>47849</v>
      </c>
      <c r="C293" s="30">
        <f t="shared" si="273"/>
        <v>8.3333333333333329E-2</v>
      </c>
      <c r="D293" s="55"/>
      <c r="E293" s="62">
        <f t="shared" ca="1" si="291"/>
        <v>45567136.957972884</v>
      </c>
      <c r="F293" s="63">
        <f ca="1">IF(AssetIntType1="Fixed",AssetFxdRate1,IF(A293=1,OFFSET(Vectors!$D$6,A293,MATCH(AssetFltIndx1,lstInterestRates,0)),IF(MOD($A293,AssetRateReset1)=0,MAX(MIN(OFFSET(Vectors!$D$6,A293,MATCH(AssetFltIndx1,lstInterestRates,0)),(F292-AssetMarg1)+AssetPdCapFl1,AssetLifeCap1-AssetMarg1),(F292-AssetMarg1)-AssetPdCapFl1,AssetLifeFloor1-AssetMarg1),F292)))+AssetMarg1</f>
        <v>0.09</v>
      </c>
      <c r="G293" s="62">
        <f t="shared" ca="1" si="279"/>
        <v>804622.61694478267</v>
      </c>
      <c r="H293" s="62">
        <f t="shared" ca="1" si="292"/>
        <v>341753.52718479664</v>
      </c>
      <c r="I293" s="62">
        <f t="shared" ca="1" si="293"/>
        <v>462869.08975998603</v>
      </c>
      <c r="J293" s="62">
        <f t="shared" ca="1" si="274"/>
        <v>45104267.868212901</v>
      </c>
      <c r="K293" s="55"/>
      <c r="L293" s="62">
        <f t="shared" ca="1" si="294"/>
        <v>10982692.574729282</v>
      </c>
      <c r="M293" s="68">
        <f ca="1">IF(pdrLossTime1="",OFFSET(Vectors!$AE$6,A293+_Age1,MATCH(SDA_Loss,lstSDA,0)),OFFSET(Vectors!$X$6,A293+_Age1,MATCH(pdrLossTime1,lstDefaultCurve,0)))</f>
        <v>2.7777777777777779E-5</v>
      </c>
      <c r="N293" s="62">
        <f t="shared" ca="1" si="280"/>
        <v>2777.7777777777778</v>
      </c>
      <c r="O293" s="67">
        <f t="shared" ca="1" si="295"/>
        <v>0.45104267868212899</v>
      </c>
      <c r="P293" s="68">
        <f ca="1">OFFSET(Vectors!$L$6,A293+_Age1,MATCH(pdrPrepay1,lstPrepayCurve,0))*pdrPrepayStress1</f>
        <v>5.1430128318229462E-3</v>
      </c>
      <c r="Q293" s="62">
        <f t="shared" ca="1" si="296"/>
        <v>55910.36539870187</v>
      </c>
      <c r="R293" s="62">
        <f t="shared" ca="1" si="297"/>
        <v>111533.51970290717</v>
      </c>
      <c r="S293" s="69">
        <f t="shared" ca="1" si="298"/>
        <v>0.09</v>
      </c>
      <c r="T293" s="62">
        <f t="shared" ca="1" si="299"/>
        <v>82349.360977136283</v>
      </c>
      <c r="U293" s="62">
        <f t="shared" ca="1" si="281"/>
        <v>1111.1111111111111</v>
      </c>
      <c r="V293" s="62">
        <f t="shared" ca="1" si="275"/>
        <v>10812470.911849895</v>
      </c>
      <c r="W293" s="55"/>
      <c r="X293" s="62">
        <f t="shared" ca="1" si="300"/>
        <v>250904.35718985647</v>
      </c>
      <c r="Y293" s="55"/>
      <c r="Z293" s="118" t="b">
        <v>0</v>
      </c>
      <c r="AA293" s="120" t="b">
        <f t="shared" si="282"/>
        <v>0</v>
      </c>
      <c r="AB293" s="120" t="b">
        <f t="shared" si="283"/>
        <v>1</v>
      </c>
      <c r="AC293" s="120" t="b">
        <f t="shared" ca="1" si="284"/>
        <v>0</v>
      </c>
      <c r="AD293" s="121"/>
      <c r="AE293" s="129">
        <v>0</v>
      </c>
      <c r="AF293" s="69">
        <f ca="1">IF(Swap_Active="No",0,OFFSET(Vectors!$D$6,Vectors!A293,MATCH(Swap_In,lstInterestRates,0)))</f>
        <v>6.9369000000000056E-2</v>
      </c>
      <c r="AG293" s="62">
        <f t="shared" ca="1" si="301"/>
        <v>0</v>
      </c>
      <c r="AH293" s="69">
        <f ca="1">IF(Swap_Active="No",0,OFFSET(Vectors!$D$6,Vectors!A293,MATCH(Swap_Out,lstInterestRates,0)))</f>
        <v>0.04</v>
      </c>
      <c r="AI293" s="62">
        <f t="shared" ca="1" si="302"/>
        <v>0</v>
      </c>
      <c r="AJ293" s="62">
        <f t="shared" ca="1" si="303"/>
        <v>0</v>
      </c>
      <c r="AK293" s="62">
        <f t="shared" ca="1" si="304"/>
        <v>250904.35718985647</v>
      </c>
      <c r="AL293" s="121"/>
      <c r="AM293" s="123">
        <f t="shared" ca="1" si="285"/>
        <v>18304.487624548801</v>
      </c>
      <c r="AN293" s="124">
        <f t="shared" ca="1" si="305"/>
        <v>18304.487624548801</v>
      </c>
      <c r="AO293" s="125">
        <f t="shared" ca="1" si="306"/>
        <v>0</v>
      </c>
      <c r="AP293" s="123">
        <f t="shared" ca="1" si="307"/>
        <v>232599.86956530766</v>
      </c>
      <c r="AQ293" s="121"/>
      <c r="AR293" s="126">
        <f ca="1">IF(LiabIntType1="Fixed",LiabFxdRate1,OFFSET(Vectors!$D$6,Vectors!A293,MATCH(LiabLoanIndex1,lstInterestRates,0))+LiabMarg1)</f>
        <v>7.9369000000000051E-2</v>
      </c>
      <c r="AS293" s="122">
        <f t="shared" ca="1" si="308"/>
        <v>0</v>
      </c>
      <c r="AT293" s="124">
        <f t="shared" ca="1" si="309"/>
        <v>0</v>
      </c>
      <c r="AU293" s="123">
        <f t="shared" ca="1" si="310"/>
        <v>0</v>
      </c>
      <c r="AV293" s="123">
        <f t="shared" ca="1" si="286"/>
        <v>0</v>
      </c>
      <c r="AW293" s="123">
        <f t="shared" ca="1" si="311"/>
        <v>0</v>
      </c>
      <c r="AX293" s="124">
        <f t="shared" ca="1" si="312"/>
        <v>232599.86956530766</v>
      </c>
      <c r="AY293" s="121"/>
      <c r="AZ293" s="122">
        <f t="shared" ca="1" si="287"/>
        <v>0</v>
      </c>
      <c r="BA293" s="124">
        <f t="shared" ca="1" si="313"/>
        <v>0</v>
      </c>
      <c r="BB293" s="123">
        <f t="shared" ca="1" si="314"/>
        <v>0</v>
      </c>
      <c r="BC293" s="123">
        <f t="shared" ca="1" si="288"/>
        <v>0</v>
      </c>
      <c r="BD293" s="123">
        <f t="shared" ca="1" si="315"/>
        <v>0</v>
      </c>
      <c r="BE293" s="124">
        <f t="shared" ca="1" si="316"/>
        <v>232599.86956530766</v>
      </c>
      <c r="BF293" s="121"/>
      <c r="BG293" s="123">
        <f t="shared" si="289"/>
        <v>1000000</v>
      </c>
      <c r="BH293" s="123">
        <f t="shared" ca="1" si="317"/>
        <v>1000000</v>
      </c>
      <c r="BI293" s="123">
        <f t="shared" ca="1" si="318"/>
        <v>0</v>
      </c>
      <c r="BJ293" s="123">
        <f t="shared" ca="1" si="319"/>
        <v>0</v>
      </c>
      <c r="BK293" s="123">
        <f t="shared" ca="1" si="276"/>
        <v>1000000</v>
      </c>
      <c r="BL293" s="123">
        <f t="shared" ca="1" si="320"/>
        <v>232599.86956530766</v>
      </c>
      <c r="BM293" s="121"/>
      <c r="BN293" s="126">
        <f ca="1">IF(LiabIntType2="Fixed",LiabFxdRate2,OFFSET(Vectors!$D$6,Vectors!A293,MATCH(LiabLoanIndex2,lstInterestRates,0))+LiabMarg2)</f>
        <v>0.04</v>
      </c>
      <c r="BO293" s="122">
        <f t="shared" ca="1" si="321"/>
        <v>24328.588686887029</v>
      </c>
      <c r="BP293" s="124">
        <f t="shared" ca="1" si="322"/>
        <v>24328.588686887029</v>
      </c>
      <c r="BQ293" s="123">
        <f t="shared" ca="1" si="323"/>
        <v>0</v>
      </c>
      <c r="BR293" s="123">
        <f t="shared" ca="1" si="324"/>
        <v>208271.28087842063</v>
      </c>
      <c r="BS293" s="121"/>
      <c r="BT293" s="123">
        <f t="shared" ca="1" si="290"/>
        <v>17452.676827326275</v>
      </c>
      <c r="BU293" s="123">
        <f t="shared" ca="1" si="325"/>
        <v>17452.676827326275</v>
      </c>
      <c r="BV293" s="123">
        <f t="shared" ca="1" si="326"/>
        <v>0</v>
      </c>
      <c r="BW293" s="123">
        <f t="shared" ca="1" si="327"/>
        <v>190818.60405109436</v>
      </c>
      <c r="BX293" s="121"/>
      <c r="BY293" s="123">
        <f t="shared" si="328"/>
        <v>0</v>
      </c>
      <c r="BZ293" s="123">
        <f t="shared" ca="1" si="329"/>
        <v>190818.60405109436</v>
      </c>
      <c r="CA293" s="121"/>
      <c r="CB293" s="122">
        <f t="shared" ca="1" si="277"/>
        <v>0</v>
      </c>
      <c r="CC293" s="122">
        <f t="shared" ca="1" si="330"/>
        <v>0</v>
      </c>
      <c r="CD293" s="124">
        <f t="shared" ca="1" si="331"/>
        <v>0</v>
      </c>
      <c r="CE293" s="121"/>
      <c r="CF293" s="122">
        <f t="shared" ca="1" si="278"/>
        <v>7281123.9292387832</v>
      </c>
      <c r="CG293" s="124">
        <f t="shared" ca="1" si="332"/>
        <v>24328.588686887029</v>
      </c>
      <c r="CH293" s="123">
        <f t="shared" ca="1" si="333"/>
        <v>17452.676827326275</v>
      </c>
      <c r="CI293" s="121"/>
      <c r="CJ293" s="123">
        <f t="shared" ca="1" si="334"/>
        <v>250904.35718985647</v>
      </c>
      <c r="CK293" s="123">
        <f t="shared" ca="1" si="335"/>
        <v>250904.35718985647</v>
      </c>
      <c r="CL293" s="123">
        <f t="shared" ca="1" si="336"/>
        <v>0</v>
      </c>
      <c r="CM293" s="121"/>
      <c r="CN293" s="62">
        <f t="shared" ca="1" si="337"/>
        <v>170221.66287938683</v>
      </c>
      <c r="CO293" s="62" t="b">
        <f t="shared" si="338"/>
        <v>1</v>
      </c>
      <c r="CP293" s="126">
        <f t="shared" ca="1" si="339"/>
        <v>7.9722222222221896E-3</v>
      </c>
      <c r="CQ293" s="120"/>
      <c r="CR293" s="120"/>
      <c r="CS293" s="120"/>
      <c r="CT293" s="120"/>
      <c r="CU293" s="120"/>
      <c r="CV293" s="120"/>
      <c r="CW293" s="120"/>
      <c r="CX293" s="120"/>
      <c r="CY293" s="120"/>
      <c r="CZ293" s="120"/>
      <c r="DA293" s="120"/>
      <c r="DB293" s="120"/>
      <c r="DC293" s="120"/>
      <c r="DD293" s="120"/>
      <c r="DE293" s="116"/>
      <c r="DF293" s="116"/>
      <c r="DG293" s="116"/>
      <c r="DH293" s="116"/>
      <c r="DI293" s="116"/>
      <c r="DJ293" s="116"/>
      <c r="DK293" s="116"/>
      <c r="DL293" s="116"/>
      <c r="DM293" s="116"/>
      <c r="DN293" s="116"/>
    </row>
    <row r="294" spans="1:118" x14ac:dyDescent="0.2">
      <c r="A294" s="27">
        <v>288</v>
      </c>
      <c r="B294" s="29">
        <f t="shared" si="272"/>
        <v>47880</v>
      </c>
      <c r="C294" s="30">
        <f t="shared" si="273"/>
        <v>8.3333333333333329E-2</v>
      </c>
      <c r="D294" s="55"/>
      <c r="E294" s="62">
        <f t="shared" ca="1" si="291"/>
        <v>45104267.868212901</v>
      </c>
      <c r="F294" s="63">
        <f ca="1">IF(AssetIntType1="Fixed",AssetFxdRate1,IF(A294=1,OFFSET(Vectors!$D$6,A294,MATCH(AssetFltIndx1,lstInterestRates,0)),IF(MOD($A294,AssetRateReset1)=0,MAX(MIN(OFFSET(Vectors!$D$6,A294,MATCH(AssetFltIndx1,lstInterestRates,0)),(F293-AssetMarg1)+AssetPdCapFl1,AssetLifeCap1-AssetMarg1),(F293-AssetMarg1)-AssetPdCapFl1,AssetLifeFloor1-AssetMarg1),F293)))+AssetMarg1</f>
        <v>0.09</v>
      </c>
      <c r="G294" s="62">
        <f t="shared" ca="1" si="279"/>
        <v>804622.61694478267</v>
      </c>
      <c r="H294" s="62">
        <f t="shared" ca="1" si="292"/>
        <v>338282.00901159673</v>
      </c>
      <c r="I294" s="62">
        <f t="shared" ca="1" si="293"/>
        <v>466340.60793318594</v>
      </c>
      <c r="J294" s="62">
        <f t="shared" ca="1" si="274"/>
        <v>44637927.260279715</v>
      </c>
      <c r="K294" s="55"/>
      <c r="L294" s="62">
        <f t="shared" ca="1" si="294"/>
        <v>10812470.911849895</v>
      </c>
      <c r="M294" s="68">
        <f ca="1">IF(pdrLossTime1="",OFFSET(Vectors!$AE$6,A294+_Age1,MATCH(SDA_Loss,lstSDA,0)),OFFSET(Vectors!$X$6,A294+_Age1,MATCH(pdrLossTime1,lstDefaultCurve,0)))</f>
        <v>2.7777777777777779E-5</v>
      </c>
      <c r="N294" s="62">
        <f t="shared" ca="1" si="280"/>
        <v>2777.7777777777778</v>
      </c>
      <c r="O294" s="67">
        <f t="shared" ca="1" si="295"/>
        <v>0.44637927260279714</v>
      </c>
      <c r="P294" s="68">
        <f ca="1">OFFSET(Vectors!$L$6,A294+_Age1,MATCH(pdrPrepay1,lstPrepayCurve,0))*pdrPrepayStress1</f>
        <v>5.1430128318229462E-3</v>
      </c>
      <c r="Q294" s="62">
        <f t="shared" ca="1" si="296"/>
        <v>55033.729187208904</v>
      </c>
      <c r="R294" s="62">
        <f t="shared" ca="1" si="297"/>
        <v>111763.23452235939</v>
      </c>
      <c r="S294" s="69">
        <f t="shared" ca="1" si="298"/>
        <v>0.09</v>
      </c>
      <c r="T294" s="62">
        <f t="shared" ca="1" si="299"/>
        <v>81072.698505540873</v>
      </c>
      <c r="U294" s="62">
        <f t="shared" ca="1" si="281"/>
        <v>1111.1111111111111</v>
      </c>
      <c r="V294" s="62">
        <f t="shared" ca="1" si="275"/>
        <v>10642896.170362549</v>
      </c>
      <c r="W294" s="55"/>
      <c r="X294" s="62">
        <f t="shared" ca="1" si="300"/>
        <v>248980.77332622028</v>
      </c>
      <c r="Y294" s="55"/>
      <c r="Z294" s="118" t="b">
        <v>0</v>
      </c>
      <c r="AA294" s="120" t="b">
        <f t="shared" si="282"/>
        <v>0</v>
      </c>
      <c r="AB294" s="120" t="b">
        <f t="shared" si="283"/>
        <v>1</v>
      </c>
      <c r="AC294" s="120" t="b">
        <f t="shared" ca="1" si="284"/>
        <v>0</v>
      </c>
      <c r="AD294" s="121"/>
      <c r="AE294" s="129">
        <v>0</v>
      </c>
      <c r="AF294" s="69">
        <f ca="1">IF(Swap_Active="No",0,OFFSET(Vectors!$D$6,Vectors!A294,MATCH(Swap_In,lstInterestRates,0)))</f>
        <v>6.9369000000000056E-2</v>
      </c>
      <c r="AG294" s="62">
        <f t="shared" ca="1" si="301"/>
        <v>0</v>
      </c>
      <c r="AH294" s="69">
        <f ca="1">IF(Swap_Active="No",0,OFFSET(Vectors!$D$6,Vectors!A294,MATCH(Swap_Out,lstInterestRates,0)))</f>
        <v>0.04</v>
      </c>
      <c r="AI294" s="62">
        <f t="shared" ca="1" si="302"/>
        <v>0</v>
      </c>
      <c r="AJ294" s="62">
        <f t="shared" ca="1" si="303"/>
        <v>0</v>
      </c>
      <c r="AK294" s="62">
        <f t="shared" ca="1" si="304"/>
        <v>248980.77332622028</v>
      </c>
      <c r="AL294" s="121"/>
      <c r="AM294" s="123">
        <f t="shared" ca="1" si="285"/>
        <v>18020.784853083158</v>
      </c>
      <c r="AN294" s="124">
        <f t="shared" ca="1" si="305"/>
        <v>18020.784853083158</v>
      </c>
      <c r="AO294" s="125">
        <f t="shared" ca="1" si="306"/>
        <v>0</v>
      </c>
      <c r="AP294" s="123">
        <f t="shared" ca="1" si="307"/>
        <v>230959.98847313711</v>
      </c>
      <c r="AQ294" s="121"/>
      <c r="AR294" s="126">
        <f ca="1">IF(LiabIntType1="Fixed",LiabFxdRate1,OFFSET(Vectors!$D$6,Vectors!A294,MATCH(LiabLoanIndex1,lstInterestRates,0))+LiabMarg1)</f>
        <v>7.9369000000000051E-2</v>
      </c>
      <c r="AS294" s="122">
        <f t="shared" ca="1" si="308"/>
        <v>0</v>
      </c>
      <c r="AT294" s="124">
        <f t="shared" ca="1" si="309"/>
        <v>0</v>
      </c>
      <c r="AU294" s="123">
        <f t="shared" ca="1" si="310"/>
        <v>0</v>
      </c>
      <c r="AV294" s="123">
        <f t="shared" ca="1" si="286"/>
        <v>0</v>
      </c>
      <c r="AW294" s="123">
        <f t="shared" ca="1" si="311"/>
        <v>0</v>
      </c>
      <c r="AX294" s="124">
        <f t="shared" ca="1" si="312"/>
        <v>230959.98847313711</v>
      </c>
      <c r="AY294" s="121"/>
      <c r="AZ294" s="122">
        <f t="shared" ca="1" si="287"/>
        <v>0</v>
      </c>
      <c r="BA294" s="124">
        <f t="shared" ca="1" si="313"/>
        <v>0</v>
      </c>
      <c r="BB294" s="123">
        <f t="shared" ca="1" si="314"/>
        <v>0</v>
      </c>
      <c r="BC294" s="123">
        <f t="shared" ca="1" si="288"/>
        <v>0</v>
      </c>
      <c r="BD294" s="123">
        <f t="shared" ca="1" si="315"/>
        <v>0</v>
      </c>
      <c r="BE294" s="124">
        <f t="shared" ca="1" si="316"/>
        <v>230959.98847313711</v>
      </c>
      <c r="BF294" s="121"/>
      <c r="BG294" s="123">
        <f t="shared" si="289"/>
        <v>1000000</v>
      </c>
      <c r="BH294" s="123">
        <f t="shared" ca="1" si="317"/>
        <v>1000000</v>
      </c>
      <c r="BI294" s="123">
        <f t="shared" ca="1" si="318"/>
        <v>0</v>
      </c>
      <c r="BJ294" s="123">
        <f t="shared" ca="1" si="319"/>
        <v>0</v>
      </c>
      <c r="BK294" s="123">
        <f t="shared" ca="1" si="276"/>
        <v>1000000</v>
      </c>
      <c r="BL294" s="123">
        <f t="shared" ca="1" si="320"/>
        <v>230959.98847313711</v>
      </c>
      <c r="BM294" s="121"/>
      <c r="BN294" s="126">
        <f ca="1">IF(LiabIntType2="Fixed",LiabFxdRate2,OFFSET(Vectors!$D$6,Vectors!A294,MATCH(LiabLoanIndex2,lstInterestRates,0))+LiabMarg2)</f>
        <v>0.04</v>
      </c>
      <c r="BO294" s="122">
        <f t="shared" ca="1" si="321"/>
        <v>24270.41309746261</v>
      </c>
      <c r="BP294" s="124">
        <f t="shared" ca="1" si="322"/>
        <v>24270.41309746261</v>
      </c>
      <c r="BQ294" s="123">
        <f t="shared" ca="1" si="323"/>
        <v>0</v>
      </c>
      <c r="BR294" s="123">
        <f t="shared" ca="1" si="324"/>
        <v>206689.5753756745</v>
      </c>
      <c r="BS294" s="121"/>
      <c r="BT294" s="123">
        <f t="shared" ca="1" si="290"/>
        <v>17386.34854808739</v>
      </c>
      <c r="BU294" s="123">
        <f t="shared" ca="1" si="325"/>
        <v>17386.34854808739</v>
      </c>
      <c r="BV294" s="123">
        <f t="shared" ca="1" si="326"/>
        <v>0</v>
      </c>
      <c r="BW294" s="123">
        <f t="shared" ca="1" si="327"/>
        <v>189303.22682758712</v>
      </c>
      <c r="BX294" s="121"/>
      <c r="BY294" s="123">
        <f t="shared" si="328"/>
        <v>0</v>
      </c>
      <c r="BZ294" s="123">
        <f t="shared" ca="1" si="329"/>
        <v>189303.22682758712</v>
      </c>
      <c r="CA294" s="121"/>
      <c r="CB294" s="122">
        <f t="shared" ca="1" si="277"/>
        <v>0</v>
      </c>
      <c r="CC294" s="122">
        <f t="shared" ca="1" si="330"/>
        <v>0</v>
      </c>
      <c r="CD294" s="124">
        <f t="shared" ca="1" si="331"/>
        <v>0</v>
      </c>
      <c r="CE294" s="121"/>
      <c r="CF294" s="122">
        <f t="shared" ca="1" si="278"/>
        <v>7263737.5806906959</v>
      </c>
      <c r="CG294" s="124">
        <f t="shared" ca="1" si="332"/>
        <v>24270.41309746261</v>
      </c>
      <c r="CH294" s="123">
        <f t="shared" ca="1" si="333"/>
        <v>17386.34854808739</v>
      </c>
      <c r="CI294" s="121"/>
      <c r="CJ294" s="123">
        <f t="shared" ca="1" si="334"/>
        <v>248980.77332622028</v>
      </c>
      <c r="CK294" s="123">
        <f t="shared" ca="1" si="335"/>
        <v>248980.77332622028</v>
      </c>
      <c r="CL294" s="123">
        <f t="shared" ca="1" si="336"/>
        <v>0</v>
      </c>
      <c r="CM294" s="121"/>
      <c r="CN294" s="62">
        <f t="shared" ca="1" si="337"/>
        <v>169574.74148734607</v>
      </c>
      <c r="CO294" s="62" t="b">
        <f t="shared" si="338"/>
        <v>1</v>
      </c>
      <c r="CP294" s="126">
        <f t="shared" ca="1" si="339"/>
        <v>7.9999999999999672E-3</v>
      </c>
      <c r="CQ294" s="120"/>
      <c r="CR294" s="120"/>
      <c r="CS294" s="120"/>
      <c r="CT294" s="120"/>
      <c r="CU294" s="120"/>
      <c r="CV294" s="120"/>
      <c r="CW294" s="120"/>
      <c r="CX294" s="120"/>
      <c r="CY294" s="120"/>
      <c r="CZ294" s="120"/>
      <c r="DA294" s="120"/>
      <c r="DB294" s="120"/>
      <c r="DC294" s="120"/>
      <c r="DD294" s="120"/>
      <c r="DE294" s="116"/>
      <c r="DF294" s="116"/>
      <c r="DG294" s="116"/>
      <c r="DH294" s="116"/>
      <c r="DI294" s="116"/>
      <c r="DJ294" s="116"/>
      <c r="DK294" s="116"/>
      <c r="DL294" s="116"/>
      <c r="DM294" s="116"/>
      <c r="DN294" s="116"/>
    </row>
    <row r="295" spans="1:118" x14ac:dyDescent="0.2">
      <c r="A295" s="27">
        <v>289</v>
      </c>
      <c r="B295" s="29">
        <f t="shared" si="272"/>
        <v>47908</v>
      </c>
      <c r="C295" s="30">
        <f t="shared" si="273"/>
        <v>8.3333333333333329E-2</v>
      </c>
      <c r="D295" s="55"/>
      <c r="E295" s="62">
        <f t="shared" ca="1" si="291"/>
        <v>44637927.260279715</v>
      </c>
      <c r="F295" s="63">
        <f ca="1">IF(AssetIntType1="Fixed",AssetFxdRate1,IF(A295=1,OFFSET(Vectors!$D$6,A295,MATCH(AssetFltIndx1,lstInterestRates,0)),IF(MOD($A295,AssetRateReset1)=0,MAX(MIN(OFFSET(Vectors!$D$6,A295,MATCH(AssetFltIndx1,lstInterestRates,0)),(F294-AssetMarg1)+AssetPdCapFl1,AssetLifeCap1-AssetMarg1),(F294-AssetMarg1)-AssetPdCapFl1,AssetLifeFloor1-AssetMarg1),F294)))+AssetMarg1</f>
        <v>0.09</v>
      </c>
      <c r="G295" s="62">
        <f t="shared" ca="1" si="279"/>
        <v>804622.61694478267</v>
      </c>
      <c r="H295" s="62">
        <f t="shared" ca="1" si="292"/>
        <v>334784.45445209782</v>
      </c>
      <c r="I295" s="62">
        <f t="shared" ca="1" si="293"/>
        <v>469838.16249268485</v>
      </c>
      <c r="J295" s="62">
        <f t="shared" ca="1" si="274"/>
        <v>44168089.09778703</v>
      </c>
      <c r="K295" s="55"/>
      <c r="L295" s="62">
        <f t="shared" ca="1" si="294"/>
        <v>10642896.170362549</v>
      </c>
      <c r="M295" s="68">
        <f ca="1">IF(pdrLossTime1="",OFFSET(Vectors!$AE$6,A295+_Age1,MATCH(SDA_Loss,lstSDA,0)),OFFSET(Vectors!$X$6,A295+_Age1,MATCH(pdrLossTime1,lstDefaultCurve,0)))</f>
        <v>2.7777777777777779E-5</v>
      </c>
      <c r="N295" s="62">
        <f t="shared" ca="1" si="280"/>
        <v>2777.7777777777778</v>
      </c>
      <c r="O295" s="67">
        <f t="shared" ca="1" si="295"/>
        <v>0.44168089097787028</v>
      </c>
      <c r="P295" s="68">
        <f ca="1">OFFSET(Vectors!$L$6,A295+_Age1,MATCH(pdrPrepay1,lstPrepayCurve,0))*pdrPrepayStress1</f>
        <v>5.1430128318229462E-3</v>
      </c>
      <c r="Q295" s="62">
        <f t="shared" ca="1" si="296"/>
        <v>54160.419963900466</v>
      </c>
      <c r="R295" s="62">
        <f t="shared" ca="1" si="297"/>
        <v>111992.96161596297</v>
      </c>
      <c r="S295" s="69">
        <f t="shared" ca="1" si="298"/>
        <v>0.09</v>
      </c>
      <c r="T295" s="62">
        <f t="shared" ca="1" si="299"/>
        <v>79800.887944385773</v>
      </c>
      <c r="U295" s="62">
        <f t="shared" ca="1" si="281"/>
        <v>1111.1111111111111</v>
      </c>
      <c r="V295" s="62">
        <f t="shared" ca="1" si="275"/>
        <v>10473965.011004908</v>
      </c>
      <c r="W295" s="55"/>
      <c r="X295" s="62">
        <f t="shared" ca="1" si="300"/>
        <v>247065.38063536031</v>
      </c>
      <c r="Y295" s="55"/>
      <c r="Z295" s="118" t="b">
        <v>0</v>
      </c>
      <c r="AA295" s="120" t="b">
        <f t="shared" si="282"/>
        <v>0</v>
      </c>
      <c r="AB295" s="120" t="b">
        <f t="shared" si="283"/>
        <v>1</v>
      </c>
      <c r="AC295" s="120" t="b">
        <f t="shared" ca="1" si="284"/>
        <v>0</v>
      </c>
      <c r="AD295" s="121"/>
      <c r="AE295" s="129">
        <v>0</v>
      </c>
      <c r="AF295" s="69">
        <f ca="1">IF(Swap_Active="No",0,OFFSET(Vectors!$D$6,Vectors!A295,MATCH(Swap_In,lstInterestRates,0)))</f>
        <v>6.9369000000000056E-2</v>
      </c>
      <c r="AG295" s="62">
        <f t="shared" ca="1" si="301"/>
        <v>0</v>
      </c>
      <c r="AH295" s="69">
        <f ca="1">IF(Swap_Active="No",0,OFFSET(Vectors!$D$6,Vectors!A295,MATCH(Swap_Out,lstInterestRates,0)))</f>
        <v>0.04</v>
      </c>
      <c r="AI295" s="62">
        <f t="shared" ca="1" si="302"/>
        <v>0</v>
      </c>
      <c r="AJ295" s="62">
        <f t="shared" ca="1" si="303"/>
        <v>0</v>
      </c>
      <c r="AK295" s="62">
        <f t="shared" ca="1" si="304"/>
        <v>247065.38063536031</v>
      </c>
      <c r="AL295" s="121"/>
      <c r="AM295" s="123">
        <f t="shared" ca="1" si="285"/>
        <v>17738.160283937581</v>
      </c>
      <c r="AN295" s="124">
        <f t="shared" ca="1" si="305"/>
        <v>17738.160283937581</v>
      </c>
      <c r="AO295" s="125">
        <f t="shared" ca="1" si="306"/>
        <v>0</v>
      </c>
      <c r="AP295" s="123">
        <f t="shared" ca="1" si="307"/>
        <v>229327.22035142273</v>
      </c>
      <c r="AQ295" s="121"/>
      <c r="AR295" s="126">
        <f ca="1">IF(LiabIntType1="Fixed",LiabFxdRate1,OFFSET(Vectors!$D$6,Vectors!A295,MATCH(LiabLoanIndex1,lstInterestRates,0))+LiabMarg1)</f>
        <v>7.9369000000000051E-2</v>
      </c>
      <c r="AS295" s="122">
        <f t="shared" ca="1" si="308"/>
        <v>0</v>
      </c>
      <c r="AT295" s="124">
        <f t="shared" ca="1" si="309"/>
        <v>0</v>
      </c>
      <c r="AU295" s="123">
        <f t="shared" ca="1" si="310"/>
        <v>0</v>
      </c>
      <c r="AV295" s="123">
        <f t="shared" ca="1" si="286"/>
        <v>0</v>
      </c>
      <c r="AW295" s="123">
        <f t="shared" ca="1" si="311"/>
        <v>0</v>
      </c>
      <c r="AX295" s="124">
        <f t="shared" ca="1" si="312"/>
        <v>229327.22035142273</v>
      </c>
      <c r="AY295" s="121"/>
      <c r="AZ295" s="122">
        <f t="shared" ca="1" si="287"/>
        <v>0</v>
      </c>
      <c r="BA295" s="124">
        <f t="shared" ca="1" si="313"/>
        <v>0</v>
      </c>
      <c r="BB295" s="123">
        <f t="shared" ca="1" si="314"/>
        <v>0</v>
      </c>
      <c r="BC295" s="123">
        <f t="shared" ca="1" si="288"/>
        <v>0</v>
      </c>
      <c r="BD295" s="123">
        <f t="shared" ca="1" si="315"/>
        <v>0</v>
      </c>
      <c r="BE295" s="124">
        <f t="shared" ca="1" si="316"/>
        <v>229327.22035142273</v>
      </c>
      <c r="BF295" s="121"/>
      <c r="BG295" s="123">
        <f t="shared" si="289"/>
        <v>1000000</v>
      </c>
      <c r="BH295" s="123">
        <f t="shared" ca="1" si="317"/>
        <v>1000000</v>
      </c>
      <c r="BI295" s="123">
        <f t="shared" ca="1" si="318"/>
        <v>0</v>
      </c>
      <c r="BJ295" s="123">
        <f t="shared" ca="1" si="319"/>
        <v>0</v>
      </c>
      <c r="BK295" s="123">
        <f t="shared" ca="1" si="276"/>
        <v>1000000</v>
      </c>
      <c r="BL295" s="123">
        <f t="shared" ca="1" si="320"/>
        <v>229327.22035142273</v>
      </c>
      <c r="BM295" s="121"/>
      <c r="BN295" s="126">
        <f ca="1">IF(LiabIntType2="Fixed",LiabFxdRate2,OFFSET(Vectors!$D$6,Vectors!A295,MATCH(LiabLoanIndex2,lstInterestRates,0))+LiabMarg2)</f>
        <v>0.04</v>
      </c>
      <c r="BO295" s="122">
        <f t="shared" ca="1" si="321"/>
        <v>24212.458602302318</v>
      </c>
      <c r="BP295" s="124">
        <f t="shared" ca="1" si="322"/>
        <v>24212.458602302318</v>
      </c>
      <c r="BQ295" s="123">
        <f t="shared" ca="1" si="323"/>
        <v>0</v>
      </c>
      <c r="BR295" s="123">
        <f t="shared" ca="1" si="324"/>
        <v>205114.7617491204</v>
      </c>
      <c r="BS295" s="121"/>
      <c r="BT295" s="123">
        <f t="shared" ca="1" si="290"/>
        <v>17320.362640467982</v>
      </c>
      <c r="BU295" s="123">
        <f t="shared" ca="1" si="325"/>
        <v>17320.362640467982</v>
      </c>
      <c r="BV295" s="123">
        <f t="shared" ca="1" si="326"/>
        <v>0</v>
      </c>
      <c r="BW295" s="123">
        <f t="shared" ca="1" si="327"/>
        <v>187794.39910865243</v>
      </c>
      <c r="BX295" s="121"/>
      <c r="BY295" s="123">
        <f t="shared" si="328"/>
        <v>0</v>
      </c>
      <c r="BZ295" s="123">
        <f t="shared" ca="1" si="329"/>
        <v>187794.39910865243</v>
      </c>
      <c r="CA295" s="121"/>
      <c r="CB295" s="122">
        <f t="shared" ca="1" si="277"/>
        <v>0</v>
      </c>
      <c r="CC295" s="122">
        <f t="shared" ca="1" si="330"/>
        <v>0</v>
      </c>
      <c r="CD295" s="124">
        <f t="shared" ca="1" si="331"/>
        <v>0</v>
      </c>
      <c r="CE295" s="121"/>
      <c r="CF295" s="122">
        <f t="shared" ca="1" si="278"/>
        <v>7246417.2180502275</v>
      </c>
      <c r="CG295" s="124">
        <f t="shared" ca="1" si="332"/>
        <v>24212.458602302318</v>
      </c>
      <c r="CH295" s="123">
        <f t="shared" ca="1" si="333"/>
        <v>17320.362640467982</v>
      </c>
      <c r="CI295" s="121"/>
      <c r="CJ295" s="123">
        <f t="shared" ca="1" si="334"/>
        <v>247065.38063536031</v>
      </c>
      <c r="CK295" s="123">
        <f t="shared" ca="1" si="335"/>
        <v>247065.38063536031</v>
      </c>
      <c r="CL295" s="123">
        <f t="shared" ca="1" si="336"/>
        <v>0</v>
      </c>
      <c r="CM295" s="121"/>
      <c r="CN295" s="62">
        <f t="shared" ca="1" si="337"/>
        <v>168931.15935764121</v>
      </c>
      <c r="CO295" s="62" t="b">
        <f t="shared" si="338"/>
        <v>1</v>
      </c>
      <c r="CP295" s="126">
        <f t="shared" ca="1" si="339"/>
        <v>8.0277777777777448E-3</v>
      </c>
      <c r="CQ295" s="120"/>
      <c r="CR295" s="120"/>
      <c r="CS295" s="120"/>
      <c r="CT295" s="120"/>
      <c r="CU295" s="120"/>
      <c r="CV295" s="120"/>
      <c r="CW295" s="120"/>
      <c r="CX295" s="120"/>
      <c r="CY295" s="120"/>
      <c r="CZ295" s="120"/>
      <c r="DA295" s="120"/>
      <c r="DB295" s="120"/>
      <c r="DC295" s="120"/>
      <c r="DD295" s="120"/>
      <c r="DE295" s="116"/>
      <c r="DF295" s="116"/>
      <c r="DG295" s="116"/>
      <c r="DH295" s="116"/>
      <c r="DI295" s="116"/>
      <c r="DJ295" s="116"/>
      <c r="DK295" s="116"/>
      <c r="DL295" s="116"/>
      <c r="DM295" s="116"/>
      <c r="DN295" s="116"/>
    </row>
    <row r="296" spans="1:118" x14ac:dyDescent="0.2">
      <c r="A296" s="27">
        <v>290</v>
      </c>
      <c r="B296" s="29">
        <f t="shared" si="272"/>
        <v>47939</v>
      </c>
      <c r="C296" s="30">
        <f t="shared" si="273"/>
        <v>8.3333333333333329E-2</v>
      </c>
      <c r="D296" s="55"/>
      <c r="E296" s="62">
        <f t="shared" ca="1" si="291"/>
        <v>44168089.09778703</v>
      </c>
      <c r="F296" s="63">
        <f ca="1">IF(AssetIntType1="Fixed",AssetFxdRate1,IF(A296=1,OFFSET(Vectors!$D$6,A296,MATCH(AssetFltIndx1,lstInterestRates,0)),IF(MOD($A296,AssetRateReset1)=0,MAX(MIN(OFFSET(Vectors!$D$6,A296,MATCH(AssetFltIndx1,lstInterestRates,0)),(F295-AssetMarg1)+AssetPdCapFl1,AssetLifeCap1-AssetMarg1),(F295-AssetMarg1)-AssetPdCapFl1,AssetLifeFloor1-AssetMarg1),F295)))+AssetMarg1</f>
        <v>0.09</v>
      </c>
      <c r="G296" s="62">
        <f t="shared" ca="1" si="279"/>
        <v>804622.61694478267</v>
      </c>
      <c r="H296" s="62">
        <f t="shared" ca="1" si="292"/>
        <v>331260.66823340271</v>
      </c>
      <c r="I296" s="62">
        <f t="shared" ca="1" si="293"/>
        <v>473361.94871137996</v>
      </c>
      <c r="J296" s="62">
        <f t="shared" ca="1" si="274"/>
        <v>43694727.14907565</v>
      </c>
      <c r="K296" s="55"/>
      <c r="L296" s="62">
        <f t="shared" ca="1" si="294"/>
        <v>10473965.011004908</v>
      </c>
      <c r="M296" s="68">
        <f ca="1">IF(pdrLossTime1="",OFFSET(Vectors!$AE$6,A296+_Age1,MATCH(SDA_Loss,lstSDA,0)),OFFSET(Vectors!$X$6,A296+_Age1,MATCH(pdrLossTime1,lstDefaultCurve,0)))</f>
        <v>2.7777777777777779E-5</v>
      </c>
      <c r="N296" s="62">
        <f t="shared" ca="1" si="280"/>
        <v>2777.7777777777778</v>
      </c>
      <c r="O296" s="67">
        <f t="shared" ca="1" si="295"/>
        <v>0.43694727149075652</v>
      </c>
      <c r="P296" s="68">
        <f ca="1">OFFSET(Vectors!$L$6,A296+_Age1,MATCH(pdrPrepay1,lstPrepayCurve,0))*pdrPrepayStress1</f>
        <v>5.1430128318229462E-3</v>
      </c>
      <c r="Q296" s="62">
        <f t="shared" ca="1" si="296"/>
        <v>53290.420628852909</v>
      </c>
      <c r="R296" s="62">
        <f t="shared" ca="1" si="297"/>
        <v>112222.68600002534</v>
      </c>
      <c r="S296" s="69">
        <f t="shared" ca="1" si="298"/>
        <v>0.09</v>
      </c>
      <c r="T296" s="62">
        <f t="shared" ca="1" si="299"/>
        <v>78533.904249203479</v>
      </c>
      <c r="U296" s="62">
        <f t="shared" ca="1" si="281"/>
        <v>1111.1111111111111</v>
      </c>
      <c r="V296" s="62">
        <f t="shared" ca="1" si="275"/>
        <v>10305674.126598252</v>
      </c>
      <c r="W296" s="55"/>
      <c r="X296" s="62">
        <f t="shared" ca="1" si="300"/>
        <v>245158.12198919285</v>
      </c>
      <c r="Y296" s="55"/>
      <c r="Z296" s="118" t="b">
        <v>0</v>
      </c>
      <c r="AA296" s="120" t="b">
        <f t="shared" si="282"/>
        <v>0</v>
      </c>
      <c r="AB296" s="120" t="b">
        <f t="shared" si="283"/>
        <v>1</v>
      </c>
      <c r="AC296" s="120" t="b">
        <f t="shared" ca="1" si="284"/>
        <v>0</v>
      </c>
      <c r="AD296" s="121"/>
      <c r="AE296" s="129">
        <v>0</v>
      </c>
      <c r="AF296" s="69">
        <f ca="1">IF(Swap_Active="No",0,OFFSET(Vectors!$D$6,Vectors!A296,MATCH(Swap_In,lstInterestRates,0)))</f>
        <v>6.9369000000000056E-2</v>
      </c>
      <c r="AG296" s="62">
        <f t="shared" ca="1" si="301"/>
        <v>0</v>
      </c>
      <c r="AH296" s="69">
        <f ca="1">IF(Swap_Active="No",0,OFFSET(Vectors!$D$6,Vectors!A296,MATCH(Swap_Out,lstInterestRates,0)))</f>
        <v>0.04</v>
      </c>
      <c r="AI296" s="62">
        <f t="shared" ca="1" si="302"/>
        <v>0</v>
      </c>
      <c r="AJ296" s="62">
        <f t="shared" ca="1" si="303"/>
        <v>0</v>
      </c>
      <c r="AK296" s="62">
        <f t="shared" ca="1" si="304"/>
        <v>245158.12198919285</v>
      </c>
      <c r="AL296" s="121"/>
      <c r="AM296" s="123">
        <f t="shared" ca="1" si="285"/>
        <v>17456.608351674844</v>
      </c>
      <c r="AN296" s="124">
        <f t="shared" ca="1" si="305"/>
        <v>17456.608351674844</v>
      </c>
      <c r="AO296" s="125">
        <f t="shared" ca="1" si="306"/>
        <v>0</v>
      </c>
      <c r="AP296" s="123">
        <f t="shared" ca="1" si="307"/>
        <v>227701.51363751802</v>
      </c>
      <c r="AQ296" s="121"/>
      <c r="AR296" s="126">
        <f ca="1">IF(LiabIntType1="Fixed",LiabFxdRate1,OFFSET(Vectors!$D$6,Vectors!A296,MATCH(LiabLoanIndex1,lstInterestRates,0))+LiabMarg1)</f>
        <v>7.9369000000000051E-2</v>
      </c>
      <c r="AS296" s="122">
        <f t="shared" ca="1" si="308"/>
        <v>0</v>
      </c>
      <c r="AT296" s="124">
        <f t="shared" ca="1" si="309"/>
        <v>0</v>
      </c>
      <c r="AU296" s="123">
        <f t="shared" ca="1" si="310"/>
        <v>0</v>
      </c>
      <c r="AV296" s="123">
        <f t="shared" ca="1" si="286"/>
        <v>0</v>
      </c>
      <c r="AW296" s="123">
        <f t="shared" ca="1" si="311"/>
        <v>0</v>
      </c>
      <c r="AX296" s="124">
        <f t="shared" ca="1" si="312"/>
        <v>227701.51363751802</v>
      </c>
      <c r="AY296" s="121"/>
      <c r="AZ296" s="122">
        <f t="shared" ca="1" si="287"/>
        <v>0</v>
      </c>
      <c r="BA296" s="124">
        <f t="shared" ca="1" si="313"/>
        <v>0</v>
      </c>
      <c r="BB296" s="123">
        <f t="shared" ca="1" si="314"/>
        <v>0</v>
      </c>
      <c r="BC296" s="123">
        <f t="shared" ca="1" si="288"/>
        <v>0</v>
      </c>
      <c r="BD296" s="123">
        <f t="shared" ca="1" si="315"/>
        <v>0</v>
      </c>
      <c r="BE296" s="124">
        <f t="shared" ca="1" si="316"/>
        <v>227701.51363751802</v>
      </c>
      <c r="BF296" s="121"/>
      <c r="BG296" s="123">
        <f t="shared" si="289"/>
        <v>1000000</v>
      </c>
      <c r="BH296" s="123">
        <f t="shared" ca="1" si="317"/>
        <v>1000000</v>
      </c>
      <c r="BI296" s="123">
        <f t="shared" ca="1" si="318"/>
        <v>0</v>
      </c>
      <c r="BJ296" s="123">
        <f t="shared" ca="1" si="319"/>
        <v>0</v>
      </c>
      <c r="BK296" s="123">
        <f t="shared" ca="1" si="276"/>
        <v>1000000</v>
      </c>
      <c r="BL296" s="123">
        <f t="shared" ca="1" si="320"/>
        <v>227701.51363751802</v>
      </c>
      <c r="BM296" s="121"/>
      <c r="BN296" s="126">
        <f ca="1">IF(LiabIntType2="Fixed",LiabFxdRate2,OFFSET(Vectors!$D$6,Vectors!A296,MATCH(LiabLoanIndex2,lstInterestRates,0))+LiabMarg2)</f>
        <v>0.04</v>
      </c>
      <c r="BO296" s="122">
        <f t="shared" ca="1" si="321"/>
        <v>24154.724060167424</v>
      </c>
      <c r="BP296" s="124">
        <f t="shared" ca="1" si="322"/>
        <v>24154.724060167424</v>
      </c>
      <c r="BQ296" s="123">
        <f t="shared" ca="1" si="323"/>
        <v>0</v>
      </c>
      <c r="BR296" s="123">
        <f t="shared" ca="1" si="324"/>
        <v>203546.7895773506</v>
      </c>
      <c r="BS296" s="121"/>
      <c r="BT296" s="123">
        <f t="shared" ca="1" si="290"/>
        <v>17254.715814963201</v>
      </c>
      <c r="BU296" s="123">
        <f t="shared" ca="1" si="325"/>
        <v>17254.715814963201</v>
      </c>
      <c r="BV296" s="123">
        <f t="shared" ca="1" si="326"/>
        <v>0</v>
      </c>
      <c r="BW296" s="123">
        <f t="shared" ca="1" si="327"/>
        <v>186292.07376238739</v>
      </c>
      <c r="BX296" s="121"/>
      <c r="BY296" s="123">
        <f t="shared" si="328"/>
        <v>0</v>
      </c>
      <c r="BZ296" s="123">
        <f t="shared" ca="1" si="329"/>
        <v>186292.07376238739</v>
      </c>
      <c r="CA296" s="121"/>
      <c r="CB296" s="122">
        <f t="shared" ca="1" si="277"/>
        <v>0</v>
      </c>
      <c r="CC296" s="122">
        <f t="shared" ca="1" si="330"/>
        <v>0</v>
      </c>
      <c r="CD296" s="124">
        <f t="shared" ca="1" si="331"/>
        <v>0</v>
      </c>
      <c r="CE296" s="121"/>
      <c r="CF296" s="122">
        <f t="shared" ca="1" si="278"/>
        <v>7229162.5022352645</v>
      </c>
      <c r="CG296" s="124">
        <f t="shared" ca="1" si="332"/>
        <v>24154.724060167424</v>
      </c>
      <c r="CH296" s="123">
        <f t="shared" ca="1" si="333"/>
        <v>17254.715814963201</v>
      </c>
      <c r="CI296" s="121"/>
      <c r="CJ296" s="123">
        <f t="shared" ca="1" si="334"/>
        <v>245158.12198919285</v>
      </c>
      <c r="CK296" s="123">
        <f t="shared" ca="1" si="335"/>
        <v>245158.12198919285</v>
      </c>
      <c r="CL296" s="123">
        <f t="shared" ca="1" si="336"/>
        <v>0</v>
      </c>
      <c r="CM296" s="121"/>
      <c r="CN296" s="62">
        <f t="shared" ca="1" si="337"/>
        <v>168290.88440665603</v>
      </c>
      <c r="CO296" s="62" t="b">
        <f t="shared" si="338"/>
        <v>1</v>
      </c>
      <c r="CP296" s="126">
        <f t="shared" ca="1" si="339"/>
        <v>8.0555555555555224E-3</v>
      </c>
      <c r="CQ296" s="120"/>
      <c r="CR296" s="120"/>
      <c r="CS296" s="120"/>
      <c r="CT296" s="120"/>
      <c r="CU296" s="120"/>
      <c r="CV296" s="120"/>
      <c r="CW296" s="120"/>
      <c r="CX296" s="120"/>
      <c r="CY296" s="120"/>
      <c r="CZ296" s="120"/>
      <c r="DA296" s="120"/>
      <c r="DB296" s="120"/>
      <c r="DC296" s="120"/>
      <c r="DD296" s="120"/>
      <c r="DE296" s="116"/>
      <c r="DF296" s="116"/>
      <c r="DG296" s="116"/>
      <c r="DH296" s="116"/>
      <c r="DI296" s="116"/>
      <c r="DJ296" s="116"/>
      <c r="DK296" s="116"/>
      <c r="DL296" s="116"/>
      <c r="DM296" s="116"/>
      <c r="DN296" s="116"/>
    </row>
    <row r="297" spans="1:118" x14ac:dyDescent="0.2">
      <c r="A297" s="27">
        <v>291</v>
      </c>
      <c r="B297" s="29">
        <f t="shared" si="272"/>
        <v>47969</v>
      </c>
      <c r="C297" s="30">
        <f t="shared" si="273"/>
        <v>8.3333333333333329E-2</v>
      </c>
      <c r="D297" s="55"/>
      <c r="E297" s="62">
        <f t="shared" ca="1" si="291"/>
        <v>43694727.14907565</v>
      </c>
      <c r="F297" s="63">
        <f ca="1">IF(AssetIntType1="Fixed",AssetFxdRate1,IF(A297=1,OFFSET(Vectors!$D$6,A297,MATCH(AssetFltIndx1,lstInterestRates,0)),IF(MOD($A297,AssetRateReset1)=0,MAX(MIN(OFFSET(Vectors!$D$6,A297,MATCH(AssetFltIndx1,lstInterestRates,0)),(F296-AssetMarg1)+AssetPdCapFl1,AssetLifeCap1-AssetMarg1),(F296-AssetMarg1)-AssetPdCapFl1,AssetLifeFloor1-AssetMarg1),F296)))+AssetMarg1</f>
        <v>0.09</v>
      </c>
      <c r="G297" s="62">
        <f t="shared" ca="1" si="279"/>
        <v>804622.61694478267</v>
      </c>
      <c r="H297" s="62">
        <f t="shared" ca="1" si="292"/>
        <v>327710.45361806737</v>
      </c>
      <c r="I297" s="62">
        <f t="shared" ca="1" si="293"/>
        <v>476912.16332671529</v>
      </c>
      <c r="J297" s="62">
        <f t="shared" ca="1" si="274"/>
        <v>43217814.985748932</v>
      </c>
      <c r="K297" s="55"/>
      <c r="L297" s="62">
        <f t="shared" ca="1" si="294"/>
        <v>10305674.126598252</v>
      </c>
      <c r="M297" s="68">
        <f ca="1">IF(pdrLossTime1="",OFFSET(Vectors!$AE$6,A297+_Age1,MATCH(SDA_Loss,lstSDA,0)),OFFSET(Vectors!$X$6,A297+_Age1,MATCH(pdrLossTime1,lstDefaultCurve,0)))</f>
        <v>2.7777777777777779E-5</v>
      </c>
      <c r="N297" s="62">
        <f t="shared" ca="1" si="280"/>
        <v>2777.7777777777778</v>
      </c>
      <c r="O297" s="67">
        <f t="shared" ca="1" si="295"/>
        <v>0.43217814985748931</v>
      </c>
      <c r="P297" s="68">
        <f ca="1">OFFSET(Vectors!$L$6,A297+_Age1,MATCH(pdrPrepay1,lstPrepayCurve,0))*pdrPrepayStress1</f>
        <v>5.1430128318229462E-3</v>
      </c>
      <c r="Q297" s="62">
        <f t="shared" ca="1" si="296"/>
        <v>52423.714250459736</v>
      </c>
      <c r="R297" s="62">
        <f t="shared" ca="1" si="297"/>
        <v>112452.39201249651</v>
      </c>
      <c r="S297" s="69">
        <f t="shared" ca="1" si="298"/>
        <v>0.09</v>
      </c>
      <c r="T297" s="62">
        <f t="shared" ca="1" si="299"/>
        <v>77271.722616153551</v>
      </c>
      <c r="U297" s="62">
        <f t="shared" ca="1" si="281"/>
        <v>1111.1111111111111</v>
      </c>
      <c r="V297" s="62">
        <f t="shared" ca="1" si="275"/>
        <v>10138020.242557516</v>
      </c>
      <c r="W297" s="55"/>
      <c r="X297" s="62">
        <f t="shared" ca="1" si="300"/>
        <v>243258.93999022094</v>
      </c>
      <c r="Y297" s="55"/>
      <c r="Z297" s="118" t="b">
        <v>0</v>
      </c>
      <c r="AA297" s="120" t="b">
        <f t="shared" si="282"/>
        <v>0</v>
      </c>
      <c r="AB297" s="120" t="b">
        <f t="shared" si="283"/>
        <v>1</v>
      </c>
      <c r="AC297" s="120" t="b">
        <f t="shared" ca="1" si="284"/>
        <v>0</v>
      </c>
      <c r="AD297" s="121"/>
      <c r="AE297" s="129">
        <v>0</v>
      </c>
      <c r="AF297" s="69">
        <f ca="1">IF(Swap_Active="No",0,OFFSET(Vectors!$D$6,Vectors!A297,MATCH(Swap_In,lstInterestRates,0)))</f>
        <v>6.9369000000000056E-2</v>
      </c>
      <c r="AG297" s="62">
        <f t="shared" ca="1" si="301"/>
        <v>0</v>
      </c>
      <c r="AH297" s="69">
        <f ca="1">IF(Swap_Active="No",0,OFFSET(Vectors!$D$6,Vectors!A297,MATCH(Swap_Out,lstInterestRates,0)))</f>
        <v>0.04</v>
      </c>
      <c r="AI297" s="62">
        <f t="shared" ca="1" si="302"/>
        <v>0</v>
      </c>
      <c r="AJ297" s="62">
        <f t="shared" ca="1" si="303"/>
        <v>0</v>
      </c>
      <c r="AK297" s="62">
        <f t="shared" ca="1" si="304"/>
        <v>243258.93999022094</v>
      </c>
      <c r="AL297" s="121"/>
      <c r="AM297" s="123">
        <f t="shared" ca="1" si="285"/>
        <v>17176.123544330418</v>
      </c>
      <c r="AN297" s="124">
        <f t="shared" ca="1" si="305"/>
        <v>17176.123544330418</v>
      </c>
      <c r="AO297" s="125">
        <f t="shared" ca="1" si="306"/>
        <v>0</v>
      </c>
      <c r="AP297" s="123">
        <f t="shared" ca="1" si="307"/>
        <v>226082.81644589052</v>
      </c>
      <c r="AQ297" s="121"/>
      <c r="AR297" s="126">
        <f ca="1">IF(LiabIntType1="Fixed",LiabFxdRate1,OFFSET(Vectors!$D$6,Vectors!A297,MATCH(LiabLoanIndex1,lstInterestRates,0))+LiabMarg1)</f>
        <v>7.9369000000000051E-2</v>
      </c>
      <c r="AS297" s="122">
        <f t="shared" ca="1" si="308"/>
        <v>0</v>
      </c>
      <c r="AT297" s="124">
        <f t="shared" ca="1" si="309"/>
        <v>0</v>
      </c>
      <c r="AU297" s="123">
        <f t="shared" ca="1" si="310"/>
        <v>0</v>
      </c>
      <c r="AV297" s="123">
        <f t="shared" ca="1" si="286"/>
        <v>0</v>
      </c>
      <c r="AW297" s="123">
        <f t="shared" ca="1" si="311"/>
        <v>0</v>
      </c>
      <c r="AX297" s="124">
        <f t="shared" ca="1" si="312"/>
        <v>226082.81644589052</v>
      </c>
      <c r="AY297" s="121"/>
      <c r="AZ297" s="122">
        <f t="shared" ca="1" si="287"/>
        <v>0</v>
      </c>
      <c r="BA297" s="124">
        <f t="shared" ca="1" si="313"/>
        <v>0</v>
      </c>
      <c r="BB297" s="123">
        <f t="shared" ca="1" si="314"/>
        <v>0</v>
      </c>
      <c r="BC297" s="123">
        <f t="shared" ca="1" si="288"/>
        <v>0</v>
      </c>
      <c r="BD297" s="123">
        <f t="shared" ca="1" si="315"/>
        <v>0</v>
      </c>
      <c r="BE297" s="124">
        <f t="shared" ca="1" si="316"/>
        <v>226082.81644589052</v>
      </c>
      <c r="BF297" s="121"/>
      <c r="BG297" s="123">
        <f t="shared" si="289"/>
        <v>1000000</v>
      </c>
      <c r="BH297" s="123">
        <f t="shared" ca="1" si="317"/>
        <v>1000000</v>
      </c>
      <c r="BI297" s="123">
        <f t="shared" ca="1" si="318"/>
        <v>0</v>
      </c>
      <c r="BJ297" s="123">
        <f t="shared" ca="1" si="319"/>
        <v>0</v>
      </c>
      <c r="BK297" s="123">
        <f t="shared" ca="1" si="276"/>
        <v>1000000</v>
      </c>
      <c r="BL297" s="123">
        <f t="shared" ca="1" si="320"/>
        <v>226082.81644589052</v>
      </c>
      <c r="BM297" s="121"/>
      <c r="BN297" s="126">
        <f ca="1">IF(LiabIntType2="Fixed",LiabFxdRate2,OFFSET(Vectors!$D$6,Vectors!A297,MATCH(LiabLoanIndex2,lstInterestRates,0))+LiabMarg2)</f>
        <v>0.04</v>
      </c>
      <c r="BO297" s="122">
        <f t="shared" ca="1" si="321"/>
        <v>24097.208340784215</v>
      </c>
      <c r="BP297" s="124">
        <f t="shared" ca="1" si="322"/>
        <v>24097.208340784215</v>
      </c>
      <c r="BQ297" s="123">
        <f t="shared" ca="1" si="323"/>
        <v>0</v>
      </c>
      <c r="BR297" s="123">
        <f t="shared" ca="1" si="324"/>
        <v>201985.60810510631</v>
      </c>
      <c r="BS297" s="121"/>
      <c r="BT297" s="123">
        <f t="shared" ca="1" si="290"/>
        <v>17189.404729774225</v>
      </c>
      <c r="BU297" s="123">
        <f t="shared" ca="1" si="325"/>
        <v>17189.404729774225</v>
      </c>
      <c r="BV297" s="123">
        <f t="shared" ca="1" si="326"/>
        <v>0</v>
      </c>
      <c r="BW297" s="123">
        <f t="shared" ca="1" si="327"/>
        <v>184796.20337533209</v>
      </c>
      <c r="BX297" s="121"/>
      <c r="BY297" s="123">
        <f t="shared" si="328"/>
        <v>0</v>
      </c>
      <c r="BZ297" s="123">
        <f t="shared" ca="1" si="329"/>
        <v>184796.20337533209</v>
      </c>
      <c r="CA297" s="121"/>
      <c r="CB297" s="122">
        <f t="shared" ca="1" si="277"/>
        <v>0</v>
      </c>
      <c r="CC297" s="122">
        <f t="shared" ca="1" si="330"/>
        <v>0</v>
      </c>
      <c r="CD297" s="124">
        <f t="shared" ca="1" si="331"/>
        <v>0</v>
      </c>
      <c r="CE297" s="121"/>
      <c r="CF297" s="122">
        <f t="shared" ca="1" si="278"/>
        <v>7211973.0975054903</v>
      </c>
      <c r="CG297" s="124">
        <f t="shared" ca="1" si="332"/>
        <v>24097.208340784215</v>
      </c>
      <c r="CH297" s="123">
        <f t="shared" ca="1" si="333"/>
        <v>17189.404729774225</v>
      </c>
      <c r="CI297" s="121"/>
      <c r="CJ297" s="123">
        <f t="shared" ca="1" si="334"/>
        <v>243258.93999022094</v>
      </c>
      <c r="CK297" s="123">
        <f t="shared" ca="1" si="335"/>
        <v>243258.93999022094</v>
      </c>
      <c r="CL297" s="123">
        <f t="shared" ca="1" si="336"/>
        <v>0</v>
      </c>
      <c r="CM297" s="121"/>
      <c r="CN297" s="62">
        <f t="shared" ca="1" si="337"/>
        <v>167653.88404073403</v>
      </c>
      <c r="CO297" s="62" t="b">
        <f t="shared" si="338"/>
        <v>1</v>
      </c>
      <c r="CP297" s="126">
        <f t="shared" ca="1" si="339"/>
        <v>8.0833333333333E-3</v>
      </c>
      <c r="CQ297" s="120"/>
      <c r="CR297" s="120"/>
      <c r="CS297" s="120"/>
      <c r="CT297" s="120"/>
      <c r="CU297" s="120"/>
      <c r="CV297" s="120"/>
      <c r="CW297" s="120"/>
      <c r="CX297" s="120"/>
      <c r="CY297" s="120"/>
      <c r="CZ297" s="120"/>
      <c r="DA297" s="120"/>
      <c r="DB297" s="120"/>
      <c r="DC297" s="120"/>
      <c r="DD297" s="120"/>
      <c r="DE297" s="116"/>
      <c r="DF297" s="116"/>
      <c r="DG297" s="116"/>
      <c r="DH297" s="116"/>
      <c r="DI297" s="116"/>
      <c r="DJ297" s="116"/>
      <c r="DK297" s="116"/>
      <c r="DL297" s="116"/>
      <c r="DM297" s="116"/>
      <c r="DN297" s="116"/>
    </row>
    <row r="298" spans="1:118" x14ac:dyDescent="0.2">
      <c r="A298" s="27">
        <v>292</v>
      </c>
      <c r="B298" s="29">
        <f t="shared" si="272"/>
        <v>48000</v>
      </c>
      <c r="C298" s="30">
        <f t="shared" si="273"/>
        <v>8.3333333333333329E-2</v>
      </c>
      <c r="D298" s="55"/>
      <c r="E298" s="62">
        <f t="shared" ca="1" si="291"/>
        <v>43217814.985748932</v>
      </c>
      <c r="F298" s="63">
        <f ca="1">IF(AssetIntType1="Fixed",AssetFxdRate1,IF(A298=1,OFFSET(Vectors!$D$6,A298,MATCH(AssetFltIndx1,lstInterestRates,0)),IF(MOD($A298,AssetRateReset1)=0,MAX(MIN(OFFSET(Vectors!$D$6,A298,MATCH(AssetFltIndx1,lstInterestRates,0)),(F297-AssetMarg1)+AssetPdCapFl1,AssetLifeCap1-AssetMarg1),(F297-AssetMarg1)-AssetPdCapFl1,AssetLifeFloor1-AssetMarg1),F297)))+AssetMarg1</f>
        <v>0.09</v>
      </c>
      <c r="G298" s="62">
        <f t="shared" ca="1" si="279"/>
        <v>804622.61694478267</v>
      </c>
      <c r="H298" s="62">
        <f t="shared" ca="1" si="292"/>
        <v>324133.61239311699</v>
      </c>
      <c r="I298" s="62">
        <f t="shared" ca="1" si="293"/>
        <v>480489.00455166568</v>
      </c>
      <c r="J298" s="62">
        <f t="shared" ca="1" si="274"/>
        <v>42737325.981197268</v>
      </c>
      <c r="K298" s="55"/>
      <c r="L298" s="62">
        <f t="shared" ca="1" si="294"/>
        <v>10138020.242557516</v>
      </c>
      <c r="M298" s="68">
        <f ca="1">IF(pdrLossTime1="",OFFSET(Vectors!$AE$6,A298+_Age1,MATCH(SDA_Loss,lstSDA,0)),OFFSET(Vectors!$X$6,A298+_Age1,MATCH(pdrLossTime1,lstDefaultCurve,0)))</f>
        <v>2.7777777777777779E-5</v>
      </c>
      <c r="N298" s="62">
        <f t="shared" ca="1" si="280"/>
        <v>2777.7777777777778</v>
      </c>
      <c r="O298" s="67">
        <f t="shared" ca="1" si="295"/>
        <v>0.42737325981197266</v>
      </c>
      <c r="P298" s="68">
        <f ca="1">OFFSET(Vectors!$L$6,A298+_Age1,MATCH(pdrPrepay1,lstPrepayCurve,0))*pdrPrepayStress1</f>
        <v>5.1430128318229462E-3</v>
      </c>
      <c r="Q298" s="62">
        <f t="shared" ca="1" si="296"/>
        <v>51560.284068241919</v>
      </c>
      <c r="R298" s="62">
        <f t="shared" ca="1" si="297"/>
        <v>112682.06327408354</v>
      </c>
      <c r="S298" s="69">
        <f t="shared" ca="1" si="298"/>
        <v>0.09</v>
      </c>
      <c r="T298" s="62">
        <f t="shared" ca="1" si="299"/>
        <v>76014.318485848038</v>
      </c>
      <c r="U298" s="62">
        <f t="shared" ca="1" si="281"/>
        <v>1111.1111111111111</v>
      </c>
      <c r="V298" s="62">
        <f t="shared" ca="1" si="275"/>
        <v>9971000.117437413</v>
      </c>
      <c r="W298" s="55"/>
      <c r="X298" s="62">
        <f t="shared" ca="1" si="300"/>
        <v>241367.77693928464</v>
      </c>
      <c r="Y298" s="55"/>
      <c r="Z298" s="118" t="b">
        <v>0</v>
      </c>
      <c r="AA298" s="120" t="b">
        <f t="shared" si="282"/>
        <v>0</v>
      </c>
      <c r="AB298" s="120" t="b">
        <f t="shared" si="283"/>
        <v>1</v>
      </c>
      <c r="AC298" s="120" t="b">
        <f t="shared" ca="1" si="284"/>
        <v>0</v>
      </c>
      <c r="AD298" s="121"/>
      <c r="AE298" s="129">
        <v>0</v>
      </c>
      <c r="AF298" s="69">
        <f ca="1">IF(Swap_Active="No",0,OFFSET(Vectors!$D$6,Vectors!A298,MATCH(Swap_In,lstInterestRates,0)))</f>
        <v>6.9369000000000056E-2</v>
      </c>
      <c r="AG298" s="62">
        <f t="shared" ca="1" si="301"/>
        <v>0</v>
      </c>
      <c r="AH298" s="69">
        <f ca="1">IF(Swap_Active="No",0,OFFSET(Vectors!$D$6,Vectors!A298,MATCH(Swap_Out,lstInterestRates,0)))</f>
        <v>0.04</v>
      </c>
      <c r="AI298" s="62">
        <f t="shared" ca="1" si="302"/>
        <v>0</v>
      </c>
      <c r="AJ298" s="62">
        <f t="shared" ca="1" si="303"/>
        <v>0</v>
      </c>
      <c r="AK298" s="62">
        <f t="shared" ca="1" si="304"/>
        <v>241367.77693928464</v>
      </c>
      <c r="AL298" s="121"/>
      <c r="AM298" s="123">
        <f t="shared" ca="1" si="285"/>
        <v>16896.700404262527</v>
      </c>
      <c r="AN298" s="124">
        <f t="shared" ca="1" si="305"/>
        <v>16896.700404262527</v>
      </c>
      <c r="AO298" s="125">
        <f t="shared" ca="1" si="306"/>
        <v>0</v>
      </c>
      <c r="AP298" s="123">
        <f t="shared" ca="1" si="307"/>
        <v>224471.07653502212</v>
      </c>
      <c r="AQ298" s="121"/>
      <c r="AR298" s="126">
        <f ca="1">IF(LiabIntType1="Fixed",LiabFxdRate1,OFFSET(Vectors!$D$6,Vectors!A298,MATCH(LiabLoanIndex1,lstInterestRates,0))+LiabMarg1)</f>
        <v>7.9369000000000051E-2</v>
      </c>
      <c r="AS298" s="122">
        <f t="shared" ca="1" si="308"/>
        <v>0</v>
      </c>
      <c r="AT298" s="124">
        <f t="shared" ca="1" si="309"/>
        <v>0</v>
      </c>
      <c r="AU298" s="123">
        <f t="shared" ca="1" si="310"/>
        <v>0</v>
      </c>
      <c r="AV298" s="123">
        <f t="shared" ca="1" si="286"/>
        <v>0</v>
      </c>
      <c r="AW298" s="123">
        <f t="shared" ca="1" si="311"/>
        <v>0</v>
      </c>
      <c r="AX298" s="124">
        <f t="shared" ca="1" si="312"/>
        <v>224471.07653502212</v>
      </c>
      <c r="AY298" s="121"/>
      <c r="AZ298" s="122">
        <f t="shared" ca="1" si="287"/>
        <v>0</v>
      </c>
      <c r="BA298" s="124">
        <f t="shared" ca="1" si="313"/>
        <v>0</v>
      </c>
      <c r="BB298" s="123">
        <f t="shared" ca="1" si="314"/>
        <v>0</v>
      </c>
      <c r="BC298" s="123">
        <f t="shared" ca="1" si="288"/>
        <v>0</v>
      </c>
      <c r="BD298" s="123">
        <f t="shared" ca="1" si="315"/>
        <v>0</v>
      </c>
      <c r="BE298" s="124">
        <f t="shared" ca="1" si="316"/>
        <v>224471.07653502212</v>
      </c>
      <c r="BF298" s="121"/>
      <c r="BG298" s="123">
        <f t="shared" si="289"/>
        <v>1000000</v>
      </c>
      <c r="BH298" s="123">
        <f t="shared" ca="1" si="317"/>
        <v>1000000</v>
      </c>
      <c r="BI298" s="123">
        <f t="shared" ca="1" si="318"/>
        <v>0</v>
      </c>
      <c r="BJ298" s="123">
        <f t="shared" ca="1" si="319"/>
        <v>0</v>
      </c>
      <c r="BK298" s="123">
        <f t="shared" ca="1" si="276"/>
        <v>1000000</v>
      </c>
      <c r="BL298" s="123">
        <f t="shared" ca="1" si="320"/>
        <v>224471.07653502212</v>
      </c>
      <c r="BM298" s="121"/>
      <c r="BN298" s="126">
        <f ca="1">IF(LiabIntType2="Fixed",LiabFxdRate2,OFFSET(Vectors!$D$6,Vectors!A298,MATCH(LiabLoanIndex2,lstInterestRates,0))+LiabMarg2)</f>
        <v>0.04</v>
      </c>
      <c r="BO298" s="122">
        <f t="shared" ca="1" si="321"/>
        <v>24039.9103250183</v>
      </c>
      <c r="BP298" s="124">
        <f t="shared" ca="1" si="322"/>
        <v>24039.9103250183</v>
      </c>
      <c r="BQ298" s="123">
        <f t="shared" ca="1" si="323"/>
        <v>0</v>
      </c>
      <c r="BR298" s="123">
        <f t="shared" ca="1" si="324"/>
        <v>200431.16621000381</v>
      </c>
      <c r="BS298" s="121"/>
      <c r="BT298" s="123">
        <f t="shared" ca="1" si="290"/>
        <v>17124.42598710948</v>
      </c>
      <c r="BU298" s="123">
        <f t="shared" ca="1" si="325"/>
        <v>17124.42598710948</v>
      </c>
      <c r="BV298" s="123">
        <f t="shared" ca="1" si="326"/>
        <v>0</v>
      </c>
      <c r="BW298" s="123">
        <f t="shared" ca="1" si="327"/>
        <v>183306.74022289432</v>
      </c>
      <c r="BX298" s="121"/>
      <c r="BY298" s="123">
        <f t="shared" si="328"/>
        <v>0</v>
      </c>
      <c r="BZ298" s="123">
        <f t="shared" ca="1" si="329"/>
        <v>183306.74022289432</v>
      </c>
      <c r="CA298" s="121"/>
      <c r="CB298" s="122">
        <f t="shared" ca="1" si="277"/>
        <v>0</v>
      </c>
      <c r="CC298" s="122">
        <f t="shared" ca="1" si="330"/>
        <v>0</v>
      </c>
      <c r="CD298" s="124">
        <f t="shared" ca="1" si="331"/>
        <v>0</v>
      </c>
      <c r="CE298" s="121"/>
      <c r="CF298" s="122">
        <f t="shared" ca="1" si="278"/>
        <v>7194848.6715183808</v>
      </c>
      <c r="CG298" s="124">
        <f t="shared" ca="1" si="332"/>
        <v>24039.9103250183</v>
      </c>
      <c r="CH298" s="123">
        <f t="shared" ca="1" si="333"/>
        <v>17124.42598710948</v>
      </c>
      <c r="CI298" s="121"/>
      <c r="CJ298" s="123">
        <f t="shared" ca="1" si="334"/>
        <v>241367.77693928464</v>
      </c>
      <c r="CK298" s="123">
        <f t="shared" ca="1" si="335"/>
        <v>241367.77693928464</v>
      </c>
      <c r="CL298" s="123">
        <f t="shared" ca="1" si="336"/>
        <v>0</v>
      </c>
      <c r="CM298" s="121"/>
      <c r="CN298" s="62">
        <f t="shared" ca="1" si="337"/>
        <v>167020.12512010324</v>
      </c>
      <c r="CO298" s="62" t="b">
        <f t="shared" si="338"/>
        <v>1</v>
      </c>
      <c r="CP298" s="126">
        <f t="shared" ca="1" si="339"/>
        <v>8.1111111111110776E-3</v>
      </c>
      <c r="CQ298" s="120"/>
      <c r="CR298" s="120"/>
      <c r="CS298" s="120"/>
      <c r="CT298" s="120"/>
      <c r="CU298" s="120"/>
      <c r="CV298" s="120"/>
      <c r="CW298" s="120"/>
      <c r="CX298" s="120"/>
      <c r="CY298" s="120"/>
      <c r="CZ298" s="120"/>
      <c r="DA298" s="120"/>
      <c r="DB298" s="120"/>
      <c r="DC298" s="120"/>
      <c r="DD298" s="120"/>
      <c r="DE298" s="116"/>
      <c r="DF298" s="116"/>
      <c r="DG298" s="116"/>
      <c r="DH298" s="116"/>
      <c r="DI298" s="116"/>
      <c r="DJ298" s="116"/>
      <c r="DK298" s="116"/>
      <c r="DL298" s="116"/>
      <c r="DM298" s="116"/>
      <c r="DN298" s="116"/>
    </row>
    <row r="299" spans="1:118" x14ac:dyDescent="0.2">
      <c r="A299" s="27">
        <v>293</v>
      </c>
      <c r="B299" s="29">
        <f t="shared" si="272"/>
        <v>48030</v>
      </c>
      <c r="C299" s="30">
        <f t="shared" si="273"/>
        <v>8.3333333333333329E-2</v>
      </c>
      <c r="D299" s="55"/>
      <c r="E299" s="62">
        <f t="shared" ca="1" si="291"/>
        <v>42737325.981197268</v>
      </c>
      <c r="F299" s="63">
        <f ca="1">IF(AssetIntType1="Fixed",AssetFxdRate1,IF(A299=1,OFFSET(Vectors!$D$6,A299,MATCH(AssetFltIndx1,lstInterestRates,0)),IF(MOD($A299,AssetRateReset1)=0,MAX(MIN(OFFSET(Vectors!$D$6,A299,MATCH(AssetFltIndx1,lstInterestRates,0)),(F298-AssetMarg1)+AssetPdCapFl1,AssetLifeCap1-AssetMarg1),(F298-AssetMarg1)-AssetPdCapFl1,AssetLifeFloor1-AssetMarg1),F298)))+AssetMarg1</f>
        <v>0.09</v>
      </c>
      <c r="G299" s="62">
        <f t="shared" ca="1" si="279"/>
        <v>804622.61694478267</v>
      </c>
      <c r="H299" s="62">
        <f t="shared" ca="1" si="292"/>
        <v>320529.94485897949</v>
      </c>
      <c r="I299" s="62">
        <f t="shared" ca="1" si="293"/>
        <v>484092.67208580318</v>
      </c>
      <c r="J299" s="62">
        <f t="shared" ca="1" si="274"/>
        <v>42253233.309111461</v>
      </c>
      <c r="K299" s="55"/>
      <c r="L299" s="62">
        <f t="shared" ca="1" si="294"/>
        <v>9971000.117437413</v>
      </c>
      <c r="M299" s="68">
        <f ca="1">IF(pdrLossTime1="",OFFSET(Vectors!$AE$6,A299+_Age1,MATCH(SDA_Loss,lstSDA,0)),OFFSET(Vectors!$X$6,A299+_Age1,MATCH(pdrLossTime1,lstDefaultCurve,0)))</f>
        <v>2.7777777777777779E-5</v>
      </c>
      <c r="N299" s="62">
        <f t="shared" ca="1" si="280"/>
        <v>2777.7777777777778</v>
      </c>
      <c r="O299" s="67">
        <f t="shared" ca="1" si="295"/>
        <v>0.4225323330911146</v>
      </c>
      <c r="P299" s="68">
        <f ca="1">OFFSET(Vectors!$L$6,A299+_Age1,MATCH(pdrPrepay1,lstPrepayCurve,0))*pdrPrepayStress1</f>
        <v>5.1430128318229462E-3</v>
      </c>
      <c r="Q299" s="62">
        <f t="shared" ca="1" si="296"/>
        <v>50700.113495856989</v>
      </c>
      <c r="R299" s="62">
        <f t="shared" ca="1" si="297"/>
        <v>112911.68264655345</v>
      </c>
      <c r="S299" s="69">
        <f t="shared" ca="1" si="298"/>
        <v>0.09</v>
      </c>
      <c r="T299" s="62">
        <f t="shared" ca="1" si="299"/>
        <v>74761.667547447258</v>
      </c>
      <c r="U299" s="62">
        <f t="shared" ca="1" si="281"/>
        <v>1111.1111111111111</v>
      </c>
      <c r="V299" s="62">
        <f t="shared" ca="1" si="275"/>
        <v>9804610.5435172245</v>
      </c>
      <c r="W299" s="55"/>
      <c r="X299" s="62">
        <f t="shared" ca="1" si="300"/>
        <v>239484.57480096881</v>
      </c>
      <c r="Y299" s="55"/>
      <c r="Z299" s="118" t="b">
        <v>0</v>
      </c>
      <c r="AA299" s="120" t="b">
        <f t="shared" si="282"/>
        <v>0</v>
      </c>
      <c r="AB299" s="120" t="b">
        <f t="shared" si="283"/>
        <v>1</v>
      </c>
      <c r="AC299" s="120" t="b">
        <f t="shared" ca="1" si="284"/>
        <v>0</v>
      </c>
      <c r="AD299" s="121"/>
      <c r="AE299" s="129">
        <v>0</v>
      </c>
      <c r="AF299" s="69">
        <f ca="1">IF(Swap_Active="No",0,OFFSET(Vectors!$D$6,Vectors!A299,MATCH(Swap_In,lstInterestRates,0)))</f>
        <v>6.9369000000000056E-2</v>
      </c>
      <c r="AG299" s="62">
        <f t="shared" ca="1" si="301"/>
        <v>0</v>
      </c>
      <c r="AH299" s="69">
        <f ca="1">IF(Swap_Active="No",0,OFFSET(Vectors!$D$6,Vectors!A299,MATCH(Swap_Out,lstInterestRates,0)))</f>
        <v>0.04</v>
      </c>
      <c r="AI299" s="62">
        <f t="shared" ca="1" si="302"/>
        <v>0</v>
      </c>
      <c r="AJ299" s="62">
        <f t="shared" ca="1" si="303"/>
        <v>0</v>
      </c>
      <c r="AK299" s="62">
        <f t="shared" ca="1" si="304"/>
        <v>239484.57480096881</v>
      </c>
      <c r="AL299" s="121"/>
      <c r="AM299" s="123">
        <f t="shared" ca="1" si="285"/>
        <v>16618.333529062355</v>
      </c>
      <c r="AN299" s="124">
        <f t="shared" ca="1" si="305"/>
        <v>16618.333529062355</v>
      </c>
      <c r="AO299" s="125">
        <f t="shared" ca="1" si="306"/>
        <v>0</v>
      </c>
      <c r="AP299" s="123">
        <f t="shared" ca="1" si="307"/>
        <v>222866.24127190645</v>
      </c>
      <c r="AQ299" s="121"/>
      <c r="AR299" s="126">
        <f ca="1">IF(LiabIntType1="Fixed",LiabFxdRate1,OFFSET(Vectors!$D$6,Vectors!A299,MATCH(LiabLoanIndex1,lstInterestRates,0))+LiabMarg1)</f>
        <v>7.9369000000000051E-2</v>
      </c>
      <c r="AS299" s="122">
        <f t="shared" ca="1" si="308"/>
        <v>0</v>
      </c>
      <c r="AT299" s="124">
        <f t="shared" ca="1" si="309"/>
        <v>0</v>
      </c>
      <c r="AU299" s="123">
        <f t="shared" ca="1" si="310"/>
        <v>0</v>
      </c>
      <c r="AV299" s="123">
        <f t="shared" ca="1" si="286"/>
        <v>0</v>
      </c>
      <c r="AW299" s="123">
        <f t="shared" ca="1" si="311"/>
        <v>0</v>
      </c>
      <c r="AX299" s="124">
        <f t="shared" ca="1" si="312"/>
        <v>222866.24127190645</v>
      </c>
      <c r="AY299" s="121"/>
      <c r="AZ299" s="122">
        <f t="shared" ca="1" si="287"/>
        <v>0</v>
      </c>
      <c r="BA299" s="124">
        <f t="shared" ca="1" si="313"/>
        <v>0</v>
      </c>
      <c r="BB299" s="123">
        <f t="shared" ca="1" si="314"/>
        <v>0</v>
      </c>
      <c r="BC299" s="123">
        <f t="shared" ca="1" si="288"/>
        <v>0</v>
      </c>
      <c r="BD299" s="123">
        <f t="shared" ca="1" si="315"/>
        <v>0</v>
      </c>
      <c r="BE299" s="124">
        <f t="shared" ca="1" si="316"/>
        <v>222866.24127190645</v>
      </c>
      <c r="BF299" s="121"/>
      <c r="BG299" s="123">
        <f t="shared" si="289"/>
        <v>1000000</v>
      </c>
      <c r="BH299" s="123">
        <f t="shared" ca="1" si="317"/>
        <v>1000000</v>
      </c>
      <c r="BI299" s="123">
        <f t="shared" ca="1" si="318"/>
        <v>0</v>
      </c>
      <c r="BJ299" s="123">
        <f t="shared" ca="1" si="319"/>
        <v>0</v>
      </c>
      <c r="BK299" s="123">
        <f t="shared" ca="1" si="276"/>
        <v>1000000</v>
      </c>
      <c r="BL299" s="123">
        <f t="shared" ca="1" si="320"/>
        <v>222866.24127190645</v>
      </c>
      <c r="BM299" s="121"/>
      <c r="BN299" s="126">
        <f ca="1">IF(LiabIntType2="Fixed",LiabFxdRate2,OFFSET(Vectors!$D$6,Vectors!A299,MATCH(LiabLoanIndex2,lstInterestRates,0))+LiabMarg2)</f>
        <v>0.04</v>
      </c>
      <c r="BO299" s="122">
        <f t="shared" ca="1" si="321"/>
        <v>23982.828905061269</v>
      </c>
      <c r="BP299" s="124">
        <f t="shared" ca="1" si="322"/>
        <v>23982.828905061269</v>
      </c>
      <c r="BQ299" s="123">
        <f t="shared" ca="1" si="323"/>
        <v>0</v>
      </c>
      <c r="BR299" s="123">
        <f t="shared" ca="1" si="324"/>
        <v>198883.41236684518</v>
      </c>
      <c r="BS299" s="121"/>
      <c r="BT299" s="123">
        <f t="shared" ca="1" si="290"/>
        <v>17059.776129218026</v>
      </c>
      <c r="BU299" s="123">
        <f t="shared" ca="1" si="325"/>
        <v>17059.776129218026</v>
      </c>
      <c r="BV299" s="123">
        <f t="shared" ca="1" si="326"/>
        <v>0</v>
      </c>
      <c r="BW299" s="123">
        <f t="shared" ca="1" si="327"/>
        <v>181823.63623762716</v>
      </c>
      <c r="BX299" s="121"/>
      <c r="BY299" s="123">
        <f t="shared" si="328"/>
        <v>0</v>
      </c>
      <c r="BZ299" s="123">
        <f t="shared" ca="1" si="329"/>
        <v>181823.63623762716</v>
      </c>
      <c r="CA299" s="121"/>
      <c r="CB299" s="122">
        <f t="shared" ca="1" si="277"/>
        <v>0</v>
      </c>
      <c r="CC299" s="122">
        <f t="shared" ca="1" si="330"/>
        <v>0</v>
      </c>
      <c r="CD299" s="124">
        <f t="shared" ca="1" si="331"/>
        <v>0</v>
      </c>
      <c r="CE299" s="121"/>
      <c r="CF299" s="122">
        <f t="shared" ca="1" si="278"/>
        <v>7177788.8953891629</v>
      </c>
      <c r="CG299" s="124">
        <f t="shared" ca="1" si="332"/>
        <v>23982.828905061269</v>
      </c>
      <c r="CH299" s="123">
        <f t="shared" ca="1" si="333"/>
        <v>17059.776129218026</v>
      </c>
      <c r="CI299" s="121"/>
      <c r="CJ299" s="123">
        <f t="shared" ca="1" si="334"/>
        <v>239484.57480096881</v>
      </c>
      <c r="CK299" s="123">
        <f t="shared" ca="1" si="335"/>
        <v>239484.57480096881</v>
      </c>
      <c r="CL299" s="123">
        <f t="shared" ca="1" si="336"/>
        <v>0</v>
      </c>
      <c r="CM299" s="121"/>
      <c r="CN299" s="62">
        <f t="shared" ca="1" si="337"/>
        <v>166389.57392018824</v>
      </c>
      <c r="CO299" s="62" t="b">
        <f t="shared" si="338"/>
        <v>1</v>
      </c>
      <c r="CP299" s="126">
        <f t="shared" ca="1" si="339"/>
        <v>8.1388888888888553E-3</v>
      </c>
      <c r="CQ299" s="120"/>
      <c r="CR299" s="120"/>
      <c r="CS299" s="120"/>
      <c r="CT299" s="120"/>
      <c r="CU299" s="120"/>
      <c r="CV299" s="120"/>
      <c r="CW299" s="120"/>
      <c r="CX299" s="120"/>
      <c r="CY299" s="120"/>
      <c r="CZ299" s="120"/>
      <c r="DA299" s="120"/>
      <c r="DB299" s="120"/>
      <c r="DC299" s="120"/>
      <c r="DD299" s="120"/>
      <c r="DE299" s="116"/>
      <c r="DF299" s="116"/>
      <c r="DG299" s="116"/>
      <c r="DH299" s="116"/>
      <c r="DI299" s="116"/>
      <c r="DJ299" s="116"/>
      <c r="DK299" s="116"/>
      <c r="DL299" s="116"/>
      <c r="DM299" s="116"/>
      <c r="DN299" s="116"/>
    </row>
    <row r="300" spans="1:118" x14ac:dyDescent="0.2">
      <c r="A300" s="27">
        <v>294</v>
      </c>
      <c r="B300" s="29">
        <f t="shared" si="272"/>
        <v>48061</v>
      </c>
      <c r="C300" s="30">
        <f t="shared" si="273"/>
        <v>8.3333333333333329E-2</v>
      </c>
      <c r="D300" s="55"/>
      <c r="E300" s="62">
        <f t="shared" ca="1" si="291"/>
        <v>42253233.309111461</v>
      </c>
      <c r="F300" s="63">
        <f ca="1">IF(AssetIntType1="Fixed",AssetFxdRate1,IF(A300=1,OFFSET(Vectors!$D$6,A300,MATCH(AssetFltIndx1,lstInterestRates,0)),IF(MOD($A300,AssetRateReset1)=0,MAX(MIN(OFFSET(Vectors!$D$6,A300,MATCH(AssetFltIndx1,lstInterestRates,0)),(F299-AssetMarg1)+AssetPdCapFl1,AssetLifeCap1-AssetMarg1),(F299-AssetMarg1)-AssetPdCapFl1,AssetLifeFloor1-AssetMarg1),F299)))+AssetMarg1</f>
        <v>0.09</v>
      </c>
      <c r="G300" s="62">
        <f t="shared" ca="1" si="279"/>
        <v>804622.61694478267</v>
      </c>
      <c r="H300" s="62">
        <f t="shared" ca="1" si="292"/>
        <v>316899.24981833593</v>
      </c>
      <c r="I300" s="62">
        <f t="shared" ca="1" si="293"/>
        <v>487723.36712644674</v>
      </c>
      <c r="J300" s="62">
        <f t="shared" ca="1" si="274"/>
        <v>41765509.941985011</v>
      </c>
      <c r="K300" s="55"/>
      <c r="L300" s="62">
        <f t="shared" ca="1" si="294"/>
        <v>9804610.5435172245</v>
      </c>
      <c r="M300" s="68">
        <f ca="1">IF(pdrLossTime1="",OFFSET(Vectors!$AE$6,A300+_Age1,MATCH(SDA_Loss,lstSDA,0)),OFFSET(Vectors!$X$6,A300+_Age1,MATCH(pdrLossTime1,lstDefaultCurve,0)))</f>
        <v>2.7777777777777779E-5</v>
      </c>
      <c r="N300" s="62">
        <f t="shared" ca="1" si="280"/>
        <v>2777.7777777777778</v>
      </c>
      <c r="O300" s="67">
        <f t="shared" ca="1" si="295"/>
        <v>0.41765509941985013</v>
      </c>
      <c r="P300" s="68">
        <f ca="1">OFFSET(Vectors!$L$6,A300+_Age1,MATCH(pdrPrepay1,lstPrepayCurve,0))*pdrPrepayStress1</f>
        <v>5.1430128318229462E-3</v>
      </c>
      <c r="Q300" s="62">
        <f t="shared" ca="1" si="296"/>
        <v>49843.186124321779</v>
      </c>
      <c r="R300" s="62">
        <f t="shared" ca="1" si="297"/>
        <v>113141.23218792552</v>
      </c>
      <c r="S300" s="69">
        <f t="shared" ca="1" si="298"/>
        <v>0.09</v>
      </c>
      <c r="T300" s="62">
        <f t="shared" ca="1" si="299"/>
        <v>73513.745743045845</v>
      </c>
      <c r="U300" s="62">
        <f t="shared" ca="1" si="281"/>
        <v>1111.1111111111111</v>
      </c>
      <c r="V300" s="62">
        <f t="shared" ca="1" si="275"/>
        <v>9638848.3474272005</v>
      </c>
      <c r="W300" s="55"/>
      <c r="X300" s="62">
        <f t="shared" ca="1" si="300"/>
        <v>237609.27516640426</v>
      </c>
      <c r="Y300" s="55"/>
      <c r="Z300" s="118" t="b">
        <v>0</v>
      </c>
      <c r="AA300" s="120" t="b">
        <f t="shared" si="282"/>
        <v>0</v>
      </c>
      <c r="AB300" s="120" t="b">
        <f t="shared" si="283"/>
        <v>1</v>
      </c>
      <c r="AC300" s="120" t="b">
        <f t="shared" ca="1" si="284"/>
        <v>0</v>
      </c>
      <c r="AD300" s="121"/>
      <c r="AE300" s="129">
        <v>0</v>
      </c>
      <c r="AF300" s="69">
        <f ca="1">IF(Swap_Active="No",0,OFFSET(Vectors!$D$6,Vectors!A300,MATCH(Swap_In,lstInterestRates,0)))</f>
        <v>6.9369000000000056E-2</v>
      </c>
      <c r="AG300" s="62">
        <f t="shared" ca="1" si="301"/>
        <v>0</v>
      </c>
      <c r="AH300" s="69">
        <f ca="1">IF(Swap_Active="No",0,OFFSET(Vectors!$D$6,Vectors!A300,MATCH(Swap_Out,lstInterestRates,0)))</f>
        <v>0.04</v>
      </c>
      <c r="AI300" s="62">
        <f t="shared" ca="1" si="302"/>
        <v>0</v>
      </c>
      <c r="AJ300" s="62">
        <f t="shared" ca="1" si="303"/>
        <v>0</v>
      </c>
      <c r="AK300" s="62">
        <f t="shared" ca="1" si="304"/>
        <v>237609.27516640426</v>
      </c>
      <c r="AL300" s="121"/>
      <c r="AM300" s="123">
        <f t="shared" ca="1" si="285"/>
        <v>16341.017572528706</v>
      </c>
      <c r="AN300" s="124">
        <f t="shared" ca="1" si="305"/>
        <v>16341.017572528706</v>
      </c>
      <c r="AO300" s="125">
        <f t="shared" ca="1" si="306"/>
        <v>0</v>
      </c>
      <c r="AP300" s="123">
        <f t="shared" ca="1" si="307"/>
        <v>221268.25759387555</v>
      </c>
      <c r="AQ300" s="121"/>
      <c r="AR300" s="126">
        <f ca="1">IF(LiabIntType1="Fixed",LiabFxdRate1,OFFSET(Vectors!$D$6,Vectors!A300,MATCH(LiabLoanIndex1,lstInterestRates,0))+LiabMarg1)</f>
        <v>7.9369000000000051E-2</v>
      </c>
      <c r="AS300" s="122">
        <f t="shared" ca="1" si="308"/>
        <v>0</v>
      </c>
      <c r="AT300" s="124">
        <f t="shared" ca="1" si="309"/>
        <v>0</v>
      </c>
      <c r="AU300" s="123">
        <f t="shared" ca="1" si="310"/>
        <v>0</v>
      </c>
      <c r="AV300" s="123">
        <f t="shared" ca="1" si="286"/>
        <v>0</v>
      </c>
      <c r="AW300" s="123">
        <f t="shared" ca="1" si="311"/>
        <v>0</v>
      </c>
      <c r="AX300" s="124">
        <f t="shared" ca="1" si="312"/>
        <v>221268.25759387555</v>
      </c>
      <c r="AY300" s="121"/>
      <c r="AZ300" s="122">
        <f t="shared" ca="1" si="287"/>
        <v>0</v>
      </c>
      <c r="BA300" s="124">
        <f t="shared" ca="1" si="313"/>
        <v>0</v>
      </c>
      <c r="BB300" s="123">
        <f t="shared" ca="1" si="314"/>
        <v>0</v>
      </c>
      <c r="BC300" s="123">
        <f t="shared" ca="1" si="288"/>
        <v>0</v>
      </c>
      <c r="BD300" s="123">
        <f t="shared" ca="1" si="315"/>
        <v>0</v>
      </c>
      <c r="BE300" s="124">
        <f t="shared" ca="1" si="316"/>
        <v>221268.25759387555</v>
      </c>
      <c r="BF300" s="121"/>
      <c r="BG300" s="123">
        <f t="shared" si="289"/>
        <v>1000000</v>
      </c>
      <c r="BH300" s="123">
        <f t="shared" ca="1" si="317"/>
        <v>1000000</v>
      </c>
      <c r="BI300" s="123">
        <f t="shared" ca="1" si="318"/>
        <v>0</v>
      </c>
      <c r="BJ300" s="123">
        <f t="shared" ca="1" si="319"/>
        <v>0</v>
      </c>
      <c r="BK300" s="123">
        <f t="shared" ca="1" si="276"/>
        <v>1000000</v>
      </c>
      <c r="BL300" s="123">
        <f t="shared" ca="1" si="320"/>
        <v>221268.25759387555</v>
      </c>
      <c r="BM300" s="121"/>
      <c r="BN300" s="126">
        <f ca="1">IF(LiabIntType2="Fixed",LiabFxdRate2,OFFSET(Vectors!$D$6,Vectors!A300,MATCH(LiabLoanIndex2,lstInterestRates,0))+LiabMarg2)</f>
        <v>0.04</v>
      </c>
      <c r="BO300" s="122">
        <f t="shared" ca="1" si="321"/>
        <v>23925.96298463054</v>
      </c>
      <c r="BP300" s="124">
        <f t="shared" ca="1" si="322"/>
        <v>23925.96298463054</v>
      </c>
      <c r="BQ300" s="123">
        <f t="shared" ca="1" si="323"/>
        <v>0</v>
      </c>
      <c r="BR300" s="123">
        <f t="shared" ca="1" si="324"/>
        <v>197342.294609245</v>
      </c>
      <c r="BS300" s="121"/>
      <c r="BT300" s="123">
        <f t="shared" ca="1" si="290"/>
        <v>16995.451634125853</v>
      </c>
      <c r="BU300" s="123">
        <f t="shared" ca="1" si="325"/>
        <v>16995.451634125853</v>
      </c>
      <c r="BV300" s="123">
        <f t="shared" ca="1" si="326"/>
        <v>0</v>
      </c>
      <c r="BW300" s="123">
        <f t="shared" ca="1" si="327"/>
        <v>180346.84297511916</v>
      </c>
      <c r="BX300" s="121"/>
      <c r="BY300" s="123">
        <f t="shared" si="328"/>
        <v>0</v>
      </c>
      <c r="BZ300" s="123">
        <f t="shared" ca="1" si="329"/>
        <v>180346.84297511916</v>
      </c>
      <c r="CA300" s="121"/>
      <c r="CB300" s="122">
        <f t="shared" ca="1" si="277"/>
        <v>0</v>
      </c>
      <c r="CC300" s="122">
        <f t="shared" ca="1" si="330"/>
        <v>0</v>
      </c>
      <c r="CD300" s="124">
        <f t="shared" ca="1" si="331"/>
        <v>0</v>
      </c>
      <c r="CE300" s="121"/>
      <c r="CF300" s="122">
        <f t="shared" ca="1" si="278"/>
        <v>7160793.4437550372</v>
      </c>
      <c r="CG300" s="124">
        <f t="shared" ca="1" si="332"/>
        <v>23925.96298463054</v>
      </c>
      <c r="CH300" s="123">
        <f t="shared" ca="1" si="333"/>
        <v>16995.451634125853</v>
      </c>
      <c r="CI300" s="121"/>
      <c r="CJ300" s="123">
        <f t="shared" ca="1" si="334"/>
        <v>237609.27516640426</v>
      </c>
      <c r="CK300" s="123">
        <f t="shared" ca="1" si="335"/>
        <v>237609.27516640426</v>
      </c>
      <c r="CL300" s="123">
        <f t="shared" ca="1" si="336"/>
        <v>0</v>
      </c>
      <c r="CM300" s="121"/>
      <c r="CN300" s="62">
        <f t="shared" ca="1" si="337"/>
        <v>165762.19609002507</v>
      </c>
      <c r="CO300" s="62" t="b">
        <f t="shared" si="338"/>
        <v>1</v>
      </c>
      <c r="CP300" s="126">
        <f t="shared" ca="1" si="339"/>
        <v>8.1666666666666329E-3</v>
      </c>
      <c r="CQ300" s="120"/>
      <c r="CR300" s="120"/>
      <c r="CS300" s="120"/>
      <c r="CT300" s="120"/>
      <c r="CU300" s="120"/>
      <c r="CV300" s="120"/>
      <c r="CW300" s="120"/>
      <c r="CX300" s="120"/>
      <c r="CY300" s="120"/>
      <c r="CZ300" s="120"/>
      <c r="DA300" s="120"/>
      <c r="DB300" s="120"/>
      <c r="DC300" s="120"/>
      <c r="DD300" s="120"/>
      <c r="DE300" s="116"/>
      <c r="DF300" s="116"/>
      <c r="DG300" s="116"/>
      <c r="DH300" s="116"/>
      <c r="DI300" s="116"/>
      <c r="DJ300" s="116"/>
      <c r="DK300" s="116"/>
      <c r="DL300" s="116"/>
      <c r="DM300" s="116"/>
      <c r="DN300" s="116"/>
    </row>
    <row r="301" spans="1:118" x14ac:dyDescent="0.2">
      <c r="A301" s="27">
        <v>295</v>
      </c>
      <c r="B301" s="29">
        <f t="shared" si="272"/>
        <v>48092</v>
      </c>
      <c r="C301" s="30">
        <f t="shared" si="273"/>
        <v>8.3333333333333329E-2</v>
      </c>
      <c r="D301" s="55"/>
      <c r="E301" s="62">
        <f t="shared" ca="1" si="291"/>
        <v>41765509.941985011</v>
      </c>
      <c r="F301" s="63">
        <f ca="1">IF(AssetIntType1="Fixed",AssetFxdRate1,IF(A301=1,OFFSET(Vectors!$D$6,A301,MATCH(AssetFltIndx1,lstInterestRates,0)),IF(MOD($A301,AssetRateReset1)=0,MAX(MIN(OFFSET(Vectors!$D$6,A301,MATCH(AssetFltIndx1,lstInterestRates,0)),(F300-AssetMarg1)+AssetPdCapFl1,AssetLifeCap1-AssetMarg1),(F300-AssetMarg1)-AssetPdCapFl1,AssetLifeFloor1-AssetMarg1),F300)))+AssetMarg1</f>
        <v>0.09</v>
      </c>
      <c r="G301" s="62">
        <f t="shared" ca="1" si="279"/>
        <v>804622.61694478267</v>
      </c>
      <c r="H301" s="62">
        <f t="shared" ca="1" si="292"/>
        <v>313241.32456488756</v>
      </c>
      <c r="I301" s="62">
        <f t="shared" ca="1" si="293"/>
        <v>491381.29237989511</v>
      </c>
      <c r="J301" s="62">
        <f t="shared" ca="1" si="274"/>
        <v>41274128.649605118</v>
      </c>
      <c r="K301" s="55"/>
      <c r="L301" s="62">
        <f t="shared" ca="1" si="294"/>
        <v>9638848.3474272005</v>
      </c>
      <c r="M301" s="68">
        <f ca="1">IF(pdrLossTime1="",OFFSET(Vectors!$AE$6,A301+_Age1,MATCH(SDA_Loss,lstSDA,0)),OFFSET(Vectors!$X$6,A301+_Age1,MATCH(pdrLossTime1,lstDefaultCurve,0)))</f>
        <v>2.7777777777777779E-5</v>
      </c>
      <c r="N301" s="62">
        <f t="shared" ca="1" si="280"/>
        <v>2777.7777777777778</v>
      </c>
      <c r="O301" s="67">
        <f t="shared" ca="1" si="295"/>
        <v>0.41274128649605119</v>
      </c>
      <c r="P301" s="68">
        <f ca="1">OFFSET(Vectors!$L$6,A301+_Age1,MATCH(pdrPrepay1,lstPrepayCurve,0))*pdrPrepayStress1</f>
        <v>5.1430128318229462E-3</v>
      </c>
      <c r="Q301" s="62">
        <f t="shared" ca="1" si="296"/>
        <v>48989.485725464947</v>
      </c>
      <c r="R301" s="62">
        <f t="shared" ca="1" si="297"/>
        <v>113370.69310431939</v>
      </c>
      <c r="S301" s="69">
        <f t="shared" ca="1" si="298"/>
        <v>0.09</v>
      </c>
      <c r="T301" s="62">
        <f t="shared" ca="1" si="299"/>
        <v>72270.529272370666</v>
      </c>
      <c r="U301" s="62">
        <f t="shared" ca="1" si="281"/>
        <v>1111.1111111111111</v>
      </c>
      <c r="V301" s="62">
        <f t="shared" ca="1" si="275"/>
        <v>9473710.390819639</v>
      </c>
      <c r="W301" s="55"/>
      <c r="X301" s="62">
        <f t="shared" ca="1" si="300"/>
        <v>235741.81921326614</v>
      </c>
      <c r="Y301" s="55"/>
      <c r="Z301" s="118" t="b">
        <v>0</v>
      </c>
      <c r="AA301" s="120" t="b">
        <f t="shared" si="282"/>
        <v>0</v>
      </c>
      <c r="AB301" s="120" t="b">
        <f t="shared" si="283"/>
        <v>1</v>
      </c>
      <c r="AC301" s="120" t="b">
        <f t="shared" ca="1" si="284"/>
        <v>0</v>
      </c>
      <c r="AD301" s="121"/>
      <c r="AE301" s="129">
        <v>0</v>
      </c>
      <c r="AF301" s="69">
        <f ca="1">IF(Swap_Active="No",0,OFFSET(Vectors!$D$6,Vectors!A301,MATCH(Swap_In,lstInterestRates,0)))</f>
        <v>6.9369000000000056E-2</v>
      </c>
      <c r="AG301" s="62">
        <f t="shared" ca="1" si="301"/>
        <v>0</v>
      </c>
      <c r="AH301" s="69">
        <f ca="1">IF(Swap_Active="No",0,OFFSET(Vectors!$D$6,Vectors!A301,MATCH(Swap_Out,lstInterestRates,0)))</f>
        <v>0.04</v>
      </c>
      <c r="AI301" s="62">
        <f t="shared" ca="1" si="302"/>
        <v>0</v>
      </c>
      <c r="AJ301" s="62">
        <f t="shared" ca="1" si="303"/>
        <v>0</v>
      </c>
      <c r="AK301" s="62">
        <f t="shared" ca="1" si="304"/>
        <v>235741.81921326614</v>
      </c>
      <c r="AL301" s="121"/>
      <c r="AM301" s="123">
        <f t="shared" ca="1" si="285"/>
        <v>16064.747245712</v>
      </c>
      <c r="AN301" s="124">
        <f t="shared" ca="1" si="305"/>
        <v>16064.747245712</v>
      </c>
      <c r="AO301" s="125">
        <f t="shared" ca="1" si="306"/>
        <v>0</v>
      </c>
      <c r="AP301" s="123">
        <f t="shared" ca="1" si="307"/>
        <v>219677.07196755413</v>
      </c>
      <c r="AQ301" s="121"/>
      <c r="AR301" s="126">
        <f ca="1">IF(LiabIntType1="Fixed",LiabFxdRate1,OFFSET(Vectors!$D$6,Vectors!A301,MATCH(LiabLoanIndex1,lstInterestRates,0))+LiabMarg1)</f>
        <v>7.9369000000000051E-2</v>
      </c>
      <c r="AS301" s="122">
        <f t="shared" ca="1" si="308"/>
        <v>0</v>
      </c>
      <c r="AT301" s="124">
        <f t="shared" ca="1" si="309"/>
        <v>0</v>
      </c>
      <c r="AU301" s="123">
        <f t="shared" ca="1" si="310"/>
        <v>0</v>
      </c>
      <c r="AV301" s="123">
        <f t="shared" ca="1" si="286"/>
        <v>0</v>
      </c>
      <c r="AW301" s="123">
        <f t="shared" ca="1" si="311"/>
        <v>0</v>
      </c>
      <c r="AX301" s="124">
        <f t="shared" ca="1" si="312"/>
        <v>219677.07196755413</v>
      </c>
      <c r="AY301" s="121"/>
      <c r="AZ301" s="122">
        <f t="shared" ca="1" si="287"/>
        <v>0</v>
      </c>
      <c r="BA301" s="124">
        <f t="shared" ca="1" si="313"/>
        <v>0</v>
      </c>
      <c r="BB301" s="123">
        <f t="shared" ca="1" si="314"/>
        <v>0</v>
      </c>
      <c r="BC301" s="123">
        <f t="shared" ca="1" si="288"/>
        <v>0</v>
      </c>
      <c r="BD301" s="123">
        <f t="shared" ca="1" si="315"/>
        <v>0</v>
      </c>
      <c r="BE301" s="124">
        <f t="shared" ca="1" si="316"/>
        <v>219677.07196755413</v>
      </c>
      <c r="BF301" s="121"/>
      <c r="BG301" s="123">
        <f t="shared" si="289"/>
        <v>1000000</v>
      </c>
      <c r="BH301" s="123">
        <f t="shared" ca="1" si="317"/>
        <v>1000000</v>
      </c>
      <c r="BI301" s="123">
        <f t="shared" ca="1" si="318"/>
        <v>0</v>
      </c>
      <c r="BJ301" s="123">
        <f t="shared" ca="1" si="319"/>
        <v>0</v>
      </c>
      <c r="BK301" s="123">
        <f t="shared" ca="1" si="276"/>
        <v>1000000</v>
      </c>
      <c r="BL301" s="123">
        <f t="shared" ca="1" si="320"/>
        <v>219677.07196755413</v>
      </c>
      <c r="BM301" s="121"/>
      <c r="BN301" s="126">
        <f ca="1">IF(LiabIntType2="Fixed",LiabFxdRate2,OFFSET(Vectors!$D$6,Vectors!A301,MATCH(LiabLoanIndex2,lstInterestRates,0))+LiabMarg2)</f>
        <v>0.04</v>
      </c>
      <c r="BO301" s="122">
        <f t="shared" ca="1" si="321"/>
        <v>23869.311479183456</v>
      </c>
      <c r="BP301" s="124">
        <f t="shared" ca="1" si="322"/>
        <v>23869.311479183456</v>
      </c>
      <c r="BQ301" s="123">
        <f t="shared" ca="1" si="323"/>
        <v>0</v>
      </c>
      <c r="BR301" s="123">
        <f t="shared" ca="1" si="324"/>
        <v>195807.76048837067</v>
      </c>
      <c r="BS301" s="121"/>
      <c r="BT301" s="123">
        <f t="shared" ca="1" si="290"/>
        <v>16931.448911052921</v>
      </c>
      <c r="BU301" s="123">
        <f t="shared" ca="1" si="325"/>
        <v>16931.448911052921</v>
      </c>
      <c r="BV301" s="123">
        <f t="shared" ca="1" si="326"/>
        <v>0</v>
      </c>
      <c r="BW301" s="123">
        <f t="shared" ca="1" si="327"/>
        <v>178876.31157731774</v>
      </c>
      <c r="BX301" s="121"/>
      <c r="BY301" s="123">
        <f t="shared" si="328"/>
        <v>0</v>
      </c>
      <c r="BZ301" s="123">
        <f t="shared" ca="1" si="329"/>
        <v>178876.31157731774</v>
      </c>
      <c r="CA301" s="121"/>
      <c r="CB301" s="122">
        <f t="shared" ca="1" si="277"/>
        <v>0</v>
      </c>
      <c r="CC301" s="122">
        <f t="shared" ca="1" si="330"/>
        <v>0</v>
      </c>
      <c r="CD301" s="124">
        <f t="shared" ca="1" si="331"/>
        <v>0</v>
      </c>
      <c r="CE301" s="121"/>
      <c r="CF301" s="122">
        <f t="shared" ca="1" si="278"/>
        <v>7143861.994843984</v>
      </c>
      <c r="CG301" s="124">
        <f t="shared" ca="1" si="332"/>
        <v>23869.311479183456</v>
      </c>
      <c r="CH301" s="123">
        <f t="shared" ca="1" si="333"/>
        <v>16931.448911052921</v>
      </c>
      <c r="CI301" s="121"/>
      <c r="CJ301" s="123">
        <f t="shared" ca="1" si="334"/>
        <v>235741.81921326614</v>
      </c>
      <c r="CK301" s="123">
        <f t="shared" ca="1" si="335"/>
        <v>235741.81921326614</v>
      </c>
      <c r="CL301" s="123">
        <f t="shared" ca="1" si="336"/>
        <v>0</v>
      </c>
      <c r="CM301" s="121"/>
      <c r="CN301" s="62">
        <f t="shared" ca="1" si="337"/>
        <v>165137.95660756211</v>
      </c>
      <c r="CO301" s="62" t="b">
        <f t="shared" si="338"/>
        <v>1</v>
      </c>
      <c r="CP301" s="126">
        <f t="shared" ca="1" si="339"/>
        <v>8.1944444444444105E-3</v>
      </c>
      <c r="CQ301" s="120"/>
      <c r="CR301" s="120"/>
      <c r="CS301" s="120"/>
      <c r="CT301" s="120"/>
      <c r="CU301" s="120"/>
      <c r="CV301" s="120"/>
      <c r="CW301" s="120"/>
      <c r="CX301" s="120"/>
      <c r="CY301" s="120"/>
      <c r="CZ301" s="120"/>
      <c r="DA301" s="120"/>
      <c r="DB301" s="120"/>
      <c r="DC301" s="120"/>
      <c r="DD301" s="120"/>
      <c r="DE301" s="116"/>
      <c r="DF301" s="116"/>
      <c r="DG301" s="116"/>
      <c r="DH301" s="116"/>
      <c r="DI301" s="116"/>
      <c r="DJ301" s="116"/>
      <c r="DK301" s="116"/>
      <c r="DL301" s="116"/>
      <c r="DM301" s="116"/>
      <c r="DN301" s="116"/>
    </row>
    <row r="302" spans="1:118" x14ac:dyDescent="0.2">
      <c r="A302" s="27">
        <v>296</v>
      </c>
      <c r="B302" s="29">
        <f t="shared" si="272"/>
        <v>48122</v>
      </c>
      <c r="C302" s="30">
        <f t="shared" si="273"/>
        <v>8.3333333333333329E-2</v>
      </c>
      <c r="D302" s="55"/>
      <c r="E302" s="62">
        <f t="shared" ca="1" si="291"/>
        <v>41274128.649605118</v>
      </c>
      <c r="F302" s="63">
        <f ca="1">IF(AssetIntType1="Fixed",AssetFxdRate1,IF(A302=1,OFFSET(Vectors!$D$6,A302,MATCH(AssetFltIndx1,lstInterestRates,0)),IF(MOD($A302,AssetRateReset1)=0,MAX(MIN(OFFSET(Vectors!$D$6,A302,MATCH(AssetFltIndx1,lstInterestRates,0)),(F301-AssetMarg1)+AssetPdCapFl1,AssetLifeCap1-AssetMarg1),(F301-AssetMarg1)-AssetPdCapFl1,AssetLifeFloor1-AssetMarg1),F301)))+AssetMarg1</f>
        <v>0.09</v>
      </c>
      <c r="G302" s="62">
        <f t="shared" ca="1" si="279"/>
        <v>804622.61694478267</v>
      </c>
      <c r="H302" s="62">
        <f t="shared" ca="1" si="292"/>
        <v>309555.9648720384</v>
      </c>
      <c r="I302" s="62">
        <f t="shared" ca="1" si="293"/>
        <v>495066.65207274427</v>
      </c>
      <c r="J302" s="62">
        <f t="shared" ca="1" si="274"/>
        <v>40779061.997532375</v>
      </c>
      <c r="K302" s="55"/>
      <c r="L302" s="62">
        <f t="shared" ca="1" si="294"/>
        <v>9473710.390819639</v>
      </c>
      <c r="M302" s="68">
        <f ca="1">IF(pdrLossTime1="",OFFSET(Vectors!$AE$6,A302+_Age1,MATCH(SDA_Loss,lstSDA,0)),OFFSET(Vectors!$X$6,A302+_Age1,MATCH(pdrLossTime1,lstDefaultCurve,0)))</f>
        <v>2.7777777777777779E-5</v>
      </c>
      <c r="N302" s="62">
        <f t="shared" ca="1" si="280"/>
        <v>2777.7777777777778</v>
      </c>
      <c r="O302" s="67">
        <f t="shared" ca="1" si="295"/>
        <v>0.40779061997532373</v>
      </c>
      <c r="P302" s="68">
        <f ca="1">OFFSET(Vectors!$L$6,A302+_Age1,MATCH(pdrPrepay1,lstPrepayCurve,0))*pdrPrepayStress1</f>
        <v>5.1430128318229462E-3</v>
      </c>
      <c r="Q302" s="62">
        <f t="shared" ca="1" si="296"/>
        <v>48138.996255626771</v>
      </c>
      <c r="R302" s="62">
        <f t="shared" ca="1" si="297"/>
        <v>113600.04569812007</v>
      </c>
      <c r="S302" s="69">
        <f t="shared" ca="1" si="298"/>
        <v>0.09</v>
      </c>
      <c r="T302" s="62">
        <f t="shared" ca="1" si="299"/>
        <v>71031.994597813959</v>
      </c>
      <c r="U302" s="62">
        <f t="shared" ca="1" si="281"/>
        <v>1111.1111111111111</v>
      </c>
      <c r="V302" s="62">
        <f t="shared" ca="1" si="275"/>
        <v>9309193.5710881148</v>
      </c>
      <c r="W302" s="55"/>
      <c r="X302" s="62">
        <f t="shared" ca="1" si="300"/>
        <v>233882.14766267192</v>
      </c>
      <c r="Y302" s="55"/>
      <c r="Z302" s="118" t="b">
        <v>0</v>
      </c>
      <c r="AA302" s="120" t="b">
        <f t="shared" si="282"/>
        <v>0</v>
      </c>
      <c r="AB302" s="120" t="b">
        <f t="shared" si="283"/>
        <v>1</v>
      </c>
      <c r="AC302" s="120" t="b">
        <f t="shared" ca="1" si="284"/>
        <v>0</v>
      </c>
      <c r="AD302" s="121"/>
      <c r="AE302" s="129">
        <v>0</v>
      </c>
      <c r="AF302" s="69">
        <f ca="1">IF(Swap_Active="No",0,OFFSET(Vectors!$D$6,Vectors!A302,MATCH(Swap_In,lstInterestRates,0)))</f>
        <v>6.9369000000000056E-2</v>
      </c>
      <c r="AG302" s="62">
        <f t="shared" ca="1" si="301"/>
        <v>0</v>
      </c>
      <c r="AH302" s="69">
        <f ca="1">IF(Swap_Active="No",0,OFFSET(Vectors!$D$6,Vectors!A302,MATCH(Swap_Out,lstInterestRates,0)))</f>
        <v>0.04</v>
      </c>
      <c r="AI302" s="62">
        <f t="shared" ca="1" si="302"/>
        <v>0</v>
      </c>
      <c r="AJ302" s="62">
        <f t="shared" ca="1" si="303"/>
        <v>0</v>
      </c>
      <c r="AK302" s="62">
        <f t="shared" ca="1" si="304"/>
        <v>233882.14766267192</v>
      </c>
      <c r="AL302" s="121"/>
      <c r="AM302" s="123">
        <f t="shared" ca="1" si="285"/>
        <v>15789.517318032731</v>
      </c>
      <c r="AN302" s="124">
        <f t="shared" ca="1" si="305"/>
        <v>15789.517318032731</v>
      </c>
      <c r="AO302" s="125">
        <f t="shared" ca="1" si="306"/>
        <v>0</v>
      </c>
      <c r="AP302" s="123">
        <f t="shared" ca="1" si="307"/>
        <v>218092.63034463918</v>
      </c>
      <c r="AQ302" s="121"/>
      <c r="AR302" s="126">
        <f ca="1">IF(LiabIntType1="Fixed",LiabFxdRate1,OFFSET(Vectors!$D$6,Vectors!A302,MATCH(LiabLoanIndex1,lstInterestRates,0))+LiabMarg1)</f>
        <v>7.9369000000000051E-2</v>
      </c>
      <c r="AS302" s="122">
        <f t="shared" ca="1" si="308"/>
        <v>0</v>
      </c>
      <c r="AT302" s="124">
        <f t="shared" ca="1" si="309"/>
        <v>0</v>
      </c>
      <c r="AU302" s="123">
        <f t="shared" ca="1" si="310"/>
        <v>0</v>
      </c>
      <c r="AV302" s="123">
        <f t="shared" ca="1" si="286"/>
        <v>0</v>
      </c>
      <c r="AW302" s="123">
        <f t="shared" ca="1" si="311"/>
        <v>0</v>
      </c>
      <c r="AX302" s="124">
        <f t="shared" ca="1" si="312"/>
        <v>218092.63034463918</v>
      </c>
      <c r="AY302" s="121"/>
      <c r="AZ302" s="122">
        <f t="shared" ca="1" si="287"/>
        <v>0</v>
      </c>
      <c r="BA302" s="124">
        <f t="shared" ca="1" si="313"/>
        <v>0</v>
      </c>
      <c r="BB302" s="123">
        <f t="shared" ca="1" si="314"/>
        <v>0</v>
      </c>
      <c r="BC302" s="123">
        <f t="shared" ca="1" si="288"/>
        <v>0</v>
      </c>
      <c r="BD302" s="123">
        <f t="shared" ca="1" si="315"/>
        <v>0</v>
      </c>
      <c r="BE302" s="124">
        <f t="shared" ca="1" si="316"/>
        <v>218092.63034463918</v>
      </c>
      <c r="BF302" s="121"/>
      <c r="BG302" s="123">
        <f t="shared" si="289"/>
        <v>1000000</v>
      </c>
      <c r="BH302" s="123">
        <f t="shared" ca="1" si="317"/>
        <v>1000000</v>
      </c>
      <c r="BI302" s="123">
        <f t="shared" ca="1" si="318"/>
        <v>0</v>
      </c>
      <c r="BJ302" s="123">
        <f t="shared" ca="1" si="319"/>
        <v>0</v>
      </c>
      <c r="BK302" s="123">
        <f t="shared" ca="1" si="276"/>
        <v>1000000</v>
      </c>
      <c r="BL302" s="123">
        <f t="shared" ca="1" si="320"/>
        <v>218092.63034463918</v>
      </c>
      <c r="BM302" s="121"/>
      <c r="BN302" s="126">
        <f ca="1">IF(LiabIntType2="Fixed",LiabFxdRate2,OFFSET(Vectors!$D$6,Vectors!A302,MATCH(LiabLoanIndex2,lstInterestRates,0))+LiabMarg2)</f>
        <v>0.04</v>
      </c>
      <c r="BO302" s="122">
        <f t="shared" ca="1" si="321"/>
        <v>23812.873316146612</v>
      </c>
      <c r="BP302" s="124">
        <f t="shared" ca="1" si="322"/>
        <v>23812.873316146612</v>
      </c>
      <c r="BQ302" s="123">
        <f t="shared" ca="1" si="323"/>
        <v>0</v>
      </c>
      <c r="BR302" s="123">
        <f t="shared" ca="1" si="324"/>
        <v>194279.75702849258</v>
      </c>
      <c r="BS302" s="121"/>
      <c r="BT302" s="123">
        <f t="shared" ca="1" si="290"/>
        <v>16867.764295477882</v>
      </c>
      <c r="BU302" s="123">
        <f t="shared" ca="1" si="325"/>
        <v>16867.764295477882</v>
      </c>
      <c r="BV302" s="123">
        <f t="shared" ca="1" si="326"/>
        <v>0</v>
      </c>
      <c r="BW302" s="123">
        <f t="shared" ca="1" si="327"/>
        <v>177411.99273301469</v>
      </c>
      <c r="BX302" s="121"/>
      <c r="BY302" s="123">
        <f t="shared" si="328"/>
        <v>0</v>
      </c>
      <c r="BZ302" s="123">
        <f t="shared" ca="1" si="329"/>
        <v>177411.99273301469</v>
      </c>
      <c r="CA302" s="121"/>
      <c r="CB302" s="122">
        <f t="shared" ca="1" si="277"/>
        <v>0</v>
      </c>
      <c r="CC302" s="122">
        <f t="shared" ca="1" si="330"/>
        <v>0</v>
      </c>
      <c r="CD302" s="124">
        <f t="shared" ca="1" si="331"/>
        <v>0</v>
      </c>
      <c r="CE302" s="121"/>
      <c r="CF302" s="122">
        <f t="shared" ca="1" si="278"/>
        <v>7126994.2305485066</v>
      </c>
      <c r="CG302" s="124">
        <f t="shared" ca="1" si="332"/>
        <v>23812.873316146612</v>
      </c>
      <c r="CH302" s="123">
        <f t="shared" ca="1" si="333"/>
        <v>16867.764295477882</v>
      </c>
      <c r="CI302" s="121"/>
      <c r="CJ302" s="123">
        <f t="shared" ca="1" si="334"/>
        <v>233882.14766267192</v>
      </c>
      <c r="CK302" s="123">
        <f t="shared" ca="1" si="335"/>
        <v>233882.14766267192</v>
      </c>
      <c r="CL302" s="123">
        <f t="shared" ca="1" si="336"/>
        <v>0</v>
      </c>
      <c r="CM302" s="121"/>
      <c r="CN302" s="62">
        <f t="shared" ca="1" si="337"/>
        <v>164516.81973152462</v>
      </c>
      <c r="CO302" s="62" t="b">
        <f t="shared" si="338"/>
        <v>1</v>
      </c>
      <c r="CP302" s="126">
        <f t="shared" ca="1" si="339"/>
        <v>8.2222222222221881E-3</v>
      </c>
      <c r="CQ302" s="120"/>
      <c r="CR302" s="120"/>
      <c r="CS302" s="120"/>
      <c r="CT302" s="120"/>
      <c r="CU302" s="120"/>
      <c r="CV302" s="120"/>
      <c r="CW302" s="120"/>
      <c r="CX302" s="120"/>
      <c r="CY302" s="120"/>
      <c r="CZ302" s="120"/>
      <c r="DA302" s="120"/>
      <c r="DB302" s="120"/>
      <c r="DC302" s="120"/>
      <c r="DD302" s="120"/>
      <c r="DE302" s="116"/>
      <c r="DF302" s="116"/>
      <c r="DG302" s="116"/>
      <c r="DH302" s="116"/>
      <c r="DI302" s="116"/>
      <c r="DJ302" s="116"/>
      <c r="DK302" s="116"/>
      <c r="DL302" s="116"/>
      <c r="DM302" s="116"/>
      <c r="DN302" s="116"/>
    </row>
    <row r="303" spans="1:118" x14ac:dyDescent="0.2">
      <c r="A303" s="27">
        <v>297</v>
      </c>
      <c r="B303" s="29">
        <f t="shared" si="272"/>
        <v>48153</v>
      </c>
      <c r="C303" s="30">
        <f t="shared" si="273"/>
        <v>8.3333333333333329E-2</v>
      </c>
      <c r="D303" s="55"/>
      <c r="E303" s="62">
        <f t="shared" ca="1" si="291"/>
        <v>40779061.997532375</v>
      </c>
      <c r="F303" s="63">
        <f ca="1">IF(AssetIntType1="Fixed",AssetFxdRate1,IF(A303=1,OFFSET(Vectors!$D$6,A303,MATCH(AssetFltIndx1,lstInterestRates,0)),IF(MOD($A303,AssetRateReset1)=0,MAX(MIN(OFFSET(Vectors!$D$6,A303,MATCH(AssetFltIndx1,lstInterestRates,0)),(F302-AssetMarg1)+AssetPdCapFl1,AssetLifeCap1-AssetMarg1),(F302-AssetMarg1)-AssetPdCapFl1,AssetLifeFloor1-AssetMarg1),F302)))+AssetMarg1</f>
        <v>0.09</v>
      </c>
      <c r="G303" s="62">
        <f t="shared" ca="1" si="279"/>
        <v>804622.61694478267</v>
      </c>
      <c r="H303" s="62">
        <f t="shared" ca="1" si="292"/>
        <v>305842.96498149278</v>
      </c>
      <c r="I303" s="62">
        <f t="shared" ca="1" si="293"/>
        <v>498779.65196328989</v>
      </c>
      <c r="J303" s="62">
        <f t="shared" ca="1" si="274"/>
        <v>40280282.345569082</v>
      </c>
      <c r="K303" s="55"/>
      <c r="L303" s="62">
        <f t="shared" ca="1" si="294"/>
        <v>9309193.5710881148</v>
      </c>
      <c r="M303" s="68">
        <f ca="1">IF(pdrLossTime1="",OFFSET(Vectors!$AE$6,A303+_Age1,MATCH(SDA_Loss,lstSDA,0)),OFFSET(Vectors!$X$6,A303+_Age1,MATCH(pdrLossTime1,lstDefaultCurve,0)))</f>
        <v>2.7777777777777779E-5</v>
      </c>
      <c r="N303" s="62">
        <f t="shared" ca="1" si="280"/>
        <v>2777.7777777777778</v>
      </c>
      <c r="O303" s="67">
        <f t="shared" ca="1" si="295"/>
        <v>0.40280282345569079</v>
      </c>
      <c r="P303" s="68">
        <f ca="1">OFFSET(Vectors!$L$6,A303+_Age1,MATCH(pdrPrepay1,lstPrepayCurve,0))*pdrPrepayStress1</f>
        <v>5.1430128318229462E-3</v>
      </c>
      <c r="Q303" s="62">
        <f t="shared" ca="1" si="296"/>
        <v>47291.70185962534</v>
      </c>
      <c r="R303" s="62">
        <f t="shared" ca="1" si="297"/>
        <v>113829.26931212653</v>
      </c>
      <c r="S303" s="69">
        <f t="shared" ca="1" si="298"/>
        <v>0.09</v>
      </c>
      <c r="T303" s="62">
        <f t="shared" ca="1" si="299"/>
        <v>69798.118449827525</v>
      </c>
      <c r="U303" s="62">
        <f t="shared" ca="1" si="281"/>
        <v>1111.1111111111111</v>
      </c>
      <c r="V303" s="62">
        <f t="shared" ca="1" si="275"/>
        <v>9145294.8221385852</v>
      </c>
      <c r="W303" s="55"/>
      <c r="X303" s="62">
        <f t="shared" ca="1" si="300"/>
        <v>232030.20073269051</v>
      </c>
      <c r="Y303" s="55"/>
      <c r="Z303" s="118" t="b">
        <v>0</v>
      </c>
      <c r="AA303" s="120" t="b">
        <f t="shared" si="282"/>
        <v>0</v>
      </c>
      <c r="AB303" s="120" t="b">
        <f t="shared" si="283"/>
        <v>1</v>
      </c>
      <c r="AC303" s="120" t="b">
        <f t="shared" ca="1" si="284"/>
        <v>0</v>
      </c>
      <c r="AD303" s="121"/>
      <c r="AE303" s="129">
        <v>0</v>
      </c>
      <c r="AF303" s="69">
        <f ca="1">IF(Swap_Active="No",0,OFFSET(Vectors!$D$6,Vectors!A303,MATCH(Swap_In,lstInterestRates,0)))</f>
        <v>6.9369000000000056E-2</v>
      </c>
      <c r="AG303" s="62">
        <f t="shared" ca="1" si="301"/>
        <v>0</v>
      </c>
      <c r="AH303" s="69">
        <f ca="1">IF(Swap_Active="No",0,OFFSET(Vectors!$D$6,Vectors!A303,MATCH(Swap_Out,lstInterestRates,0)))</f>
        <v>0.04</v>
      </c>
      <c r="AI303" s="62">
        <f t="shared" ca="1" si="302"/>
        <v>0</v>
      </c>
      <c r="AJ303" s="62">
        <f t="shared" ca="1" si="303"/>
        <v>0</v>
      </c>
      <c r="AK303" s="62">
        <f t="shared" ca="1" si="304"/>
        <v>232030.20073269051</v>
      </c>
      <c r="AL303" s="121"/>
      <c r="AM303" s="123">
        <f t="shared" ca="1" si="285"/>
        <v>15515.32261848019</v>
      </c>
      <c r="AN303" s="124">
        <f t="shared" ca="1" si="305"/>
        <v>15515.32261848019</v>
      </c>
      <c r="AO303" s="125">
        <f t="shared" ca="1" si="306"/>
        <v>0</v>
      </c>
      <c r="AP303" s="123">
        <f t="shared" ca="1" si="307"/>
        <v>216514.87811421033</v>
      </c>
      <c r="AQ303" s="121"/>
      <c r="AR303" s="126">
        <f ca="1">IF(LiabIntType1="Fixed",LiabFxdRate1,OFFSET(Vectors!$D$6,Vectors!A303,MATCH(LiabLoanIndex1,lstInterestRates,0))+LiabMarg1)</f>
        <v>7.9369000000000051E-2</v>
      </c>
      <c r="AS303" s="122">
        <f t="shared" ca="1" si="308"/>
        <v>0</v>
      </c>
      <c r="AT303" s="124">
        <f t="shared" ca="1" si="309"/>
        <v>0</v>
      </c>
      <c r="AU303" s="123">
        <f t="shared" ca="1" si="310"/>
        <v>0</v>
      </c>
      <c r="AV303" s="123">
        <f t="shared" ca="1" si="286"/>
        <v>0</v>
      </c>
      <c r="AW303" s="123">
        <f t="shared" ca="1" si="311"/>
        <v>0</v>
      </c>
      <c r="AX303" s="124">
        <f t="shared" ca="1" si="312"/>
        <v>216514.87811421033</v>
      </c>
      <c r="AY303" s="121"/>
      <c r="AZ303" s="122">
        <f t="shared" ca="1" si="287"/>
        <v>0</v>
      </c>
      <c r="BA303" s="124">
        <f t="shared" ca="1" si="313"/>
        <v>0</v>
      </c>
      <c r="BB303" s="123">
        <f t="shared" ca="1" si="314"/>
        <v>0</v>
      </c>
      <c r="BC303" s="123">
        <f t="shared" ca="1" si="288"/>
        <v>0</v>
      </c>
      <c r="BD303" s="123">
        <f t="shared" ca="1" si="315"/>
        <v>0</v>
      </c>
      <c r="BE303" s="124">
        <f t="shared" ca="1" si="316"/>
        <v>216514.87811421033</v>
      </c>
      <c r="BF303" s="121"/>
      <c r="BG303" s="123">
        <f t="shared" si="289"/>
        <v>1000000</v>
      </c>
      <c r="BH303" s="123">
        <f t="shared" ca="1" si="317"/>
        <v>1000000</v>
      </c>
      <c r="BI303" s="123">
        <f t="shared" ca="1" si="318"/>
        <v>0</v>
      </c>
      <c r="BJ303" s="123">
        <f t="shared" ca="1" si="319"/>
        <v>0</v>
      </c>
      <c r="BK303" s="123">
        <f t="shared" ca="1" si="276"/>
        <v>1000000</v>
      </c>
      <c r="BL303" s="123">
        <f t="shared" ca="1" si="320"/>
        <v>216514.87811421033</v>
      </c>
      <c r="BM303" s="121"/>
      <c r="BN303" s="126">
        <f ca="1">IF(LiabIntType2="Fixed",LiabFxdRate2,OFFSET(Vectors!$D$6,Vectors!A303,MATCH(LiabLoanIndex2,lstInterestRates,0))+LiabMarg2)</f>
        <v>0.04</v>
      </c>
      <c r="BO303" s="122">
        <f t="shared" ca="1" si="321"/>
        <v>23756.647435161689</v>
      </c>
      <c r="BP303" s="124">
        <f t="shared" ca="1" si="322"/>
        <v>23756.647435161689</v>
      </c>
      <c r="BQ303" s="123">
        <f t="shared" ca="1" si="323"/>
        <v>0</v>
      </c>
      <c r="BR303" s="123">
        <f t="shared" ca="1" si="324"/>
        <v>192758.23067904863</v>
      </c>
      <c r="BS303" s="121"/>
      <c r="BT303" s="123">
        <f t="shared" ca="1" si="290"/>
        <v>16804.394043818349</v>
      </c>
      <c r="BU303" s="123">
        <f t="shared" ca="1" si="325"/>
        <v>16804.394043818349</v>
      </c>
      <c r="BV303" s="123">
        <f t="shared" ca="1" si="326"/>
        <v>0</v>
      </c>
      <c r="BW303" s="123">
        <f t="shared" ca="1" si="327"/>
        <v>175953.83663523028</v>
      </c>
      <c r="BX303" s="121"/>
      <c r="BY303" s="123">
        <f t="shared" si="328"/>
        <v>0</v>
      </c>
      <c r="BZ303" s="123">
        <f t="shared" ca="1" si="329"/>
        <v>175953.83663523028</v>
      </c>
      <c r="CA303" s="121"/>
      <c r="CB303" s="122">
        <f t="shared" ca="1" si="277"/>
        <v>0</v>
      </c>
      <c r="CC303" s="122">
        <f t="shared" ca="1" si="330"/>
        <v>0</v>
      </c>
      <c r="CD303" s="124">
        <f t="shared" ca="1" si="331"/>
        <v>0</v>
      </c>
      <c r="CE303" s="121"/>
      <c r="CF303" s="122">
        <f t="shared" ca="1" si="278"/>
        <v>7110189.8365046885</v>
      </c>
      <c r="CG303" s="124">
        <f t="shared" ca="1" si="332"/>
        <v>23756.647435161689</v>
      </c>
      <c r="CH303" s="123">
        <f t="shared" ca="1" si="333"/>
        <v>16804.394043818349</v>
      </c>
      <c r="CI303" s="121"/>
      <c r="CJ303" s="123">
        <f t="shared" ca="1" si="334"/>
        <v>232030.20073269051</v>
      </c>
      <c r="CK303" s="123">
        <f t="shared" ca="1" si="335"/>
        <v>232030.20073269051</v>
      </c>
      <c r="CL303" s="123">
        <f t="shared" ca="1" si="336"/>
        <v>0</v>
      </c>
      <c r="CM303" s="121"/>
      <c r="CN303" s="62">
        <f t="shared" ca="1" si="337"/>
        <v>163898.74894952966</v>
      </c>
      <c r="CO303" s="62" t="b">
        <f t="shared" si="338"/>
        <v>1</v>
      </c>
      <c r="CP303" s="126">
        <f t="shared" ca="1" si="339"/>
        <v>8.2499999999999657E-3</v>
      </c>
      <c r="CQ303" s="120"/>
      <c r="CR303" s="120"/>
      <c r="CS303" s="120"/>
      <c r="CT303" s="120"/>
      <c r="CU303" s="120"/>
      <c r="CV303" s="120"/>
      <c r="CW303" s="120"/>
      <c r="CX303" s="120"/>
      <c r="CY303" s="120"/>
      <c r="CZ303" s="120"/>
      <c r="DA303" s="120"/>
      <c r="DB303" s="120"/>
      <c r="DC303" s="120"/>
      <c r="DD303" s="120"/>
      <c r="DE303" s="116"/>
      <c r="DF303" s="116"/>
      <c r="DG303" s="116"/>
      <c r="DH303" s="116"/>
      <c r="DI303" s="116"/>
      <c r="DJ303" s="116"/>
      <c r="DK303" s="116"/>
      <c r="DL303" s="116"/>
      <c r="DM303" s="116"/>
      <c r="DN303" s="116"/>
    </row>
    <row r="304" spans="1:118" x14ac:dyDescent="0.2">
      <c r="A304" s="27">
        <v>298</v>
      </c>
      <c r="B304" s="29">
        <f t="shared" si="272"/>
        <v>48183</v>
      </c>
      <c r="C304" s="30">
        <f t="shared" si="273"/>
        <v>8.3333333333333329E-2</v>
      </c>
      <c r="D304" s="55"/>
      <c r="E304" s="62">
        <f t="shared" ca="1" si="291"/>
        <v>40280282.345569082</v>
      </c>
      <c r="F304" s="63">
        <f ca="1">IF(AssetIntType1="Fixed",AssetFxdRate1,IF(A304=1,OFFSET(Vectors!$D$6,A304,MATCH(AssetFltIndx1,lstInterestRates,0)),IF(MOD($A304,AssetRateReset1)=0,MAX(MIN(OFFSET(Vectors!$D$6,A304,MATCH(AssetFltIndx1,lstInterestRates,0)),(F303-AssetMarg1)+AssetPdCapFl1,AssetLifeCap1-AssetMarg1),(F303-AssetMarg1)-AssetPdCapFl1,AssetLifeFloor1-AssetMarg1),F303)))+AssetMarg1</f>
        <v>0.09</v>
      </c>
      <c r="G304" s="62">
        <f t="shared" ca="1" si="279"/>
        <v>804622.61694478267</v>
      </c>
      <c r="H304" s="62">
        <f t="shared" ca="1" si="292"/>
        <v>302102.1175917681</v>
      </c>
      <c r="I304" s="62">
        <f t="shared" ca="1" si="293"/>
        <v>502520.49935301457</v>
      </c>
      <c r="J304" s="62">
        <f t="shared" ca="1" si="274"/>
        <v>39777761.846216068</v>
      </c>
      <c r="K304" s="55"/>
      <c r="L304" s="62">
        <f t="shared" ca="1" si="294"/>
        <v>9145294.8221385852</v>
      </c>
      <c r="M304" s="68">
        <f ca="1">IF(pdrLossTime1="",OFFSET(Vectors!$AE$6,A304+_Age1,MATCH(SDA_Loss,lstSDA,0)),OFFSET(Vectors!$X$6,A304+_Age1,MATCH(pdrLossTime1,lstDefaultCurve,0)))</f>
        <v>2.7777777777777779E-5</v>
      </c>
      <c r="N304" s="62">
        <f t="shared" ca="1" si="280"/>
        <v>2777.7777777777778</v>
      </c>
      <c r="O304" s="67">
        <f t="shared" ca="1" si="295"/>
        <v>0.3977776184621607</v>
      </c>
      <c r="P304" s="68">
        <f ca="1">OFFSET(Vectors!$L$6,A304+_Age1,MATCH(pdrPrepay1,lstPrepayCurve,0))*pdrPrepayStress1</f>
        <v>5.1430128318229462E-3</v>
      </c>
      <c r="Q304" s="62">
        <f t="shared" ca="1" si="296"/>
        <v>46447.586875010464</v>
      </c>
      <c r="R304" s="62">
        <f t="shared" ca="1" si="297"/>
        <v>114058.34226931565</v>
      </c>
      <c r="S304" s="69">
        <f t="shared" ca="1" si="298"/>
        <v>0.09</v>
      </c>
      <c r="T304" s="62">
        <f t="shared" ca="1" si="299"/>
        <v>68568.877832706057</v>
      </c>
      <c r="U304" s="62">
        <f t="shared" ca="1" si="281"/>
        <v>1111.1111111111111</v>
      </c>
      <c r="V304" s="62">
        <f t="shared" ca="1" si="275"/>
        <v>8982011.1152164806</v>
      </c>
      <c r="W304" s="55"/>
      <c r="X304" s="62">
        <f t="shared" ca="1" si="300"/>
        <v>230185.91808814328</v>
      </c>
      <c r="Y304" s="55"/>
      <c r="Z304" s="118" t="b">
        <v>0</v>
      </c>
      <c r="AA304" s="120" t="b">
        <f t="shared" si="282"/>
        <v>0</v>
      </c>
      <c r="AB304" s="120" t="b">
        <f t="shared" si="283"/>
        <v>1</v>
      </c>
      <c r="AC304" s="120" t="b">
        <f t="shared" ca="1" si="284"/>
        <v>0</v>
      </c>
      <c r="AD304" s="121"/>
      <c r="AE304" s="129">
        <v>0</v>
      </c>
      <c r="AF304" s="69">
        <f ca="1">IF(Swap_Active="No",0,OFFSET(Vectors!$D$6,Vectors!A304,MATCH(Swap_In,lstInterestRates,0)))</f>
        <v>6.9369000000000056E-2</v>
      </c>
      <c r="AG304" s="62">
        <f t="shared" ca="1" si="301"/>
        <v>0</v>
      </c>
      <c r="AH304" s="69">
        <f ca="1">IF(Swap_Active="No",0,OFFSET(Vectors!$D$6,Vectors!A304,MATCH(Swap_Out,lstInterestRates,0)))</f>
        <v>0.04</v>
      </c>
      <c r="AI304" s="62">
        <f t="shared" ca="1" si="302"/>
        <v>0</v>
      </c>
      <c r="AJ304" s="62">
        <f t="shared" ca="1" si="303"/>
        <v>0</v>
      </c>
      <c r="AK304" s="62">
        <f t="shared" ca="1" si="304"/>
        <v>230185.91808814328</v>
      </c>
      <c r="AL304" s="121"/>
      <c r="AM304" s="123">
        <f t="shared" ca="1" si="285"/>
        <v>15242.158036897641</v>
      </c>
      <c r="AN304" s="124">
        <f t="shared" ca="1" si="305"/>
        <v>15242.158036897641</v>
      </c>
      <c r="AO304" s="125">
        <f t="shared" ca="1" si="306"/>
        <v>0</v>
      </c>
      <c r="AP304" s="123">
        <f t="shared" ca="1" si="307"/>
        <v>214943.76005124566</v>
      </c>
      <c r="AQ304" s="121"/>
      <c r="AR304" s="126">
        <f ca="1">IF(LiabIntType1="Fixed",LiabFxdRate1,OFFSET(Vectors!$D$6,Vectors!A304,MATCH(LiabLoanIndex1,lstInterestRates,0))+LiabMarg1)</f>
        <v>7.9369000000000051E-2</v>
      </c>
      <c r="AS304" s="122">
        <f t="shared" ca="1" si="308"/>
        <v>0</v>
      </c>
      <c r="AT304" s="124">
        <f t="shared" ca="1" si="309"/>
        <v>0</v>
      </c>
      <c r="AU304" s="123">
        <f t="shared" ca="1" si="310"/>
        <v>0</v>
      </c>
      <c r="AV304" s="123">
        <f t="shared" ca="1" si="286"/>
        <v>0</v>
      </c>
      <c r="AW304" s="123">
        <f t="shared" ca="1" si="311"/>
        <v>0</v>
      </c>
      <c r="AX304" s="124">
        <f t="shared" ca="1" si="312"/>
        <v>214943.76005124566</v>
      </c>
      <c r="AY304" s="121"/>
      <c r="AZ304" s="122">
        <f t="shared" ca="1" si="287"/>
        <v>0</v>
      </c>
      <c r="BA304" s="124">
        <f t="shared" ca="1" si="313"/>
        <v>0</v>
      </c>
      <c r="BB304" s="123">
        <f t="shared" ca="1" si="314"/>
        <v>0</v>
      </c>
      <c r="BC304" s="123">
        <f t="shared" ca="1" si="288"/>
        <v>0</v>
      </c>
      <c r="BD304" s="123">
        <f t="shared" ca="1" si="315"/>
        <v>0</v>
      </c>
      <c r="BE304" s="124">
        <f t="shared" ca="1" si="316"/>
        <v>214943.76005124566</v>
      </c>
      <c r="BF304" s="121"/>
      <c r="BG304" s="123">
        <f t="shared" si="289"/>
        <v>1000000</v>
      </c>
      <c r="BH304" s="123">
        <f t="shared" ca="1" si="317"/>
        <v>1000000</v>
      </c>
      <c r="BI304" s="123">
        <f t="shared" ca="1" si="318"/>
        <v>0</v>
      </c>
      <c r="BJ304" s="123">
        <f t="shared" ca="1" si="319"/>
        <v>0</v>
      </c>
      <c r="BK304" s="123">
        <f t="shared" ca="1" si="276"/>
        <v>1000000</v>
      </c>
      <c r="BL304" s="123">
        <f t="shared" ca="1" si="320"/>
        <v>214943.76005124566</v>
      </c>
      <c r="BM304" s="121"/>
      <c r="BN304" s="126">
        <f ca="1">IF(LiabIntType2="Fixed",LiabFxdRate2,OFFSET(Vectors!$D$6,Vectors!A304,MATCH(LiabLoanIndex2,lstInterestRates,0))+LiabMarg2)</f>
        <v>0.04</v>
      </c>
      <c r="BO304" s="122">
        <f t="shared" ca="1" si="321"/>
        <v>23700.632788348961</v>
      </c>
      <c r="BP304" s="124">
        <f t="shared" ca="1" si="322"/>
        <v>23700.632788348961</v>
      </c>
      <c r="BQ304" s="123">
        <f t="shared" ca="1" si="323"/>
        <v>0</v>
      </c>
      <c r="BR304" s="123">
        <f t="shared" ca="1" si="324"/>
        <v>191243.12726289668</v>
      </c>
      <c r="BS304" s="121"/>
      <c r="BT304" s="123">
        <f t="shared" ca="1" si="290"/>
        <v>16741.334327691082</v>
      </c>
      <c r="BU304" s="123">
        <f t="shared" ca="1" si="325"/>
        <v>16741.334327691082</v>
      </c>
      <c r="BV304" s="123">
        <f t="shared" ca="1" si="326"/>
        <v>0</v>
      </c>
      <c r="BW304" s="123">
        <f t="shared" ca="1" si="327"/>
        <v>174501.79293520559</v>
      </c>
      <c r="BX304" s="121"/>
      <c r="BY304" s="123">
        <f t="shared" si="328"/>
        <v>0</v>
      </c>
      <c r="BZ304" s="123">
        <f t="shared" ca="1" si="329"/>
        <v>174501.79293520559</v>
      </c>
      <c r="CA304" s="121"/>
      <c r="CB304" s="122">
        <f t="shared" ca="1" si="277"/>
        <v>0</v>
      </c>
      <c r="CC304" s="122">
        <f t="shared" ca="1" si="330"/>
        <v>0</v>
      </c>
      <c r="CD304" s="124">
        <f t="shared" ca="1" si="331"/>
        <v>0</v>
      </c>
      <c r="CE304" s="121"/>
      <c r="CF304" s="122">
        <f t="shared" ca="1" si="278"/>
        <v>7093448.5021769973</v>
      </c>
      <c r="CG304" s="124">
        <f t="shared" ca="1" si="332"/>
        <v>23700.632788348961</v>
      </c>
      <c r="CH304" s="123">
        <f t="shared" ca="1" si="333"/>
        <v>16741.334327691082</v>
      </c>
      <c r="CI304" s="121"/>
      <c r="CJ304" s="123">
        <f t="shared" ca="1" si="334"/>
        <v>230185.91808814328</v>
      </c>
      <c r="CK304" s="123">
        <f t="shared" ca="1" si="335"/>
        <v>230185.91808814328</v>
      </c>
      <c r="CL304" s="123">
        <f t="shared" ca="1" si="336"/>
        <v>0</v>
      </c>
      <c r="CM304" s="121"/>
      <c r="CN304" s="62">
        <f t="shared" ca="1" si="337"/>
        <v>163283.70692210388</v>
      </c>
      <c r="CO304" s="62" t="b">
        <f t="shared" si="338"/>
        <v>1</v>
      </c>
      <c r="CP304" s="126">
        <f t="shared" ca="1" si="339"/>
        <v>8.2777777777777433E-3</v>
      </c>
      <c r="CQ304" s="120"/>
      <c r="CR304" s="120"/>
      <c r="CS304" s="120"/>
      <c r="CT304" s="120"/>
      <c r="CU304" s="120"/>
      <c r="CV304" s="120"/>
      <c r="CW304" s="120"/>
      <c r="CX304" s="120"/>
      <c r="CY304" s="120"/>
      <c r="CZ304" s="120"/>
      <c r="DA304" s="120"/>
      <c r="DB304" s="120"/>
      <c r="DC304" s="120"/>
      <c r="DD304" s="120"/>
      <c r="DE304" s="116"/>
      <c r="DF304" s="116"/>
      <c r="DG304" s="116"/>
      <c r="DH304" s="116"/>
      <c r="DI304" s="116"/>
      <c r="DJ304" s="116"/>
      <c r="DK304" s="116"/>
      <c r="DL304" s="116"/>
      <c r="DM304" s="116"/>
      <c r="DN304" s="116"/>
    </row>
    <row r="305" spans="1:118" x14ac:dyDescent="0.2">
      <c r="A305" s="27">
        <v>299</v>
      </c>
      <c r="B305" s="29">
        <f t="shared" si="272"/>
        <v>48214</v>
      </c>
      <c r="C305" s="30">
        <f t="shared" si="273"/>
        <v>8.3333333333333329E-2</v>
      </c>
      <c r="D305" s="55"/>
      <c r="E305" s="62">
        <f t="shared" ca="1" si="291"/>
        <v>39777761.846216068</v>
      </c>
      <c r="F305" s="63">
        <f ca="1">IF(AssetIntType1="Fixed",AssetFxdRate1,IF(A305=1,OFFSET(Vectors!$D$6,A305,MATCH(AssetFltIndx1,lstInterestRates,0)),IF(MOD($A305,AssetRateReset1)=0,MAX(MIN(OFFSET(Vectors!$D$6,A305,MATCH(AssetFltIndx1,lstInterestRates,0)),(F304-AssetMarg1)+AssetPdCapFl1,AssetLifeCap1-AssetMarg1),(F304-AssetMarg1)-AssetPdCapFl1,AssetLifeFloor1-AssetMarg1),F304)))+AssetMarg1</f>
        <v>0.09</v>
      </c>
      <c r="G305" s="62">
        <f t="shared" ca="1" si="279"/>
        <v>804622.61694478267</v>
      </c>
      <c r="H305" s="62">
        <f t="shared" ca="1" si="292"/>
        <v>298333.21384662052</v>
      </c>
      <c r="I305" s="62">
        <f t="shared" ca="1" si="293"/>
        <v>506289.40309816215</v>
      </c>
      <c r="J305" s="62">
        <f t="shared" ca="1" si="274"/>
        <v>39271472.443117909</v>
      </c>
      <c r="K305" s="55"/>
      <c r="L305" s="62">
        <f t="shared" ca="1" si="294"/>
        <v>8982011.1152164806</v>
      </c>
      <c r="M305" s="68">
        <f ca="1">IF(pdrLossTime1="",OFFSET(Vectors!$AE$6,A305+_Age1,MATCH(SDA_Loss,lstSDA,0)),OFFSET(Vectors!$X$6,A305+_Age1,MATCH(pdrLossTime1,lstDefaultCurve,0)))</f>
        <v>2.7777777777777779E-5</v>
      </c>
      <c r="N305" s="62">
        <f t="shared" ca="1" si="280"/>
        <v>2777.7777777777778</v>
      </c>
      <c r="O305" s="67">
        <f t="shared" ca="1" si="295"/>
        <v>0.39271472443117911</v>
      </c>
      <c r="P305" s="68">
        <f ca="1">OFFSET(Vectors!$L$6,A305+_Age1,MATCH(pdrPrepay1,lstPrepayCurve,0))*pdrPrepayStress1</f>
        <v>5.1430128318229462E-3</v>
      </c>
      <c r="Q305" s="62">
        <f t="shared" ca="1" si="296"/>
        <v>45606.635836627938</v>
      </c>
      <c r="R305" s="62">
        <f t="shared" ca="1" si="297"/>
        <v>114287.24180778424</v>
      </c>
      <c r="S305" s="69">
        <f t="shared" ca="1" si="298"/>
        <v>0.09</v>
      </c>
      <c r="T305" s="62">
        <f t="shared" ca="1" si="299"/>
        <v>67344.250030790266</v>
      </c>
      <c r="U305" s="62">
        <f t="shared" ca="1" si="281"/>
        <v>1111.1111111111111</v>
      </c>
      <c r="V305" s="62">
        <f t="shared" ca="1" si="275"/>
        <v>8819339.4597942904</v>
      </c>
      <c r="W305" s="55"/>
      <c r="X305" s="62">
        <f t="shared" ca="1" si="300"/>
        <v>228349.23878631357</v>
      </c>
      <c r="Y305" s="55"/>
      <c r="Z305" s="118" t="b">
        <v>0</v>
      </c>
      <c r="AA305" s="120" t="b">
        <f t="shared" si="282"/>
        <v>0</v>
      </c>
      <c r="AB305" s="120" t="b">
        <f t="shared" si="283"/>
        <v>1</v>
      </c>
      <c r="AC305" s="120" t="b">
        <f t="shared" ca="1" si="284"/>
        <v>0</v>
      </c>
      <c r="AD305" s="121"/>
      <c r="AE305" s="129">
        <v>0</v>
      </c>
      <c r="AF305" s="69">
        <f ca="1">IF(Swap_Active="No",0,OFFSET(Vectors!$D$6,Vectors!A305,MATCH(Swap_In,lstInterestRates,0)))</f>
        <v>6.9369000000000056E-2</v>
      </c>
      <c r="AG305" s="62">
        <f t="shared" ca="1" si="301"/>
        <v>0</v>
      </c>
      <c r="AH305" s="69">
        <f ca="1">IF(Swap_Active="No",0,OFFSET(Vectors!$D$6,Vectors!A305,MATCH(Swap_Out,lstInterestRates,0)))</f>
        <v>0.04</v>
      </c>
      <c r="AI305" s="62">
        <f t="shared" ca="1" si="302"/>
        <v>0</v>
      </c>
      <c r="AJ305" s="62">
        <f t="shared" ca="1" si="303"/>
        <v>0</v>
      </c>
      <c r="AK305" s="62">
        <f t="shared" ca="1" si="304"/>
        <v>228349.23878631357</v>
      </c>
      <c r="AL305" s="121"/>
      <c r="AM305" s="123">
        <f t="shared" ca="1" si="285"/>
        <v>14970.0185253608</v>
      </c>
      <c r="AN305" s="124">
        <f t="shared" ca="1" si="305"/>
        <v>14970.0185253608</v>
      </c>
      <c r="AO305" s="125">
        <f t="shared" ca="1" si="306"/>
        <v>0</v>
      </c>
      <c r="AP305" s="123">
        <f t="shared" ca="1" si="307"/>
        <v>213379.22026095277</v>
      </c>
      <c r="AQ305" s="121"/>
      <c r="AR305" s="126">
        <f ca="1">IF(LiabIntType1="Fixed",LiabFxdRate1,OFFSET(Vectors!$D$6,Vectors!A305,MATCH(LiabLoanIndex1,lstInterestRates,0))+LiabMarg1)</f>
        <v>7.9369000000000051E-2</v>
      </c>
      <c r="AS305" s="122">
        <f t="shared" ca="1" si="308"/>
        <v>0</v>
      </c>
      <c r="AT305" s="124">
        <f t="shared" ca="1" si="309"/>
        <v>0</v>
      </c>
      <c r="AU305" s="123">
        <f t="shared" ca="1" si="310"/>
        <v>0</v>
      </c>
      <c r="AV305" s="123">
        <f t="shared" ca="1" si="286"/>
        <v>0</v>
      </c>
      <c r="AW305" s="123">
        <f t="shared" ca="1" si="311"/>
        <v>0</v>
      </c>
      <c r="AX305" s="124">
        <f t="shared" ca="1" si="312"/>
        <v>213379.22026095277</v>
      </c>
      <c r="AY305" s="121"/>
      <c r="AZ305" s="122">
        <f t="shared" ca="1" si="287"/>
        <v>0</v>
      </c>
      <c r="BA305" s="124">
        <f t="shared" ca="1" si="313"/>
        <v>0</v>
      </c>
      <c r="BB305" s="123">
        <f t="shared" ca="1" si="314"/>
        <v>0</v>
      </c>
      <c r="BC305" s="123">
        <f t="shared" ca="1" si="288"/>
        <v>0</v>
      </c>
      <c r="BD305" s="123">
        <f t="shared" ca="1" si="315"/>
        <v>0</v>
      </c>
      <c r="BE305" s="124">
        <f t="shared" ca="1" si="316"/>
        <v>213379.22026095277</v>
      </c>
      <c r="BF305" s="121"/>
      <c r="BG305" s="123">
        <f t="shared" si="289"/>
        <v>1000000</v>
      </c>
      <c r="BH305" s="123">
        <f t="shared" ca="1" si="317"/>
        <v>1000000</v>
      </c>
      <c r="BI305" s="123">
        <f t="shared" ca="1" si="318"/>
        <v>0</v>
      </c>
      <c r="BJ305" s="123">
        <f t="shared" ca="1" si="319"/>
        <v>0</v>
      </c>
      <c r="BK305" s="123">
        <f t="shared" ca="1" si="276"/>
        <v>1000000</v>
      </c>
      <c r="BL305" s="123">
        <f t="shared" ca="1" si="320"/>
        <v>213379.22026095277</v>
      </c>
      <c r="BM305" s="121"/>
      <c r="BN305" s="126">
        <f ca="1">IF(LiabIntType2="Fixed",LiabFxdRate2,OFFSET(Vectors!$D$6,Vectors!A305,MATCH(LiabLoanIndex2,lstInterestRates,0))+LiabMarg2)</f>
        <v>0.04</v>
      </c>
      <c r="BO305" s="122">
        <f t="shared" ca="1" si="321"/>
        <v>23644.828340589989</v>
      </c>
      <c r="BP305" s="124">
        <f t="shared" ca="1" si="322"/>
        <v>23644.828340589989</v>
      </c>
      <c r="BQ305" s="123">
        <f t="shared" ca="1" si="323"/>
        <v>0</v>
      </c>
      <c r="BR305" s="123">
        <f t="shared" ca="1" si="324"/>
        <v>189734.39192036277</v>
      </c>
      <c r="BS305" s="121"/>
      <c r="BT305" s="123">
        <f t="shared" ca="1" si="290"/>
        <v>16678.581227709637</v>
      </c>
      <c r="BU305" s="123">
        <f t="shared" ca="1" si="325"/>
        <v>16678.581227709637</v>
      </c>
      <c r="BV305" s="123">
        <f t="shared" ca="1" si="326"/>
        <v>0</v>
      </c>
      <c r="BW305" s="123">
        <f t="shared" ca="1" si="327"/>
        <v>173055.81069265315</v>
      </c>
      <c r="BX305" s="121"/>
      <c r="BY305" s="123">
        <f t="shared" si="328"/>
        <v>0</v>
      </c>
      <c r="BZ305" s="123">
        <f t="shared" ca="1" si="329"/>
        <v>173055.81069265315</v>
      </c>
      <c r="CA305" s="121"/>
      <c r="CB305" s="122">
        <f t="shared" ca="1" si="277"/>
        <v>0</v>
      </c>
      <c r="CC305" s="122">
        <f t="shared" ca="1" si="330"/>
        <v>0</v>
      </c>
      <c r="CD305" s="124">
        <f t="shared" ca="1" si="331"/>
        <v>0</v>
      </c>
      <c r="CE305" s="121"/>
      <c r="CF305" s="122">
        <f t="shared" ca="1" si="278"/>
        <v>7076769.9209492877</v>
      </c>
      <c r="CG305" s="124">
        <f t="shared" ca="1" si="332"/>
        <v>23644.828340589989</v>
      </c>
      <c r="CH305" s="123">
        <f t="shared" ca="1" si="333"/>
        <v>16678.581227709637</v>
      </c>
      <c r="CI305" s="121"/>
      <c r="CJ305" s="123">
        <f t="shared" ca="1" si="334"/>
        <v>228349.23878631357</v>
      </c>
      <c r="CK305" s="123">
        <f t="shared" ca="1" si="335"/>
        <v>228349.23878631357</v>
      </c>
      <c r="CL305" s="123">
        <f t="shared" ca="1" si="336"/>
        <v>0</v>
      </c>
      <c r="CM305" s="121"/>
      <c r="CN305" s="62">
        <f t="shared" ca="1" si="337"/>
        <v>162671.65542218997</v>
      </c>
      <c r="CO305" s="62" t="b">
        <f t="shared" si="338"/>
        <v>1</v>
      </c>
      <c r="CP305" s="126">
        <f t="shared" ca="1" si="339"/>
        <v>8.3055555555555209E-3</v>
      </c>
      <c r="CQ305" s="120"/>
      <c r="CR305" s="120"/>
      <c r="CS305" s="120"/>
      <c r="CT305" s="120"/>
      <c r="CU305" s="120"/>
      <c r="CV305" s="120"/>
      <c r="CW305" s="120"/>
      <c r="CX305" s="120"/>
      <c r="CY305" s="120"/>
      <c r="CZ305" s="120"/>
      <c r="DA305" s="120"/>
      <c r="DB305" s="120"/>
      <c r="DC305" s="120"/>
      <c r="DD305" s="120"/>
      <c r="DE305" s="116"/>
      <c r="DF305" s="116"/>
      <c r="DG305" s="116"/>
      <c r="DH305" s="116"/>
      <c r="DI305" s="116"/>
      <c r="DJ305" s="116"/>
      <c r="DK305" s="116"/>
      <c r="DL305" s="116"/>
      <c r="DM305" s="116"/>
      <c r="DN305" s="116"/>
    </row>
    <row r="306" spans="1:118" x14ac:dyDescent="0.2">
      <c r="A306" s="27">
        <v>300</v>
      </c>
      <c r="B306" s="29">
        <f t="shared" si="272"/>
        <v>48245</v>
      </c>
      <c r="C306" s="30">
        <f t="shared" si="273"/>
        <v>8.3333333333333329E-2</v>
      </c>
      <c r="D306" s="55"/>
      <c r="E306" s="62">
        <f t="shared" ca="1" si="291"/>
        <v>39271472.443117909</v>
      </c>
      <c r="F306" s="63">
        <f ca="1">IF(AssetIntType1="Fixed",AssetFxdRate1,IF(A306=1,OFFSET(Vectors!$D$6,A306,MATCH(AssetFltIndx1,lstInterestRates,0)),IF(MOD($A306,AssetRateReset1)=0,MAX(MIN(OFFSET(Vectors!$D$6,A306,MATCH(AssetFltIndx1,lstInterestRates,0)),(F305-AssetMarg1)+AssetPdCapFl1,AssetLifeCap1-AssetMarg1),(F305-AssetMarg1)-AssetPdCapFl1,AssetLifeFloor1-AssetMarg1),F305)))+AssetMarg1</f>
        <v>0.09</v>
      </c>
      <c r="G306" s="62">
        <f t="shared" ca="1" si="279"/>
        <v>804622.61694478267</v>
      </c>
      <c r="H306" s="62">
        <f t="shared" ca="1" si="292"/>
        <v>294536.04332338431</v>
      </c>
      <c r="I306" s="62">
        <f t="shared" ca="1" si="293"/>
        <v>510086.57362139836</v>
      </c>
      <c r="J306" s="62">
        <f t="shared" ca="1" si="274"/>
        <v>38761385.869496509</v>
      </c>
      <c r="K306" s="55"/>
      <c r="L306" s="62">
        <f t="shared" ca="1" si="294"/>
        <v>8819339.4597942904</v>
      </c>
      <c r="M306" s="68">
        <f ca="1">IF(pdrLossTime1="",OFFSET(Vectors!$AE$6,A306+_Age1,MATCH(SDA_Loss,lstSDA,0)),OFFSET(Vectors!$X$6,A306+_Age1,MATCH(pdrLossTime1,lstDefaultCurve,0)))</f>
        <v>2.7777777777777779E-5</v>
      </c>
      <c r="N306" s="62">
        <f t="shared" ca="1" si="280"/>
        <v>2777.7777777777778</v>
      </c>
      <c r="O306" s="67">
        <f t="shared" ca="1" si="295"/>
        <v>0.38761385869496512</v>
      </c>
      <c r="P306" s="68">
        <f ca="1">OFFSET(Vectors!$L$6,A306+_Age1,MATCH(pdrPrepay1,lstPrepayCurve,0))*pdrPrepayStress1</f>
        <v>5.1430128318229462E-3</v>
      </c>
      <c r="Q306" s="62">
        <f t="shared" ca="1" si="296"/>
        <v>44768.833481520043</v>
      </c>
      <c r="R306" s="62">
        <f t="shared" ca="1" si="297"/>
        <v>114515.94401038621</v>
      </c>
      <c r="S306" s="69">
        <f t="shared" ca="1" si="298"/>
        <v>0.09</v>
      </c>
      <c r="T306" s="62">
        <f t="shared" ca="1" si="299"/>
        <v>66124.212615123834</v>
      </c>
      <c r="U306" s="62">
        <f t="shared" ca="1" si="281"/>
        <v>1111.1111111111111</v>
      </c>
      <c r="V306" s="62">
        <f t="shared" ca="1" si="275"/>
        <v>8657276.9045246057</v>
      </c>
      <c r="W306" s="55"/>
      <c r="X306" s="62">
        <f t="shared" ca="1" si="300"/>
        <v>226520.10121814121</v>
      </c>
      <c r="Y306" s="55"/>
      <c r="Z306" s="118" t="b">
        <v>0</v>
      </c>
      <c r="AA306" s="120" t="b">
        <f t="shared" si="282"/>
        <v>0</v>
      </c>
      <c r="AB306" s="120" t="b">
        <f t="shared" si="283"/>
        <v>1</v>
      </c>
      <c r="AC306" s="120" t="b">
        <f t="shared" ca="1" si="284"/>
        <v>0</v>
      </c>
      <c r="AD306" s="121"/>
      <c r="AE306" s="129">
        <v>0</v>
      </c>
      <c r="AF306" s="69">
        <f ca="1">IF(Swap_Active="No",0,OFFSET(Vectors!$D$6,Vectors!A306,MATCH(Swap_In,lstInterestRates,0)))</f>
        <v>6.9369000000000056E-2</v>
      </c>
      <c r="AG306" s="62">
        <f t="shared" ca="1" si="301"/>
        <v>0</v>
      </c>
      <c r="AH306" s="69">
        <f ca="1">IF(Swap_Active="No",0,OFFSET(Vectors!$D$6,Vectors!A306,MATCH(Swap_Out,lstInterestRates,0)))</f>
        <v>0.04</v>
      </c>
      <c r="AI306" s="62">
        <f t="shared" ca="1" si="302"/>
        <v>0</v>
      </c>
      <c r="AJ306" s="62">
        <f t="shared" ca="1" si="303"/>
        <v>0</v>
      </c>
      <c r="AK306" s="62">
        <f t="shared" ca="1" si="304"/>
        <v>226520.10121814121</v>
      </c>
      <c r="AL306" s="121"/>
      <c r="AM306" s="123">
        <f t="shared" ca="1" si="285"/>
        <v>14698.89909965715</v>
      </c>
      <c r="AN306" s="124">
        <f t="shared" ca="1" si="305"/>
        <v>14698.89909965715</v>
      </c>
      <c r="AO306" s="125">
        <f t="shared" ca="1" si="306"/>
        <v>0</v>
      </c>
      <c r="AP306" s="123">
        <f t="shared" ca="1" si="307"/>
        <v>211821.20211848407</v>
      </c>
      <c r="AQ306" s="121"/>
      <c r="AR306" s="126">
        <f ca="1">IF(LiabIntType1="Fixed",LiabFxdRate1,OFFSET(Vectors!$D$6,Vectors!A306,MATCH(LiabLoanIndex1,lstInterestRates,0))+LiabMarg1)</f>
        <v>7.9369000000000051E-2</v>
      </c>
      <c r="AS306" s="122">
        <f t="shared" ca="1" si="308"/>
        <v>0</v>
      </c>
      <c r="AT306" s="124">
        <f t="shared" ca="1" si="309"/>
        <v>0</v>
      </c>
      <c r="AU306" s="123">
        <f t="shared" ca="1" si="310"/>
        <v>0</v>
      </c>
      <c r="AV306" s="123">
        <f t="shared" ca="1" si="286"/>
        <v>0</v>
      </c>
      <c r="AW306" s="123">
        <f t="shared" ca="1" si="311"/>
        <v>0</v>
      </c>
      <c r="AX306" s="124">
        <f t="shared" ca="1" si="312"/>
        <v>211821.20211848407</v>
      </c>
      <c r="AY306" s="121"/>
      <c r="AZ306" s="122">
        <f t="shared" ca="1" si="287"/>
        <v>0</v>
      </c>
      <c r="BA306" s="124">
        <f t="shared" ca="1" si="313"/>
        <v>0</v>
      </c>
      <c r="BB306" s="123">
        <f t="shared" ca="1" si="314"/>
        <v>0</v>
      </c>
      <c r="BC306" s="123">
        <f t="shared" ca="1" si="288"/>
        <v>0</v>
      </c>
      <c r="BD306" s="123">
        <f t="shared" ca="1" si="315"/>
        <v>0</v>
      </c>
      <c r="BE306" s="124">
        <f t="shared" ca="1" si="316"/>
        <v>211821.20211848407</v>
      </c>
      <c r="BF306" s="121"/>
      <c r="BG306" s="123">
        <f t="shared" si="289"/>
        <v>1000000</v>
      </c>
      <c r="BH306" s="123">
        <f t="shared" ca="1" si="317"/>
        <v>1000000</v>
      </c>
      <c r="BI306" s="123">
        <f t="shared" ca="1" si="318"/>
        <v>0</v>
      </c>
      <c r="BJ306" s="123">
        <f t="shared" ca="1" si="319"/>
        <v>0</v>
      </c>
      <c r="BK306" s="123">
        <f t="shared" ca="1" si="276"/>
        <v>1000000</v>
      </c>
      <c r="BL306" s="123">
        <f t="shared" ca="1" si="320"/>
        <v>211821.20211848407</v>
      </c>
      <c r="BM306" s="121"/>
      <c r="BN306" s="126">
        <f ca="1">IF(LiabIntType2="Fixed",LiabFxdRate2,OFFSET(Vectors!$D$6,Vectors!A306,MATCH(LiabLoanIndex2,lstInterestRates,0))+LiabMarg2)</f>
        <v>0.04</v>
      </c>
      <c r="BO306" s="122">
        <f t="shared" ca="1" si="321"/>
        <v>23589.233069830956</v>
      </c>
      <c r="BP306" s="124">
        <f t="shared" ca="1" si="322"/>
        <v>23589.233069830956</v>
      </c>
      <c r="BQ306" s="123">
        <f t="shared" ca="1" si="323"/>
        <v>0</v>
      </c>
      <c r="BR306" s="123">
        <f t="shared" ca="1" si="324"/>
        <v>188231.96904865312</v>
      </c>
      <c r="BS306" s="121"/>
      <c r="BT306" s="123">
        <f t="shared" ca="1" si="290"/>
        <v>16616.130726772553</v>
      </c>
      <c r="BU306" s="123">
        <f t="shared" ca="1" si="325"/>
        <v>16616.130726772553</v>
      </c>
      <c r="BV306" s="123">
        <f t="shared" ca="1" si="326"/>
        <v>0</v>
      </c>
      <c r="BW306" s="123">
        <f t="shared" ca="1" si="327"/>
        <v>171615.83832188055</v>
      </c>
      <c r="BX306" s="121"/>
      <c r="BY306" s="123">
        <f t="shared" si="328"/>
        <v>0</v>
      </c>
      <c r="BZ306" s="123">
        <f t="shared" ca="1" si="329"/>
        <v>171615.83832188055</v>
      </c>
      <c r="CA306" s="121"/>
      <c r="CB306" s="122">
        <f t="shared" ca="1" si="277"/>
        <v>0</v>
      </c>
      <c r="CC306" s="122">
        <f t="shared" ca="1" si="330"/>
        <v>0</v>
      </c>
      <c r="CD306" s="124">
        <f t="shared" ca="1" si="331"/>
        <v>0</v>
      </c>
      <c r="CE306" s="121"/>
      <c r="CF306" s="122">
        <f t="shared" ca="1" si="278"/>
        <v>7060153.7902225154</v>
      </c>
      <c r="CG306" s="124">
        <f t="shared" ca="1" si="332"/>
        <v>23589.233069830956</v>
      </c>
      <c r="CH306" s="123">
        <f t="shared" ca="1" si="333"/>
        <v>16616.130726772553</v>
      </c>
      <c r="CI306" s="121"/>
      <c r="CJ306" s="123">
        <f t="shared" ca="1" si="334"/>
        <v>226520.10121814121</v>
      </c>
      <c r="CK306" s="123">
        <f t="shared" ca="1" si="335"/>
        <v>226520.10121814121</v>
      </c>
      <c r="CL306" s="123">
        <f t="shared" ca="1" si="336"/>
        <v>0</v>
      </c>
      <c r="CM306" s="121"/>
      <c r="CN306" s="62">
        <f t="shared" ca="1" si="337"/>
        <v>162062.55526968403</v>
      </c>
      <c r="CO306" s="62" t="b">
        <f t="shared" si="338"/>
        <v>1</v>
      </c>
      <c r="CP306" s="126">
        <f t="shared" ca="1" si="339"/>
        <v>8.3333333333332985E-3</v>
      </c>
      <c r="CQ306" s="120"/>
      <c r="CR306" s="120"/>
      <c r="CS306" s="120"/>
      <c r="CT306" s="120"/>
      <c r="CU306" s="120"/>
      <c r="CV306" s="120"/>
      <c r="CW306" s="120"/>
      <c r="CX306" s="120"/>
      <c r="CY306" s="120"/>
      <c r="CZ306" s="120"/>
      <c r="DA306" s="120"/>
      <c r="DB306" s="120"/>
      <c r="DC306" s="120"/>
      <c r="DD306" s="120"/>
      <c r="DE306" s="116"/>
      <c r="DF306" s="116"/>
      <c r="DG306" s="116"/>
      <c r="DH306" s="116"/>
      <c r="DI306" s="116"/>
      <c r="DJ306" s="116"/>
      <c r="DK306" s="116"/>
      <c r="DL306" s="116"/>
      <c r="DM306" s="116"/>
      <c r="DN306" s="116"/>
    </row>
    <row r="307" spans="1:118" x14ac:dyDescent="0.2">
      <c r="A307" s="27">
        <v>301</v>
      </c>
      <c r="B307" s="29">
        <f t="shared" si="272"/>
        <v>48274</v>
      </c>
      <c r="C307" s="30">
        <f t="shared" si="273"/>
        <v>8.3333333333333329E-2</v>
      </c>
      <c r="D307" s="55"/>
      <c r="E307" s="62">
        <f t="shared" ca="1" si="291"/>
        <v>38761385.869496509</v>
      </c>
      <c r="F307" s="63">
        <f ca="1">IF(AssetIntType1="Fixed",AssetFxdRate1,IF(A307=1,OFFSET(Vectors!$D$6,A307,MATCH(AssetFltIndx1,lstInterestRates,0)),IF(MOD($A307,AssetRateReset1)=0,MAX(MIN(OFFSET(Vectors!$D$6,A307,MATCH(AssetFltIndx1,lstInterestRates,0)),(F306-AssetMarg1)+AssetPdCapFl1,AssetLifeCap1-AssetMarg1),(F306-AssetMarg1)-AssetPdCapFl1,AssetLifeFloor1-AssetMarg1),F306)))+AssetMarg1</f>
        <v>0.09</v>
      </c>
      <c r="G307" s="62">
        <f t="shared" ca="1" si="279"/>
        <v>804622.61694478267</v>
      </c>
      <c r="H307" s="62">
        <f t="shared" ca="1" si="292"/>
        <v>290710.39402122382</v>
      </c>
      <c r="I307" s="62">
        <f t="shared" ca="1" si="293"/>
        <v>513912.22292355885</v>
      </c>
      <c r="J307" s="62">
        <f t="shared" ca="1" si="274"/>
        <v>38247473.646572948</v>
      </c>
      <c r="K307" s="55"/>
      <c r="L307" s="62">
        <f t="shared" ca="1" si="294"/>
        <v>8657276.9045246057</v>
      </c>
      <c r="M307" s="68">
        <f ca="1">IF(pdrLossTime1="",OFFSET(Vectors!$AE$6,A307+_Age1,MATCH(SDA_Loss,lstSDA,0)),OFFSET(Vectors!$X$6,A307+_Age1,MATCH(pdrLossTime1,lstDefaultCurve,0)))</f>
        <v>2.7777777777777779E-5</v>
      </c>
      <c r="N307" s="62">
        <f t="shared" ca="1" si="280"/>
        <v>2777.7777777777778</v>
      </c>
      <c r="O307" s="67">
        <f t="shared" ca="1" si="295"/>
        <v>0.38247473646572949</v>
      </c>
      <c r="P307" s="68">
        <f ca="1">OFFSET(Vectors!$L$6,A307+_Age1,MATCH(pdrPrepay1,lstPrepayCurve,0))*pdrPrepayStress1</f>
        <v>5.1430128318229462E-3</v>
      </c>
      <c r="Q307" s="62">
        <f t="shared" ca="1" si="296"/>
        <v>43934.164754189776</v>
      </c>
      <c r="R307" s="62">
        <f t="shared" ca="1" si="297"/>
        <v>114744.42372857984</v>
      </c>
      <c r="S307" s="69">
        <f t="shared" ca="1" si="298"/>
        <v>0.09</v>
      </c>
      <c r="T307" s="62">
        <f t="shared" ca="1" si="299"/>
        <v>64908.743450601207</v>
      </c>
      <c r="U307" s="62">
        <f t="shared" ca="1" si="281"/>
        <v>1111.1111111111111</v>
      </c>
      <c r="V307" s="62">
        <f t="shared" ca="1" si="275"/>
        <v>8495820.5382640585</v>
      </c>
      <c r="W307" s="55"/>
      <c r="X307" s="62">
        <f t="shared" ca="1" si="300"/>
        <v>224698.44304448194</v>
      </c>
      <c r="Y307" s="55"/>
      <c r="Z307" s="118" t="b">
        <v>0</v>
      </c>
      <c r="AA307" s="120" t="b">
        <f t="shared" si="282"/>
        <v>0</v>
      </c>
      <c r="AB307" s="120" t="b">
        <f t="shared" si="283"/>
        <v>1</v>
      </c>
      <c r="AC307" s="120" t="b">
        <f t="shared" ca="1" si="284"/>
        <v>0</v>
      </c>
      <c r="AD307" s="121"/>
      <c r="AE307" s="129">
        <v>0</v>
      </c>
      <c r="AF307" s="69">
        <f ca="1">IF(Swap_Active="No",0,OFFSET(Vectors!$D$6,Vectors!A307,MATCH(Swap_In,lstInterestRates,0)))</f>
        <v>6.9369000000000056E-2</v>
      </c>
      <c r="AG307" s="62">
        <f t="shared" ca="1" si="301"/>
        <v>0</v>
      </c>
      <c r="AH307" s="69">
        <f ca="1">IF(Swap_Active="No",0,OFFSET(Vectors!$D$6,Vectors!A307,MATCH(Swap_Out,lstInterestRates,0)))</f>
        <v>0.04</v>
      </c>
      <c r="AI307" s="62">
        <f t="shared" ca="1" si="302"/>
        <v>0</v>
      </c>
      <c r="AJ307" s="62">
        <f t="shared" ca="1" si="303"/>
        <v>0</v>
      </c>
      <c r="AK307" s="62">
        <f t="shared" ca="1" si="304"/>
        <v>224698.44304448194</v>
      </c>
      <c r="AL307" s="121"/>
      <c r="AM307" s="123">
        <f t="shared" ca="1" si="285"/>
        <v>14428.794840874341</v>
      </c>
      <c r="AN307" s="124">
        <f t="shared" ca="1" si="305"/>
        <v>14428.794840874341</v>
      </c>
      <c r="AO307" s="125">
        <f t="shared" ca="1" si="306"/>
        <v>0</v>
      </c>
      <c r="AP307" s="123">
        <f t="shared" ca="1" si="307"/>
        <v>210269.64820360759</v>
      </c>
      <c r="AQ307" s="121"/>
      <c r="AR307" s="126">
        <f ca="1">IF(LiabIntType1="Fixed",LiabFxdRate1,OFFSET(Vectors!$D$6,Vectors!A307,MATCH(LiabLoanIndex1,lstInterestRates,0))+LiabMarg1)</f>
        <v>7.9369000000000051E-2</v>
      </c>
      <c r="AS307" s="122">
        <f t="shared" ca="1" si="308"/>
        <v>0</v>
      </c>
      <c r="AT307" s="124">
        <f t="shared" ca="1" si="309"/>
        <v>0</v>
      </c>
      <c r="AU307" s="123">
        <f t="shared" ca="1" si="310"/>
        <v>0</v>
      </c>
      <c r="AV307" s="123">
        <f t="shared" ca="1" si="286"/>
        <v>0</v>
      </c>
      <c r="AW307" s="123">
        <f t="shared" ca="1" si="311"/>
        <v>0</v>
      </c>
      <c r="AX307" s="124">
        <f t="shared" ca="1" si="312"/>
        <v>210269.64820360759</v>
      </c>
      <c r="AY307" s="121"/>
      <c r="AZ307" s="122">
        <f t="shared" ca="1" si="287"/>
        <v>0</v>
      </c>
      <c r="BA307" s="124">
        <f t="shared" ca="1" si="313"/>
        <v>0</v>
      </c>
      <c r="BB307" s="123">
        <f t="shared" ca="1" si="314"/>
        <v>0</v>
      </c>
      <c r="BC307" s="123">
        <f t="shared" ca="1" si="288"/>
        <v>0</v>
      </c>
      <c r="BD307" s="123">
        <f t="shared" ca="1" si="315"/>
        <v>0</v>
      </c>
      <c r="BE307" s="124">
        <f t="shared" ca="1" si="316"/>
        <v>210269.64820360759</v>
      </c>
      <c r="BF307" s="121"/>
      <c r="BG307" s="123">
        <f t="shared" si="289"/>
        <v>1000000</v>
      </c>
      <c r="BH307" s="123">
        <f t="shared" ca="1" si="317"/>
        <v>1000000</v>
      </c>
      <c r="BI307" s="123">
        <f t="shared" ca="1" si="318"/>
        <v>0</v>
      </c>
      <c r="BJ307" s="123">
        <f t="shared" ca="1" si="319"/>
        <v>0</v>
      </c>
      <c r="BK307" s="123">
        <f t="shared" ca="1" si="276"/>
        <v>1000000</v>
      </c>
      <c r="BL307" s="123">
        <f t="shared" ca="1" si="320"/>
        <v>210269.64820360759</v>
      </c>
      <c r="BM307" s="121"/>
      <c r="BN307" s="126">
        <f ca="1">IF(LiabIntType2="Fixed",LiabFxdRate2,OFFSET(Vectors!$D$6,Vectors!A307,MATCH(LiabLoanIndex2,lstInterestRates,0))+LiabMarg2)</f>
        <v>0.04</v>
      </c>
      <c r="BO307" s="122">
        <f t="shared" ca="1" si="321"/>
        <v>23533.845967408382</v>
      </c>
      <c r="BP307" s="124">
        <f t="shared" ca="1" si="322"/>
        <v>23533.845967408382</v>
      </c>
      <c r="BQ307" s="123">
        <f t="shared" ca="1" si="323"/>
        <v>0</v>
      </c>
      <c r="BR307" s="123">
        <f t="shared" ca="1" si="324"/>
        <v>186735.8022361992</v>
      </c>
      <c r="BS307" s="121"/>
      <c r="BT307" s="123">
        <f t="shared" ca="1" si="290"/>
        <v>16553.978702795233</v>
      </c>
      <c r="BU307" s="123">
        <f t="shared" ca="1" si="325"/>
        <v>16553.978702795233</v>
      </c>
      <c r="BV307" s="123">
        <f t="shared" ca="1" si="326"/>
        <v>0</v>
      </c>
      <c r="BW307" s="123">
        <f t="shared" ca="1" si="327"/>
        <v>170181.82353340398</v>
      </c>
      <c r="BX307" s="121"/>
      <c r="BY307" s="123">
        <f t="shared" si="328"/>
        <v>0</v>
      </c>
      <c r="BZ307" s="123">
        <f t="shared" ca="1" si="329"/>
        <v>170181.82353340398</v>
      </c>
      <c r="CA307" s="121"/>
      <c r="CB307" s="122">
        <f t="shared" ca="1" si="277"/>
        <v>0</v>
      </c>
      <c r="CC307" s="122">
        <f t="shared" ca="1" si="330"/>
        <v>0</v>
      </c>
      <c r="CD307" s="124">
        <f t="shared" ca="1" si="331"/>
        <v>0</v>
      </c>
      <c r="CE307" s="121"/>
      <c r="CF307" s="122">
        <f t="shared" ca="1" si="278"/>
        <v>7043599.8115197197</v>
      </c>
      <c r="CG307" s="124">
        <f t="shared" ca="1" si="332"/>
        <v>23533.845967408382</v>
      </c>
      <c r="CH307" s="123">
        <f t="shared" ca="1" si="333"/>
        <v>16553.978702795233</v>
      </c>
      <c r="CI307" s="121"/>
      <c r="CJ307" s="123">
        <f t="shared" ca="1" si="334"/>
        <v>224698.44304448194</v>
      </c>
      <c r="CK307" s="123">
        <f t="shared" ca="1" si="335"/>
        <v>224698.44304448194</v>
      </c>
      <c r="CL307" s="123">
        <f t="shared" ca="1" si="336"/>
        <v>0</v>
      </c>
      <c r="CM307" s="121"/>
      <c r="CN307" s="62">
        <f t="shared" ca="1" si="337"/>
        <v>161456.36626054739</v>
      </c>
      <c r="CO307" s="62" t="b">
        <f t="shared" si="338"/>
        <v>1</v>
      </c>
      <c r="CP307" s="126">
        <f t="shared" ca="1" si="339"/>
        <v>8.3611111111110761E-3</v>
      </c>
      <c r="CQ307" s="120"/>
      <c r="CR307" s="120"/>
      <c r="CS307" s="120"/>
      <c r="CT307" s="120"/>
      <c r="CU307" s="120"/>
      <c r="CV307" s="120"/>
      <c r="CW307" s="120"/>
      <c r="CX307" s="120"/>
      <c r="CY307" s="120"/>
      <c r="CZ307" s="120"/>
      <c r="DA307" s="120"/>
      <c r="DB307" s="120"/>
      <c r="DC307" s="120"/>
      <c r="DD307" s="120"/>
      <c r="DE307" s="116"/>
      <c r="DF307" s="116"/>
      <c r="DG307" s="116"/>
      <c r="DH307" s="116"/>
      <c r="DI307" s="116"/>
      <c r="DJ307" s="116"/>
      <c r="DK307" s="116"/>
      <c r="DL307" s="116"/>
      <c r="DM307" s="116"/>
      <c r="DN307" s="116"/>
    </row>
    <row r="308" spans="1:118" x14ac:dyDescent="0.2">
      <c r="A308" s="27">
        <v>302</v>
      </c>
      <c r="B308" s="29">
        <f t="shared" si="272"/>
        <v>48305</v>
      </c>
      <c r="C308" s="30">
        <f t="shared" si="273"/>
        <v>8.3333333333333329E-2</v>
      </c>
      <c r="D308" s="55"/>
      <c r="E308" s="62">
        <f t="shared" ca="1" si="291"/>
        <v>38247473.646572948</v>
      </c>
      <c r="F308" s="63">
        <f ca="1">IF(AssetIntType1="Fixed",AssetFxdRate1,IF(A308=1,OFFSET(Vectors!$D$6,A308,MATCH(AssetFltIndx1,lstInterestRates,0)),IF(MOD($A308,AssetRateReset1)=0,MAX(MIN(OFFSET(Vectors!$D$6,A308,MATCH(AssetFltIndx1,lstInterestRates,0)),(F307-AssetMarg1)+AssetPdCapFl1,AssetLifeCap1-AssetMarg1),(F307-AssetMarg1)-AssetPdCapFl1,AssetLifeFloor1-AssetMarg1),F307)))+AssetMarg1</f>
        <v>0.09</v>
      </c>
      <c r="G308" s="62">
        <f t="shared" ca="1" si="279"/>
        <v>804622.61694478267</v>
      </c>
      <c r="H308" s="62">
        <f t="shared" ca="1" si="292"/>
        <v>286856.0523492971</v>
      </c>
      <c r="I308" s="62">
        <f t="shared" ca="1" si="293"/>
        <v>517766.56459548557</v>
      </c>
      <c r="J308" s="62">
        <f t="shared" ca="1" si="274"/>
        <v>37729707.081977464</v>
      </c>
      <c r="K308" s="55"/>
      <c r="L308" s="62">
        <f t="shared" ca="1" si="294"/>
        <v>8495820.5382640585</v>
      </c>
      <c r="M308" s="68">
        <f ca="1">IF(pdrLossTime1="",OFFSET(Vectors!$AE$6,A308+_Age1,MATCH(SDA_Loss,lstSDA,0)),OFFSET(Vectors!$X$6,A308+_Age1,MATCH(pdrLossTime1,lstDefaultCurve,0)))</f>
        <v>2.7777777777777779E-5</v>
      </c>
      <c r="N308" s="62">
        <f t="shared" ca="1" si="280"/>
        <v>2777.7777777777778</v>
      </c>
      <c r="O308" s="67">
        <f t="shared" ca="1" si="295"/>
        <v>0.37729707081977465</v>
      </c>
      <c r="P308" s="68">
        <f ca="1">OFFSET(Vectors!$L$6,A308+_Age1,MATCH(pdrPrepay1,lstPrepayCurve,0))*pdrPrepayStress1</f>
        <v>5.1430128318229462E-3</v>
      </c>
      <c r="Q308" s="62">
        <f t="shared" ca="1" si="296"/>
        <v>43102.614812259766</v>
      </c>
      <c r="R308" s="62">
        <f t="shared" ca="1" si="297"/>
        <v>114972.65449984965</v>
      </c>
      <c r="S308" s="69">
        <f t="shared" ca="1" si="298"/>
        <v>0.09</v>
      </c>
      <c r="T308" s="62">
        <f t="shared" ca="1" si="299"/>
        <v>63697.820703647099</v>
      </c>
      <c r="U308" s="62">
        <f t="shared" ca="1" si="281"/>
        <v>1111.1111111111111</v>
      </c>
      <c r="V308" s="62">
        <f t="shared" ca="1" si="275"/>
        <v>8334967.4911741707</v>
      </c>
      <c r="W308" s="55"/>
      <c r="X308" s="62">
        <f t="shared" ca="1" si="300"/>
        <v>222884.20112686764</v>
      </c>
      <c r="Y308" s="55"/>
      <c r="Z308" s="118" t="b">
        <v>0</v>
      </c>
      <c r="AA308" s="120" t="b">
        <f t="shared" si="282"/>
        <v>0</v>
      </c>
      <c r="AB308" s="120" t="b">
        <f t="shared" si="283"/>
        <v>1</v>
      </c>
      <c r="AC308" s="120" t="b">
        <f t="shared" ca="1" si="284"/>
        <v>0</v>
      </c>
      <c r="AD308" s="121"/>
      <c r="AE308" s="129">
        <v>0</v>
      </c>
      <c r="AF308" s="69">
        <f ca="1">IF(Swap_Active="No",0,OFFSET(Vectors!$D$6,Vectors!A308,MATCH(Swap_In,lstInterestRates,0)))</f>
        <v>6.9369000000000056E-2</v>
      </c>
      <c r="AG308" s="62">
        <f t="shared" ca="1" si="301"/>
        <v>0</v>
      </c>
      <c r="AH308" s="69">
        <f ca="1">IF(Swap_Active="No",0,OFFSET(Vectors!$D$6,Vectors!A308,MATCH(Swap_Out,lstInterestRates,0)))</f>
        <v>0.04</v>
      </c>
      <c r="AI308" s="62">
        <f t="shared" ca="1" si="302"/>
        <v>0</v>
      </c>
      <c r="AJ308" s="62">
        <f t="shared" ca="1" si="303"/>
        <v>0</v>
      </c>
      <c r="AK308" s="62">
        <f t="shared" ca="1" si="304"/>
        <v>222884.20112686764</v>
      </c>
      <c r="AL308" s="121"/>
      <c r="AM308" s="123">
        <f t="shared" ca="1" si="285"/>
        <v>14159.700897106763</v>
      </c>
      <c r="AN308" s="124">
        <f t="shared" ca="1" si="305"/>
        <v>14159.700897106763</v>
      </c>
      <c r="AO308" s="125">
        <f t="shared" ca="1" si="306"/>
        <v>0</v>
      </c>
      <c r="AP308" s="123">
        <f t="shared" ca="1" si="307"/>
        <v>208724.50022976089</v>
      </c>
      <c r="AQ308" s="121"/>
      <c r="AR308" s="126">
        <f ca="1">IF(LiabIntType1="Fixed",LiabFxdRate1,OFFSET(Vectors!$D$6,Vectors!A308,MATCH(LiabLoanIndex1,lstInterestRates,0))+LiabMarg1)</f>
        <v>7.9369000000000051E-2</v>
      </c>
      <c r="AS308" s="122">
        <f t="shared" ca="1" si="308"/>
        <v>0</v>
      </c>
      <c r="AT308" s="124">
        <f t="shared" ca="1" si="309"/>
        <v>0</v>
      </c>
      <c r="AU308" s="123">
        <f t="shared" ca="1" si="310"/>
        <v>0</v>
      </c>
      <c r="AV308" s="123">
        <f t="shared" ca="1" si="286"/>
        <v>0</v>
      </c>
      <c r="AW308" s="123">
        <f t="shared" ca="1" si="311"/>
        <v>0</v>
      </c>
      <c r="AX308" s="124">
        <f t="shared" ca="1" si="312"/>
        <v>208724.50022976089</v>
      </c>
      <c r="AY308" s="121"/>
      <c r="AZ308" s="122">
        <f t="shared" ca="1" si="287"/>
        <v>0</v>
      </c>
      <c r="BA308" s="124">
        <f t="shared" ca="1" si="313"/>
        <v>0</v>
      </c>
      <c r="BB308" s="123">
        <f t="shared" ca="1" si="314"/>
        <v>0</v>
      </c>
      <c r="BC308" s="123">
        <f t="shared" ca="1" si="288"/>
        <v>0</v>
      </c>
      <c r="BD308" s="123">
        <f t="shared" ca="1" si="315"/>
        <v>0</v>
      </c>
      <c r="BE308" s="124">
        <f t="shared" ca="1" si="316"/>
        <v>208724.50022976089</v>
      </c>
      <c r="BF308" s="121"/>
      <c r="BG308" s="123">
        <f t="shared" si="289"/>
        <v>1000000</v>
      </c>
      <c r="BH308" s="123">
        <f t="shared" ca="1" si="317"/>
        <v>1000000</v>
      </c>
      <c r="BI308" s="123">
        <f t="shared" ca="1" si="318"/>
        <v>0</v>
      </c>
      <c r="BJ308" s="123">
        <f t="shared" ca="1" si="319"/>
        <v>0</v>
      </c>
      <c r="BK308" s="123">
        <f t="shared" ca="1" si="276"/>
        <v>1000000</v>
      </c>
      <c r="BL308" s="123">
        <f t="shared" ca="1" si="320"/>
        <v>208724.50022976089</v>
      </c>
      <c r="BM308" s="121"/>
      <c r="BN308" s="126">
        <f ca="1">IF(LiabIntType2="Fixed",LiabFxdRate2,OFFSET(Vectors!$D$6,Vectors!A308,MATCH(LiabLoanIndex2,lstInterestRates,0))+LiabMarg2)</f>
        <v>0.04</v>
      </c>
      <c r="BO308" s="122">
        <f t="shared" ca="1" si="321"/>
        <v>23478.666038399064</v>
      </c>
      <c r="BP308" s="124">
        <f t="shared" ca="1" si="322"/>
        <v>23478.666038399064</v>
      </c>
      <c r="BQ308" s="123">
        <f t="shared" ca="1" si="323"/>
        <v>0</v>
      </c>
      <c r="BR308" s="123">
        <f t="shared" ca="1" si="324"/>
        <v>185245.83419136182</v>
      </c>
      <c r="BS308" s="121"/>
      <c r="BT308" s="123">
        <f t="shared" ca="1" si="290"/>
        <v>16492.120920823476</v>
      </c>
      <c r="BU308" s="123">
        <f t="shared" ca="1" si="325"/>
        <v>16492.120920823476</v>
      </c>
      <c r="BV308" s="123">
        <f t="shared" ca="1" si="326"/>
        <v>0</v>
      </c>
      <c r="BW308" s="123">
        <f t="shared" ca="1" si="327"/>
        <v>168753.71327053834</v>
      </c>
      <c r="BX308" s="121"/>
      <c r="BY308" s="123">
        <f t="shared" si="328"/>
        <v>0</v>
      </c>
      <c r="BZ308" s="123">
        <f t="shared" ca="1" si="329"/>
        <v>168753.71327053834</v>
      </c>
      <c r="CA308" s="121"/>
      <c r="CB308" s="122">
        <f t="shared" ca="1" si="277"/>
        <v>0</v>
      </c>
      <c r="CC308" s="122">
        <f t="shared" ca="1" si="330"/>
        <v>0</v>
      </c>
      <c r="CD308" s="124">
        <f t="shared" ca="1" si="331"/>
        <v>0</v>
      </c>
      <c r="CE308" s="121"/>
      <c r="CF308" s="122">
        <f t="shared" ca="1" si="278"/>
        <v>7027107.6905988958</v>
      </c>
      <c r="CG308" s="124">
        <f t="shared" ca="1" si="332"/>
        <v>23478.666038399064</v>
      </c>
      <c r="CH308" s="123">
        <f t="shared" ca="1" si="333"/>
        <v>16492.120920823476</v>
      </c>
      <c r="CI308" s="121"/>
      <c r="CJ308" s="123">
        <f t="shared" ca="1" si="334"/>
        <v>222884.20112686764</v>
      </c>
      <c r="CK308" s="123">
        <f t="shared" ca="1" si="335"/>
        <v>222884.20112686764</v>
      </c>
      <c r="CL308" s="123">
        <f t="shared" ca="1" si="336"/>
        <v>0</v>
      </c>
      <c r="CM308" s="121"/>
      <c r="CN308" s="62">
        <f t="shared" ca="1" si="337"/>
        <v>160853.0470898872</v>
      </c>
      <c r="CO308" s="62" t="b">
        <f t="shared" si="338"/>
        <v>1</v>
      </c>
      <c r="CP308" s="126">
        <f t="shared" ca="1" si="339"/>
        <v>8.3888888888888537E-3</v>
      </c>
      <c r="CQ308" s="120"/>
      <c r="CR308" s="120"/>
      <c r="CS308" s="120"/>
      <c r="CT308" s="120"/>
      <c r="CU308" s="120"/>
      <c r="CV308" s="120"/>
      <c r="CW308" s="120"/>
      <c r="CX308" s="120"/>
      <c r="CY308" s="120"/>
      <c r="CZ308" s="120"/>
      <c r="DA308" s="120"/>
      <c r="DB308" s="120"/>
      <c r="DC308" s="120"/>
      <c r="DD308" s="120"/>
      <c r="DE308" s="116"/>
      <c r="DF308" s="116"/>
      <c r="DG308" s="116"/>
      <c r="DH308" s="116"/>
      <c r="DI308" s="116"/>
      <c r="DJ308" s="116"/>
      <c r="DK308" s="116"/>
      <c r="DL308" s="116"/>
      <c r="DM308" s="116"/>
      <c r="DN308" s="116"/>
    </row>
    <row r="309" spans="1:118" x14ac:dyDescent="0.2">
      <c r="A309" s="27">
        <v>303</v>
      </c>
      <c r="B309" s="29">
        <f t="shared" si="272"/>
        <v>48335</v>
      </c>
      <c r="C309" s="30">
        <f t="shared" si="273"/>
        <v>8.3333333333333329E-2</v>
      </c>
      <c r="D309" s="55"/>
      <c r="E309" s="62">
        <f t="shared" ca="1" si="291"/>
        <v>37729707.081977464</v>
      </c>
      <c r="F309" s="63">
        <f ca="1">IF(AssetIntType1="Fixed",AssetFxdRate1,IF(A309=1,OFFSET(Vectors!$D$6,A309,MATCH(AssetFltIndx1,lstInterestRates,0)),IF(MOD($A309,AssetRateReset1)=0,MAX(MIN(OFFSET(Vectors!$D$6,A309,MATCH(AssetFltIndx1,lstInterestRates,0)),(F308-AssetMarg1)+AssetPdCapFl1,AssetLifeCap1-AssetMarg1),(F308-AssetMarg1)-AssetPdCapFl1,AssetLifeFloor1-AssetMarg1),F308)))+AssetMarg1</f>
        <v>0.09</v>
      </c>
      <c r="G309" s="62">
        <f t="shared" ca="1" si="279"/>
        <v>804622.61694478267</v>
      </c>
      <c r="H309" s="62">
        <f t="shared" ca="1" si="292"/>
        <v>282972.80311483098</v>
      </c>
      <c r="I309" s="62">
        <f t="shared" ca="1" si="293"/>
        <v>521649.81382995169</v>
      </c>
      <c r="J309" s="62">
        <f t="shared" ca="1" si="274"/>
        <v>37208057.268147513</v>
      </c>
      <c r="K309" s="55"/>
      <c r="L309" s="62">
        <f t="shared" ca="1" si="294"/>
        <v>8334967.4911741707</v>
      </c>
      <c r="M309" s="68">
        <f ca="1">IF(pdrLossTime1="",OFFSET(Vectors!$AE$6,A309+_Age1,MATCH(SDA_Loss,lstSDA,0)),OFFSET(Vectors!$X$6,A309+_Age1,MATCH(pdrLossTime1,lstDefaultCurve,0)))</f>
        <v>2.7777777777777779E-5</v>
      </c>
      <c r="N309" s="62">
        <f t="shared" ca="1" si="280"/>
        <v>2777.7777777777778</v>
      </c>
      <c r="O309" s="67">
        <f t="shared" ca="1" si="295"/>
        <v>0.37208057268147515</v>
      </c>
      <c r="P309" s="68">
        <f ca="1">OFFSET(Vectors!$L$6,A309+_Age1,MATCH(pdrPrepay1,lstPrepayCurve,0))*pdrPrepayStress1</f>
        <v>5.1430128318229462E-3</v>
      </c>
      <c r="Q309" s="62">
        <f t="shared" ca="1" si="296"/>
        <v>42274.169032559781</v>
      </c>
      <c r="R309" s="62">
        <f t="shared" ca="1" si="297"/>
        <v>115200.60845808274</v>
      </c>
      <c r="S309" s="69">
        <f t="shared" ca="1" si="298"/>
        <v>0.09</v>
      </c>
      <c r="T309" s="62">
        <f t="shared" ca="1" si="299"/>
        <v>62491.42285047294</v>
      </c>
      <c r="U309" s="62">
        <f t="shared" ca="1" si="281"/>
        <v>1111.1111111111111</v>
      </c>
      <c r="V309" s="62">
        <f t="shared" ca="1" si="275"/>
        <v>8174714.9359057499</v>
      </c>
      <c r="W309" s="55"/>
      <c r="X309" s="62">
        <f t="shared" ca="1" si="300"/>
        <v>221077.3114522266</v>
      </c>
      <c r="Y309" s="55"/>
      <c r="Z309" s="118" t="b">
        <v>0</v>
      </c>
      <c r="AA309" s="120" t="b">
        <f t="shared" si="282"/>
        <v>0</v>
      </c>
      <c r="AB309" s="120" t="b">
        <f t="shared" si="283"/>
        <v>1</v>
      </c>
      <c r="AC309" s="120" t="b">
        <f t="shared" ca="1" si="284"/>
        <v>0</v>
      </c>
      <c r="AD309" s="121"/>
      <c r="AE309" s="129">
        <v>0</v>
      </c>
      <c r="AF309" s="69">
        <f ca="1">IF(Swap_Active="No",0,OFFSET(Vectors!$D$6,Vectors!A309,MATCH(Swap_In,lstInterestRates,0)))</f>
        <v>6.9369000000000056E-2</v>
      </c>
      <c r="AG309" s="62">
        <f t="shared" ca="1" si="301"/>
        <v>0</v>
      </c>
      <c r="AH309" s="69">
        <f ca="1">IF(Swap_Active="No",0,OFFSET(Vectors!$D$6,Vectors!A309,MATCH(Swap_Out,lstInterestRates,0)))</f>
        <v>0.04</v>
      </c>
      <c r="AI309" s="62">
        <f t="shared" ca="1" si="302"/>
        <v>0</v>
      </c>
      <c r="AJ309" s="62">
        <f t="shared" ca="1" si="303"/>
        <v>0</v>
      </c>
      <c r="AK309" s="62">
        <f t="shared" ca="1" si="304"/>
        <v>221077.3114522266</v>
      </c>
      <c r="AL309" s="121"/>
      <c r="AM309" s="123">
        <f t="shared" ca="1" si="285"/>
        <v>13891.612485290283</v>
      </c>
      <c r="AN309" s="124">
        <f t="shared" ca="1" si="305"/>
        <v>13891.612485290283</v>
      </c>
      <c r="AO309" s="125">
        <f t="shared" ca="1" si="306"/>
        <v>0</v>
      </c>
      <c r="AP309" s="123">
        <f t="shared" ca="1" si="307"/>
        <v>207185.69896693632</v>
      </c>
      <c r="AQ309" s="121"/>
      <c r="AR309" s="126">
        <f ca="1">IF(LiabIntType1="Fixed",LiabFxdRate1,OFFSET(Vectors!$D$6,Vectors!A309,MATCH(LiabLoanIndex1,lstInterestRates,0))+LiabMarg1)</f>
        <v>7.9369000000000051E-2</v>
      </c>
      <c r="AS309" s="122">
        <f t="shared" ca="1" si="308"/>
        <v>0</v>
      </c>
      <c r="AT309" s="124">
        <f t="shared" ca="1" si="309"/>
        <v>0</v>
      </c>
      <c r="AU309" s="123">
        <f t="shared" ca="1" si="310"/>
        <v>0</v>
      </c>
      <c r="AV309" s="123">
        <f t="shared" ca="1" si="286"/>
        <v>0</v>
      </c>
      <c r="AW309" s="123">
        <f t="shared" ca="1" si="311"/>
        <v>0</v>
      </c>
      <c r="AX309" s="124">
        <f t="shared" ca="1" si="312"/>
        <v>207185.69896693632</v>
      </c>
      <c r="AY309" s="121"/>
      <c r="AZ309" s="122">
        <f t="shared" ca="1" si="287"/>
        <v>0</v>
      </c>
      <c r="BA309" s="124">
        <f t="shared" ca="1" si="313"/>
        <v>0</v>
      </c>
      <c r="BB309" s="123">
        <f t="shared" ca="1" si="314"/>
        <v>0</v>
      </c>
      <c r="BC309" s="123">
        <f t="shared" ca="1" si="288"/>
        <v>0</v>
      </c>
      <c r="BD309" s="123">
        <f t="shared" ca="1" si="315"/>
        <v>0</v>
      </c>
      <c r="BE309" s="124">
        <f t="shared" ca="1" si="316"/>
        <v>207185.69896693632</v>
      </c>
      <c r="BF309" s="121"/>
      <c r="BG309" s="123">
        <f t="shared" si="289"/>
        <v>1000000</v>
      </c>
      <c r="BH309" s="123">
        <f t="shared" ca="1" si="317"/>
        <v>1000000</v>
      </c>
      <c r="BI309" s="123">
        <f t="shared" ca="1" si="318"/>
        <v>0</v>
      </c>
      <c r="BJ309" s="123">
        <f t="shared" ca="1" si="319"/>
        <v>0</v>
      </c>
      <c r="BK309" s="123">
        <f t="shared" ca="1" si="276"/>
        <v>1000000</v>
      </c>
      <c r="BL309" s="123">
        <f t="shared" ca="1" si="320"/>
        <v>207185.69896693632</v>
      </c>
      <c r="BM309" s="121"/>
      <c r="BN309" s="126">
        <f ca="1">IF(LiabIntType2="Fixed",LiabFxdRate2,OFFSET(Vectors!$D$6,Vectors!A309,MATCH(LiabLoanIndex2,lstInterestRates,0))+LiabMarg2)</f>
        <v>0.04</v>
      </c>
      <c r="BO309" s="122">
        <f t="shared" ca="1" si="321"/>
        <v>23423.692301996318</v>
      </c>
      <c r="BP309" s="124">
        <f t="shared" ca="1" si="322"/>
        <v>23423.692301996318</v>
      </c>
      <c r="BQ309" s="123">
        <f t="shared" ca="1" si="323"/>
        <v>0</v>
      </c>
      <c r="BR309" s="123">
        <f t="shared" ca="1" si="324"/>
        <v>183762.00666494001</v>
      </c>
      <c r="BS309" s="121"/>
      <c r="BT309" s="123">
        <f t="shared" ca="1" si="290"/>
        <v>16430.553024468594</v>
      </c>
      <c r="BU309" s="123">
        <f t="shared" ca="1" si="325"/>
        <v>16430.553024468594</v>
      </c>
      <c r="BV309" s="123">
        <f t="shared" ca="1" si="326"/>
        <v>0</v>
      </c>
      <c r="BW309" s="123">
        <f t="shared" ca="1" si="327"/>
        <v>167331.45364047142</v>
      </c>
      <c r="BX309" s="121"/>
      <c r="BY309" s="123">
        <f t="shared" si="328"/>
        <v>0</v>
      </c>
      <c r="BZ309" s="123">
        <f t="shared" ca="1" si="329"/>
        <v>167331.45364047142</v>
      </c>
      <c r="CA309" s="121"/>
      <c r="CB309" s="122">
        <f t="shared" ca="1" si="277"/>
        <v>0</v>
      </c>
      <c r="CC309" s="122">
        <f t="shared" ca="1" si="330"/>
        <v>0</v>
      </c>
      <c r="CD309" s="124">
        <f t="shared" ca="1" si="331"/>
        <v>0</v>
      </c>
      <c r="CE309" s="121"/>
      <c r="CF309" s="122">
        <f t="shared" ca="1" si="278"/>
        <v>7010677.1375744268</v>
      </c>
      <c r="CG309" s="124">
        <f t="shared" ca="1" si="332"/>
        <v>23423.692301996318</v>
      </c>
      <c r="CH309" s="123">
        <f t="shared" ca="1" si="333"/>
        <v>16430.553024468594</v>
      </c>
      <c r="CI309" s="121"/>
      <c r="CJ309" s="123">
        <f t="shared" ca="1" si="334"/>
        <v>221077.3114522266</v>
      </c>
      <c r="CK309" s="123">
        <f t="shared" ca="1" si="335"/>
        <v>221077.3114522266</v>
      </c>
      <c r="CL309" s="123">
        <f t="shared" ca="1" si="336"/>
        <v>0</v>
      </c>
      <c r="CM309" s="121"/>
      <c r="CN309" s="62">
        <f t="shared" ca="1" si="337"/>
        <v>160252.55526842031</v>
      </c>
      <c r="CO309" s="62" t="b">
        <f t="shared" si="338"/>
        <v>1</v>
      </c>
      <c r="CP309" s="126">
        <f t="shared" ca="1" si="339"/>
        <v>8.4166666666666314E-3</v>
      </c>
      <c r="CQ309" s="120"/>
      <c r="CR309" s="120"/>
      <c r="CS309" s="120"/>
      <c r="CT309" s="120"/>
      <c r="CU309" s="120"/>
      <c r="CV309" s="120"/>
      <c r="CW309" s="120"/>
      <c r="CX309" s="120"/>
      <c r="CY309" s="120"/>
      <c r="CZ309" s="120"/>
      <c r="DA309" s="120"/>
      <c r="DB309" s="120"/>
      <c r="DC309" s="120"/>
      <c r="DD309" s="120"/>
      <c r="DE309" s="116"/>
      <c r="DF309" s="116"/>
      <c r="DG309" s="116"/>
      <c r="DH309" s="116"/>
      <c r="DI309" s="116"/>
      <c r="DJ309" s="116"/>
      <c r="DK309" s="116"/>
      <c r="DL309" s="116"/>
      <c r="DM309" s="116"/>
      <c r="DN309" s="116"/>
    </row>
    <row r="310" spans="1:118" x14ac:dyDescent="0.2">
      <c r="A310" s="27">
        <v>304</v>
      </c>
      <c r="B310" s="29">
        <f t="shared" si="272"/>
        <v>48366</v>
      </c>
      <c r="C310" s="30">
        <f t="shared" si="273"/>
        <v>8.3333333333333329E-2</v>
      </c>
      <c r="D310" s="55"/>
      <c r="E310" s="62">
        <f t="shared" ca="1" si="291"/>
        <v>37208057.268147513</v>
      </c>
      <c r="F310" s="63">
        <f ca="1">IF(AssetIntType1="Fixed",AssetFxdRate1,IF(A310=1,OFFSET(Vectors!$D$6,A310,MATCH(AssetFltIndx1,lstInterestRates,0)),IF(MOD($A310,AssetRateReset1)=0,MAX(MIN(OFFSET(Vectors!$D$6,A310,MATCH(AssetFltIndx1,lstInterestRates,0)),(F309-AssetMarg1)+AssetPdCapFl1,AssetLifeCap1-AssetMarg1),(F309-AssetMarg1)-AssetPdCapFl1,AssetLifeFloor1-AssetMarg1),F309)))+AssetMarg1</f>
        <v>0.09</v>
      </c>
      <c r="G310" s="62">
        <f t="shared" ca="1" si="279"/>
        <v>804622.61694478267</v>
      </c>
      <c r="H310" s="62">
        <f t="shared" ca="1" si="292"/>
        <v>279060.42951110634</v>
      </c>
      <c r="I310" s="62">
        <f t="shared" ca="1" si="293"/>
        <v>525562.18743367633</v>
      </c>
      <c r="J310" s="62">
        <f t="shared" ca="1" si="274"/>
        <v>36682495.080713838</v>
      </c>
      <c r="K310" s="55"/>
      <c r="L310" s="62">
        <f t="shared" ca="1" si="294"/>
        <v>8174714.9359057499</v>
      </c>
      <c r="M310" s="68">
        <f ca="1">IF(pdrLossTime1="",OFFSET(Vectors!$AE$6,A310+_Age1,MATCH(SDA_Loss,lstSDA,0)),OFFSET(Vectors!$X$6,A310+_Age1,MATCH(pdrLossTime1,lstDefaultCurve,0)))</f>
        <v>2.7777777777777779E-5</v>
      </c>
      <c r="N310" s="62">
        <f t="shared" ca="1" si="280"/>
        <v>2777.7777777777778</v>
      </c>
      <c r="O310" s="67">
        <f t="shared" ca="1" si="295"/>
        <v>0.36682495080713839</v>
      </c>
      <c r="P310" s="68">
        <f ca="1">OFFSET(Vectors!$L$6,A310+_Age1,MATCH(pdrPrepay1,lstPrepayCurve,0))*pdrPrepayStress1</f>
        <v>5.1430128318229462E-3</v>
      </c>
      <c r="Q310" s="62">
        <f t="shared" ca="1" si="296"/>
        <v>41448.813017680266</v>
      </c>
      <c r="R310" s="62">
        <f t="shared" ca="1" si="297"/>
        <v>115428.25623612861</v>
      </c>
      <c r="S310" s="69">
        <f t="shared" ca="1" si="298"/>
        <v>0.09</v>
      </c>
      <c r="T310" s="62">
        <f t="shared" ca="1" si="299"/>
        <v>61289.528685959784</v>
      </c>
      <c r="U310" s="62">
        <f t="shared" ca="1" si="281"/>
        <v>1111.1111111111111</v>
      </c>
      <c r="V310" s="62">
        <f t="shared" ca="1" si="275"/>
        <v>8015060.0888741631</v>
      </c>
      <c r="W310" s="55"/>
      <c r="X310" s="62">
        <f t="shared" ca="1" si="300"/>
        <v>219277.70905087978</v>
      </c>
      <c r="Y310" s="55"/>
      <c r="Z310" s="118" t="b">
        <v>0</v>
      </c>
      <c r="AA310" s="120" t="b">
        <f t="shared" si="282"/>
        <v>0</v>
      </c>
      <c r="AB310" s="120" t="b">
        <f t="shared" si="283"/>
        <v>1</v>
      </c>
      <c r="AC310" s="120" t="b">
        <f t="shared" ca="1" si="284"/>
        <v>0</v>
      </c>
      <c r="AD310" s="121"/>
      <c r="AE310" s="129">
        <v>0</v>
      </c>
      <c r="AF310" s="69">
        <f ca="1">IF(Swap_Active="No",0,OFFSET(Vectors!$D$6,Vectors!A310,MATCH(Swap_In,lstInterestRates,0)))</f>
        <v>6.9369000000000056E-2</v>
      </c>
      <c r="AG310" s="62">
        <f t="shared" ca="1" si="301"/>
        <v>0</v>
      </c>
      <c r="AH310" s="69">
        <f ca="1">IF(Swap_Active="No",0,OFFSET(Vectors!$D$6,Vectors!A310,MATCH(Swap_Out,lstInterestRates,0)))</f>
        <v>0.04</v>
      </c>
      <c r="AI310" s="62">
        <f t="shared" ca="1" si="302"/>
        <v>0</v>
      </c>
      <c r="AJ310" s="62">
        <f t="shared" ca="1" si="303"/>
        <v>0</v>
      </c>
      <c r="AK310" s="62">
        <f t="shared" ca="1" si="304"/>
        <v>219277.70905087978</v>
      </c>
      <c r="AL310" s="121"/>
      <c r="AM310" s="123">
        <f t="shared" ca="1" si="285"/>
        <v>13624.524893176249</v>
      </c>
      <c r="AN310" s="124">
        <f t="shared" ca="1" si="305"/>
        <v>13624.524893176249</v>
      </c>
      <c r="AO310" s="125">
        <f t="shared" ca="1" si="306"/>
        <v>0</v>
      </c>
      <c r="AP310" s="123">
        <f t="shared" ca="1" si="307"/>
        <v>205653.18415770354</v>
      </c>
      <c r="AQ310" s="121"/>
      <c r="AR310" s="126">
        <f ca="1">IF(LiabIntType1="Fixed",LiabFxdRate1,OFFSET(Vectors!$D$6,Vectors!A310,MATCH(LiabLoanIndex1,lstInterestRates,0))+LiabMarg1)</f>
        <v>7.9369000000000051E-2</v>
      </c>
      <c r="AS310" s="122">
        <f t="shared" ca="1" si="308"/>
        <v>0</v>
      </c>
      <c r="AT310" s="124">
        <f t="shared" ca="1" si="309"/>
        <v>0</v>
      </c>
      <c r="AU310" s="123">
        <f t="shared" ca="1" si="310"/>
        <v>0</v>
      </c>
      <c r="AV310" s="123">
        <f t="shared" ca="1" si="286"/>
        <v>0</v>
      </c>
      <c r="AW310" s="123">
        <f t="shared" ca="1" si="311"/>
        <v>0</v>
      </c>
      <c r="AX310" s="124">
        <f t="shared" ca="1" si="312"/>
        <v>205653.18415770354</v>
      </c>
      <c r="AY310" s="121"/>
      <c r="AZ310" s="122">
        <f t="shared" ca="1" si="287"/>
        <v>0</v>
      </c>
      <c r="BA310" s="124">
        <f t="shared" ca="1" si="313"/>
        <v>0</v>
      </c>
      <c r="BB310" s="123">
        <f t="shared" ca="1" si="314"/>
        <v>0</v>
      </c>
      <c r="BC310" s="123">
        <f t="shared" ca="1" si="288"/>
        <v>0</v>
      </c>
      <c r="BD310" s="123">
        <f t="shared" ca="1" si="315"/>
        <v>0</v>
      </c>
      <c r="BE310" s="124">
        <f t="shared" ca="1" si="316"/>
        <v>205653.18415770354</v>
      </c>
      <c r="BF310" s="121"/>
      <c r="BG310" s="123">
        <f t="shared" si="289"/>
        <v>1000000</v>
      </c>
      <c r="BH310" s="123">
        <f t="shared" ca="1" si="317"/>
        <v>1000000</v>
      </c>
      <c r="BI310" s="123">
        <f t="shared" ca="1" si="318"/>
        <v>0</v>
      </c>
      <c r="BJ310" s="123">
        <f t="shared" ca="1" si="319"/>
        <v>0</v>
      </c>
      <c r="BK310" s="123">
        <f t="shared" ca="1" si="276"/>
        <v>1000000</v>
      </c>
      <c r="BL310" s="123">
        <f t="shared" ca="1" si="320"/>
        <v>205653.18415770354</v>
      </c>
      <c r="BM310" s="121"/>
      <c r="BN310" s="126">
        <f ca="1">IF(LiabIntType2="Fixed",LiabFxdRate2,OFFSET(Vectors!$D$6,Vectors!A310,MATCH(LiabLoanIndex2,lstInterestRates,0))+LiabMarg2)</f>
        <v>0.04</v>
      </c>
      <c r="BO310" s="122">
        <f t="shared" ca="1" si="321"/>
        <v>23368.923791914756</v>
      </c>
      <c r="BP310" s="124">
        <f t="shared" ca="1" si="322"/>
        <v>23368.923791914756</v>
      </c>
      <c r="BQ310" s="123">
        <f t="shared" ca="1" si="323"/>
        <v>0</v>
      </c>
      <c r="BR310" s="123">
        <f t="shared" ca="1" si="324"/>
        <v>182284.26036578877</v>
      </c>
      <c r="BS310" s="121"/>
      <c r="BT310" s="123">
        <f t="shared" ca="1" si="290"/>
        <v>16369.270526588871</v>
      </c>
      <c r="BU310" s="123">
        <f t="shared" ca="1" si="325"/>
        <v>16369.270526588871</v>
      </c>
      <c r="BV310" s="123">
        <f t="shared" ca="1" si="326"/>
        <v>0</v>
      </c>
      <c r="BW310" s="123">
        <f t="shared" ca="1" si="327"/>
        <v>165914.9898391999</v>
      </c>
      <c r="BX310" s="121"/>
      <c r="BY310" s="123">
        <f t="shared" si="328"/>
        <v>0</v>
      </c>
      <c r="BZ310" s="123">
        <f t="shared" ca="1" si="329"/>
        <v>165914.9898391999</v>
      </c>
      <c r="CA310" s="121"/>
      <c r="CB310" s="122">
        <f t="shared" ca="1" si="277"/>
        <v>0</v>
      </c>
      <c r="CC310" s="122">
        <f t="shared" ca="1" si="330"/>
        <v>0</v>
      </c>
      <c r="CD310" s="124">
        <f t="shared" ca="1" si="331"/>
        <v>0</v>
      </c>
      <c r="CE310" s="121"/>
      <c r="CF310" s="122">
        <f t="shared" ca="1" si="278"/>
        <v>6994307.8670478379</v>
      </c>
      <c r="CG310" s="124">
        <f t="shared" ca="1" si="332"/>
        <v>23368.923791914756</v>
      </c>
      <c r="CH310" s="123">
        <f t="shared" ca="1" si="333"/>
        <v>16369.270526588871</v>
      </c>
      <c r="CI310" s="121"/>
      <c r="CJ310" s="123">
        <f t="shared" ca="1" si="334"/>
        <v>219277.70905087978</v>
      </c>
      <c r="CK310" s="123">
        <f t="shared" ca="1" si="335"/>
        <v>219277.70905087978</v>
      </c>
      <c r="CL310" s="123">
        <f t="shared" ca="1" si="336"/>
        <v>0</v>
      </c>
      <c r="CM310" s="121"/>
      <c r="CN310" s="62">
        <f t="shared" ca="1" si="337"/>
        <v>159654.84703158666</v>
      </c>
      <c r="CO310" s="62" t="b">
        <f t="shared" si="338"/>
        <v>1</v>
      </c>
      <c r="CP310" s="126">
        <f t="shared" ca="1" si="339"/>
        <v>8.444444444444409E-3</v>
      </c>
      <c r="CQ310" s="120"/>
      <c r="CR310" s="120"/>
      <c r="CS310" s="120"/>
      <c r="CT310" s="120"/>
      <c r="CU310" s="120"/>
      <c r="CV310" s="120"/>
      <c r="CW310" s="120"/>
      <c r="CX310" s="120"/>
      <c r="CY310" s="120"/>
      <c r="CZ310" s="120"/>
      <c r="DA310" s="120"/>
      <c r="DB310" s="120"/>
      <c r="DC310" s="120"/>
      <c r="DD310" s="120"/>
      <c r="DE310" s="116"/>
      <c r="DF310" s="116"/>
      <c r="DG310" s="116"/>
      <c r="DH310" s="116"/>
      <c r="DI310" s="116"/>
      <c r="DJ310" s="116"/>
      <c r="DK310" s="116"/>
      <c r="DL310" s="116"/>
      <c r="DM310" s="116"/>
      <c r="DN310" s="116"/>
    </row>
    <row r="311" spans="1:118" x14ac:dyDescent="0.2">
      <c r="A311" s="27">
        <v>305</v>
      </c>
      <c r="B311" s="29">
        <f t="shared" si="272"/>
        <v>48396</v>
      </c>
      <c r="C311" s="30">
        <f t="shared" si="273"/>
        <v>8.3333333333333329E-2</v>
      </c>
      <c r="D311" s="55"/>
      <c r="E311" s="62">
        <f t="shared" ca="1" si="291"/>
        <v>36682495.080713838</v>
      </c>
      <c r="F311" s="63">
        <f ca="1">IF(AssetIntType1="Fixed",AssetFxdRate1,IF(A311=1,OFFSET(Vectors!$D$6,A311,MATCH(AssetFltIndx1,lstInterestRates,0)),IF(MOD($A311,AssetRateReset1)=0,MAX(MIN(OFFSET(Vectors!$D$6,A311,MATCH(AssetFltIndx1,lstInterestRates,0)),(F310-AssetMarg1)+AssetPdCapFl1,AssetLifeCap1-AssetMarg1),(F310-AssetMarg1)-AssetPdCapFl1,AssetLifeFloor1-AssetMarg1),F310)))+AssetMarg1</f>
        <v>0.09</v>
      </c>
      <c r="G311" s="62">
        <f t="shared" ca="1" si="279"/>
        <v>804622.61694478267</v>
      </c>
      <c r="H311" s="62">
        <f t="shared" ca="1" si="292"/>
        <v>275118.71310535376</v>
      </c>
      <c r="I311" s="62">
        <f t="shared" ca="1" si="293"/>
        <v>529503.90383942891</v>
      </c>
      <c r="J311" s="62">
        <f t="shared" ca="1" si="274"/>
        <v>36152991.176874407</v>
      </c>
      <c r="K311" s="55"/>
      <c r="L311" s="62">
        <f t="shared" ca="1" si="294"/>
        <v>8015060.0888741631</v>
      </c>
      <c r="M311" s="68">
        <f ca="1">IF(pdrLossTime1="",OFFSET(Vectors!$AE$6,A311+_Age1,MATCH(SDA_Loss,lstSDA,0)),OFFSET(Vectors!$X$6,A311+_Age1,MATCH(pdrLossTime1,lstDefaultCurve,0)))</f>
        <v>2.7777777777777779E-5</v>
      </c>
      <c r="N311" s="62">
        <f t="shared" ca="1" si="280"/>
        <v>2777.7777777777778</v>
      </c>
      <c r="O311" s="67">
        <f t="shared" ca="1" si="295"/>
        <v>0.36152991176874405</v>
      </c>
      <c r="P311" s="68">
        <f ca="1">OFFSET(Vectors!$L$6,A311+_Age1,MATCH(pdrPrepay1,lstPrepayCurve,0))*pdrPrepayStress1</f>
        <v>5.1430128318229462E-3</v>
      </c>
      <c r="Q311" s="62">
        <f t="shared" ca="1" si="296"/>
        <v>40626.532603033644</v>
      </c>
      <c r="R311" s="62">
        <f t="shared" ca="1" si="297"/>
        <v>115655.5668597288</v>
      </c>
      <c r="S311" s="69">
        <f t="shared" ca="1" si="298"/>
        <v>0.09</v>
      </c>
      <c r="T311" s="62">
        <f t="shared" ca="1" si="299"/>
        <v>60092.117333222886</v>
      </c>
      <c r="U311" s="62">
        <f t="shared" ca="1" si="281"/>
        <v>1111.1111111111111</v>
      </c>
      <c r="V311" s="62">
        <f t="shared" ca="1" si="275"/>
        <v>7856000.2116336226</v>
      </c>
      <c r="W311" s="55"/>
      <c r="X311" s="62">
        <f t="shared" ca="1" si="300"/>
        <v>217485.32790709645</v>
      </c>
      <c r="Y311" s="55"/>
      <c r="Z311" s="118" t="b">
        <v>0</v>
      </c>
      <c r="AA311" s="120" t="b">
        <f t="shared" si="282"/>
        <v>0</v>
      </c>
      <c r="AB311" s="120" t="b">
        <f t="shared" si="283"/>
        <v>1</v>
      </c>
      <c r="AC311" s="120" t="b">
        <f t="shared" ca="1" si="284"/>
        <v>0</v>
      </c>
      <c r="AD311" s="121"/>
      <c r="AE311" s="129">
        <v>0</v>
      </c>
      <c r="AF311" s="69">
        <f ca="1">IF(Swap_Active="No",0,OFFSET(Vectors!$D$6,Vectors!A311,MATCH(Swap_In,lstInterestRates,0)))</f>
        <v>6.9369000000000056E-2</v>
      </c>
      <c r="AG311" s="62">
        <f t="shared" ca="1" si="301"/>
        <v>0</v>
      </c>
      <c r="AH311" s="69">
        <f ca="1">IF(Swap_Active="No",0,OFFSET(Vectors!$D$6,Vectors!A311,MATCH(Swap_Out,lstInterestRates,0)))</f>
        <v>0.04</v>
      </c>
      <c r="AI311" s="62">
        <f t="shared" ca="1" si="302"/>
        <v>0</v>
      </c>
      <c r="AJ311" s="62">
        <f t="shared" ca="1" si="303"/>
        <v>0</v>
      </c>
      <c r="AK311" s="62">
        <f t="shared" ca="1" si="304"/>
        <v>217485.32790709645</v>
      </c>
      <c r="AL311" s="121"/>
      <c r="AM311" s="123">
        <f t="shared" ca="1" si="285"/>
        <v>13358.433481456937</v>
      </c>
      <c r="AN311" s="124">
        <f t="shared" ca="1" si="305"/>
        <v>13358.433481456937</v>
      </c>
      <c r="AO311" s="125">
        <f t="shared" ca="1" si="306"/>
        <v>0</v>
      </c>
      <c r="AP311" s="123">
        <f t="shared" ca="1" si="307"/>
        <v>204126.8944256395</v>
      </c>
      <c r="AQ311" s="121"/>
      <c r="AR311" s="126">
        <f ca="1">IF(LiabIntType1="Fixed",LiabFxdRate1,OFFSET(Vectors!$D$6,Vectors!A311,MATCH(LiabLoanIndex1,lstInterestRates,0))+LiabMarg1)</f>
        <v>7.9369000000000051E-2</v>
      </c>
      <c r="AS311" s="122">
        <f t="shared" ca="1" si="308"/>
        <v>0</v>
      </c>
      <c r="AT311" s="124">
        <f t="shared" ca="1" si="309"/>
        <v>0</v>
      </c>
      <c r="AU311" s="123">
        <f t="shared" ca="1" si="310"/>
        <v>0</v>
      </c>
      <c r="AV311" s="123">
        <f t="shared" ca="1" si="286"/>
        <v>0</v>
      </c>
      <c r="AW311" s="123">
        <f t="shared" ca="1" si="311"/>
        <v>0</v>
      </c>
      <c r="AX311" s="124">
        <f t="shared" ca="1" si="312"/>
        <v>204126.8944256395</v>
      </c>
      <c r="AY311" s="121"/>
      <c r="AZ311" s="122">
        <f t="shared" ca="1" si="287"/>
        <v>0</v>
      </c>
      <c r="BA311" s="124">
        <f t="shared" ca="1" si="313"/>
        <v>0</v>
      </c>
      <c r="BB311" s="123">
        <f t="shared" ca="1" si="314"/>
        <v>0</v>
      </c>
      <c r="BC311" s="123">
        <f t="shared" ca="1" si="288"/>
        <v>0</v>
      </c>
      <c r="BD311" s="123">
        <f t="shared" ca="1" si="315"/>
        <v>0</v>
      </c>
      <c r="BE311" s="124">
        <f t="shared" ca="1" si="316"/>
        <v>204126.8944256395</v>
      </c>
      <c r="BF311" s="121"/>
      <c r="BG311" s="123">
        <f t="shared" si="289"/>
        <v>1000000</v>
      </c>
      <c r="BH311" s="123">
        <f t="shared" ca="1" si="317"/>
        <v>1000000</v>
      </c>
      <c r="BI311" s="123">
        <f t="shared" ca="1" si="318"/>
        <v>0</v>
      </c>
      <c r="BJ311" s="123">
        <f t="shared" ca="1" si="319"/>
        <v>0</v>
      </c>
      <c r="BK311" s="123">
        <f t="shared" ca="1" si="276"/>
        <v>1000000</v>
      </c>
      <c r="BL311" s="123">
        <f t="shared" ca="1" si="320"/>
        <v>204126.8944256395</v>
      </c>
      <c r="BM311" s="121"/>
      <c r="BN311" s="126">
        <f ca="1">IF(LiabIntType2="Fixed",LiabFxdRate2,OFFSET(Vectors!$D$6,Vectors!A311,MATCH(LiabLoanIndex2,lstInterestRates,0))+LiabMarg2)</f>
        <v>0.04</v>
      </c>
      <c r="BO311" s="122">
        <f t="shared" ca="1" si="321"/>
        <v>23314.359556826126</v>
      </c>
      <c r="BP311" s="124">
        <f t="shared" ca="1" si="322"/>
        <v>23314.359556826126</v>
      </c>
      <c r="BQ311" s="123">
        <f t="shared" ca="1" si="323"/>
        <v>0</v>
      </c>
      <c r="BR311" s="123">
        <f t="shared" ca="1" si="324"/>
        <v>180812.53486881338</v>
      </c>
      <c r="BS311" s="121"/>
      <c r="BT311" s="123">
        <f t="shared" ca="1" si="290"/>
        <v>16308.268799138277</v>
      </c>
      <c r="BU311" s="123">
        <f t="shared" ca="1" si="325"/>
        <v>16308.268799138277</v>
      </c>
      <c r="BV311" s="123">
        <f t="shared" ca="1" si="326"/>
        <v>0</v>
      </c>
      <c r="BW311" s="123">
        <f t="shared" ca="1" si="327"/>
        <v>164504.2660696751</v>
      </c>
      <c r="BX311" s="121"/>
      <c r="BY311" s="123">
        <f t="shared" si="328"/>
        <v>0</v>
      </c>
      <c r="BZ311" s="123">
        <f t="shared" ca="1" si="329"/>
        <v>164504.2660696751</v>
      </c>
      <c r="CA311" s="121"/>
      <c r="CB311" s="122">
        <f t="shared" ca="1" si="277"/>
        <v>0</v>
      </c>
      <c r="CC311" s="122">
        <f t="shared" ca="1" si="330"/>
        <v>0</v>
      </c>
      <c r="CD311" s="124">
        <f t="shared" ca="1" si="331"/>
        <v>0</v>
      </c>
      <c r="CE311" s="121"/>
      <c r="CF311" s="122">
        <f t="shared" ca="1" si="278"/>
        <v>6977999.5982486997</v>
      </c>
      <c r="CG311" s="124">
        <f t="shared" ca="1" si="332"/>
        <v>23314.359556826126</v>
      </c>
      <c r="CH311" s="123">
        <f t="shared" ca="1" si="333"/>
        <v>16308.268799138277</v>
      </c>
      <c r="CI311" s="121"/>
      <c r="CJ311" s="123">
        <f t="shared" ca="1" si="334"/>
        <v>217485.32790709645</v>
      </c>
      <c r="CK311" s="123">
        <f t="shared" ca="1" si="335"/>
        <v>217485.32790709645</v>
      </c>
      <c r="CL311" s="123">
        <f t="shared" ca="1" si="336"/>
        <v>0</v>
      </c>
      <c r="CM311" s="121"/>
      <c r="CN311" s="62">
        <f t="shared" ca="1" si="337"/>
        <v>159059.87724054023</v>
      </c>
      <c r="CO311" s="62" t="b">
        <f t="shared" si="338"/>
        <v>1</v>
      </c>
      <c r="CP311" s="126">
        <f t="shared" ca="1" si="339"/>
        <v>8.4722222222221866E-3</v>
      </c>
      <c r="CQ311" s="120"/>
      <c r="CR311" s="120"/>
      <c r="CS311" s="120"/>
      <c r="CT311" s="120"/>
      <c r="CU311" s="120"/>
      <c r="CV311" s="120"/>
      <c r="CW311" s="120"/>
      <c r="CX311" s="120"/>
      <c r="CY311" s="120"/>
      <c r="CZ311" s="120"/>
      <c r="DA311" s="120"/>
      <c r="DB311" s="120"/>
      <c r="DC311" s="120"/>
      <c r="DD311" s="120"/>
      <c r="DE311" s="116"/>
      <c r="DF311" s="116"/>
      <c r="DG311" s="116"/>
      <c r="DH311" s="116"/>
      <c r="DI311" s="116"/>
      <c r="DJ311" s="116"/>
      <c r="DK311" s="116"/>
      <c r="DL311" s="116"/>
      <c r="DM311" s="116"/>
      <c r="DN311" s="116"/>
    </row>
    <row r="312" spans="1:118" x14ac:dyDescent="0.2">
      <c r="A312" s="27">
        <v>306</v>
      </c>
      <c r="B312" s="29">
        <f t="shared" si="272"/>
        <v>48427</v>
      </c>
      <c r="C312" s="30">
        <f t="shared" si="273"/>
        <v>8.3333333333333329E-2</v>
      </c>
      <c r="D312" s="55"/>
      <c r="E312" s="62">
        <f t="shared" ca="1" si="291"/>
        <v>36152991.176874407</v>
      </c>
      <c r="F312" s="63">
        <f ca="1">IF(AssetIntType1="Fixed",AssetFxdRate1,IF(A312=1,OFFSET(Vectors!$D$6,A312,MATCH(AssetFltIndx1,lstInterestRates,0)),IF(MOD($A312,AssetRateReset1)=0,MAX(MIN(OFFSET(Vectors!$D$6,A312,MATCH(AssetFltIndx1,lstInterestRates,0)),(F311-AssetMarg1)+AssetPdCapFl1,AssetLifeCap1-AssetMarg1),(F311-AssetMarg1)-AssetPdCapFl1,AssetLifeFloor1-AssetMarg1),F311)))+AssetMarg1</f>
        <v>0.09</v>
      </c>
      <c r="G312" s="62">
        <f t="shared" ca="1" si="279"/>
        <v>804622.61694478267</v>
      </c>
      <c r="H312" s="62">
        <f t="shared" ca="1" si="292"/>
        <v>271147.43382655806</v>
      </c>
      <c r="I312" s="62">
        <f t="shared" ca="1" si="293"/>
        <v>533475.18311822461</v>
      </c>
      <c r="J312" s="62">
        <f t="shared" ca="1" si="274"/>
        <v>35619515.993756182</v>
      </c>
      <c r="K312" s="55"/>
      <c r="L312" s="62">
        <f t="shared" ca="1" si="294"/>
        <v>7856000.2116336226</v>
      </c>
      <c r="M312" s="68">
        <f ca="1">IF(pdrLossTime1="",OFFSET(Vectors!$AE$6,A312+_Age1,MATCH(SDA_Loss,lstSDA,0)),OFFSET(Vectors!$X$6,A312+_Age1,MATCH(pdrLossTime1,lstDefaultCurve,0)))</f>
        <v>2.7777777777777779E-5</v>
      </c>
      <c r="N312" s="62">
        <f t="shared" ca="1" si="280"/>
        <v>2777.7777777777778</v>
      </c>
      <c r="O312" s="67">
        <f t="shared" ca="1" si="295"/>
        <v>0.35619515993756184</v>
      </c>
      <c r="P312" s="68">
        <f ca="1">OFFSET(Vectors!$L$6,A312+_Age1,MATCH(pdrPrepay1,lstPrepayCurve,0))*pdrPrepayStress1</f>
        <v>5.1430128318229462E-3</v>
      </c>
      <c r="Q312" s="62">
        <f t="shared" ca="1" si="296"/>
        <v>39807.313864469259</v>
      </c>
      <c r="R312" s="62">
        <f t="shared" ca="1" si="297"/>
        <v>115882.5076318776</v>
      </c>
      <c r="S312" s="69">
        <f t="shared" ca="1" si="298"/>
        <v>0.09</v>
      </c>
      <c r="T312" s="62">
        <f t="shared" ca="1" si="299"/>
        <v>58899.168253918833</v>
      </c>
      <c r="U312" s="62">
        <f t="shared" ca="1" si="281"/>
        <v>1111.1111111111111</v>
      </c>
      <c r="V312" s="62">
        <f t="shared" ca="1" si="275"/>
        <v>7697532.6123594977</v>
      </c>
      <c r="W312" s="55"/>
      <c r="X312" s="62">
        <f t="shared" ca="1" si="300"/>
        <v>215700.10086137679</v>
      </c>
      <c r="Y312" s="55"/>
      <c r="Z312" s="118" t="b">
        <v>0</v>
      </c>
      <c r="AA312" s="120" t="b">
        <f t="shared" si="282"/>
        <v>0</v>
      </c>
      <c r="AB312" s="120" t="b">
        <f t="shared" si="283"/>
        <v>1</v>
      </c>
      <c r="AC312" s="120" t="b">
        <f t="shared" ca="1" si="284"/>
        <v>0</v>
      </c>
      <c r="AD312" s="121"/>
      <c r="AE312" s="129">
        <v>0</v>
      </c>
      <c r="AF312" s="69">
        <f ca="1">IF(Swap_Active="No",0,OFFSET(Vectors!$D$6,Vectors!A312,MATCH(Swap_In,lstInterestRates,0)))</f>
        <v>6.9369000000000056E-2</v>
      </c>
      <c r="AG312" s="62">
        <f t="shared" ca="1" si="301"/>
        <v>0</v>
      </c>
      <c r="AH312" s="69">
        <f ca="1">IF(Swap_Active="No",0,OFFSET(Vectors!$D$6,Vectors!A312,MATCH(Swap_Out,lstInterestRates,0)))</f>
        <v>0.04</v>
      </c>
      <c r="AI312" s="62">
        <f t="shared" ca="1" si="302"/>
        <v>0</v>
      </c>
      <c r="AJ312" s="62">
        <f t="shared" ca="1" si="303"/>
        <v>0</v>
      </c>
      <c r="AK312" s="62">
        <f t="shared" ca="1" si="304"/>
        <v>215700.10086137679</v>
      </c>
      <c r="AL312" s="121"/>
      <c r="AM312" s="123">
        <f t="shared" ca="1" si="285"/>
        <v>13093.333686056038</v>
      </c>
      <c r="AN312" s="124">
        <f t="shared" ca="1" si="305"/>
        <v>13093.333686056038</v>
      </c>
      <c r="AO312" s="125">
        <f t="shared" ca="1" si="306"/>
        <v>0</v>
      </c>
      <c r="AP312" s="123">
        <f t="shared" ca="1" si="307"/>
        <v>202606.76717532077</v>
      </c>
      <c r="AQ312" s="121"/>
      <c r="AR312" s="126">
        <f ca="1">IF(LiabIntType1="Fixed",LiabFxdRate1,OFFSET(Vectors!$D$6,Vectors!A312,MATCH(LiabLoanIndex1,lstInterestRates,0))+LiabMarg1)</f>
        <v>7.9369000000000051E-2</v>
      </c>
      <c r="AS312" s="122">
        <f t="shared" ca="1" si="308"/>
        <v>0</v>
      </c>
      <c r="AT312" s="124">
        <f t="shared" ca="1" si="309"/>
        <v>0</v>
      </c>
      <c r="AU312" s="123">
        <f t="shared" ca="1" si="310"/>
        <v>0</v>
      </c>
      <c r="AV312" s="123">
        <f t="shared" ca="1" si="286"/>
        <v>0</v>
      </c>
      <c r="AW312" s="123">
        <f t="shared" ca="1" si="311"/>
        <v>0</v>
      </c>
      <c r="AX312" s="124">
        <f t="shared" ca="1" si="312"/>
        <v>202606.76717532077</v>
      </c>
      <c r="AY312" s="121"/>
      <c r="AZ312" s="122">
        <f t="shared" ca="1" si="287"/>
        <v>0</v>
      </c>
      <c r="BA312" s="124">
        <f t="shared" ca="1" si="313"/>
        <v>0</v>
      </c>
      <c r="BB312" s="123">
        <f t="shared" ca="1" si="314"/>
        <v>0</v>
      </c>
      <c r="BC312" s="123">
        <f t="shared" ca="1" si="288"/>
        <v>0</v>
      </c>
      <c r="BD312" s="123">
        <f t="shared" ca="1" si="315"/>
        <v>0</v>
      </c>
      <c r="BE312" s="124">
        <f t="shared" ca="1" si="316"/>
        <v>202606.76717532077</v>
      </c>
      <c r="BF312" s="121"/>
      <c r="BG312" s="123">
        <f t="shared" si="289"/>
        <v>1000000</v>
      </c>
      <c r="BH312" s="123">
        <f t="shared" ca="1" si="317"/>
        <v>1000000</v>
      </c>
      <c r="BI312" s="123">
        <f t="shared" ca="1" si="318"/>
        <v>0</v>
      </c>
      <c r="BJ312" s="123">
        <f t="shared" ca="1" si="319"/>
        <v>0</v>
      </c>
      <c r="BK312" s="123">
        <f t="shared" ca="1" si="276"/>
        <v>1000000</v>
      </c>
      <c r="BL312" s="123">
        <f t="shared" ca="1" si="320"/>
        <v>202606.76717532077</v>
      </c>
      <c r="BM312" s="121"/>
      <c r="BN312" s="126">
        <f ca="1">IF(LiabIntType2="Fixed",LiabFxdRate2,OFFSET(Vectors!$D$6,Vectors!A312,MATCH(LiabLoanIndex2,lstInterestRates,0))+LiabMarg2)</f>
        <v>0.04</v>
      </c>
      <c r="BO312" s="122">
        <f t="shared" ca="1" si="321"/>
        <v>23259.998660828998</v>
      </c>
      <c r="BP312" s="124">
        <f t="shared" ca="1" si="322"/>
        <v>23259.998660828998</v>
      </c>
      <c r="BQ312" s="123">
        <f t="shared" ca="1" si="323"/>
        <v>0</v>
      </c>
      <c r="BR312" s="123">
        <f t="shared" ca="1" si="324"/>
        <v>179346.76851449176</v>
      </c>
      <c r="BS312" s="121"/>
      <c r="BT312" s="123">
        <f t="shared" ca="1" si="290"/>
        <v>16247.543062090803</v>
      </c>
      <c r="BU312" s="123">
        <f t="shared" ca="1" si="325"/>
        <v>16247.543062090803</v>
      </c>
      <c r="BV312" s="123">
        <f t="shared" ca="1" si="326"/>
        <v>0</v>
      </c>
      <c r="BW312" s="123">
        <f t="shared" ca="1" si="327"/>
        <v>163099.22545240095</v>
      </c>
      <c r="BX312" s="121"/>
      <c r="BY312" s="123">
        <f t="shared" si="328"/>
        <v>0</v>
      </c>
      <c r="BZ312" s="123">
        <f t="shared" ca="1" si="329"/>
        <v>163099.22545240095</v>
      </c>
      <c r="CA312" s="121"/>
      <c r="CB312" s="122">
        <f t="shared" ca="1" si="277"/>
        <v>0</v>
      </c>
      <c r="CC312" s="122">
        <f t="shared" ca="1" si="330"/>
        <v>0</v>
      </c>
      <c r="CD312" s="124">
        <f t="shared" ca="1" si="331"/>
        <v>0</v>
      </c>
      <c r="CE312" s="121"/>
      <c r="CF312" s="122">
        <f t="shared" ca="1" si="278"/>
        <v>6961752.0551866088</v>
      </c>
      <c r="CG312" s="124">
        <f t="shared" ca="1" si="332"/>
        <v>23259.998660828998</v>
      </c>
      <c r="CH312" s="123">
        <f t="shared" ca="1" si="333"/>
        <v>16247.543062090803</v>
      </c>
      <c r="CI312" s="121"/>
      <c r="CJ312" s="123">
        <f t="shared" ca="1" si="334"/>
        <v>215700.10086137679</v>
      </c>
      <c r="CK312" s="123">
        <f t="shared" ca="1" si="335"/>
        <v>215700.10086137679</v>
      </c>
      <c r="CL312" s="123">
        <f t="shared" ca="1" si="336"/>
        <v>0</v>
      </c>
      <c r="CM312" s="121"/>
      <c r="CN312" s="62">
        <f t="shared" ca="1" si="337"/>
        <v>158467.59927412463</v>
      </c>
      <c r="CO312" s="62" t="b">
        <f t="shared" si="338"/>
        <v>1</v>
      </c>
      <c r="CP312" s="126">
        <f t="shared" ca="1" si="339"/>
        <v>8.4999999999999642E-3</v>
      </c>
      <c r="CQ312" s="120"/>
      <c r="CR312" s="120"/>
      <c r="CS312" s="120"/>
      <c r="CT312" s="120"/>
      <c r="CU312" s="120"/>
      <c r="CV312" s="120"/>
      <c r="CW312" s="120"/>
      <c r="CX312" s="120"/>
      <c r="CY312" s="120"/>
      <c r="CZ312" s="120"/>
      <c r="DA312" s="120"/>
      <c r="DB312" s="120"/>
      <c r="DC312" s="120"/>
      <c r="DD312" s="120"/>
      <c r="DE312" s="116"/>
      <c r="DF312" s="116"/>
      <c r="DG312" s="116"/>
      <c r="DH312" s="116"/>
      <c r="DI312" s="116"/>
      <c r="DJ312" s="116"/>
      <c r="DK312" s="116"/>
      <c r="DL312" s="116"/>
      <c r="DM312" s="116"/>
      <c r="DN312" s="116"/>
    </row>
    <row r="313" spans="1:118" x14ac:dyDescent="0.2">
      <c r="A313" s="27">
        <v>307</v>
      </c>
      <c r="B313" s="29">
        <f t="shared" si="272"/>
        <v>48458</v>
      </c>
      <c r="C313" s="30">
        <f t="shared" si="273"/>
        <v>8.3333333333333329E-2</v>
      </c>
      <c r="D313" s="55"/>
      <c r="E313" s="62">
        <f t="shared" ca="1" si="291"/>
        <v>35619515.993756182</v>
      </c>
      <c r="F313" s="63">
        <f ca="1">IF(AssetIntType1="Fixed",AssetFxdRate1,IF(A313=1,OFFSET(Vectors!$D$6,A313,MATCH(AssetFltIndx1,lstInterestRates,0)),IF(MOD($A313,AssetRateReset1)=0,MAX(MIN(OFFSET(Vectors!$D$6,A313,MATCH(AssetFltIndx1,lstInterestRates,0)),(F312-AssetMarg1)+AssetPdCapFl1,AssetLifeCap1-AssetMarg1),(F312-AssetMarg1)-AssetPdCapFl1,AssetLifeFloor1-AssetMarg1),F312)))+AssetMarg1</f>
        <v>0.09</v>
      </c>
      <c r="G313" s="62">
        <f t="shared" ca="1" si="279"/>
        <v>804622.61694478267</v>
      </c>
      <c r="H313" s="62">
        <f t="shared" ca="1" si="292"/>
        <v>267146.36995317135</v>
      </c>
      <c r="I313" s="62">
        <f t="shared" ca="1" si="293"/>
        <v>537476.24699161132</v>
      </c>
      <c r="J313" s="62">
        <f t="shared" ca="1" si="274"/>
        <v>35082039.74676457</v>
      </c>
      <c r="K313" s="55"/>
      <c r="L313" s="62">
        <f t="shared" ca="1" si="294"/>
        <v>7697532.6123594977</v>
      </c>
      <c r="M313" s="68">
        <f ca="1">IF(pdrLossTime1="",OFFSET(Vectors!$AE$6,A313+_Age1,MATCH(SDA_Loss,lstSDA,0)),OFFSET(Vectors!$X$6,A313+_Age1,MATCH(pdrLossTime1,lstDefaultCurve,0)))</f>
        <v>2.7777777777777779E-5</v>
      </c>
      <c r="N313" s="62">
        <f t="shared" ca="1" si="280"/>
        <v>2777.7777777777778</v>
      </c>
      <c r="O313" s="67">
        <f t="shared" ca="1" si="295"/>
        <v>0.35082039746764571</v>
      </c>
      <c r="P313" s="68">
        <f ca="1">OFFSET(Vectors!$L$6,A313+_Age1,MATCH(pdrPrepay1,lstPrepayCurve,0))*pdrPrepayStress1</f>
        <v>5.1430128318229462E-3</v>
      </c>
      <c r="Q313" s="62">
        <f t="shared" ca="1" si="296"/>
        <v>38991.143126493203</v>
      </c>
      <c r="R313" s="62">
        <f t="shared" ca="1" si="297"/>
        <v>116109.04400656413</v>
      </c>
      <c r="S313" s="69">
        <f t="shared" ca="1" si="298"/>
        <v>0.09</v>
      </c>
      <c r="T313" s="62">
        <f t="shared" ca="1" si="299"/>
        <v>57710.661259362896</v>
      </c>
      <c r="U313" s="62">
        <f t="shared" ca="1" si="281"/>
        <v>1111.1111111111111</v>
      </c>
      <c r="V313" s="62">
        <f t="shared" ca="1" si="275"/>
        <v>7539654.6474486627</v>
      </c>
      <c r="W313" s="55"/>
      <c r="X313" s="62">
        <f t="shared" ca="1" si="300"/>
        <v>213921.95950353134</v>
      </c>
      <c r="Y313" s="55"/>
      <c r="Z313" s="118" t="b">
        <v>0</v>
      </c>
      <c r="AA313" s="120" t="b">
        <f t="shared" si="282"/>
        <v>0</v>
      </c>
      <c r="AB313" s="120" t="b">
        <f t="shared" si="283"/>
        <v>1</v>
      </c>
      <c r="AC313" s="120" t="b">
        <f t="shared" ca="1" si="284"/>
        <v>0</v>
      </c>
      <c r="AD313" s="121"/>
      <c r="AE313" s="129">
        <v>0</v>
      </c>
      <c r="AF313" s="69">
        <f ca="1">IF(Swap_Active="No",0,OFFSET(Vectors!$D$6,Vectors!A313,MATCH(Swap_In,lstInterestRates,0)))</f>
        <v>6.9369000000000056E-2</v>
      </c>
      <c r="AG313" s="62">
        <f t="shared" ca="1" si="301"/>
        <v>0</v>
      </c>
      <c r="AH313" s="69">
        <f ca="1">IF(Swap_Active="No",0,OFFSET(Vectors!$D$6,Vectors!A313,MATCH(Swap_Out,lstInterestRates,0)))</f>
        <v>0.04</v>
      </c>
      <c r="AI313" s="62">
        <f t="shared" ca="1" si="302"/>
        <v>0</v>
      </c>
      <c r="AJ313" s="62">
        <f t="shared" ca="1" si="303"/>
        <v>0</v>
      </c>
      <c r="AK313" s="62">
        <f t="shared" ca="1" si="304"/>
        <v>213921.95950353134</v>
      </c>
      <c r="AL313" s="121"/>
      <c r="AM313" s="123">
        <f t="shared" ca="1" si="285"/>
        <v>12829.221020599161</v>
      </c>
      <c r="AN313" s="124">
        <f t="shared" ca="1" si="305"/>
        <v>12829.221020599161</v>
      </c>
      <c r="AO313" s="125">
        <f t="shared" ca="1" si="306"/>
        <v>0</v>
      </c>
      <c r="AP313" s="123">
        <f t="shared" ca="1" si="307"/>
        <v>201092.73848293218</v>
      </c>
      <c r="AQ313" s="121"/>
      <c r="AR313" s="126">
        <f ca="1">IF(LiabIntType1="Fixed",LiabFxdRate1,OFFSET(Vectors!$D$6,Vectors!A313,MATCH(LiabLoanIndex1,lstInterestRates,0))+LiabMarg1)</f>
        <v>7.9369000000000051E-2</v>
      </c>
      <c r="AS313" s="122">
        <f t="shared" ca="1" si="308"/>
        <v>0</v>
      </c>
      <c r="AT313" s="124">
        <f t="shared" ca="1" si="309"/>
        <v>0</v>
      </c>
      <c r="AU313" s="123">
        <f t="shared" ca="1" si="310"/>
        <v>0</v>
      </c>
      <c r="AV313" s="123">
        <f t="shared" ca="1" si="286"/>
        <v>0</v>
      </c>
      <c r="AW313" s="123">
        <f t="shared" ca="1" si="311"/>
        <v>0</v>
      </c>
      <c r="AX313" s="124">
        <f t="shared" ca="1" si="312"/>
        <v>201092.73848293218</v>
      </c>
      <c r="AY313" s="121"/>
      <c r="AZ313" s="122">
        <f t="shared" ca="1" si="287"/>
        <v>0</v>
      </c>
      <c r="BA313" s="124">
        <f t="shared" ca="1" si="313"/>
        <v>0</v>
      </c>
      <c r="BB313" s="123">
        <f t="shared" ca="1" si="314"/>
        <v>0</v>
      </c>
      <c r="BC313" s="123">
        <f t="shared" ca="1" si="288"/>
        <v>0</v>
      </c>
      <c r="BD313" s="123">
        <f t="shared" ca="1" si="315"/>
        <v>0</v>
      </c>
      <c r="BE313" s="124">
        <f t="shared" ca="1" si="316"/>
        <v>201092.73848293218</v>
      </c>
      <c r="BF313" s="121"/>
      <c r="BG313" s="123">
        <f t="shared" si="289"/>
        <v>1000000</v>
      </c>
      <c r="BH313" s="123">
        <f t="shared" ca="1" si="317"/>
        <v>1000000</v>
      </c>
      <c r="BI313" s="123">
        <f t="shared" ca="1" si="318"/>
        <v>0</v>
      </c>
      <c r="BJ313" s="123">
        <f t="shared" ca="1" si="319"/>
        <v>0</v>
      </c>
      <c r="BK313" s="123">
        <f t="shared" ca="1" si="276"/>
        <v>1000000</v>
      </c>
      <c r="BL313" s="123">
        <f t="shared" ca="1" si="320"/>
        <v>201092.73848293218</v>
      </c>
      <c r="BM313" s="121"/>
      <c r="BN313" s="126">
        <f ca="1">IF(LiabIntType2="Fixed",LiabFxdRate2,OFFSET(Vectors!$D$6,Vectors!A313,MATCH(LiabLoanIndex2,lstInterestRates,0))+LiabMarg2)</f>
        <v>0.04</v>
      </c>
      <c r="BO313" s="122">
        <f t="shared" ca="1" si="321"/>
        <v>23205.840183955363</v>
      </c>
      <c r="BP313" s="124">
        <f t="shared" ca="1" si="322"/>
        <v>23205.840183955363</v>
      </c>
      <c r="BQ313" s="123">
        <f t="shared" ca="1" si="323"/>
        <v>0</v>
      </c>
      <c r="BR313" s="123">
        <f t="shared" ca="1" si="324"/>
        <v>177886.89829897683</v>
      </c>
      <c r="BS313" s="121"/>
      <c r="BT313" s="123">
        <f t="shared" ca="1" si="290"/>
        <v>16187.088371338135</v>
      </c>
      <c r="BU313" s="123">
        <f t="shared" ca="1" si="325"/>
        <v>16187.088371338135</v>
      </c>
      <c r="BV313" s="123">
        <f t="shared" ca="1" si="326"/>
        <v>0</v>
      </c>
      <c r="BW313" s="123">
        <f t="shared" ca="1" si="327"/>
        <v>161699.80992763868</v>
      </c>
      <c r="BX313" s="121"/>
      <c r="BY313" s="123">
        <f t="shared" si="328"/>
        <v>0</v>
      </c>
      <c r="BZ313" s="123">
        <f t="shared" ca="1" si="329"/>
        <v>161699.80992763868</v>
      </c>
      <c r="CA313" s="121"/>
      <c r="CB313" s="122">
        <f t="shared" ca="1" si="277"/>
        <v>0</v>
      </c>
      <c r="CC313" s="122">
        <f t="shared" ca="1" si="330"/>
        <v>0</v>
      </c>
      <c r="CD313" s="124">
        <f t="shared" ca="1" si="331"/>
        <v>0</v>
      </c>
      <c r="CE313" s="121"/>
      <c r="CF313" s="122">
        <f t="shared" ca="1" si="278"/>
        <v>6945564.9668152705</v>
      </c>
      <c r="CG313" s="124">
        <f t="shared" ca="1" si="332"/>
        <v>23205.840183955363</v>
      </c>
      <c r="CH313" s="123">
        <f t="shared" ca="1" si="333"/>
        <v>16187.088371338135</v>
      </c>
      <c r="CI313" s="121"/>
      <c r="CJ313" s="123">
        <f t="shared" ca="1" si="334"/>
        <v>213921.95950353134</v>
      </c>
      <c r="CK313" s="123">
        <f t="shared" ca="1" si="335"/>
        <v>213921.95950353134</v>
      </c>
      <c r="CL313" s="123">
        <f t="shared" ca="1" si="336"/>
        <v>0</v>
      </c>
      <c r="CM313" s="121"/>
      <c r="CN313" s="62">
        <f t="shared" ca="1" si="337"/>
        <v>157877.96491083512</v>
      </c>
      <c r="CO313" s="62" t="b">
        <f t="shared" si="338"/>
        <v>1</v>
      </c>
      <c r="CP313" s="126">
        <f t="shared" ca="1" si="339"/>
        <v>8.5277777777777418E-3</v>
      </c>
      <c r="CQ313" s="120"/>
      <c r="CR313" s="120"/>
      <c r="CS313" s="120"/>
      <c r="CT313" s="120"/>
      <c r="CU313" s="120"/>
      <c r="CV313" s="120"/>
      <c r="CW313" s="120"/>
      <c r="CX313" s="120"/>
      <c r="CY313" s="120"/>
      <c r="CZ313" s="120"/>
      <c r="DA313" s="120"/>
      <c r="DB313" s="120"/>
      <c r="DC313" s="120"/>
      <c r="DD313" s="120"/>
      <c r="DE313" s="116"/>
      <c r="DF313" s="116"/>
      <c r="DG313" s="116"/>
      <c r="DH313" s="116"/>
      <c r="DI313" s="116"/>
      <c r="DJ313" s="116"/>
      <c r="DK313" s="116"/>
      <c r="DL313" s="116"/>
      <c r="DM313" s="116"/>
      <c r="DN313" s="116"/>
    </row>
    <row r="314" spans="1:118" x14ac:dyDescent="0.2">
      <c r="A314" s="27">
        <v>308</v>
      </c>
      <c r="B314" s="29">
        <f t="shared" si="272"/>
        <v>48488</v>
      </c>
      <c r="C314" s="30">
        <f t="shared" si="273"/>
        <v>8.3333333333333329E-2</v>
      </c>
      <c r="D314" s="55"/>
      <c r="E314" s="62">
        <f t="shared" ca="1" si="291"/>
        <v>35082039.74676457</v>
      </c>
      <c r="F314" s="63">
        <f ca="1">IF(AssetIntType1="Fixed",AssetFxdRate1,IF(A314=1,OFFSET(Vectors!$D$6,A314,MATCH(AssetFltIndx1,lstInterestRates,0)),IF(MOD($A314,AssetRateReset1)=0,MAX(MIN(OFFSET(Vectors!$D$6,A314,MATCH(AssetFltIndx1,lstInterestRates,0)),(F313-AssetMarg1)+AssetPdCapFl1,AssetLifeCap1-AssetMarg1),(F313-AssetMarg1)-AssetPdCapFl1,AssetLifeFloor1-AssetMarg1),F313)))+AssetMarg1</f>
        <v>0.09</v>
      </c>
      <c r="G314" s="62">
        <f t="shared" ca="1" si="279"/>
        <v>804622.61694478267</v>
      </c>
      <c r="H314" s="62">
        <f t="shared" ca="1" si="292"/>
        <v>263115.29810073425</v>
      </c>
      <c r="I314" s="62">
        <f t="shared" ca="1" si="293"/>
        <v>541507.31884404842</v>
      </c>
      <c r="J314" s="62">
        <f t="shared" ca="1" si="274"/>
        <v>34540532.42792052</v>
      </c>
      <c r="K314" s="55"/>
      <c r="L314" s="62">
        <f t="shared" ca="1" si="294"/>
        <v>7539654.6474486627</v>
      </c>
      <c r="M314" s="68">
        <f ca="1">IF(pdrLossTime1="",OFFSET(Vectors!$AE$6,A314+_Age1,MATCH(SDA_Loss,lstSDA,0)),OFFSET(Vectors!$X$6,A314+_Age1,MATCH(pdrLossTime1,lstDefaultCurve,0)))</f>
        <v>2.7777777777777779E-5</v>
      </c>
      <c r="N314" s="62">
        <f t="shared" ca="1" si="280"/>
        <v>2777.7777777777778</v>
      </c>
      <c r="O314" s="67">
        <f t="shared" ca="1" si="295"/>
        <v>0.34540532427920523</v>
      </c>
      <c r="P314" s="68">
        <f ca="1">OFFSET(Vectors!$L$6,A314+_Age1,MATCH(pdrPrepay1,lstPrepayCurve,0))*pdrPrepayStress1</f>
        <v>5.1430128318229462E-3</v>
      </c>
      <c r="Q314" s="62">
        <f t="shared" ca="1" si="296"/>
        <v>38178.006971150266</v>
      </c>
      <c r="R314" s="62">
        <f t="shared" ca="1" si="297"/>
        <v>116335.13945065258</v>
      </c>
      <c r="S314" s="69">
        <f t="shared" ca="1" si="298"/>
        <v>0.09</v>
      </c>
      <c r="T314" s="62">
        <f t="shared" ca="1" si="299"/>
        <v>56526.576522531635</v>
      </c>
      <c r="U314" s="62">
        <f t="shared" ca="1" si="281"/>
        <v>1111.1111111111111</v>
      </c>
      <c r="V314" s="62">
        <f t="shared" ca="1" si="275"/>
        <v>7382363.7232490815</v>
      </c>
      <c r="W314" s="55"/>
      <c r="X314" s="62">
        <f t="shared" ca="1" si="300"/>
        <v>212150.83405544559</v>
      </c>
      <c r="Y314" s="55"/>
      <c r="Z314" s="118" t="b">
        <v>0</v>
      </c>
      <c r="AA314" s="120" t="b">
        <f t="shared" si="282"/>
        <v>0</v>
      </c>
      <c r="AB314" s="120" t="b">
        <f t="shared" si="283"/>
        <v>1</v>
      </c>
      <c r="AC314" s="120" t="b">
        <f t="shared" ca="1" si="284"/>
        <v>0</v>
      </c>
      <c r="AD314" s="121"/>
      <c r="AE314" s="129">
        <v>0</v>
      </c>
      <c r="AF314" s="69">
        <f ca="1">IF(Swap_Active="No",0,OFFSET(Vectors!$D$6,Vectors!A314,MATCH(Swap_In,lstInterestRates,0)))</f>
        <v>6.9369000000000056E-2</v>
      </c>
      <c r="AG314" s="62">
        <f t="shared" ca="1" si="301"/>
        <v>0</v>
      </c>
      <c r="AH314" s="69">
        <f ca="1">IF(Swap_Active="No",0,OFFSET(Vectors!$D$6,Vectors!A314,MATCH(Swap_Out,lstInterestRates,0)))</f>
        <v>0.04</v>
      </c>
      <c r="AI314" s="62">
        <f t="shared" ca="1" si="302"/>
        <v>0</v>
      </c>
      <c r="AJ314" s="62">
        <f t="shared" ca="1" si="303"/>
        <v>0</v>
      </c>
      <c r="AK314" s="62">
        <f t="shared" ca="1" si="304"/>
        <v>212150.83405544559</v>
      </c>
      <c r="AL314" s="121"/>
      <c r="AM314" s="123">
        <f t="shared" ca="1" si="285"/>
        <v>12566.091079081103</v>
      </c>
      <c r="AN314" s="124">
        <f t="shared" ca="1" si="305"/>
        <v>12566.091079081103</v>
      </c>
      <c r="AO314" s="125">
        <f t="shared" ca="1" si="306"/>
        <v>0</v>
      </c>
      <c r="AP314" s="123">
        <f t="shared" ca="1" si="307"/>
        <v>199584.74297636451</v>
      </c>
      <c r="AQ314" s="121"/>
      <c r="AR314" s="126">
        <f ca="1">IF(LiabIntType1="Fixed",LiabFxdRate1,OFFSET(Vectors!$D$6,Vectors!A314,MATCH(LiabLoanIndex1,lstInterestRates,0))+LiabMarg1)</f>
        <v>7.9369000000000051E-2</v>
      </c>
      <c r="AS314" s="122">
        <f t="shared" ca="1" si="308"/>
        <v>0</v>
      </c>
      <c r="AT314" s="124">
        <f t="shared" ca="1" si="309"/>
        <v>0</v>
      </c>
      <c r="AU314" s="123">
        <f t="shared" ca="1" si="310"/>
        <v>0</v>
      </c>
      <c r="AV314" s="123">
        <f t="shared" ca="1" si="286"/>
        <v>0</v>
      </c>
      <c r="AW314" s="123">
        <f t="shared" ca="1" si="311"/>
        <v>0</v>
      </c>
      <c r="AX314" s="124">
        <f t="shared" ca="1" si="312"/>
        <v>199584.74297636451</v>
      </c>
      <c r="AY314" s="121"/>
      <c r="AZ314" s="122">
        <f t="shared" ca="1" si="287"/>
        <v>0</v>
      </c>
      <c r="BA314" s="124">
        <f t="shared" ca="1" si="313"/>
        <v>0</v>
      </c>
      <c r="BB314" s="123">
        <f t="shared" ca="1" si="314"/>
        <v>0</v>
      </c>
      <c r="BC314" s="123">
        <f t="shared" ca="1" si="288"/>
        <v>0</v>
      </c>
      <c r="BD314" s="123">
        <f t="shared" ca="1" si="315"/>
        <v>0</v>
      </c>
      <c r="BE314" s="124">
        <f t="shared" ca="1" si="316"/>
        <v>199584.74297636451</v>
      </c>
      <c r="BF314" s="121"/>
      <c r="BG314" s="123">
        <f t="shared" si="289"/>
        <v>1000000</v>
      </c>
      <c r="BH314" s="123">
        <f t="shared" ca="1" si="317"/>
        <v>1000000</v>
      </c>
      <c r="BI314" s="123">
        <f t="shared" ca="1" si="318"/>
        <v>0</v>
      </c>
      <c r="BJ314" s="123">
        <f t="shared" ca="1" si="319"/>
        <v>0</v>
      </c>
      <c r="BK314" s="123">
        <f t="shared" ca="1" si="276"/>
        <v>1000000</v>
      </c>
      <c r="BL314" s="123">
        <f t="shared" ca="1" si="320"/>
        <v>199584.74297636451</v>
      </c>
      <c r="BM314" s="121"/>
      <c r="BN314" s="126">
        <f ca="1">IF(LiabIntType2="Fixed",LiabFxdRate2,OFFSET(Vectors!$D$6,Vectors!A314,MATCH(LiabLoanIndex2,lstInterestRates,0))+LiabMarg2)</f>
        <v>0.04</v>
      </c>
      <c r="BO314" s="122">
        <f t="shared" ca="1" si="321"/>
        <v>23151.883222717566</v>
      </c>
      <c r="BP314" s="124">
        <f t="shared" ca="1" si="322"/>
        <v>23151.883222717566</v>
      </c>
      <c r="BQ314" s="123">
        <f t="shared" ca="1" si="323"/>
        <v>0</v>
      </c>
      <c r="BR314" s="123">
        <f t="shared" ca="1" si="324"/>
        <v>176432.85975364695</v>
      </c>
      <c r="BS314" s="121"/>
      <c r="BT314" s="123">
        <f t="shared" ca="1" si="290"/>
        <v>16126.899605439003</v>
      </c>
      <c r="BU314" s="123">
        <f t="shared" ca="1" si="325"/>
        <v>16126.899605439003</v>
      </c>
      <c r="BV314" s="123">
        <f t="shared" ca="1" si="326"/>
        <v>0</v>
      </c>
      <c r="BW314" s="123">
        <f t="shared" ca="1" si="327"/>
        <v>160305.96014820793</v>
      </c>
      <c r="BX314" s="121"/>
      <c r="BY314" s="123">
        <f t="shared" si="328"/>
        <v>0</v>
      </c>
      <c r="BZ314" s="123">
        <f t="shared" ca="1" si="329"/>
        <v>160305.96014820793</v>
      </c>
      <c r="CA314" s="121"/>
      <c r="CB314" s="122">
        <f t="shared" ca="1" si="277"/>
        <v>0</v>
      </c>
      <c r="CC314" s="122">
        <f t="shared" ca="1" si="330"/>
        <v>0</v>
      </c>
      <c r="CD314" s="124">
        <f t="shared" ca="1" si="331"/>
        <v>0</v>
      </c>
      <c r="CE314" s="121"/>
      <c r="CF314" s="122">
        <f t="shared" ca="1" si="278"/>
        <v>6929438.0672098314</v>
      </c>
      <c r="CG314" s="124">
        <f t="shared" ca="1" si="332"/>
        <v>23151.883222717566</v>
      </c>
      <c r="CH314" s="123">
        <f t="shared" ca="1" si="333"/>
        <v>16126.899605439003</v>
      </c>
      <c r="CI314" s="121"/>
      <c r="CJ314" s="123">
        <f t="shared" ca="1" si="334"/>
        <v>212150.83405544559</v>
      </c>
      <c r="CK314" s="123">
        <f t="shared" ca="1" si="335"/>
        <v>212150.83405544559</v>
      </c>
      <c r="CL314" s="123">
        <f t="shared" ca="1" si="336"/>
        <v>0</v>
      </c>
      <c r="CM314" s="121"/>
      <c r="CN314" s="62">
        <f t="shared" ca="1" si="337"/>
        <v>157290.92419958062</v>
      </c>
      <c r="CO314" s="62" t="b">
        <f t="shared" si="338"/>
        <v>1</v>
      </c>
      <c r="CP314" s="126">
        <f t="shared" ca="1" si="339"/>
        <v>8.5555555555555194E-3</v>
      </c>
      <c r="CQ314" s="120"/>
      <c r="CR314" s="120"/>
      <c r="CS314" s="120"/>
      <c r="CT314" s="120"/>
      <c r="CU314" s="120"/>
      <c r="CV314" s="120"/>
      <c r="CW314" s="120"/>
      <c r="CX314" s="120"/>
      <c r="CY314" s="120"/>
      <c r="CZ314" s="120"/>
      <c r="DA314" s="120"/>
      <c r="DB314" s="120"/>
      <c r="DC314" s="120"/>
      <c r="DD314" s="120"/>
      <c r="DE314" s="116"/>
      <c r="DF314" s="116"/>
      <c r="DG314" s="116"/>
      <c r="DH314" s="116"/>
      <c r="DI314" s="116"/>
      <c r="DJ314" s="116"/>
      <c r="DK314" s="116"/>
      <c r="DL314" s="116"/>
      <c r="DM314" s="116"/>
      <c r="DN314" s="116"/>
    </row>
    <row r="315" spans="1:118" x14ac:dyDescent="0.2">
      <c r="A315" s="27">
        <v>309</v>
      </c>
      <c r="B315" s="29">
        <f t="shared" si="272"/>
        <v>48519</v>
      </c>
      <c r="C315" s="30">
        <f t="shared" si="273"/>
        <v>8.3333333333333329E-2</v>
      </c>
      <c r="D315" s="55"/>
      <c r="E315" s="62">
        <f t="shared" ca="1" si="291"/>
        <v>34540532.42792052</v>
      </c>
      <c r="F315" s="63">
        <f ca="1">IF(AssetIntType1="Fixed",AssetFxdRate1,IF(A315=1,OFFSET(Vectors!$D$6,A315,MATCH(AssetFltIndx1,lstInterestRates,0)),IF(MOD($A315,AssetRateReset1)=0,MAX(MIN(OFFSET(Vectors!$D$6,A315,MATCH(AssetFltIndx1,lstInterestRates,0)),(F314-AssetMarg1)+AssetPdCapFl1,AssetLifeCap1-AssetMarg1),(F314-AssetMarg1)-AssetPdCapFl1,AssetLifeFloor1-AssetMarg1),F314)))+AssetMarg1</f>
        <v>0.09</v>
      </c>
      <c r="G315" s="62">
        <f t="shared" ca="1" si="279"/>
        <v>804622.61694478267</v>
      </c>
      <c r="H315" s="62">
        <f t="shared" ca="1" si="292"/>
        <v>259053.99320940388</v>
      </c>
      <c r="I315" s="62">
        <f t="shared" ca="1" si="293"/>
        <v>545568.62373537873</v>
      </c>
      <c r="J315" s="62">
        <f t="shared" ca="1" si="274"/>
        <v>33994963.804185145</v>
      </c>
      <c r="K315" s="55"/>
      <c r="L315" s="62">
        <f t="shared" ca="1" si="294"/>
        <v>7382363.7232490815</v>
      </c>
      <c r="M315" s="68">
        <f ca="1">IF(pdrLossTime1="",OFFSET(Vectors!$AE$6,A315+_Age1,MATCH(SDA_Loss,lstSDA,0)),OFFSET(Vectors!$X$6,A315+_Age1,MATCH(pdrLossTime1,lstDefaultCurve,0)))</f>
        <v>2.7777777777777779E-5</v>
      </c>
      <c r="N315" s="62">
        <f t="shared" ca="1" si="280"/>
        <v>2777.7777777777778</v>
      </c>
      <c r="O315" s="67">
        <f t="shared" ca="1" si="295"/>
        <v>0.33994963804185147</v>
      </c>
      <c r="P315" s="68">
        <f ca="1">OFFSET(Vectors!$L$6,A315+_Age1,MATCH(pdrPrepay1,lstPrepayCurve,0))*pdrPrepayStress1</f>
        <v>5.1430128318229462E-3</v>
      </c>
      <c r="Q315" s="62">
        <f t="shared" ca="1" si="296"/>
        <v>37367.892247631273</v>
      </c>
      <c r="R315" s="62">
        <f t="shared" ca="1" si="297"/>
        <v>116560.75529262122</v>
      </c>
      <c r="S315" s="69">
        <f t="shared" ca="1" si="298"/>
        <v>0.09</v>
      </c>
      <c r="T315" s="62">
        <f t="shared" ca="1" si="299"/>
        <v>55346.894591034776</v>
      </c>
      <c r="U315" s="62">
        <f t="shared" ca="1" si="281"/>
        <v>1111.1111111111111</v>
      </c>
      <c r="V315" s="62">
        <f t="shared" ca="1" si="275"/>
        <v>7225657.2979310509</v>
      </c>
      <c r="W315" s="55"/>
      <c r="X315" s="62">
        <f t="shared" ca="1" si="300"/>
        <v>210386.65324239837</v>
      </c>
      <c r="Y315" s="55"/>
      <c r="Z315" s="118" t="b">
        <v>0</v>
      </c>
      <c r="AA315" s="120" t="b">
        <f t="shared" si="282"/>
        <v>0</v>
      </c>
      <c r="AB315" s="120" t="b">
        <f t="shared" si="283"/>
        <v>1</v>
      </c>
      <c r="AC315" s="120" t="b">
        <f t="shared" ca="1" si="284"/>
        <v>0</v>
      </c>
      <c r="AD315" s="121"/>
      <c r="AE315" s="129">
        <v>0</v>
      </c>
      <c r="AF315" s="69">
        <f ca="1">IF(Swap_Active="No",0,OFFSET(Vectors!$D$6,Vectors!A315,MATCH(Swap_In,lstInterestRates,0)))</f>
        <v>6.9369000000000056E-2</v>
      </c>
      <c r="AG315" s="62">
        <f t="shared" ca="1" si="301"/>
        <v>0</v>
      </c>
      <c r="AH315" s="69">
        <f ca="1">IF(Swap_Active="No",0,OFFSET(Vectors!$D$6,Vectors!A315,MATCH(Swap_Out,lstInterestRates,0)))</f>
        <v>0.04</v>
      </c>
      <c r="AI315" s="62">
        <f t="shared" ca="1" si="302"/>
        <v>0</v>
      </c>
      <c r="AJ315" s="62">
        <f t="shared" ca="1" si="303"/>
        <v>0</v>
      </c>
      <c r="AK315" s="62">
        <f t="shared" ca="1" si="304"/>
        <v>210386.65324239837</v>
      </c>
      <c r="AL315" s="121"/>
      <c r="AM315" s="123">
        <f t="shared" ca="1" si="285"/>
        <v>12303.939538748469</v>
      </c>
      <c r="AN315" s="124">
        <f t="shared" ca="1" si="305"/>
        <v>12303.939538748469</v>
      </c>
      <c r="AO315" s="125">
        <f t="shared" ca="1" si="306"/>
        <v>0</v>
      </c>
      <c r="AP315" s="123">
        <f t="shared" ca="1" si="307"/>
        <v>198082.7137036499</v>
      </c>
      <c r="AQ315" s="121"/>
      <c r="AR315" s="126">
        <f ca="1">IF(LiabIntType1="Fixed",LiabFxdRate1,OFFSET(Vectors!$D$6,Vectors!A315,MATCH(LiabLoanIndex1,lstInterestRates,0))+LiabMarg1)</f>
        <v>7.9369000000000051E-2</v>
      </c>
      <c r="AS315" s="122">
        <f t="shared" ca="1" si="308"/>
        <v>0</v>
      </c>
      <c r="AT315" s="124">
        <f t="shared" ca="1" si="309"/>
        <v>0</v>
      </c>
      <c r="AU315" s="123">
        <f t="shared" ca="1" si="310"/>
        <v>0</v>
      </c>
      <c r="AV315" s="123">
        <f t="shared" ca="1" si="286"/>
        <v>0</v>
      </c>
      <c r="AW315" s="123">
        <f t="shared" ca="1" si="311"/>
        <v>0</v>
      </c>
      <c r="AX315" s="124">
        <f t="shared" ca="1" si="312"/>
        <v>198082.7137036499</v>
      </c>
      <c r="AY315" s="121"/>
      <c r="AZ315" s="122">
        <f t="shared" ca="1" si="287"/>
        <v>0</v>
      </c>
      <c r="BA315" s="124">
        <f t="shared" ca="1" si="313"/>
        <v>0</v>
      </c>
      <c r="BB315" s="123">
        <f t="shared" ca="1" si="314"/>
        <v>0</v>
      </c>
      <c r="BC315" s="123">
        <f t="shared" ca="1" si="288"/>
        <v>0</v>
      </c>
      <c r="BD315" s="123">
        <f t="shared" ca="1" si="315"/>
        <v>0</v>
      </c>
      <c r="BE315" s="124">
        <f t="shared" ca="1" si="316"/>
        <v>198082.7137036499</v>
      </c>
      <c r="BF315" s="121"/>
      <c r="BG315" s="123">
        <f t="shared" si="289"/>
        <v>1000000</v>
      </c>
      <c r="BH315" s="123">
        <f t="shared" ca="1" si="317"/>
        <v>1000000</v>
      </c>
      <c r="BI315" s="123">
        <f t="shared" ca="1" si="318"/>
        <v>0</v>
      </c>
      <c r="BJ315" s="123">
        <f t="shared" ca="1" si="319"/>
        <v>0</v>
      </c>
      <c r="BK315" s="123">
        <f t="shared" ca="1" si="276"/>
        <v>1000000</v>
      </c>
      <c r="BL315" s="123">
        <f t="shared" ca="1" si="320"/>
        <v>198082.7137036499</v>
      </c>
      <c r="BM315" s="121"/>
      <c r="BN315" s="126">
        <f ca="1">IF(LiabIntType2="Fixed",LiabFxdRate2,OFFSET(Vectors!$D$6,Vectors!A315,MATCH(LiabLoanIndex2,lstInterestRates,0))+LiabMarg2)</f>
        <v>0.04</v>
      </c>
      <c r="BO315" s="122">
        <f t="shared" ca="1" si="321"/>
        <v>23098.126890699437</v>
      </c>
      <c r="BP315" s="124">
        <f t="shared" ca="1" si="322"/>
        <v>23098.126890699437</v>
      </c>
      <c r="BQ315" s="123">
        <f t="shared" ca="1" si="323"/>
        <v>0</v>
      </c>
      <c r="BR315" s="123">
        <f t="shared" ca="1" si="324"/>
        <v>174984.58681295047</v>
      </c>
      <c r="BS315" s="121"/>
      <c r="BT315" s="123">
        <f t="shared" ca="1" si="290"/>
        <v>16066.971451095571</v>
      </c>
      <c r="BU315" s="123">
        <f t="shared" ca="1" si="325"/>
        <v>16066.971451095571</v>
      </c>
      <c r="BV315" s="123">
        <f t="shared" ca="1" si="326"/>
        <v>0</v>
      </c>
      <c r="BW315" s="123">
        <f t="shared" ca="1" si="327"/>
        <v>158917.6153618549</v>
      </c>
      <c r="BX315" s="121"/>
      <c r="BY315" s="123">
        <f t="shared" si="328"/>
        <v>0</v>
      </c>
      <c r="BZ315" s="123">
        <f t="shared" ca="1" si="329"/>
        <v>158917.6153618549</v>
      </c>
      <c r="CA315" s="121"/>
      <c r="CB315" s="122">
        <f t="shared" ca="1" si="277"/>
        <v>0</v>
      </c>
      <c r="CC315" s="122">
        <f t="shared" ca="1" si="330"/>
        <v>0</v>
      </c>
      <c r="CD315" s="124">
        <f t="shared" ca="1" si="331"/>
        <v>0</v>
      </c>
      <c r="CE315" s="121"/>
      <c r="CF315" s="122">
        <f t="shared" ca="1" si="278"/>
        <v>6913371.0957587361</v>
      </c>
      <c r="CG315" s="124">
        <f t="shared" ca="1" si="332"/>
        <v>23098.126890699437</v>
      </c>
      <c r="CH315" s="123">
        <f t="shared" ca="1" si="333"/>
        <v>16066.971451095571</v>
      </c>
      <c r="CI315" s="121"/>
      <c r="CJ315" s="123">
        <f t="shared" ca="1" si="334"/>
        <v>210386.65324239837</v>
      </c>
      <c r="CK315" s="123">
        <f t="shared" ca="1" si="335"/>
        <v>210386.65324239837</v>
      </c>
      <c r="CL315" s="123">
        <f t="shared" ca="1" si="336"/>
        <v>0</v>
      </c>
      <c r="CM315" s="121"/>
      <c r="CN315" s="62">
        <f t="shared" ca="1" si="337"/>
        <v>156706.42531803029</v>
      </c>
      <c r="CO315" s="62" t="b">
        <f t="shared" si="338"/>
        <v>1</v>
      </c>
      <c r="CP315" s="126">
        <f t="shared" ca="1" si="339"/>
        <v>8.583333333333297E-3</v>
      </c>
      <c r="CQ315" s="120"/>
      <c r="CR315" s="120"/>
      <c r="CS315" s="120"/>
      <c r="CT315" s="120"/>
      <c r="CU315" s="120"/>
      <c r="CV315" s="120"/>
      <c r="CW315" s="120"/>
      <c r="CX315" s="120"/>
      <c r="CY315" s="120"/>
      <c r="CZ315" s="120"/>
      <c r="DA315" s="120"/>
      <c r="DB315" s="120"/>
      <c r="DC315" s="120"/>
      <c r="DD315" s="120"/>
      <c r="DE315" s="116"/>
      <c r="DF315" s="116"/>
      <c r="DG315" s="116"/>
      <c r="DH315" s="116"/>
      <c r="DI315" s="116"/>
      <c r="DJ315" s="116"/>
      <c r="DK315" s="116"/>
      <c r="DL315" s="116"/>
      <c r="DM315" s="116"/>
      <c r="DN315" s="116"/>
    </row>
    <row r="316" spans="1:118" x14ac:dyDescent="0.2">
      <c r="A316" s="27">
        <v>310</v>
      </c>
      <c r="B316" s="29">
        <f t="shared" si="272"/>
        <v>48549</v>
      </c>
      <c r="C316" s="30">
        <f t="shared" si="273"/>
        <v>8.3333333333333329E-2</v>
      </c>
      <c r="D316" s="55"/>
      <c r="E316" s="62">
        <f t="shared" ca="1" si="291"/>
        <v>33994963.804185145</v>
      </c>
      <c r="F316" s="63">
        <f ca="1">IF(AssetIntType1="Fixed",AssetFxdRate1,IF(A316=1,OFFSET(Vectors!$D$6,A316,MATCH(AssetFltIndx1,lstInterestRates,0)),IF(MOD($A316,AssetRateReset1)=0,MAX(MIN(OFFSET(Vectors!$D$6,A316,MATCH(AssetFltIndx1,lstInterestRates,0)),(F315-AssetMarg1)+AssetPdCapFl1,AssetLifeCap1-AssetMarg1),(F315-AssetMarg1)-AssetPdCapFl1,AssetLifeFloor1-AssetMarg1),F315)))+AssetMarg1</f>
        <v>0.09</v>
      </c>
      <c r="G316" s="62">
        <f t="shared" ca="1" si="279"/>
        <v>804622.61694478267</v>
      </c>
      <c r="H316" s="62">
        <f t="shared" ca="1" si="292"/>
        <v>254962.22853138857</v>
      </c>
      <c r="I316" s="62">
        <f t="shared" ca="1" si="293"/>
        <v>549660.3884133941</v>
      </c>
      <c r="J316" s="62">
        <f t="shared" ca="1" si="274"/>
        <v>33445303.415771749</v>
      </c>
      <c r="K316" s="55"/>
      <c r="L316" s="62">
        <f t="shared" ca="1" si="294"/>
        <v>7225657.2979310509</v>
      </c>
      <c r="M316" s="68">
        <f ca="1">IF(pdrLossTime1="",OFFSET(Vectors!$AE$6,A316+_Age1,MATCH(SDA_Loss,lstSDA,0)),OFFSET(Vectors!$X$6,A316+_Age1,MATCH(pdrLossTime1,lstDefaultCurve,0)))</f>
        <v>2.7777777777777779E-5</v>
      </c>
      <c r="N316" s="62">
        <f t="shared" ca="1" si="280"/>
        <v>2777.7777777777778</v>
      </c>
      <c r="O316" s="67">
        <f t="shared" ca="1" si="295"/>
        <v>0.33445303415771749</v>
      </c>
      <c r="P316" s="68">
        <f ca="1">OFFSET(Vectors!$L$6,A316+_Age1,MATCH(pdrPrepay1,lstPrepayCurve,0))*pdrPrepayStress1</f>
        <v>5.1430128318229462E-3</v>
      </c>
      <c r="Q316" s="62">
        <f t="shared" ca="1" si="296"/>
        <v>36560.78608267715</v>
      </c>
      <c r="R316" s="62">
        <f t="shared" ca="1" si="297"/>
        <v>116785.85055654208</v>
      </c>
      <c r="S316" s="69">
        <f t="shared" ca="1" si="298"/>
        <v>0.09</v>
      </c>
      <c r="T316" s="62">
        <f t="shared" ca="1" si="299"/>
        <v>54171.596401149545</v>
      </c>
      <c r="U316" s="62">
        <f t="shared" ca="1" si="281"/>
        <v>1111.1111111111111</v>
      </c>
      <c r="V316" s="62">
        <f t="shared" ca="1" si="275"/>
        <v>7069532.8835140532</v>
      </c>
      <c r="W316" s="55"/>
      <c r="X316" s="62">
        <f t="shared" ca="1" si="300"/>
        <v>208629.34415147992</v>
      </c>
      <c r="Y316" s="55"/>
      <c r="Z316" s="118" t="b">
        <v>0</v>
      </c>
      <c r="AA316" s="120" t="b">
        <f t="shared" si="282"/>
        <v>0</v>
      </c>
      <c r="AB316" s="120" t="b">
        <f t="shared" si="283"/>
        <v>1</v>
      </c>
      <c r="AC316" s="120" t="b">
        <f t="shared" ca="1" si="284"/>
        <v>0</v>
      </c>
      <c r="AD316" s="121"/>
      <c r="AE316" s="129">
        <v>0</v>
      </c>
      <c r="AF316" s="69">
        <f ca="1">IF(Swap_Active="No",0,OFFSET(Vectors!$D$6,Vectors!A316,MATCH(Swap_In,lstInterestRates,0)))</f>
        <v>6.9369000000000056E-2</v>
      </c>
      <c r="AG316" s="62">
        <f t="shared" ca="1" si="301"/>
        <v>0</v>
      </c>
      <c r="AH316" s="69">
        <f ca="1">IF(Swap_Active="No",0,OFFSET(Vectors!$D$6,Vectors!A316,MATCH(Swap_Out,lstInterestRates,0)))</f>
        <v>0.04</v>
      </c>
      <c r="AI316" s="62">
        <f t="shared" ca="1" si="302"/>
        <v>0</v>
      </c>
      <c r="AJ316" s="62">
        <f t="shared" ca="1" si="303"/>
        <v>0</v>
      </c>
      <c r="AK316" s="62">
        <f t="shared" ca="1" si="304"/>
        <v>208629.34415147992</v>
      </c>
      <c r="AL316" s="121"/>
      <c r="AM316" s="123">
        <f t="shared" ca="1" si="285"/>
        <v>12042.762163218418</v>
      </c>
      <c r="AN316" s="124">
        <f t="shared" ca="1" si="305"/>
        <v>12042.762163218418</v>
      </c>
      <c r="AO316" s="125">
        <f t="shared" ca="1" si="306"/>
        <v>0</v>
      </c>
      <c r="AP316" s="123">
        <f t="shared" ca="1" si="307"/>
        <v>196586.58198826149</v>
      </c>
      <c r="AQ316" s="121"/>
      <c r="AR316" s="126">
        <f ca="1">IF(LiabIntType1="Fixed",LiabFxdRate1,OFFSET(Vectors!$D$6,Vectors!A316,MATCH(LiabLoanIndex1,lstInterestRates,0))+LiabMarg1)</f>
        <v>7.9369000000000051E-2</v>
      </c>
      <c r="AS316" s="122">
        <f t="shared" ca="1" si="308"/>
        <v>0</v>
      </c>
      <c r="AT316" s="124">
        <f t="shared" ca="1" si="309"/>
        <v>0</v>
      </c>
      <c r="AU316" s="123">
        <f t="shared" ca="1" si="310"/>
        <v>0</v>
      </c>
      <c r="AV316" s="123">
        <f t="shared" ca="1" si="286"/>
        <v>0</v>
      </c>
      <c r="AW316" s="123">
        <f t="shared" ca="1" si="311"/>
        <v>0</v>
      </c>
      <c r="AX316" s="124">
        <f t="shared" ca="1" si="312"/>
        <v>196586.58198826149</v>
      </c>
      <c r="AY316" s="121"/>
      <c r="AZ316" s="122">
        <f t="shared" ca="1" si="287"/>
        <v>0</v>
      </c>
      <c r="BA316" s="124">
        <f t="shared" ca="1" si="313"/>
        <v>0</v>
      </c>
      <c r="BB316" s="123">
        <f t="shared" ca="1" si="314"/>
        <v>0</v>
      </c>
      <c r="BC316" s="123">
        <f t="shared" ca="1" si="288"/>
        <v>0</v>
      </c>
      <c r="BD316" s="123">
        <f t="shared" ca="1" si="315"/>
        <v>0</v>
      </c>
      <c r="BE316" s="124">
        <f t="shared" ca="1" si="316"/>
        <v>196586.58198826149</v>
      </c>
      <c r="BF316" s="121"/>
      <c r="BG316" s="123">
        <f t="shared" si="289"/>
        <v>1000000</v>
      </c>
      <c r="BH316" s="123">
        <f t="shared" ca="1" si="317"/>
        <v>1000000</v>
      </c>
      <c r="BI316" s="123">
        <f t="shared" ca="1" si="318"/>
        <v>0</v>
      </c>
      <c r="BJ316" s="123">
        <f t="shared" ca="1" si="319"/>
        <v>0</v>
      </c>
      <c r="BK316" s="123">
        <f t="shared" ca="1" si="276"/>
        <v>1000000</v>
      </c>
      <c r="BL316" s="123">
        <f t="shared" ca="1" si="320"/>
        <v>196586.58198826149</v>
      </c>
      <c r="BM316" s="121"/>
      <c r="BN316" s="126">
        <f ca="1">IF(LiabIntType2="Fixed",LiabFxdRate2,OFFSET(Vectors!$D$6,Vectors!A316,MATCH(LiabLoanIndex2,lstInterestRates,0))+LiabMarg2)</f>
        <v>0.04</v>
      </c>
      <c r="BO316" s="122">
        <f t="shared" ca="1" si="321"/>
        <v>23044.570319195787</v>
      </c>
      <c r="BP316" s="124">
        <f t="shared" ca="1" si="322"/>
        <v>23044.570319195787</v>
      </c>
      <c r="BQ316" s="123">
        <f t="shared" ca="1" si="323"/>
        <v>0</v>
      </c>
      <c r="BR316" s="123">
        <f t="shared" ca="1" si="324"/>
        <v>173542.01166906569</v>
      </c>
      <c r="BS316" s="121"/>
      <c r="BT316" s="123">
        <f t="shared" ca="1" si="290"/>
        <v>16007.29838719822</v>
      </c>
      <c r="BU316" s="123">
        <f t="shared" ca="1" si="325"/>
        <v>16007.29838719822</v>
      </c>
      <c r="BV316" s="123">
        <f t="shared" ca="1" si="326"/>
        <v>0</v>
      </c>
      <c r="BW316" s="123">
        <f t="shared" ca="1" si="327"/>
        <v>157534.71328186747</v>
      </c>
      <c r="BX316" s="121"/>
      <c r="BY316" s="123">
        <f t="shared" si="328"/>
        <v>0</v>
      </c>
      <c r="BZ316" s="123">
        <f t="shared" ca="1" si="329"/>
        <v>157534.71328186747</v>
      </c>
      <c r="CA316" s="121"/>
      <c r="CB316" s="122">
        <f t="shared" ca="1" si="277"/>
        <v>0</v>
      </c>
      <c r="CC316" s="122">
        <f t="shared" ca="1" si="330"/>
        <v>0</v>
      </c>
      <c r="CD316" s="124">
        <f t="shared" ca="1" si="331"/>
        <v>0</v>
      </c>
      <c r="CE316" s="121"/>
      <c r="CF316" s="122">
        <f t="shared" ca="1" si="278"/>
        <v>6897363.7973715384</v>
      </c>
      <c r="CG316" s="124">
        <f t="shared" ca="1" si="332"/>
        <v>23044.570319195787</v>
      </c>
      <c r="CH316" s="123">
        <f t="shared" ca="1" si="333"/>
        <v>16007.29838719822</v>
      </c>
      <c r="CI316" s="121"/>
      <c r="CJ316" s="123">
        <f t="shared" ca="1" si="334"/>
        <v>208629.34415147992</v>
      </c>
      <c r="CK316" s="123">
        <f t="shared" ca="1" si="335"/>
        <v>208629.34415147989</v>
      </c>
      <c r="CL316" s="123">
        <f t="shared" ca="1" si="336"/>
        <v>0</v>
      </c>
      <c r="CM316" s="121"/>
      <c r="CN316" s="62">
        <f t="shared" ca="1" si="337"/>
        <v>156124.41441699699</v>
      </c>
      <c r="CO316" s="62" t="b">
        <f t="shared" si="338"/>
        <v>1</v>
      </c>
      <c r="CP316" s="126">
        <f t="shared" ca="1" si="339"/>
        <v>8.6111111111110746E-3</v>
      </c>
      <c r="CQ316" s="120"/>
      <c r="CR316" s="120"/>
      <c r="CS316" s="120"/>
      <c r="CT316" s="120"/>
      <c r="CU316" s="120"/>
      <c r="CV316" s="120"/>
      <c r="CW316" s="120"/>
      <c r="CX316" s="120"/>
      <c r="CY316" s="120"/>
      <c r="CZ316" s="120"/>
      <c r="DA316" s="120"/>
      <c r="DB316" s="120"/>
      <c r="DC316" s="120"/>
      <c r="DD316" s="120"/>
      <c r="DE316" s="116"/>
      <c r="DF316" s="116"/>
      <c r="DG316" s="116"/>
      <c r="DH316" s="116"/>
      <c r="DI316" s="116"/>
      <c r="DJ316" s="116"/>
      <c r="DK316" s="116"/>
      <c r="DL316" s="116"/>
      <c r="DM316" s="116"/>
      <c r="DN316" s="116"/>
    </row>
    <row r="317" spans="1:118" x14ac:dyDescent="0.2">
      <c r="A317" s="27">
        <v>311</v>
      </c>
      <c r="B317" s="29">
        <f t="shared" si="272"/>
        <v>48580</v>
      </c>
      <c r="C317" s="30">
        <f t="shared" si="273"/>
        <v>8.3333333333333329E-2</v>
      </c>
      <c r="D317" s="55"/>
      <c r="E317" s="62">
        <f t="shared" ca="1" si="291"/>
        <v>33445303.415771749</v>
      </c>
      <c r="F317" s="63">
        <f ca="1">IF(AssetIntType1="Fixed",AssetFxdRate1,IF(A317=1,OFFSET(Vectors!$D$6,A317,MATCH(AssetFltIndx1,lstInterestRates,0)),IF(MOD($A317,AssetRateReset1)=0,MAX(MIN(OFFSET(Vectors!$D$6,A317,MATCH(AssetFltIndx1,lstInterestRates,0)),(F316-AssetMarg1)+AssetPdCapFl1,AssetLifeCap1-AssetMarg1),(F316-AssetMarg1)-AssetPdCapFl1,AssetLifeFloor1-AssetMarg1),F316)))+AssetMarg1</f>
        <v>0.09</v>
      </c>
      <c r="G317" s="62">
        <f t="shared" ca="1" si="279"/>
        <v>804622.61694478267</v>
      </c>
      <c r="H317" s="62">
        <f t="shared" ca="1" si="292"/>
        <v>250839.77561828811</v>
      </c>
      <c r="I317" s="62">
        <f t="shared" ca="1" si="293"/>
        <v>553782.84132649458</v>
      </c>
      <c r="J317" s="62">
        <f t="shared" ca="1" si="274"/>
        <v>32891520.574445255</v>
      </c>
      <c r="K317" s="55"/>
      <c r="L317" s="62">
        <f t="shared" ca="1" si="294"/>
        <v>7069532.8835140532</v>
      </c>
      <c r="M317" s="68">
        <f ca="1">IF(pdrLossTime1="",OFFSET(Vectors!$AE$6,A317+_Age1,MATCH(SDA_Loss,lstSDA,0)),OFFSET(Vectors!$X$6,A317+_Age1,MATCH(pdrLossTime1,lstDefaultCurve,0)))</f>
        <v>2.7777777777777779E-5</v>
      </c>
      <c r="N317" s="62">
        <f t="shared" ca="1" si="280"/>
        <v>2777.7777777777778</v>
      </c>
      <c r="O317" s="67">
        <f t="shared" ca="1" si="295"/>
        <v>0.32891520574445254</v>
      </c>
      <c r="P317" s="68">
        <f ca="1">OFFSET(Vectors!$L$6,A317+_Age1,MATCH(pdrPrepay1,lstPrepayCurve,0))*pdrPrepayStress1</f>
        <v>5.1430128318229462E-3</v>
      </c>
      <c r="Q317" s="62">
        <f t="shared" ca="1" si="296"/>
        <v>35756.675891859253</v>
      </c>
      <c r="R317" s="62">
        <f t="shared" ca="1" si="297"/>
        <v>117010.38177957428</v>
      </c>
      <c r="S317" s="69">
        <f t="shared" ca="1" si="298"/>
        <v>0.09</v>
      </c>
      <c r="T317" s="62">
        <f t="shared" ca="1" si="299"/>
        <v>53000.663293022058</v>
      </c>
      <c r="U317" s="62">
        <f t="shared" ca="1" si="281"/>
        <v>1111.1111111111111</v>
      </c>
      <c r="V317" s="62">
        <f t="shared" ca="1" si="275"/>
        <v>6913988.0480648419</v>
      </c>
      <c r="W317" s="55"/>
      <c r="X317" s="62">
        <f t="shared" ca="1" si="300"/>
        <v>206878.83207556672</v>
      </c>
      <c r="Y317" s="55"/>
      <c r="Z317" s="118" t="b">
        <v>0</v>
      </c>
      <c r="AA317" s="120" t="b">
        <f t="shared" si="282"/>
        <v>0</v>
      </c>
      <c r="AB317" s="120" t="b">
        <f t="shared" si="283"/>
        <v>1</v>
      </c>
      <c r="AC317" s="120" t="b">
        <f t="shared" ca="1" si="284"/>
        <v>0</v>
      </c>
      <c r="AD317" s="121"/>
      <c r="AE317" s="129">
        <v>0</v>
      </c>
      <c r="AF317" s="69">
        <f ca="1">IF(Swap_Active="No",0,OFFSET(Vectors!$D$6,Vectors!A317,MATCH(Swap_In,lstInterestRates,0)))</f>
        <v>6.9369000000000056E-2</v>
      </c>
      <c r="AG317" s="62">
        <f t="shared" ca="1" si="301"/>
        <v>0</v>
      </c>
      <c r="AH317" s="69">
        <f ca="1">IF(Swap_Active="No",0,OFFSET(Vectors!$D$6,Vectors!A317,MATCH(Swap_Out,lstInterestRates,0)))</f>
        <v>0.04</v>
      </c>
      <c r="AI317" s="62">
        <f t="shared" ca="1" si="302"/>
        <v>0</v>
      </c>
      <c r="AJ317" s="62">
        <f t="shared" ca="1" si="303"/>
        <v>0</v>
      </c>
      <c r="AK317" s="62">
        <f t="shared" ca="1" si="304"/>
        <v>206878.83207556672</v>
      </c>
      <c r="AL317" s="121"/>
      <c r="AM317" s="123">
        <f t="shared" ca="1" si="285"/>
        <v>11782.554805856755</v>
      </c>
      <c r="AN317" s="124">
        <f t="shared" ca="1" si="305"/>
        <v>11782.554805856755</v>
      </c>
      <c r="AO317" s="125">
        <f t="shared" ca="1" si="306"/>
        <v>0</v>
      </c>
      <c r="AP317" s="123">
        <f t="shared" ca="1" si="307"/>
        <v>195096.27726970997</v>
      </c>
      <c r="AQ317" s="121"/>
      <c r="AR317" s="126">
        <f ca="1">IF(LiabIntType1="Fixed",LiabFxdRate1,OFFSET(Vectors!$D$6,Vectors!A317,MATCH(LiabLoanIndex1,lstInterestRates,0))+LiabMarg1)</f>
        <v>7.9369000000000051E-2</v>
      </c>
      <c r="AS317" s="122">
        <f t="shared" ca="1" si="308"/>
        <v>0</v>
      </c>
      <c r="AT317" s="124">
        <f t="shared" ca="1" si="309"/>
        <v>0</v>
      </c>
      <c r="AU317" s="123">
        <f t="shared" ca="1" si="310"/>
        <v>0</v>
      </c>
      <c r="AV317" s="123">
        <f t="shared" ca="1" si="286"/>
        <v>0</v>
      </c>
      <c r="AW317" s="123">
        <f t="shared" ca="1" si="311"/>
        <v>0</v>
      </c>
      <c r="AX317" s="124">
        <f t="shared" ca="1" si="312"/>
        <v>195096.27726970997</v>
      </c>
      <c r="AY317" s="121"/>
      <c r="AZ317" s="122">
        <f t="shared" ca="1" si="287"/>
        <v>0</v>
      </c>
      <c r="BA317" s="124">
        <f t="shared" ca="1" si="313"/>
        <v>0</v>
      </c>
      <c r="BB317" s="123">
        <f t="shared" ca="1" si="314"/>
        <v>0</v>
      </c>
      <c r="BC317" s="123">
        <f t="shared" ca="1" si="288"/>
        <v>0</v>
      </c>
      <c r="BD317" s="123">
        <f t="shared" ca="1" si="315"/>
        <v>0</v>
      </c>
      <c r="BE317" s="124">
        <f t="shared" ca="1" si="316"/>
        <v>195096.27726970997</v>
      </c>
      <c r="BF317" s="121"/>
      <c r="BG317" s="123">
        <f t="shared" si="289"/>
        <v>1000000</v>
      </c>
      <c r="BH317" s="123">
        <f t="shared" ca="1" si="317"/>
        <v>1000000</v>
      </c>
      <c r="BI317" s="123">
        <f t="shared" ca="1" si="318"/>
        <v>0</v>
      </c>
      <c r="BJ317" s="123">
        <f t="shared" ca="1" si="319"/>
        <v>0</v>
      </c>
      <c r="BK317" s="123">
        <f t="shared" ca="1" si="276"/>
        <v>1000000</v>
      </c>
      <c r="BL317" s="123">
        <f t="shared" ca="1" si="320"/>
        <v>195096.27726970997</v>
      </c>
      <c r="BM317" s="121"/>
      <c r="BN317" s="126">
        <f ca="1">IF(LiabIntType2="Fixed",LiabFxdRate2,OFFSET(Vectors!$D$6,Vectors!A317,MATCH(LiabLoanIndex2,lstInterestRates,0))+LiabMarg2)</f>
        <v>0.04</v>
      </c>
      <c r="BO317" s="122">
        <f t="shared" ca="1" si="321"/>
        <v>22991.212657905126</v>
      </c>
      <c r="BP317" s="124">
        <f t="shared" ca="1" si="322"/>
        <v>22991.212657905126</v>
      </c>
      <c r="BQ317" s="123">
        <f t="shared" ca="1" si="323"/>
        <v>0</v>
      </c>
      <c r="BR317" s="123">
        <f t="shared" ca="1" si="324"/>
        <v>172105.06461180485</v>
      </c>
      <c r="BS317" s="121"/>
      <c r="BT317" s="123">
        <f t="shared" ca="1" si="290"/>
        <v>15947.874667269891</v>
      </c>
      <c r="BU317" s="123">
        <f t="shared" ca="1" si="325"/>
        <v>15947.874667269891</v>
      </c>
      <c r="BV317" s="123">
        <f t="shared" ca="1" si="326"/>
        <v>0</v>
      </c>
      <c r="BW317" s="123">
        <f t="shared" ca="1" si="327"/>
        <v>156157.18994453497</v>
      </c>
      <c r="BX317" s="121"/>
      <c r="BY317" s="123">
        <f t="shared" si="328"/>
        <v>0</v>
      </c>
      <c r="BZ317" s="123">
        <f t="shared" ca="1" si="329"/>
        <v>156157.18994453497</v>
      </c>
      <c r="CA317" s="121"/>
      <c r="CB317" s="122">
        <f t="shared" ca="1" si="277"/>
        <v>0</v>
      </c>
      <c r="CC317" s="122">
        <f t="shared" ca="1" si="330"/>
        <v>0</v>
      </c>
      <c r="CD317" s="124">
        <f t="shared" ca="1" si="331"/>
        <v>0</v>
      </c>
      <c r="CE317" s="121"/>
      <c r="CF317" s="122">
        <f t="shared" ca="1" si="278"/>
        <v>6881415.9227042682</v>
      </c>
      <c r="CG317" s="124">
        <f t="shared" ca="1" si="332"/>
        <v>22991.212657905126</v>
      </c>
      <c r="CH317" s="123">
        <f t="shared" ca="1" si="333"/>
        <v>15947.874667269891</v>
      </c>
      <c r="CI317" s="121"/>
      <c r="CJ317" s="123">
        <f t="shared" ca="1" si="334"/>
        <v>206878.83207556672</v>
      </c>
      <c r="CK317" s="123">
        <f t="shared" ca="1" si="335"/>
        <v>206878.83207556675</v>
      </c>
      <c r="CL317" s="123">
        <f t="shared" ca="1" si="336"/>
        <v>0</v>
      </c>
      <c r="CM317" s="121"/>
      <c r="CN317" s="62">
        <f t="shared" ca="1" si="337"/>
        <v>155544.8354492113</v>
      </c>
      <c r="CO317" s="62" t="b">
        <f t="shared" si="338"/>
        <v>1</v>
      </c>
      <c r="CP317" s="126">
        <f t="shared" ca="1" si="339"/>
        <v>8.6388888888888522E-3</v>
      </c>
      <c r="CQ317" s="120"/>
      <c r="CR317" s="120"/>
      <c r="CS317" s="120"/>
      <c r="CT317" s="120"/>
      <c r="CU317" s="120"/>
      <c r="CV317" s="120"/>
      <c r="CW317" s="120"/>
      <c r="CX317" s="120"/>
      <c r="CY317" s="120"/>
      <c r="CZ317" s="120"/>
      <c r="DA317" s="120"/>
      <c r="DB317" s="120"/>
      <c r="DC317" s="120"/>
      <c r="DD317" s="120"/>
      <c r="DE317" s="116"/>
      <c r="DF317" s="116"/>
      <c r="DG317" s="116"/>
      <c r="DH317" s="116"/>
      <c r="DI317" s="116"/>
      <c r="DJ317" s="116"/>
      <c r="DK317" s="116"/>
      <c r="DL317" s="116"/>
      <c r="DM317" s="116"/>
      <c r="DN317" s="116"/>
    </row>
    <row r="318" spans="1:118" x14ac:dyDescent="0.2">
      <c r="A318" s="27">
        <v>312</v>
      </c>
      <c r="B318" s="29">
        <f t="shared" si="272"/>
        <v>48611</v>
      </c>
      <c r="C318" s="30">
        <f t="shared" si="273"/>
        <v>8.3333333333333329E-2</v>
      </c>
      <c r="D318" s="55"/>
      <c r="E318" s="62">
        <f t="shared" ca="1" si="291"/>
        <v>32891520.574445255</v>
      </c>
      <c r="F318" s="63">
        <f ca="1">IF(AssetIntType1="Fixed",AssetFxdRate1,IF(A318=1,OFFSET(Vectors!$D$6,A318,MATCH(AssetFltIndx1,lstInterestRates,0)),IF(MOD($A318,AssetRateReset1)=0,MAX(MIN(OFFSET(Vectors!$D$6,A318,MATCH(AssetFltIndx1,lstInterestRates,0)),(F317-AssetMarg1)+AssetPdCapFl1,AssetLifeCap1-AssetMarg1),(F317-AssetMarg1)-AssetPdCapFl1,AssetLifeFloor1-AssetMarg1),F317)))+AssetMarg1</f>
        <v>0.09</v>
      </c>
      <c r="G318" s="62">
        <f t="shared" ca="1" si="279"/>
        <v>804622.61694478267</v>
      </c>
      <c r="H318" s="62">
        <f t="shared" ca="1" si="292"/>
        <v>246686.40430833941</v>
      </c>
      <c r="I318" s="62">
        <f t="shared" ca="1" si="293"/>
        <v>557936.21263644332</v>
      </c>
      <c r="J318" s="62">
        <f t="shared" ca="1" si="274"/>
        <v>32333584.36180881</v>
      </c>
      <c r="K318" s="55"/>
      <c r="L318" s="62">
        <f t="shared" ca="1" si="294"/>
        <v>6913988.0480648419</v>
      </c>
      <c r="M318" s="68">
        <f ca="1">IF(pdrLossTime1="",OFFSET(Vectors!$AE$6,A318+_Age1,MATCH(SDA_Loss,lstSDA,0)),OFFSET(Vectors!$X$6,A318+_Age1,MATCH(pdrLossTime1,lstDefaultCurve,0)))</f>
        <v>2.7777777777777779E-5</v>
      </c>
      <c r="N318" s="62">
        <f t="shared" ca="1" si="280"/>
        <v>2777.7777777777778</v>
      </c>
      <c r="O318" s="67">
        <f t="shared" ca="1" si="295"/>
        <v>0.32333584361808809</v>
      </c>
      <c r="P318" s="68">
        <f ca="1">OFFSET(Vectors!$L$6,A318+_Age1,MATCH(pdrPrepay1,lstPrepayCurve,0))*pdrPrepayStress1</f>
        <v>5.1430128318229462E-3</v>
      </c>
      <c r="Q318" s="62">
        <f t="shared" ca="1" si="296"/>
        <v>34955.549391825261</v>
      </c>
      <c r="R318" s="62">
        <f t="shared" ca="1" si="297"/>
        <v>117234.30281097913</v>
      </c>
      <c r="S318" s="69">
        <f t="shared" ca="1" si="298"/>
        <v>0.09</v>
      </c>
      <c r="T318" s="62">
        <f t="shared" ca="1" si="299"/>
        <v>51834.077027152976</v>
      </c>
      <c r="U318" s="62">
        <f t="shared" ca="1" si="281"/>
        <v>1111.1111111111111</v>
      </c>
      <c r="V318" s="62">
        <f t="shared" ca="1" si="275"/>
        <v>6759020.4180842591</v>
      </c>
      <c r="W318" s="55"/>
      <c r="X318" s="62">
        <f t="shared" ca="1" si="300"/>
        <v>205135.04034106852</v>
      </c>
      <c r="Y318" s="55"/>
      <c r="Z318" s="118" t="b">
        <v>0</v>
      </c>
      <c r="AA318" s="120" t="b">
        <f t="shared" si="282"/>
        <v>0</v>
      </c>
      <c r="AB318" s="120" t="b">
        <f t="shared" si="283"/>
        <v>1</v>
      </c>
      <c r="AC318" s="120" t="b">
        <f t="shared" ca="1" si="284"/>
        <v>0</v>
      </c>
      <c r="AD318" s="121"/>
      <c r="AE318" s="129">
        <v>0</v>
      </c>
      <c r="AF318" s="69">
        <f ca="1">IF(Swap_Active="No",0,OFFSET(Vectors!$D$6,Vectors!A318,MATCH(Swap_In,lstInterestRates,0)))</f>
        <v>6.9369000000000056E-2</v>
      </c>
      <c r="AG318" s="62">
        <f t="shared" ca="1" si="301"/>
        <v>0</v>
      </c>
      <c r="AH318" s="69">
        <f ca="1">IF(Swap_Active="No",0,OFFSET(Vectors!$D$6,Vectors!A318,MATCH(Swap_Out,lstInterestRates,0)))</f>
        <v>0.04</v>
      </c>
      <c r="AI318" s="62">
        <f t="shared" ca="1" si="302"/>
        <v>0</v>
      </c>
      <c r="AJ318" s="62">
        <f t="shared" ca="1" si="303"/>
        <v>0</v>
      </c>
      <c r="AK318" s="62">
        <f t="shared" ca="1" si="304"/>
        <v>205135.04034106852</v>
      </c>
      <c r="AL318" s="121"/>
      <c r="AM318" s="123">
        <f t="shared" ca="1" si="285"/>
        <v>11523.313413441403</v>
      </c>
      <c r="AN318" s="124">
        <f t="shared" ca="1" si="305"/>
        <v>11523.313413441403</v>
      </c>
      <c r="AO318" s="125">
        <f t="shared" ca="1" si="306"/>
        <v>0</v>
      </c>
      <c r="AP318" s="123">
        <f t="shared" ca="1" si="307"/>
        <v>193611.72692762711</v>
      </c>
      <c r="AQ318" s="121"/>
      <c r="AR318" s="126">
        <f ca="1">IF(LiabIntType1="Fixed",LiabFxdRate1,OFFSET(Vectors!$D$6,Vectors!A318,MATCH(LiabLoanIndex1,lstInterestRates,0))+LiabMarg1)</f>
        <v>7.9369000000000051E-2</v>
      </c>
      <c r="AS318" s="122">
        <f t="shared" ca="1" si="308"/>
        <v>0</v>
      </c>
      <c r="AT318" s="124">
        <f t="shared" ca="1" si="309"/>
        <v>0</v>
      </c>
      <c r="AU318" s="123">
        <f t="shared" ca="1" si="310"/>
        <v>0</v>
      </c>
      <c r="AV318" s="123">
        <f t="shared" ca="1" si="286"/>
        <v>0</v>
      </c>
      <c r="AW318" s="123">
        <f t="shared" ca="1" si="311"/>
        <v>0</v>
      </c>
      <c r="AX318" s="124">
        <f t="shared" ca="1" si="312"/>
        <v>193611.72692762711</v>
      </c>
      <c r="AY318" s="121"/>
      <c r="AZ318" s="122">
        <f t="shared" ca="1" si="287"/>
        <v>0</v>
      </c>
      <c r="BA318" s="124">
        <f t="shared" ca="1" si="313"/>
        <v>0</v>
      </c>
      <c r="BB318" s="123">
        <f t="shared" ca="1" si="314"/>
        <v>0</v>
      </c>
      <c r="BC318" s="123">
        <f t="shared" ca="1" si="288"/>
        <v>0</v>
      </c>
      <c r="BD318" s="123">
        <f t="shared" ca="1" si="315"/>
        <v>0</v>
      </c>
      <c r="BE318" s="124">
        <f t="shared" ca="1" si="316"/>
        <v>193611.72692762711</v>
      </c>
      <c r="BF318" s="121"/>
      <c r="BG318" s="123">
        <f t="shared" si="289"/>
        <v>1000000</v>
      </c>
      <c r="BH318" s="123">
        <f t="shared" ca="1" si="317"/>
        <v>1000000</v>
      </c>
      <c r="BI318" s="123">
        <f t="shared" ca="1" si="318"/>
        <v>0</v>
      </c>
      <c r="BJ318" s="123">
        <f t="shared" ca="1" si="319"/>
        <v>0</v>
      </c>
      <c r="BK318" s="123">
        <f t="shared" ca="1" si="276"/>
        <v>1000000</v>
      </c>
      <c r="BL318" s="123">
        <f t="shared" ca="1" si="320"/>
        <v>193611.72692762711</v>
      </c>
      <c r="BM318" s="121"/>
      <c r="BN318" s="126">
        <f ca="1">IF(LiabIntType2="Fixed",LiabFxdRate2,OFFSET(Vectors!$D$6,Vectors!A318,MATCH(LiabLoanIndex2,lstInterestRates,0))+LiabMarg2)</f>
        <v>0.04</v>
      </c>
      <c r="BO318" s="122">
        <f t="shared" ca="1" si="321"/>
        <v>22938.053075680891</v>
      </c>
      <c r="BP318" s="124">
        <f t="shared" ca="1" si="322"/>
        <v>22938.053075680891</v>
      </c>
      <c r="BQ318" s="123">
        <f t="shared" ca="1" si="323"/>
        <v>0</v>
      </c>
      <c r="BR318" s="123">
        <f t="shared" ca="1" si="324"/>
        <v>170673.67385194622</v>
      </c>
      <c r="BS318" s="121"/>
      <c r="BT318" s="123">
        <f t="shared" ca="1" si="290"/>
        <v>15888.694300114814</v>
      </c>
      <c r="BU318" s="123">
        <f t="shared" ca="1" si="325"/>
        <v>15888.694300114814</v>
      </c>
      <c r="BV318" s="123">
        <f t="shared" ca="1" si="326"/>
        <v>0</v>
      </c>
      <c r="BW318" s="123">
        <f t="shared" ca="1" si="327"/>
        <v>154784.97955183141</v>
      </c>
      <c r="BX318" s="121"/>
      <c r="BY318" s="123">
        <f t="shared" si="328"/>
        <v>0</v>
      </c>
      <c r="BZ318" s="123">
        <f t="shared" ca="1" si="329"/>
        <v>154784.97955183141</v>
      </c>
      <c r="CA318" s="121"/>
      <c r="CB318" s="122">
        <f t="shared" ca="1" si="277"/>
        <v>0</v>
      </c>
      <c r="CC318" s="122">
        <f t="shared" ca="1" si="330"/>
        <v>0</v>
      </c>
      <c r="CD318" s="124">
        <f t="shared" ca="1" si="331"/>
        <v>0</v>
      </c>
      <c r="CE318" s="121"/>
      <c r="CF318" s="122">
        <f t="shared" ca="1" si="278"/>
        <v>6865527.2284041531</v>
      </c>
      <c r="CG318" s="124">
        <f t="shared" ca="1" si="332"/>
        <v>22938.053075680891</v>
      </c>
      <c r="CH318" s="123">
        <f t="shared" ca="1" si="333"/>
        <v>15888.694300114814</v>
      </c>
      <c r="CI318" s="121"/>
      <c r="CJ318" s="123">
        <f t="shared" ca="1" si="334"/>
        <v>205135.04034106852</v>
      </c>
      <c r="CK318" s="123">
        <f t="shared" ca="1" si="335"/>
        <v>205135.04034106852</v>
      </c>
      <c r="CL318" s="123">
        <f t="shared" ca="1" si="336"/>
        <v>0</v>
      </c>
      <c r="CM318" s="121"/>
      <c r="CN318" s="62">
        <f t="shared" ca="1" si="337"/>
        <v>154967.62998058216</v>
      </c>
      <c r="CO318" s="62" t="b">
        <f t="shared" si="338"/>
        <v>1</v>
      </c>
      <c r="CP318" s="126">
        <f t="shared" ca="1" si="339"/>
        <v>8.6666666666666298E-3</v>
      </c>
      <c r="CQ318" s="120"/>
      <c r="CR318" s="120"/>
      <c r="CS318" s="120"/>
      <c r="CT318" s="120"/>
      <c r="CU318" s="120"/>
      <c r="CV318" s="120"/>
      <c r="CW318" s="120"/>
      <c r="CX318" s="120"/>
      <c r="CY318" s="120"/>
      <c r="CZ318" s="120"/>
      <c r="DA318" s="120"/>
      <c r="DB318" s="120"/>
      <c r="DC318" s="120"/>
      <c r="DD318" s="120"/>
      <c r="DE318" s="116"/>
      <c r="DF318" s="116"/>
      <c r="DG318" s="116"/>
      <c r="DH318" s="116"/>
      <c r="DI318" s="116"/>
      <c r="DJ318" s="116"/>
      <c r="DK318" s="116"/>
      <c r="DL318" s="116"/>
      <c r="DM318" s="116"/>
      <c r="DN318" s="116"/>
    </row>
    <row r="319" spans="1:118" x14ac:dyDescent="0.2">
      <c r="A319" s="27">
        <v>313</v>
      </c>
      <c r="B319" s="29">
        <f t="shared" si="272"/>
        <v>48639</v>
      </c>
      <c r="C319" s="30">
        <f t="shared" si="273"/>
        <v>8.3333333333333329E-2</v>
      </c>
      <c r="D319" s="55"/>
      <c r="E319" s="62">
        <f t="shared" ca="1" si="291"/>
        <v>32333584.36180881</v>
      </c>
      <c r="F319" s="63">
        <f ca="1">IF(AssetIntType1="Fixed",AssetFxdRate1,IF(A319=1,OFFSET(Vectors!$D$6,A319,MATCH(AssetFltIndx1,lstInterestRates,0)),IF(MOD($A319,AssetRateReset1)=0,MAX(MIN(OFFSET(Vectors!$D$6,A319,MATCH(AssetFltIndx1,lstInterestRates,0)),(F318-AssetMarg1)+AssetPdCapFl1,AssetLifeCap1-AssetMarg1),(F318-AssetMarg1)-AssetPdCapFl1,AssetLifeFloor1-AssetMarg1),F318)))+AssetMarg1</f>
        <v>0.09</v>
      </c>
      <c r="G319" s="62">
        <f t="shared" ca="1" si="279"/>
        <v>804622.61694478267</v>
      </c>
      <c r="H319" s="62">
        <f t="shared" ca="1" si="292"/>
        <v>242501.88271356607</v>
      </c>
      <c r="I319" s="62">
        <f t="shared" ca="1" si="293"/>
        <v>562120.7342312166</v>
      </c>
      <c r="J319" s="62">
        <f t="shared" ca="1" si="274"/>
        <v>31771463.627577595</v>
      </c>
      <c r="K319" s="55"/>
      <c r="L319" s="62">
        <f t="shared" ca="1" si="294"/>
        <v>6759020.4180842591</v>
      </c>
      <c r="M319" s="68">
        <f ca="1">IF(pdrLossTime1="",OFFSET(Vectors!$AE$6,A319+_Age1,MATCH(SDA_Loss,lstSDA,0)),OFFSET(Vectors!$X$6,A319+_Age1,MATCH(pdrLossTime1,lstDefaultCurve,0)))</f>
        <v>2.7777777777777779E-5</v>
      </c>
      <c r="N319" s="62">
        <f t="shared" ca="1" si="280"/>
        <v>2777.7777777777778</v>
      </c>
      <c r="O319" s="67">
        <f t="shared" ca="1" si="295"/>
        <v>0.31771463627577595</v>
      </c>
      <c r="P319" s="68">
        <f ca="1">OFFSET(Vectors!$L$6,A319+_Age1,MATCH(pdrPrepay1,lstPrepayCurve,0))*pdrPrepayStress1</f>
        <v>5.1430128318229462E-3</v>
      </c>
      <c r="Q319" s="62">
        <f t="shared" ca="1" si="296"/>
        <v>34157.394613611315</v>
      </c>
      <c r="R319" s="62">
        <f t="shared" ca="1" si="297"/>
        <v>117457.56459030723</v>
      </c>
      <c r="S319" s="69">
        <f t="shared" ca="1" si="298"/>
        <v>0.09</v>
      </c>
      <c r="T319" s="62">
        <f t="shared" ca="1" si="299"/>
        <v>50671.819802298603</v>
      </c>
      <c r="U319" s="62">
        <f t="shared" ca="1" si="281"/>
        <v>1111.1111111111111</v>
      </c>
      <c r="V319" s="62">
        <f t="shared" ca="1" si="275"/>
        <v>6604627.6811025627</v>
      </c>
      <c r="W319" s="55"/>
      <c r="X319" s="62">
        <f t="shared" ca="1" si="300"/>
        <v>203397.89011732826</v>
      </c>
      <c r="Y319" s="55"/>
      <c r="Z319" s="118" t="b">
        <v>0</v>
      </c>
      <c r="AA319" s="120" t="b">
        <f t="shared" si="282"/>
        <v>0</v>
      </c>
      <c r="AB319" s="120" t="b">
        <f t="shared" si="283"/>
        <v>1</v>
      </c>
      <c r="AC319" s="120" t="b">
        <f t="shared" ca="1" si="284"/>
        <v>0</v>
      </c>
      <c r="AD319" s="121"/>
      <c r="AE319" s="129">
        <v>0</v>
      </c>
      <c r="AF319" s="69">
        <f ca="1">IF(Swap_Active="No",0,OFFSET(Vectors!$D$6,Vectors!A319,MATCH(Swap_In,lstInterestRates,0)))</f>
        <v>6.9369000000000056E-2</v>
      </c>
      <c r="AG319" s="62">
        <f t="shared" ca="1" si="301"/>
        <v>0</v>
      </c>
      <c r="AH319" s="69">
        <f ca="1">IF(Swap_Active="No",0,OFFSET(Vectors!$D$6,Vectors!A319,MATCH(Swap_Out,lstInterestRates,0)))</f>
        <v>0.04</v>
      </c>
      <c r="AI319" s="62">
        <f t="shared" ca="1" si="302"/>
        <v>0</v>
      </c>
      <c r="AJ319" s="62">
        <f t="shared" ca="1" si="303"/>
        <v>0</v>
      </c>
      <c r="AK319" s="62">
        <f t="shared" ca="1" si="304"/>
        <v>203397.89011732826</v>
      </c>
      <c r="AL319" s="121"/>
      <c r="AM319" s="123">
        <f t="shared" ca="1" si="285"/>
        <v>11265.03403014043</v>
      </c>
      <c r="AN319" s="124">
        <f t="shared" ca="1" si="305"/>
        <v>11265.03403014043</v>
      </c>
      <c r="AO319" s="125">
        <f t="shared" ca="1" si="306"/>
        <v>0</v>
      </c>
      <c r="AP319" s="123">
        <f t="shared" ca="1" si="307"/>
        <v>192132.85608718783</v>
      </c>
      <c r="AQ319" s="121"/>
      <c r="AR319" s="126">
        <f ca="1">IF(LiabIntType1="Fixed",LiabFxdRate1,OFFSET(Vectors!$D$6,Vectors!A319,MATCH(LiabLoanIndex1,lstInterestRates,0))+LiabMarg1)</f>
        <v>7.9369000000000051E-2</v>
      </c>
      <c r="AS319" s="122">
        <f t="shared" ca="1" si="308"/>
        <v>0</v>
      </c>
      <c r="AT319" s="124">
        <f t="shared" ca="1" si="309"/>
        <v>0</v>
      </c>
      <c r="AU319" s="123">
        <f t="shared" ca="1" si="310"/>
        <v>0</v>
      </c>
      <c r="AV319" s="123">
        <f t="shared" ca="1" si="286"/>
        <v>0</v>
      </c>
      <c r="AW319" s="123">
        <f t="shared" ca="1" si="311"/>
        <v>0</v>
      </c>
      <c r="AX319" s="124">
        <f t="shared" ca="1" si="312"/>
        <v>192132.85608718783</v>
      </c>
      <c r="AY319" s="121"/>
      <c r="AZ319" s="122">
        <f t="shared" ca="1" si="287"/>
        <v>0</v>
      </c>
      <c r="BA319" s="124">
        <f t="shared" ca="1" si="313"/>
        <v>0</v>
      </c>
      <c r="BB319" s="123">
        <f t="shared" ca="1" si="314"/>
        <v>0</v>
      </c>
      <c r="BC319" s="123">
        <f t="shared" ca="1" si="288"/>
        <v>0</v>
      </c>
      <c r="BD319" s="123">
        <f t="shared" ca="1" si="315"/>
        <v>0</v>
      </c>
      <c r="BE319" s="124">
        <f t="shared" ca="1" si="316"/>
        <v>192132.85608718783</v>
      </c>
      <c r="BF319" s="121"/>
      <c r="BG319" s="123">
        <f t="shared" si="289"/>
        <v>1000000</v>
      </c>
      <c r="BH319" s="123">
        <f t="shared" ca="1" si="317"/>
        <v>1000000</v>
      </c>
      <c r="BI319" s="123">
        <f t="shared" ca="1" si="318"/>
        <v>0</v>
      </c>
      <c r="BJ319" s="123">
        <f t="shared" ca="1" si="319"/>
        <v>0</v>
      </c>
      <c r="BK319" s="123">
        <f t="shared" ca="1" si="276"/>
        <v>1000000</v>
      </c>
      <c r="BL319" s="123">
        <f t="shared" ca="1" si="320"/>
        <v>192132.85608718783</v>
      </c>
      <c r="BM319" s="121"/>
      <c r="BN319" s="126">
        <f ca="1">IF(LiabIntType2="Fixed",LiabFxdRate2,OFFSET(Vectors!$D$6,Vectors!A319,MATCH(LiabLoanIndex2,lstInterestRates,0))+LiabMarg2)</f>
        <v>0.04</v>
      </c>
      <c r="BO319" s="122">
        <f t="shared" ca="1" si="321"/>
        <v>22885.090761347175</v>
      </c>
      <c r="BP319" s="124">
        <f t="shared" ca="1" si="322"/>
        <v>22885.090761347175</v>
      </c>
      <c r="BQ319" s="123">
        <f t="shared" ca="1" si="323"/>
        <v>0</v>
      </c>
      <c r="BR319" s="123">
        <f t="shared" ca="1" si="324"/>
        <v>169247.76532584065</v>
      </c>
      <c r="BS319" s="121"/>
      <c r="BT319" s="123">
        <f t="shared" ca="1" si="290"/>
        <v>15829.751028441126</v>
      </c>
      <c r="BU319" s="123">
        <f t="shared" ca="1" si="325"/>
        <v>15829.751028441126</v>
      </c>
      <c r="BV319" s="123">
        <f t="shared" ca="1" si="326"/>
        <v>0</v>
      </c>
      <c r="BW319" s="123">
        <f t="shared" ca="1" si="327"/>
        <v>153418.01429739952</v>
      </c>
      <c r="BX319" s="121"/>
      <c r="BY319" s="123">
        <f t="shared" si="328"/>
        <v>0</v>
      </c>
      <c r="BZ319" s="123">
        <f t="shared" ca="1" si="329"/>
        <v>153418.01429739952</v>
      </c>
      <c r="CA319" s="121"/>
      <c r="CB319" s="122">
        <f t="shared" ca="1" si="277"/>
        <v>0</v>
      </c>
      <c r="CC319" s="122">
        <f t="shared" ca="1" si="330"/>
        <v>0</v>
      </c>
      <c r="CD319" s="124">
        <f t="shared" ca="1" si="331"/>
        <v>0</v>
      </c>
      <c r="CE319" s="121"/>
      <c r="CF319" s="122">
        <f t="shared" ca="1" si="278"/>
        <v>6849697.4773757122</v>
      </c>
      <c r="CG319" s="124">
        <f t="shared" ca="1" si="332"/>
        <v>22885.090761347175</v>
      </c>
      <c r="CH319" s="123">
        <f t="shared" ca="1" si="333"/>
        <v>15829.751028441126</v>
      </c>
      <c r="CI319" s="121"/>
      <c r="CJ319" s="123">
        <f t="shared" ca="1" si="334"/>
        <v>203397.89011732826</v>
      </c>
      <c r="CK319" s="123">
        <f t="shared" ca="1" si="335"/>
        <v>203397.89011732826</v>
      </c>
      <c r="CL319" s="123">
        <f t="shared" ca="1" si="336"/>
        <v>0</v>
      </c>
      <c r="CM319" s="121"/>
      <c r="CN319" s="62">
        <f t="shared" ca="1" si="337"/>
        <v>154392.73698169633</v>
      </c>
      <c r="CO319" s="62" t="b">
        <f t="shared" si="338"/>
        <v>1</v>
      </c>
      <c r="CP319" s="126">
        <f t="shared" ca="1" si="339"/>
        <v>8.6944444444444074E-3</v>
      </c>
      <c r="CQ319" s="120"/>
      <c r="CR319" s="120"/>
      <c r="CS319" s="120"/>
      <c r="CT319" s="120"/>
      <c r="CU319" s="120"/>
      <c r="CV319" s="120"/>
      <c r="CW319" s="120"/>
      <c r="CX319" s="120"/>
      <c r="CY319" s="120"/>
      <c r="CZ319" s="120"/>
      <c r="DA319" s="120"/>
      <c r="DB319" s="120"/>
      <c r="DC319" s="120"/>
      <c r="DD319" s="120"/>
      <c r="DE319" s="116"/>
      <c r="DF319" s="116"/>
      <c r="DG319" s="116"/>
      <c r="DH319" s="116"/>
      <c r="DI319" s="116"/>
      <c r="DJ319" s="116"/>
      <c r="DK319" s="116"/>
      <c r="DL319" s="116"/>
      <c r="DM319" s="116"/>
      <c r="DN319" s="116"/>
    </row>
    <row r="320" spans="1:118" x14ac:dyDescent="0.2">
      <c r="A320" s="27">
        <v>314</v>
      </c>
      <c r="B320" s="29">
        <f t="shared" si="272"/>
        <v>48670</v>
      </c>
      <c r="C320" s="30">
        <f t="shared" si="273"/>
        <v>8.3333333333333329E-2</v>
      </c>
      <c r="D320" s="55"/>
      <c r="E320" s="62">
        <f t="shared" ca="1" si="291"/>
        <v>31771463.627577595</v>
      </c>
      <c r="F320" s="63">
        <f ca="1">IF(AssetIntType1="Fixed",AssetFxdRate1,IF(A320=1,OFFSET(Vectors!$D$6,A320,MATCH(AssetFltIndx1,lstInterestRates,0)),IF(MOD($A320,AssetRateReset1)=0,MAX(MIN(OFFSET(Vectors!$D$6,A320,MATCH(AssetFltIndx1,lstInterestRates,0)),(F319-AssetMarg1)+AssetPdCapFl1,AssetLifeCap1-AssetMarg1),(F319-AssetMarg1)-AssetPdCapFl1,AssetLifeFloor1-AssetMarg1),F319)))+AssetMarg1</f>
        <v>0.09</v>
      </c>
      <c r="G320" s="62">
        <f t="shared" ca="1" si="279"/>
        <v>804622.61694478267</v>
      </c>
      <c r="H320" s="62">
        <f t="shared" ca="1" si="292"/>
        <v>238285.97720683194</v>
      </c>
      <c r="I320" s="62">
        <f t="shared" ca="1" si="293"/>
        <v>566336.63973795075</v>
      </c>
      <c r="J320" s="62">
        <f t="shared" ca="1" si="274"/>
        <v>31205126.987839643</v>
      </c>
      <c r="K320" s="55"/>
      <c r="L320" s="62">
        <f t="shared" ca="1" si="294"/>
        <v>6604627.6811025627</v>
      </c>
      <c r="M320" s="68">
        <f ca="1">IF(pdrLossTime1="",OFFSET(Vectors!$AE$6,A320+_Age1,MATCH(SDA_Loss,lstSDA,0)),OFFSET(Vectors!$X$6,A320+_Age1,MATCH(pdrLossTime1,lstDefaultCurve,0)))</f>
        <v>2.7777777777777779E-5</v>
      </c>
      <c r="N320" s="62">
        <f t="shared" ca="1" si="280"/>
        <v>2777.7777777777778</v>
      </c>
      <c r="O320" s="67">
        <f t="shared" ca="1" si="295"/>
        <v>0.31205126987839643</v>
      </c>
      <c r="P320" s="68">
        <f ca="1">OFFSET(Vectors!$L$6,A320+_Age1,MATCH(pdrPrepay1,lstPrepayCurve,0))*pdrPrepayStress1</f>
        <v>5.1430128318229462E-3</v>
      </c>
      <c r="Q320" s="62">
        <f t="shared" ca="1" si="296"/>
        <v>33362.199917133679</v>
      </c>
      <c r="R320" s="62">
        <f t="shared" ca="1" si="297"/>
        <v>117680.11490216515</v>
      </c>
      <c r="S320" s="69">
        <f t="shared" ca="1" si="298"/>
        <v>0.09</v>
      </c>
      <c r="T320" s="62">
        <f t="shared" ca="1" si="299"/>
        <v>49513.874274935886</v>
      </c>
      <c r="U320" s="62">
        <f t="shared" ca="1" si="281"/>
        <v>1111.1111111111111</v>
      </c>
      <c r="V320" s="62">
        <f t="shared" ca="1" si="275"/>
        <v>6450807.588505486</v>
      </c>
      <c r="W320" s="55"/>
      <c r="X320" s="62">
        <f t="shared" ca="1" si="300"/>
        <v>201667.30020534585</v>
      </c>
      <c r="Y320" s="55"/>
      <c r="Z320" s="118" t="b">
        <v>0</v>
      </c>
      <c r="AA320" s="120" t="b">
        <f t="shared" si="282"/>
        <v>0</v>
      </c>
      <c r="AB320" s="120" t="b">
        <f t="shared" si="283"/>
        <v>1</v>
      </c>
      <c r="AC320" s="120" t="b">
        <f t="shared" ca="1" si="284"/>
        <v>0</v>
      </c>
      <c r="AD320" s="121"/>
      <c r="AE320" s="129">
        <v>0</v>
      </c>
      <c r="AF320" s="69">
        <f ca="1">IF(Swap_Active="No",0,OFFSET(Vectors!$D$6,Vectors!A320,MATCH(Swap_In,lstInterestRates,0)))</f>
        <v>6.9369000000000056E-2</v>
      </c>
      <c r="AG320" s="62">
        <f t="shared" ca="1" si="301"/>
        <v>0</v>
      </c>
      <c r="AH320" s="69">
        <f ca="1">IF(Swap_Active="No",0,OFFSET(Vectors!$D$6,Vectors!A320,MATCH(Swap_Out,lstInterestRates,0)))</f>
        <v>0.04</v>
      </c>
      <c r="AI320" s="62">
        <f t="shared" ca="1" si="302"/>
        <v>0</v>
      </c>
      <c r="AJ320" s="62">
        <f t="shared" ca="1" si="303"/>
        <v>0</v>
      </c>
      <c r="AK320" s="62">
        <f t="shared" ca="1" si="304"/>
        <v>201667.30020534585</v>
      </c>
      <c r="AL320" s="121"/>
      <c r="AM320" s="123">
        <f t="shared" ca="1" si="285"/>
        <v>11007.712801837604</v>
      </c>
      <c r="AN320" s="124">
        <f t="shared" ca="1" si="305"/>
        <v>11007.712801837604</v>
      </c>
      <c r="AO320" s="125">
        <f t="shared" ca="1" si="306"/>
        <v>0</v>
      </c>
      <c r="AP320" s="123">
        <f t="shared" ca="1" si="307"/>
        <v>190659.58740350825</v>
      </c>
      <c r="AQ320" s="121"/>
      <c r="AR320" s="126">
        <f ca="1">IF(LiabIntType1="Fixed",LiabFxdRate1,OFFSET(Vectors!$D$6,Vectors!A320,MATCH(LiabLoanIndex1,lstInterestRates,0))+LiabMarg1)</f>
        <v>7.9369000000000051E-2</v>
      </c>
      <c r="AS320" s="122">
        <f t="shared" ca="1" si="308"/>
        <v>0</v>
      </c>
      <c r="AT320" s="124">
        <f t="shared" ca="1" si="309"/>
        <v>0</v>
      </c>
      <c r="AU320" s="123">
        <f t="shared" ca="1" si="310"/>
        <v>0</v>
      </c>
      <c r="AV320" s="123">
        <f t="shared" ca="1" si="286"/>
        <v>0</v>
      </c>
      <c r="AW320" s="123">
        <f t="shared" ca="1" si="311"/>
        <v>0</v>
      </c>
      <c r="AX320" s="124">
        <f t="shared" ca="1" si="312"/>
        <v>190659.58740350825</v>
      </c>
      <c r="AY320" s="121"/>
      <c r="AZ320" s="122">
        <f t="shared" ca="1" si="287"/>
        <v>0</v>
      </c>
      <c r="BA320" s="124">
        <f t="shared" ca="1" si="313"/>
        <v>0</v>
      </c>
      <c r="BB320" s="123">
        <f t="shared" ca="1" si="314"/>
        <v>0</v>
      </c>
      <c r="BC320" s="123">
        <f t="shared" ca="1" si="288"/>
        <v>0</v>
      </c>
      <c r="BD320" s="123">
        <f t="shared" ca="1" si="315"/>
        <v>0</v>
      </c>
      <c r="BE320" s="124">
        <f t="shared" ca="1" si="316"/>
        <v>190659.58740350825</v>
      </c>
      <c r="BF320" s="121"/>
      <c r="BG320" s="123">
        <f t="shared" si="289"/>
        <v>1000000</v>
      </c>
      <c r="BH320" s="123">
        <f t="shared" ca="1" si="317"/>
        <v>1000000</v>
      </c>
      <c r="BI320" s="123">
        <f t="shared" ca="1" si="318"/>
        <v>0</v>
      </c>
      <c r="BJ320" s="123">
        <f t="shared" ca="1" si="319"/>
        <v>0</v>
      </c>
      <c r="BK320" s="123">
        <f t="shared" ca="1" si="276"/>
        <v>1000000</v>
      </c>
      <c r="BL320" s="123">
        <f t="shared" ca="1" si="320"/>
        <v>190659.58740350825</v>
      </c>
      <c r="BM320" s="121"/>
      <c r="BN320" s="126">
        <f ca="1">IF(LiabIntType2="Fixed",LiabFxdRate2,OFFSET(Vectors!$D$6,Vectors!A320,MATCH(LiabLoanIndex2,lstInterestRates,0))+LiabMarg2)</f>
        <v>0.04</v>
      </c>
      <c r="BO320" s="122">
        <f t="shared" ca="1" si="321"/>
        <v>22832.324924585708</v>
      </c>
      <c r="BP320" s="124">
        <f t="shared" ca="1" si="322"/>
        <v>22832.324924585708</v>
      </c>
      <c r="BQ320" s="123">
        <f t="shared" ca="1" si="323"/>
        <v>0</v>
      </c>
      <c r="BR320" s="123">
        <f t="shared" ca="1" si="324"/>
        <v>167827.26247892255</v>
      </c>
      <c r="BS320" s="121"/>
      <c r="BT320" s="123">
        <f t="shared" ca="1" si="290"/>
        <v>15771.038305203116</v>
      </c>
      <c r="BU320" s="123">
        <f t="shared" ca="1" si="325"/>
        <v>15771.038305203116</v>
      </c>
      <c r="BV320" s="123">
        <f t="shared" ca="1" si="326"/>
        <v>0</v>
      </c>
      <c r="BW320" s="123">
        <f t="shared" ca="1" si="327"/>
        <v>152056.22417371944</v>
      </c>
      <c r="BX320" s="121"/>
      <c r="BY320" s="123">
        <f t="shared" si="328"/>
        <v>0</v>
      </c>
      <c r="BZ320" s="123">
        <f t="shared" ca="1" si="329"/>
        <v>152056.22417371944</v>
      </c>
      <c r="CA320" s="121"/>
      <c r="CB320" s="122">
        <f t="shared" ca="1" si="277"/>
        <v>0</v>
      </c>
      <c r="CC320" s="122">
        <f t="shared" ca="1" si="330"/>
        <v>0</v>
      </c>
      <c r="CD320" s="124">
        <f t="shared" ca="1" si="331"/>
        <v>0</v>
      </c>
      <c r="CE320" s="121"/>
      <c r="CF320" s="122">
        <f t="shared" ca="1" si="278"/>
        <v>6833926.4390705088</v>
      </c>
      <c r="CG320" s="124">
        <f t="shared" ca="1" si="332"/>
        <v>22832.324924585708</v>
      </c>
      <c r="CH320" s="123">
        <f t="shared" ca="1" si="333"/>
        <v>15771.038305203116</v>
      </c>
      <c r="CI320" s="121"/>
      <c r="CJ320" s="123">
        <f t="shared" ca="1" si="334"/>
        <v>201667.30020534585</v>
      </c>
      <c r="CK320" s="123">
        <f t="shared" ca="1" si="335"/>
        <v>201667.30020534588</v>
      </c>
      <c r="CL320" s="123">
        <f t="shared" ca="1" si="336"/>
        <v>0</v>
      </c>
      <c r="CM320" s="121"/>
      <c r="CN320" s="62">
        <f t="shared" ca="1" si="337"/>
        <v>153820.09259707661</v>
      </c>
      <c r="CO320" s="62" t="b">
        <f t="shared" si="338"/>
        <v>1</v>
      </c>
      <c r="CP320" s="126">
        <f t="shared" ca="1" si="339"/>
        <v>8.7222222222221851E-3</v>
      </c>
      <c r="CQ320" s="120"/>
      <c r="CR320" s="120"/>
      <c r="CS320" s="120"/>
      <c r="CT320" s="120"/>
      <c r="CU320" s="120"/>
      <c r="CV320" s="120"/>
      <c r="CW320" s="120"/>
      <c r="CX320" s="120"/>
      <c r="CY320" s="120"/>
      <c r="CZ320" s="120"/>
      <c r="DA320" s="120"/>
      <c r="DB320" s="120"/>
      <c r="DC320" s="120"/>
      <c r="DD320" s="120"/>
      <c r="DE320" s="116"/>
      <c r="DF320" s="116"/>
      <c r="DG320" s="116"/>
      <c r="DH320" s="116"/>
      <c r="DI320" s="116"/>
      <c r="DJ320" s="116"/>
      <c r="DK320" s="116"/>
      <c r="DL320" s="116"/>
      <c r="DM320" s="116"/>
      <c r="DN320" s="116"/>
    </row>
    <row r="321" spans="1:118" x14ac:dyDescent="0.2">
      <c r="A321" s="27">
        <v>315</v>
      </c>
      <c r="B321" s="29">
        <f t="shared" si="272"/>
        <v>48700</v>
      </c>
      <c r="C321" s="30">
        <f t="shared" si="273"/>
        <v>8.3333333333333329E-2</v>
      </c>
      <c r="D321" s="55"/>
      <c r="E321" s="62">
        <f t="shared" ca="1" si="291"/>
        <v>31205126.987839643</v>
      </c>
      <c r="F321" s="63">
        <f ca="1">IF(AssetIntType1="Fixed",AssetFxdRate1,IF(A321=1,OFFSET(Vectors!$D$6,A321,MATCH(AssetFltIndx1,lstInterestRates,0)),IF(MOD($A321,AssetRateReset1)=0,MAX(MIN(OFFSET(Vectors!$D$6,A321,MATCH(AssetFltIndx1,lstInterestRates,0)),(F320-AssetMarg1)+AssetPdCapFl1,AssetLifeCap1-AssetMarg1),(F320-AssetMarg1)-AssetPdCapFl1,AssetLifeFloor1-AssetMarg1),F320)))+AssetMarg1</f>
        <v>0.09</v>
      </c>
      <c r="G321" s="62">
        <f t="shared" ca="1" si="279"/>
        <v>804622.61694478267</v>
      </c>
      <c r="H321" s="62">
        <f t="shared" ca="1" si="292"/>
        <v>234038.45240879731</v>
      </c>
      <c r="I321" s="62">
        <f t="shared" ca="1" si="293"/>
        <v>570584.16453598533</v>
      </c>
      <c r="J321" s="62">
        <f t="shared" ca="1" si="274"/>
        <v>30634542.823303659</v>
      </c>
      <c r="K321" s="55"/>
      <c r="L321" s="62">
        <f t="shared" ca="1" si="294"/>
        <v>6450807.588505486</v>
      </c>
      <c r="M321" s="68">
        <f ca="1">IF(pdrLossTime1="",OFFSET(Vectors!$AE$6,A321+_Age1,MATCH(SDA_Loss,lstSDA,0)),OFFSET(Vectors!$X$6,A321+_Age1,MATCH(pdrLossTime1,lstDefaultCurve,0)))</f>
        <v>2.7777777777777779E-5</v>
      </c>
      <c r="N321" s="62">
        <f t="shared" ca="1" si="280"/>
        <v>2777.7777777777778</v>
      </c>
      <c r="O321" s="67">
        <f t="shared" ca="1" si="295"/>
        <v>0.30634542823303657</v>
      </c>
      <c r="P321" s="68">
        <f ca="1">OFFSET(Vectors!$L$6,A321+_Age1,MATCH(pdrPrepay1,lstPrepayCurve,0))*pdrPrepayStress1</f>
        <v>5.1430128318229462E-3</v>
      </c>
      <c r="Q321" s="62">
        <f t="shared" ca="1" si="296"/>
        <v>32569.954006988042</v>
      </c>
      <c r="R321" s="62">
        <f t="shared" ca="1" si="297"/>
        <v>117901.8981044661</v>
      </c>
      <c r="S321" s="69">
        <f t="shared" ca="1" si="298"/>
        <v>0.09</v>
      </c>
      <c r="T321" s="62">
        <f t="shared" ca="1" si="299"/>
        <v>48360.223580457809</v>
      </c>
      <c r="U321" s="62">
        <f t="shared" ca="1" si="281"/>
        <v>1111.1111111111111</v>
      </c>
      <c r="V321" s="62">
        <f t="shared" ca="1" si="275"/>
        <v>6297557.9586162539</v>
      </c>
      <c r="W321" s="55"/>
      <c r="X321" s="62">
        <f t="shared" ca="1" si="300"/>
        <v>199943.1868030231</v>
      </c>
      <c r="Y321" s="55"/>
      <c r="Z321" s="118" t="b">
        <v>0</v>
      </c>
      <c r="AA321" s="120" t="b">
        <f t="shared" si="282"/>
        <v>0</v>
      </c>
      <c r="AB321" s="120" t="b">
        <f t="shared" si="283"/>
        <v>1</v>
      </c>
      <c r="AC321" s="120" t="b">
        <f t="shared" ca="1" si="284"/>
        <v>0</v>
      </c>
      <c r="AD321" s="121"/>
      <c r="AE321" s="129">
        <v>0</v>
      </c>
      <c r="AF321" s="69">
        <f ca="1">IF(Swap_Active="No",0,OFFSET(Vectors!$D$6,Vectors!A321,MATCH(Swap_In,lstInterestRates,0)))</f>
        <v>6.9369000000000056E-2</v>
      </c>
      <c r="AG321" s="62">
        <f t="shared" ca="1" si="301"/>
        <v>0</v>
      </c>
      <c r="AH321" s="69">
        <f ca="1">IF(Swap_Active="No",0,OFFSET(Vectors!$D$6,Vectors!A321,MATCH(Swap_Out,lstInterestRates,0)))</f>
        <v>0.04</v>
      </c>
      <c r="AI321" s="62">
        <f t="shared" ca="1" si="302"/>
        <v>0</v>
      </c>
      <c r="AJ321" s="62">
        <f t="shared" ca="1" si="303"/>
        <v>0</v>
      </c>
      <c r="AK321" s="62">
        <f t="shared" ca="1" si="304"/>
        <v>199943.1868030231</v>
      </c>
      <c r="AL321" s="121"/>
      <c r="AM321" s="123">
        <f t="shared" ca="1" si="285"/>
        <v>10751.345980842476</v>
      </c>
      <c r="AN321" s="124">
        <f t="shared" ca="1" si="305"/>
        <v>10751.345980842476</v>
      </c>
      <c r="AO321" s="125">
        <f t="shared" ca="1" si="306"/>
        <v>0</v>
      </c>
      <c r="AP321" s="123">
        <f t="shared" ca="1" si="307"/>
        <v>189191.84082218062</v>
      </c>
      <c r="AQ321" s="121"/>
      <c r="AR321" s="126">
        <f ca="1">IF(LiabIntType1="Fixed",LiabFxdRate1,OFFSET(Vectors!$D$6,Vectors!A321,MATCH(LiabLoanIndex1,lstInterestRates,0))+LiabMarg1)</f>
        <v>7.9369000000000051E-2</v>
      </c>
      <c r="AS321" s="122">
        <f t="shared" ca="1" si="308"/>
        <v>0</v>
      </c>
      <c r="AT321" s="124">
        <f t="shared" ca="1" si="309"/>
        <v>0</v>
      </c>
      <c r="AU321" s="123">
        <f t="shared" ca="1" si="310"/>
        <v>0</v>
      </c>
      <c r="AV321" s="123">
        <f t="shared" ca="1" si="286"/>
        <v>0</v>
      </c>
      <c r="AW321" s="123">
        <f t="shared" ca="1" si="311"/>
        <v>0</v>
      </c>
      <c r="AX321" s="124">
        <f t="shared" ca="1" si="312"/>
        <v>189191.84082218062</v>
      </c>
      <c r="AY321" s="121"/>
      <c r="AZ321" s="122">
        <f t="shared" ca="1" si="287"/>
        <v>0</v>
      </c>
      <c r="BA321" s="124">
        <f t="shared" ca="1" si="313"/>
        <v>0</v>
      </c>
      <c r="BB321" s="123">
        <f t="shared" ca="1" si="314"/>
        <v>0</v>
      </c>
      <c r="BC321" s="123">
        <f t="shared" ca="1" si="288"/>
        <v>0</v>
      </c>
      <c r="BD321" s="123">
        <f t="shared" ca="1" si="315"/>
        <v>0</v>
      </c>
      <c r="BE321" s="124">
        <f t="shared" ca="1" si="316"/>
        <v>189191.84082218062</v>
      </c>
      <c r="BF321" s="121"/>
      <c r="BG321" s="123">
        <f t="shared" si="289"/>
        <v>1000000</v>
      </c>
      <c r="BH321" s="123">
        <f t="shared" ca="1" si="317"/>
        <v>1000000</v>
      </c>
      <c r="BI321" s="123">
        <f t="shared" ca="1" si="318"/>
        <v>0</v>
      </c>
      <c r="BJ321" s="123">
        <f t="shared" ca="1" si="319"/>
        <v>0</v>
      </c>
      <c r="BK321" s="123">
        <f t="shared" ca="1" si="276"/>
        <v>1000000</v>
      </c>
      <c r="BL321" s="123">
        <f t="shared" ca="1" si="320"/>
        <v>189191.84082218062</v>
      </c>
      <c r="BM321" s="121"/>
      <c r="BN321" s="126">
        <f ca="1">IF(LiabIntType2="Fixed",LiabFxdRate2,OFFSET(Vectors!$D$6,Vectors!A321,MATCH(LiabLoanIndex2,lstInterestRates,0))+LiabMarg2)</f>
        <v>0.04</v>
      </c>
      <c r="BO321" s="122">
        <f t="shared" ca="1" si="321"/>
        <v>22779.754796901696</v>
      </c>
      <c r="BP321" s="124">
        <f t="shared" ca="1" si="322"/>
        <v>22779.754796901696</v>
      </c>
      <c r="BQ321" s="123">
        <f t="shared" ca="1" si="323"/>
        <v>0</v>
      </c>
      <c r="BR321" s="123">
        <f t="shared" ca="1" si="324"/>
        <v>166412.08602527893</v>
      </c>
      <c r="BS321" s="121"/>
      <c r="BT321" s="123">
        <f t="shared" ca="1" si="290"/>
        <v>15712.54926735892</v>
      </c>
      <c r="BU321" s="123">
        <f t="shared" ca="1" si="325"/>
        <v>15712.54926735892</v>
      </c>
      <c r="BV321" s="123">
        <f t="shared" ca="1" si="326"/>
        <v>0</v>
      </c>
      <c r="BW321" s="123">
        <f t="shared" ca="1" si="327"/>
        <v>150699.53675792</v>
      </c>
      <c r="BX321" s="121"/>
      <c r="BY321" s="123">
        <f t="shared" si="328"/>
        <v>0</v>
      </c>
      <c r="BZ321" s="123">
        <f t="shared" ca="1" si="329"/>
        <v>150699.53675792</v>
      </c>
      <c r="CA321" s="121"/>
      <c r="CB321" s="122">
        <f t="shared" ca="1" si="277"/>
        <v>0</v>
      </c>
      <c r="CC321" s="122">
        <f t="shared" ca="1" si="330"/>
        <v>0</v>
      </c>
      <c r="CD321" s="124">
        <f t="shared" ca="1" si="331"/>
        <v>0</v>
      </c>
      <c r="CE321" s="121"/>
      <c r="CF321" s="122">
        <f t="shared" ca="1" si="278"/>
        <v>6818213.8898031497</v>
      </c>
      <c r="CG321" s="124">
        <f t="shared" ca="1" si="332"/>
        <v>22779.754796901696</v>
      </c>
      <c r="CH321" s="123">
        <f t="shared" ca="1" si="333"/>
        <v>15712.54926735892</v>
      </c>
      <c r="CI321" s="121"/>
      <c r="CJ321" s="123">
        <f t="shared" ca="1" si="334"/>
        <v>199943.1868030231</v>
      </c>
      <c r="CK321" s="123">
        <f t="shared" ca="1" si="335"/>
        <v>199943.1868030231</v>
      </c>
      <c r="CL321" s="123">
        <f t="shared" ca="1" si="336"/>
        <v>0</v>
      </c>
      <c r="CM321" s="121"/>
      <c r="CN321" s="62">
        <f t="shared" ca="1" si="337"/>
        <v>153249.62988923193</v>
      </c>
      <c r="CO321" s="62" t="b">
        <f t="shared" si="338"/>
        <v>1</v>
      </c>
      <c r="CP321" s="126">
        <f t="shared" ca="1" si="339"/>
        <v>8.7499999999999627E-3</v>
      </c>
      <c r="CQ321" s="120"/>
      <c r="CR321" s="120"/>
      <c r="CS321" s="120"/>
      <c r="CT321" s="120"/>
      <c r="CU321" s="120"/>
      <c r="CV321" s="120"/>
      <c r="CW321" s="120"/>
      <c r="CX321" s="120"/>
      <c r="CY321" s="120"/>
      <c r="CZ321" s="120"/>
      <c r="DA321" s="120"/>
      <c r="DB321" s="120"/>
      <c r="DC321" s="120"/>
      <c r="DD321" s="120"/>
      <c r="DE321" s="116"/>
      <c r="DF321" s="116"/>
      <c r="DG321" s="116"/>
      <c r="DH321" s="116"/>
      <c r="DI321" s="116"/>
      <c r="DJ321" s="116"/>
      <c r="DK321" s="116"/>
      <c r="DL321" s="116"/>
      <c r="DM321" s="116"/>
      <c r="DN321" s="116"/>
    </row>
    <row r="322" spans="1:118" x14ac:dyDescent="0.2">
      <c r="A322" s="27">
        <v>316</v>
      </c>
      <c r="B322" s="29">
        <f t="shared" si="272"/>
        <v>48731</v>
      </c>
      <c r="C322" s="30">
        <f t="shared" si="273"/>
        <v>8.3333333333333329E-2</v>
      </c>
      <c r="D322" s="55"/>
      <c r="E322" s="62">
        <f t="shared" ca="1" si="291"/>
        <v>30634542.823303659</v>
      </c>
      <c r="F322" s="63">
        <f ca="1">IF(AssetIntType1="Fixed",AssetFxdRate1,IF(A322=1,OFFSET(Vectors!$D$6,A322,MATCH(AssetFltIndx1,lstInterestRates,0)),IF(MOD($A322,AssetRateReset1)=0,MAX(MIN(OFFSET(Vectors!$D$6,A322,MATCH(AssetFltIndx1,lstInterestRates,0)),(F321-AssetMarg1)+AssetPdCapFl1,AssetLifeCap1-AssetMarg1),(F321-AssetMarg1)-AssetPdCapFl1,AssetLifeFloor1-AssetMarg1),F321)))+AssetMarg1</f>
        <v>0.09</v>
      </c>
      <c r="G322" s="62">
        <f t="shared" ca="1" si="279"/>
        <v>804622.61694478267</v>
      </c>
      <c r="H322" s="62">
        <f t="shared" ca="1" si="292"/>
        <v>229759.07117477743</v>
      </c>
      <c r="I322" s="62">
        <f t="shared" ca="1" si="293"/>
        <v>574863.54577000521</v>
      </c>
      <c r="J322" s="62">
        <f t="shared" ca="1" si="274"/>
        <v>30059679.277533654</v>
      </c>
      <c r="K322" s="55"/>
      <c r="L322" s="62">
        <f t="shared" ca="1" si="294"/>
        <v>6297557.9586162539</v>
      </c>
      <c r="M322" s="68">
        <f ca="1">IF(pdrLossTime1="",OFFSET(Vectors!$AE$6,A322+_Age1,MATCH(SDA_Loss,lstSDA,0)),OFFSET(Vectors!$X$6,A322+_Age1,MATCH(pdrLossTime1,lstDefaultCurve,0)))</f>
        <v>2.7777777777777779E-5</v>
      </c>
      <c r="N322" s="62">
        <f t="shared" ca="1" si="280"/>
        <v>2777.7777777777778</v>
      </c>
      <c r="O322" s="67">
        <f t="shared" ca="1" si="295"/>
        <v>0.30059679277533652</v>
      </c>
      <c r="P322" s="68">
        <f ca="1">OFFSET(Vectors!$L$6,A322+_Age1,MATCH(pdrPrepay1,lstPrepayCurve,0))*pdrPrepayStress1</f>
        <v>5.1430128318229462E-3</v>
      </c>
      <c r="Q322" s="62">
        <f t="shared" ca="1" si="296"/>
        <v>31780.645949701833</v>
      </c>
      <c r="R322" s="62">
        <f t="shared" ca="1" si="297"/>
        <v>118122.8548267046</v>
      </c>
      <c r="S322" s="69">
        <f t="shared" ca="1" si="298"/>
        <v>0.09</v>
      </c>
      <c r="T322" s="62">
        <f t="shared" ca="1" si="299"/>
        <v>47210.851356288571</v>
      </c>
      <c r="U322" s="62">
        <f t="shared" ca="1" si="281"/>
        <v>1111.1111111111111</v>
      </c>
      <c r="V322" s="62">
        <f t="shared" ca="1" si="275"/>
        <v>6144876.6800620696</v>
      </c>
      <c r="W322" s="55"/>
      <c r="X322" s="62">
        <f t="shared" ca="1" si="300"/>
        <v>198225.46324380612</v>
      </c>
      <c r="Y322" s="55"/>
      <c r="Z322" s="118" t="b">
        <v>0</v>
      </c>
      <c r="AA322" s="120" t="b">
        <f t="shared" si="282"/>
        <v>0</v>
      </c>
      <c r="AB322" s="120" t="b">
        <f t="shared" si="283"/>
        <v>1</v>
      </c>
      <c r="AC322" s="120" t="b">
        <f t="shared" ca="1" si="284"/>
        <v>0</v>
      </c>
      <c r="AD322" s="121"/>
      <c r="AE322" s="129">
        <v>0</v>
      </c>
      <c r="AF322" s="69">
        <f ca="1">IF(Swap_Active="No",0,OFFSET(Vectors!$D$6,Vectors!A322,MATCH(Swap_In,lstInterestRates,0)))</f>
        <v>6.9369000000000056E-2</v>
      </c>
      <c r="AG322" s="62">
        <f t="shared" ca="1" si="301"/>
        <v>0</v>
      </c>
      <c r="AH322" s="69">
        <f ca="1">IF(Swap_Active="No",0,OFFSET(Vectors!$D$6,Vectors!A322,MATCH(Swap_Out,lstInterestRates,0)))</f>
        <v>0.04</v>
      </c>
      <c r="AI322" s="62">
        <f t="shared" ca="1" si="302"/>
        <v>0</v>
      </c>
      <c r="AJ322" s="62">
        <f t="shared" ca="1" si="303"/>
        <v>0</v>
      </c>
      <c r="AK322" s="62">
        <f t="shared" ca="1" si="304"/>
        <v>198225.46324380612</v>
      </c>
      <c r="AL322" s="121"/>
      <c r="AM322" s="123">
        <f t="shared" ca="1" si="285"/>
        <v>10495.929931027089</v>
      </c>
      <c r="AN322" s="124">
        <f t="shared" ca="1" si="305"/>
        <v>10495.929931027089</v>
      </c>
      <c r="AO322" s="125">
        <f t="shared" ca="1" si="306"/>
        <v>0</v>
      </c>
      <c r="AP322" s="123">
        <f t="shared" ca="1" si="307"/>
        <v>187729.53331277904</v>
      </c>
      <c r="AQ322" s="121"/>
      <c r="AR322" s="126">
        <f ca="1">IF(LiabIntType1="Fixed",LiabFxdRate1,OFFSET(Vectors!$D$6,Vectors!A322,MATCH(LiabLoanIndex1,lstInterestRates,0))+LiabMarg1)</f>
        <v>7.9369000000000051E-2</v>
      </c>
      <c r="AS322" s="122">
        <f t="shared" ca="1" si="308"/>
        <v>0</v>
      </c>
      <c r="AT322" s="124">
        <f t="shared" ca="1" si="309"/>
        <v>0</v>
      </c>
      <c r="AU322" s="123">
        <f t="shared" ca="1" si="310"/>
        <v>0</v>
      </c>
      <c r="AV322" s="123">
        <f t="shared" ca="1" si="286"/>
        <v>0</v>
      </c>
      <c r="AW322" s="123">
        <f t="shared" ca="1" si="311"/>
        <v>0</v>
      </c>
      <c r="AX322" s="124">
        <f t="shared" ca="1" si="312"/>
        <v>187729.53331277904</v>
      </c>
      <c r="AY322" s="121"/>
      <c r="AZ322" s="122">
        <f t="shared" ca="1" si="287"/>
        <v>0</v>
      </c>
      <c r="BA322" s="124">
        <f t="shared" ca="1" si="313"/>
        <v>0</v>
      </c>
      <c r="BB322" s="123">
        <f t="shared" ca="1" si="314"/>
        <v>0</v>
      </c>
      <c r="BC322" s="123">
        <f t="shared" ca="1" si="288"/>
        <v>0</v>
      </c>
      <c r="BD322" s="123">
        <f t="shared" ca="1" si="315"/>
        <v>0</v>
      </c>
      <c r="BE322" s="124">
        <f t="shared" ca="1" si="316"/>
        <v>187729.53331277904</v>
      </c>
      <c r="BF322" s="121"/>
      <c r="BG322" s="123">
        <f t="shared" si="289"/>
        <v>1000000</v>
      </c>
      <c r="BH322" s="123">
        <f t="shared" ca="1" si="317"/>
        <v>1000000</v>
      </c>
      <c r="BI322" s="123">
        <f t="shared" ca="1" si="318"/>
        <v>0</v>
      </c>
      <c r="BJ322" s="123">
        <f t="shared" ca="1" si="319"/>
        <v>0</v>
      </c>
      <c r="BK322" s="123">
        <f t="shared" ca="1" si="276"/>
        <v>1000000</v>
      </c>
      <c r="BL322" s="123">
        <f t="shared" ca="1" si="320"/>
        <v>187729.53331277904</v>
      </c>
      <c r="BM322" s="121"/>
      <c r="BN322" s="126">
        <f ca="1">IF(LiabIntType2="Fixed",LiabFxdRate2,OFFSET(Vectors!$D$6,Vectors!A322,MATCH(LiabLoanIndex2,lstInterestRates,0))+LiabMarg2)</f>
        <v>0.04</v>
      </c>
      <c r="BO322" s="122">
        <f t="shared" ca="1" si="321"/>
        <v>22727.379632677163</v>
      </c>
      <c r="BP322" s="124">
        <f t="shared" ca="1" si="322"/>
        <v>22727.379632677163</v>
      </c>
      <c r="BQ322" s="123">
        <f t="shared" ca="1" si="323"/>
        <v>0</v>
      </c>
      <c r="BR322" s="123">
        <f t="shared" ca="1" si="324"/>
        <v>165002.15368010188</v>
      </c>
      <c r="BS322" s="121"/>
      <c r="BT322" s="123">
        <f t="shared" ca="1" si="290"/>
        <v>15654.276706703724</v>
      </c>
      <c r="BU322" s="123">
        <f t="shared" ca="1" si="325"/>
        <v>15654.276706703724</v>
      </c>
      <c r="BV322" s="123">
        <f t="shared" ca="1" si="326"/>
        <v>0</v>
      </c>
      <c r="BW322" s="123">
        <f t="shared" ca="1" si="327"/>
        <v>149347.87697339815</v>
      </c>
      <c r="BX322" s="121"/>
      <c r="BY322" s="123">
        <f t="shared" si="328"/>
        <v>0</v>
      </c>
      <c r="BZ322" s="123">
        <f t="shared" ca="1" si="329"/>
        <v>149347.87697339815</v>
      </c>
      <c r="CA322" s="121"/>
      <c r="CB322" s="122">
        <f t="shared" ca="1" si="277"/>
        <v>0</v>
      </c>
      <c r="CC322" s="122">
        <f t="shared" ca="1" si="330"/>
        <v>0</v>
      </c>
      <c r="CD322" s="124">
        <f t="shared" ca="1" si="331"/>
        <v>0</v>
      </c>
      <c r="CE322" s="121"/>
      <c r="CF322" s="122">
        <f t="shared" ca="1" si="278"/>
        <v>6802559.6130964458</v>
      </c>
      <c r="CG322" s="124">
        <f t="shared" ca="1" si="332"/>
        <v>22727.379632677163</v>
      </c>
      <c r="CH322" s="123">
        <f t="shared" ca="1" si="333"/>
        <v>15654.276706703724</v>
      </c>
      <c r="CI322" s="121"/>
      <c r="CJ322" s="123">
        <f t="shared" ca="1" si="334"/>
        <v>198225.46324380612</v>
      </c>
      <c r="CK322" s="123">
        <f t="shared" ca="1" si="335"/>
        <v>198225.46324380612</v>
      </c>
      <c r="CL322" s="123">
        <f t="shared" ca="1" si="336"/>
        <v>0</v>
      </c>
      <c r="CM322" s="121"/>
      <c r="CN322" s="62">
        <f t="shared" ca="1" si="337"/>
        <v>152681.27855418422</v>
      </c>
      <c r="CO322" s="62" t="b">
        <f t="shared" si="338"/>
        <v>1</v>
      </c>
      <c r="CP322" s="126">
        <f t="shared" ca="1" si="339"/>
        <v>8.7777777777777403E-3</v>
      </c>
      <c r="CQ322" s="120"/>
      <c r="CR322" s="120"/>
      <c r="CS322" s="120"/>
      <c r="CT322" s="120"/>
      <c r="CU322" s="120"/>
      <c r="CV322" s="120"/>
      <c r="CW322" s="120"/>
      <c r="CX322" s="120"/>
      <c r="CY322" s="120"/>
      <c r="CZ322" s="120"/>
      <c r="DA322" s="120"/>
      <c r="DB322" s="120"/>
      <c r="DC322" s="120"/>
      <c r="DD322" s="120"/>
      <c r="DE322" s="116"/>
      <c r="DF322" s="116"/>
      <c r="DG322" s="116"/>
      <c r="DH322" s="116"/>
      <c r="DI322" s="116"/>
      <c r="DJ322" s="116"/>
      <c r="DK322" s="116"/>
      <c r="DL322" s="116"/>
      <c r="DM322" s="116"/>
      <c r="DN322" s="116"/>
    </row>
    <row r="323" spans="1:118" x14ac:dyDescent="0.2">
      <c r="A323" s="27">
        <v>317</v>
      </c>
      <c r="B323" s="29">
        <f t="shared" si="272"/>
        <v>48761</v>
      </c>
      <c r="C323" s="30">
        <f t="shared" si="273"/>
        <v>8.3333333333333329E-2</v>
      </c>
      <c r="D323" s="55"/>
      <c r="E323" s="62">
        <f t="shared" ca="1" si="291"/>
        <v>30059679.277533654</v>
      </c>
      <c r="F323" s="63">
        <f ca="1">IF(AssetIntType1="Fixed",AssetFxdRate1,IF(A323=1,OFFSET(Vectors!$D$6,A323,MATCH(AssetFltIndx1,lstInterestRates,0)),IF(MOD($A323,AssetRateReset1)=0,MAX(MIN(OFFSET(Vectors!$D$6,A323,MATCH(AssetFltIndx1,lstInterestRates,0)),(F322-AssetMarg1)+AssetPdCapFl1,AssetLifeCap1-AssetMarg1),(F322-AssetMarg1)-AssetPdCapFl1,AssetLifeFloor1-AssetMarg1),F322)))+AssetMarg1</f>
        <v>0.09</v>
      </c>
      <c r="G323" s="62">
        <f t="shared" ca="1" si="279"/>
        <v>804622.61694478267</v>
      </c>
      <c r="H323" s="62">
        <f t="shared" ca="1" si="292"/>
        <v>225447.5945815024</v>
      </c>
      <c r="I323" s="62">
        <f t="shared" ca="1" si="293"/>
        <v>579175.0223632803</v>
      </c>
      <c r="J323" s="62">
        <f t="shared" ca="1" si="274"/>
        <v>29480504.255170375</v>
      </c>
      <c r="K323" s="55"/>
      <c r="L323" s="62">
        <f t="shared" ca="1" si="294"/>
        <v>6144876.6800620696</v>
      </c>
      <c r="M323" s="68">
        <f ca="1">IF(pdrLossTime1="",OFFSET(Vectors!$AE$6,A323+_Age1,MATCH(SDA_Loss,lstSDA,0)),OFFSET(Vectors!$X$6,A323+_Age1,MATCH(pdrLossTime1,lstDefaultCurve,0)))</f>
        <v>2.7777777777777779E-5</v>
      </c>
      <c r="N323" s="62">
        <f t="shared" ca="1" si="280"/>
        <v>2777.7777777777778</v>
      </c>
      <c r="O323" s="67">
        <f t="shared" ca="1" si="295"/>
        <v>0.29480504255170376</v>
      </c>
      <c r="P323" s="68">
        <f ca="1">OFFSET(Vectors!$L$6,A323+_Age1,MATCH(pdrPrepay1,lstPrepayCurve,0))*pdrPrepayStress1</f>
        <v>5.1430128318229462E-3</v>
      </c>
      <c r="Q323" s="62">
        <f t="shared" ca="1" si="296"/>
        <v>30994.265192604325</v>
      </c>
      <c r="R323" s="62">
        <f t="shared" ca="1" si="297"/>
        <v>118342.92163412046</v>
      </c>
      <c r="S323" s="69">
        <f t="shared" ca="1" si="298"/>
        <v>0.09</v>
      </c>
      <c r="T323" s="62">
        <f t="shared" ca="1" si="299"/>
        <v>46065.741767132182</v>
      </c>
      <c r="U323" s="62">
        <f t="shared" ca="1" si="281"/>
        <v>1111.1111111111111</v>
      </c>
      <c r="V323" s="62">
        <f t="shared" ca="1" si="275"/>
        <v>5992761.7154575661</v>
      </c>
      <c r="W323" s="55"/>
      <c r="X323" s="62">
        <f t="shared" ca="1" si="300"/>
        <v>196514.03970496811</v>
      </c>
      <c r="Y323" s="55"/>
      <c r="Z323" s="118" t="b">
        <v>0</v>
      </c>
      <c r="AA323" s="120" t="b">
        <f t="shared" si="282"/>
        <v>0</v>
      </c>
      <c r="AB323" s="120" t="b">
        <f t="shared" si="283"/>
        <v>1</v>
      </c>
      <c r="AC323" s="120" t="b">
        <f t="shared" ca="1" si="284"/>
        <v>0</v>
      </c>
      <c r="AD323" s="121"/>
      <c r="AE323" s="129">
        <v>0</v>
      </c>
      <c r="AF323" s="69">
        <f ca="1">IF(Swap_Active="No",0,OFFSET(Vectors!$D$6,Vectors!A323,MATCH(Swap_In,lstInterestRates,0)))</f>
        <v>6.9369000000000056E-2</v>
      </c>
      <c r="AG323" s="62">
        <f t="shared" ca="1" si="301"/>
        <v>0</v>
      </c>
      <c r="AH323" s="69">
        <f ca="1">IF(Swap_Active="No",0,OFFSET(Vectors!$D$6,Vectors!A323,MATCH(Swap_Out,lstInterestRates,0)))</f>
        <v>0.04</v>
      </c>
      <c r="AI323" s="62">
        <f t="shared" ca="1" si="302"/>
        <v>0</v>
      </c>
      <c r="AJ323" s="62">
        <f t="shared" ca="1" si="303"/>
        <v>0</v>
      </c>
      <c r="AK323" s="62">
        <f t="shared" ca="1" si="304"/>
        <v>196514.03970496811</v>
      </c>
      <c r="AL323" s="121"/>
      <c r="AM323" s="123">
        <f t="shared" ca="1" si="285"/>
        <v>10241.461133436782</v>
      </c>
      <c r="AN323" s="124">
        <f t="shared" ca="1" si="305"/>
        <v>10241.461133436782</v>
      </c>
      <c r="AO323" s="125">
        <f t="shared" ca="1" si="306"/>
        <v>0</v>
      </c>
      <c r="AP323" s="123">
        <f t="shared" ca="1" si="307"/>
        <v>186272.57857153131</v>
      </c>
      <c r="AQ323" s="121"/>
      <c r="AR323" s="126">
        <f ca="1">IF(LiabIntType1="Fixed",LiabFxdRate1,OFFSET(Vectors!$D$6,Vectors!A323,MATCH(LiabLoanIndex1,lstInterestRates,0))+LiabMarg1)</f>
        <v>7.9369000000000051E-2</v>
      </c>
      <c r="AS323" s="122">
        <f t="shared" ca="1" si="308"/>
        <v>0</v>
      </c>
      <c r="AT323" s="124">
        <f t="shared" ca="1" si="309"/>
        <v>0</v>
      </c>
      <c r="AU323" s="123">
        <f t="shared" ca="1" si="310"/>
        <v>0</v>
      </c>
      <c r="AV323" s="123">
        <f t="shared" ca="1" si="286"/>
        <v>0</v>
      </c>
      <c r="AW323" s="123">
        <f t="shared" ca="1" si="311"/>
        <v>0</v>
      </c>
      <c r="AX323" s="124">
        <f t="shared" ca="1" si="312"/>
        <v>186272.57857153131</v>
      </c>
      <c r="AY323" s="121"/>
      <c r="AZ323" s="122">
        <f t="shared" ca="1" si="287"/>
        <v>0</v>
      </c>
      <c r="BA323" s="124">
        <f t="shared" ca="1" si="313"/>
        <v>0</v>
      </c>
      <c r="BB323" s="123">
        <f t="shared" ca="1" si="314"/>
        <v>0</v>
      </c>
      <c r="BC323" s="123">
        <f t="shared" ca="1" si="288"/>
        <v>0</v>
      </c>
      <c r="BD323" s="123">
        <f t="shared" ca="1" si="315"/>
        <v>0</v>
      </c>
      <c r="BE323" s="124">
        <f t="shared" ca="1" si="316"/>
        <v>186272.57857153131</v>
      </c>
      <c r="BF323" s="121"/>
      <c r="BG323" s="123">
        <f t="shared" si="289"/>
        <v>1000000</v>
      </c>
      <c r="BH323" s="123">
        <f t="shared" ca="1" si="317"/>
        <v>1000000</v>
      </c>
      <c r="BI323" s="123">
        <f t="shared" ca="1" si="318"/>
        <v>0</v>
      </c>
      <c r="BJ323" s="123">
        <f t="shared" ca="1" si="319"/>
        <v>0</v>
      </c>
      <c r="BK323" s="123">
        <f t="shared" ca="1" si="276"/>
        <v>1000000</v>
      </c>
      <c r="BL323" s="123">
        <f t="shared" ca="1" si="320"/>
        <v>186272.57857153131</v>
      </c>
      <c r="BM323" s="121"/>
      <c r="BN323" s="126">
        <f ca="1">IF(LiabIntType2="Fixed",LiabFxdRate2,OFFSET(Vectors!$D$6,Vectors!A323,MATCH(LiabLoanIndex2,lstInterestRates,0))+LiabMarg2)</f>
        <v>0.04</v>
      </c>
      <c r="BO323" s="122">
        <f t="shared" ca="1" si="321"/>
        <v>22675.198710321485</v>
      </c>
      <c r="BP323" s="124">
        <f t="shared" ca="1" si="322"/>
        <v>22675.198710321485</v>
      </c>
      <c r="BQ323" s="123">
        <f t="shared" ca="1" si="323"/>
        <v>0</v>
      </c>
      <c r="BR323" s="123">
        <f t="shared" ca="1" si="324"/>
        <v>163597.37986120983</v>
      </c>
      <c r="BS323" s="121"/>
      <c r="BT323" s="123">
        <f t="shared" ca="1" si="290"/>
        <v>15596.213037371555</v>
      </c>
      <c r="BU323" s="123">
        <f t="shared" ca="1" si="325"/>
        <v>15596.213037371555</v>
      </c>
      <c r="BV323" s="123">
        <f t="shared" ca="1" si="326"/>
        <v>0</v>
      </c>
      <c r="BW323" s="123">
        <f t="shared" ca="1" si="327"/>
        <v>148001.16682383828</v>
      </c>
      <c r="BX323" s="121"/>
      <c r="BY323" s="123">
        <f t="shared" si="328"/>
        <v>0</v>
      </c>
      <c r="BZ323" s="123">
        <f t="shared" ca="1" si="329"/>
        <v>148001.16682383828</v>
      </c>
      <c r="CA323" s="121"/>
      <c r="CB323" s="122">
        <f t="shared" ca="1" si="277"/>
        <v>0</v>
      </c>
      <c r="CC323" s="122">
        <f t="shared" ca="1" si="330"/>
        <v>0</v>
      </c>
      <c r="CD323" s="124">
        <f t="shared" ca="1" si="331"/>
        <v>0</v>
      </c>
      <c r="CE323" s="121"/>
      <c r="CF323" s="122">
        <f t="shared" ca="1" si="278"/>
        <v>6786963.4000590742</v>
      </c>
      <c r="CG323" s="124">
        <f t="shared" ca="1" si="332"/>
        <v>22675.198710321485</v>
      </c>
      <c r="CH323" s="123">
        <f t="shared" ca="1" si="333"/>
        <v>15596.213037371555</v>
      </c>
      <c r="CI323" s="121"/>
      <c r="CJ323" s="123">
        <f t="shared" ca="1" si="334"/>
        <v>196514.03970496811</v>
      </c>
      <c r="CK323" s="123">
        <f t="shared" ca="1" si="335"/>
        <v>196514.03970496811</v>
      </c>
      <c r="CL323" s="123">
        <f t="shared" ca="1" si="336"/>
        <v>0</v>
      </c>
      <c r="CM323" s="121"/>
      <c r="CN323" s="62">
        <f t="shared" ca="1" si="337"/>
        <v>152114.96460450257</v>
      </c>
      <c r="CO323" s="62" t="b">
        <f t="shared" si="338"/>
        <v>1</v>
      </c>
      <c r="CP323" s="126">
        <f t="shared" ca="1" si="339"/>
        <v>8.8055555555555179E-3</v>
      </c>
      <c r="CQ323" s="120"/>
      <c r="CR323" s="120"/>
      <c r="CS323" s="120"/>
      <c r="CT323" s="120"/>
      <c r="CU323" s="120"/>
      <c r="CV323" s="120"/>
      <c r="CW323" s="120"/>
      <c r="CX323" s="120"/>
      <c r="CY323" s="120"/>
      <c r="CZ323" s="120"/>
      <c r="DA323" s="120"/>
      <c r="DB323" s="120"/>
      <c r="DC323" s="120"/>
      <c r="DD323" s="120"/>
      <c r="DE323" s="116"/>
      <c r="DF323" s="116"/>
      <c r="DG323" s="116"/>
      <c r="DH323" s="116"/>
      <c r="DI323" s="116"/>
      <c r="DJ323" s="116"/>
      <c r="DK323" s="116"/>
      <c r="DL323" s="116"/>
      <c r="DM323" s="116"/>
      <c r="DN323" s="116"/>
    </row>
    <row r="324" spans="1:118" x14ac:dyDescent="0.2">
      <c r="A324" s="27">
        <v>318</v>
      </c>
      <c r="B324" s="29">
        <f t="shared" si="272"/>
        <v>48792</v>
      </c>
      <c r="C324" s="30">
        <f t="shared" si="273"/>
        <v>8.3333333333333329E-2</v>
      </c>
      <c r="D324" s="55"/>
      <c r="E324" s="62">
        <f t="shared" ca="1" si="291"/>
        <v>29480504.255170375</v>
      </c>
      <c r="F324" s="63">
        <f ca="1">IF(AssetIntType1="Fixed",AssetFxdRate1,IF(A324=1,OFFSET(Vectors!$D$6,A324,MATCH(AssetFltIndx1,lstInterestRates,0)),IF(MOD($A324,AssetRateReset1)=0,MAX(MIN(OFFSET(Vectors!$D$6,A324,MATCH(AssetFltIndx1,lstInterestRates,0)),(F323-AssetMarg1)+AssetPdCapFl1,AssetLifeCap1-AssetMarg1),(F323-AssetMarg1)-AssetPdCapFl1,AssetLifeFloor1-AssetMarg1),F323)))+AssetMarg1</f>
        <v>0.09</v>
      </c>
      <c r="G324" s="62">
        <f t="shared" ca="1" si="279"/>
        <v>804622.61694478267</v>
      </c>
      <c r="H324" s="62">
        <f t="shared" ca="1" si="292"/>
        <v>221103.78191377781</v>
      </c>
      <c r="I324" s="62">
        <f t="shared" ca="1" si="293"/>
        <v>583518.83503100486</v>
      </c>
      <c r="J324" s="62">
        <f t="shared" ca="1" si="274"/>
        <v>28896985.420139369</v>
      </c>
      <c r="K324" s="55"/>
      <c r="L324" s="62">
        <f t="shared" ca="1" si="294"/>
        <v>5992761.7154575661</v>
      </c>
      <c r="M324" s="68">
        <f ca="1">IF(pdrLossTime1="",OFFSET(Vectors!$AE$6,A324+_Age1,MATCH(SDA_Loss,lstSDA,0)),OFFSET(Vectors!$X$6,A324+_Age1,MATCH(pdrLossTime1,lstDefaultCurve,0)))</f>
        <v>2.7777777777777779E-5</v>
      </c>
      <c r="N324" s="62">
        <f t="shared" ca="1" si="280"/>
        <v>2777.7777777777778</v>
      </c>
      <c r="O324" s="67">
        <f t="shared" ca="1" si="295"/>
        <v>0.28896985420139371</v>
      </c>
      <c r="P324" s="68">
        <f ca="1">OFFSET(Vectors!$L$6,A324+_Age1,MATCH(pdrPrepay1,lstPrepayCurve,0))*pdrPrepayStress1</f>
        <v>5.1430128318229462E-3</v>
      </c>
      <c r="Q324" s="62">
        <f t="shared" ca="1" si="296"/>
        <v>30210.801584502715</v>
      </c>
      <c r="R324" s="62">
        <f t="shared" ca="1" si="297"/>
        <v>118562.03065306586</v>
      </c>
      <c r="S324" s="69">
        <f t="shared" ca="1" si="298"/>
        <v>0.09</v>
      </c>
      <c r="T324" s="62">
        <f t="shared" ca="1" si="299"/>
        <v>44924.87953259841</v>
      </c>
      <c r="U324" s="62">
        <f t="shared" ca="1" si="281"/>
        <v>1111.1111111111111</v>
      </c>
      <c r="V324" s="62">
        <f t="shared" ca="1" si="275"/>
        <v>5841211.1054422194</v>
      </c>
      <c r="W324" s="55"/>
      <c r="X324" s="62">
        <f t="shared" ca="1" si="300"/>
        <v>194808.82288127812</v>
      </c>
      <c r="Y324" s="55"/>
      <c r="Z324" s="118" t="b">
        <v>0</v>
      </c>
      <c r="AA324" s="120" t="b">
        <f t="shared" si="282"/>
        <v>0</v>
      </c>
      <c r="AB324" s="120" t="b">
        <f t="shared" si="283"/>
        <v>1</v>
      </c>
      <c r="AC324" s="120" t="b">
        <f t="shared" ca="1" si="284"/>
        <v>0</v>
      </c>
      <c r="AD324" s="121"/>
      <c r="AE324" s="129">
        <v>0</v>
      </c>
      <c r="AF324" s="69">
        <f ca="1">IF(Swap_Active="No",0,OFFSET(Vectors!$D$6,Vectors!A324,MATCH(Swap_In,lstInterestRates,0)))</f>
        <v>6.9369000000000056E-2</v>
      </c>
      <c r="AG324" s="62">
        <f t="shared" ca="1" si="301"/>
        <v>0</v>
      </c>
      <c r="AH324" s="69">
        <f ca="1">IF(Swap_Active="No",0,OFFSET(Vectors!$D$6,Vectors!A324,MATCH(Swap_Out,lstInterestRates,0)))</f>
        <v>0.04</v>
      </c>
      <c r="AI324" s="62">
        <f t="shared" ca="1" si="302"/>
        <v>0</v>
      </c>
      <c r="AJ324" s="62">
        <f t="shared" ca="1" si="303"/>
        <v>0</v>
      </c>
      <c r="AK324" s="62">
        <f t="shared" ca="1" si="304"/>
        <v>194808.82288127812</v>
      </c>
      <c r="AL324" s="121"/>
      <c r="AM324" s="123">
        <f t="shared" ca="1" si="285"/>
        <v>9987.9361924292753</v>
      </c>
      <c r="AN324" s="124">
        <f t="shared" ca="1" si="305"/>
        <v>9987.9361924292753</v>
      </c>
      <c r="AO324" s="125">
        <f t="shared" ca="1" si="306"/>
        <v>0</v>
      </c>
      <c r="AP324" s="123">
        <f t="shared" ca="1" si="307"/>
        <v>184820.88668884884</v>
      </c>
      <c r="AQ324" s="121"/>
      <c r="AR324" s="126">
        <f ca="1">IF(LiabIntType1="Fixed",LiabFxdRate1,OFFSET(Vectors!$D$6,Vectors!A324,MATCH(LiabLoanIndex1,lstInterestRates,0))+LiabMarg1)</f>
        <v>7.9369000000000051E-2</v>
      </c>
      <c r="AS324" s="122">
        <f t="shared" ca="1" si="308"/>
        <v>0</v>
      </c>
      <c r="AT324" s="124">
        <f t="shared" ca="1" si="309"/>
        <v>0</v>
      </c>
      <c r="AU324" s="123">
        <f t="shared" ca="1" si="310"/>
        <v>0</v>
      </c>
      <c r="AV324" s="123">
        <f t="shared" ca="1" si="286"/>
        <v>0</v>
      </c>
      <c r="AW324" s="123">
        <f t="shared" ca="1" si="311"/>
        <v>0</v>
      </c>
      <c r="AX324" s="124">
        <f t="shared" ca="1" si="312"/>
        <v>184820.88668884884</v>
      </c>
      <c r="AY324" s="121"/>
      <c r="AZ324" s="122">
        <f t="shared" ca="1" si="287"/>
        <v>0</v>
      </c>
      <c r="BA324" s="124">
        <f t="shared" ca="1" si="313"/>
        <v>0</v>
      </c>
      <c r="BB324" s="123">
        <f t="shared" ca="1" si="314"/>
        <v>0</v>
      </c>
      <c r="BC324" s="123">
        <f t="shared" ca="1" si="288"/>
        <v>0</v>
      </c>
      <c r="BD324" s="123">
        <f t="shared" ca="1" si="315"/>
        <v>0</v>
      </c>
      <c r="BE324" s="124">
        <f t="shared" ca="1" si="316"/>
        <v>184820.88668884884</v>
      </c>
      <c r="BF324" s="121"/>
      <c r="BG324" s="123">
        <f t="shared" si="289"/>
        <v>1000000</v>
      </c>
      <c r="BH324" s="123">
        <f t="shared" ca="1" si="317"/>
        <v>1000000</v>
      </c>
      <c r="BI324" s="123">
        <f t="shared" ca="1" si="318"/>
        <v>0</v>
      </c>
      <c r="BJ324" s="123">
        <f t="shared" ca="1" si="319"/>
        <v>0</v>
      </c>
      <c r="BK324" s="123">
        <f t="shared" ca="1" si="276"/>
        <v>1000000</v>
      </c>
      <c r="BL324" s="123">
        <f t="shared" ca="1" si="320"/>
        <v>184820.88668884884</v>
      </c>
      <c r="BM324" s="121"/>
      <c r="BN324" s="126">
        <f ca="1">IF(LiabIntType2="Fixed",LiabFxdRate2,OFFSET(Vectors!$D$6,Vectors!A324,MATCH(LiabLoanIndex2,lstInterestRates,0))+LiabMarg2)</f>
        <v>0.04</v>
      </c>
      <c r="BO324" s="122">
        <f t="shared" ca="1" si="321"/>
        <v>22623.211333530246</v>
      </c>
      <c r="BP324" s="124">
        <f t="shared" ca="1" si="322"/>
        <v>22623.211333530246</v>
      </c>
      <c r="BQ324" s="123">
        <f t="shared" ca="1" si="323"/>
        <v>0</v>
      </c>
      <c r="BR324" s="123">
        <f t="shared" ca="1" si="324"/>
        <v>162197.67535531858</v>
      </c>
      <c r="BS324" s="121"/>
      <c r="BT324" s="123">
        <f t="shared" ca="1" si="290"/>
        <v>15538.350259544382</v>
      </c>
      <c r="BU324" s="123">
        <f t="shared" ca="1" si="325"/>
        <v>15538.350259544382</v>
      </c>
      <c r="BV324" s="123">
        <f t="shared" ca="1" si="326"/>
        <v>0</v>
      </c>
      <c r="BW324" s="123">
        <f t="shared" ca="1" si="327"/>
        <v>146659.3250957742</v>
      </c>
      <c r="BX324" s="121"/>
      <c r="BY324" s="123">
        <f t="shared" si="328"/>
        <v>0</v>
      </c>
      <c r="BZ324" s="123">
        <f t="shared" ca="1" si="329"/>
        <v>146659.3250957742</v>
      </c>
      <c r="CA324" s="121"/>
      <c r="CB324" s="122">
        <f t="shared" ca="1" si="277"/>
        <v>0</v>
      </c>
      <c r="CC324" s="122">
        <f t="shared" ca="1" si="330"/>
        <v>0</v>
      </c>
      <c r="CD324" s="124">
        <f t="shared" ca="1" si="331"/>
        <v>0</v>
      </c>
      <c r="CE324" s="121"/>
      <c r="CF324" s="122">
        <f t="shared" ca="1" si="278"/>
        <v>6771425.0497995298</v>
      </c>
      <c r="CG324" s="124">
        <f t="shared" ca="1" si="332"/>
        <v>22623.211333530246</v>
      </c>
      <c r="CH324" s="123">
        <f t="shared" ca="1" si="333"/>
        <v>15538.350259544382</v>
      </c>
      <c r="CI324" s="121"/>
      <c r="CJ324" s="123">
        <f t="shared" ca="1" si="334"/>
        <v>194808.82288127812</v>
      </c>
      <c r="CK324" s="123">
        <f t="shared" ca="1" si="335"/>
        <v>194808.82288127812</v>
      </c>
      <c r="CL324" s="123">
        <f t="shared" ca="1" si="336"/>
        <v>0</v>
      </c>
      <c r="CM324" s="121"/>
      <c r="CN324" s="62">
        <f t="shared" ca="1" si="337"/>
        <v>151550.61001534635</v>
      </c>
      <c r="CO324" s="62" t="b">
        <f t="shared" si="338"/>
        <v>1</v>
      </c>
      <c r="CP324" s="126">
        <f t="shared" ca="1" si="339"/>
        <v>8.8333333333332955E-3</v>
      </c>
      <c r="CQ324" s="120"/>
      <c r="CR324" s="120"/>
      <c r="CS324" s="120"/>
      <c r="CT324" s="120"/>
      <c r="CU324" s="120"/>
      <c r="CV324" s="120"/>
      <c r="CW324" s="120"/>
      <c r="CX324" s="120"/>
      <c r="CY324" s="120"/>
      <c r="CZ324" s="120"/>
      <c r="DA324" s="120"/>
      <c r="DB324" s="120"/>
      <c r="DC324" s="120"/>
      <c r="DD324" s="120"/>
      <c r="DE324" s="116"/>
      <c r="DF324" s="116"/>
      <c r="DG324" s="116"/>
      <c r="DH324" s="116"/>
      <c r="DI324" s="116"/>
      <c r="DJ324" s="116"/>
      <c r="DK324" s="116"/>
      <c r="DL324" s="116"/>
      <c r="DM324" s="116"/>
      <c r="DN324" s="116"/>
    </row>
    <row r="325" spans="1:118" x14ac:dyDescent="0.2">
      <c r="A325" s="27">
        <v>319</v>
      </c>
      <c r="B325" s="29">
        <f t="shared" si="272"/>
        <v>48823</v>
      </c>
      <c r="C325" s="30">
        <f t="shared" si="273"/>
        <v>8.3333333333333329E-2</v>
      </c>
      <c r="D325" s="55"/>
      <c r="E325" s="62">
        <f t="shared" ca="1" si="291"/>
        <v>28896985.420139369</v>
      </c>
      <c r="F325" s="63">
        <f ca="1">IF(AssetIntType1="Fixed",AssetFxdRate1,IF(A325=1,OFFSET(Vectors!$D$6,A325,MATCH(AssetFltIndx1,lstInterestRates,0)),IF(MOD($A325,AssetRateReset1)=0,MAX(MIN(OFFSET(Vectors!$D$6,A325,MATCH(AssetFltIndx1,lstInterestRates,0)),(F324-AssetMarg1)+AssetPdCapFl1,AssetLifeCap1-AssetMarg1),(F324-AssetMarg1)-AssetPdCapFl1,AssetLifeFloor1-AssetMarg1),F324)))+AssetMarg1</f>
        <v>0.09</v>
      </c>
      <c r="G325" s="62">
        <f t="shared" ca="1" si="279"/>
        <v>804622.61694478267</v>
      </c>
      <c r="H325" s="62">
        <f t="shared" ca="1" si="292"/>
        <v>216727.39065104525</v>
      </c>
      <c r="I325" s="62">
        <f t="shared" ca="1" si="293"/>
        <v>587895.22629373742</v>
      </c>
      <c r="J325" s="62">
        <f t="shared" ca="1" si="274"/>
        <v>28309090.19384563</v>
      </c>
      <c r="K325" s="55"/>
      <c r="L325" s="62">
        <f t="shared" ca="1" si="294"/>
        <v>5841211.1054422194</v>
      </c>
      <c r="M325" s="68">
        <f ca="1">IF(pdrLossTime1="",OFFSET(Vectors!$AE$6,A325+_Age1,MATCH(SDA_Loss,lstSDA,0)),OFFSET(Vectors!$X$6,A325+_Age1,MATCH(pdrLossTime1,lstDefaultCurve,0)))</f>
        <v>2.7777777777777779E-5</v>
      </c>
      <c r="N325" s="62">
        <f t="shared" ca="1" si="280"/>
        <v>2777.7777777777778</v>
      </c>
      <c r="O325" s="67">
        <f t="shared" ca="1" si="295"/>
        <v>0.28309090193845632</v>
      </c>
      <c r="P325" s="68">
        <f ca="1">OFFSET(Vectors!$L$6,A325+_Age1,MATCH(pdrPrepay1,lstPrepayCurve,0))*pdrPrepayStress1</f>
        <v>5.1430128318229462E-3</v>
      </c>
      <c r="Q325" s="62">
        <f t="shared" ca="1" si="296"/>
        <v>29430.245398378891</v>
      </c>
      <c r="R325" s="62">
        <f t="shared" ca="1" si="297"/>
        <v>118780.10915200957</v>
      </c>
      <c r="S325" s="69">
        <f t="shared" ca="1" si="298"/>
        <v>0.09</v>
      </c>
      <c r="T325" s="62">
        <f t="shared" ca="1" si="299"/>
        <v>43788.249957483305</v>
      </c>
      <c r="U325" s="62">
        <f t="shared" ca="1" si="281"/>
        <v>1111.1111111111111</v>
      </c>
      <c r="V325" s="62">
        <f t="shared" ca="1" si="275"/>
        <v>5690222.9731140528</v>
      </c>
      <c r="W325" s="55"/>
      <c r="X325" s="62">
        <f t="shared" ca="1" si="300"/>
        <v>193109.71561898291</v>
      </c>
      <c r="Y325" s="55"/>
      <c r="Z325" s="118" t="b">
        <v>0</v>
      </c>
      <c r="AA325" s="120" t="b">
        <f t="shared" si="282"/>
        <v>0</v>
      </c>
      <c r="AB325" s="120" t="b">
        <f t="shared" si="283"/>
        <v>1</v>
      </c>
      <c r="AC325" s="120" t="b">
        <f t="shared" ca="1" si="284"/>
        <v>0</v>
      </c>
      <c r="AD325" s="121"/>
      <c r="AE325" s="129">
        <v>0</v>
      </c>
      <c r="AF325" s="69">
        <f ca="1">IF(Swap_Active="No",0,OFFSET(Vectors!$D$6,Vectors!A325,MATCH(Swap_In,lstInterestRates,0)))</f>
        <v>6.9369000000000056E-2</v>
      </c>
      <c r="AG325" s="62">
        <f t="shared" ca="1" si="301"/>
        <v>0</v>
      </c>
      <c r="AH325" s="69">
        <f ca="1">IF(Swap_Active="No",0,OFFSET(Vectors!$D$6,Vectors!A325,MATCH(Swap_Out,lstInterestRates,0)))</f>
        <v>0.04</v>
      </c>
      <c r="AI325" s="62">
        <f t="shared" ca="1" si="302"/>
        <v>0</v>
      </c>
      <c r="AJ325" s="62">
        <f t="shared" ca="1" si="303"/>
        <v>0</v>
      </c>
      <c r="AK325" s="62">
        <f t="shared" ca="1" si="304"/>
        <v>193109.71561898291</v>
      </c>
      <c r="AL325" s="121"/>
      <c r="AM325" s="123">
        <f t="shared" ca="1" si="285"/>
        <v>9735.3518424036993</v>
      </c>
      <c r="AN325" s="124">
        <f t="shared" ca="1" si="305"/>
        <v>9735.3518424036993</v>
      </c>
      <c r="AO325" s="125">
        <f t="shared" ca="1" si="306"/>
        <v>0</v>
      </c>
      <c r="AP325" s="123">
        <f t="shared" ca="1" si="307"/>
        <v>183374.36377657921</v>
      </c>
      <c r="AQ325" s="121"/>
      <c r="AR325" s="126">
        <f ca="1">IF(LiabIntType1="Fixed",LiabFxdRate1,OFFSET(Vectors!$D$6,Vectors!A325,MATCH(LiabLoanIndex1,lstInterestRates,0))+LiabMarg1)</f>
        <v>7.9369000000000051E-2</v>
      </c>
      <c r="AS325" s="122">
        <f t="shared" ca="1" si="308"/>
        <v>0</v>
      </c>
      <c r="AT325" s="124">
        <f t="shared" ca="1" si="309"/>
        <v>0</v>
      </c>
      <c r="AU325" s="123">
        <f t="shared" ca="1" si="310"/>
        <v>0</v>
      </c>
      <c r="AV325" s="123">
        <f t="shared" ca="1" si="286"/>
        <v>0</v>
      </c>
      <c r="AW325" s="123">
        <f t="shared" ca="1" si="311"/>
        <v>0</v>
      </c>
      <c r="AX325" s="124">
        <f t="shared" ca="1" si="312"/>
        <v>183374.36377657921</v>
      </c>
      <c r="AY325" s="121"/>
      <c r="AZ325" s="122">
        <f t="shared" ca="1" si="287"/>
        <v>0</v>
      </c>
      <c r="BA325" s="124">
        <f t="shared" ca="1" si="313"/>
        <v>0</v>
      </c>
      <c r="BB325" s="123">
        <f t="shared" ca="1" si="314"/>
        <v>0</v>
      </c>
      <c r="BC325" s="123">
        <f t="shared" ca="1" si="288"/>
        <v>0</v>
      </c>
      <c r="BD325" s="123">
        <f t="shared" ca="1" si="315"/>
        <v>0</v>
      </c>
      <c r="BE325" s="124">
        <f t="shared" ca="1" si="316"/>
        <v>183374.36377657921</v>
      </c>
      <c r="BF325" s="121"/>
      <c r="BG325" s="123">
        <f t="shared" si="289"/>
        <v>1000000</v>
      </c>
      <c r="BH325" s="123">
        <f t="shared" ca="1" si="317"/>
        <v>1000000</v>
      </c>
      <c r="BI325" s="123">
        <f t="shared" ca="1" si="318"/>
        <v>0</v>
      </c>
      <c r="BJ325" s="123">
        <f t="shared" ca="1" si="319"/>
        <v>0</v>
      </c>
      <c r="BK325" s="123">
        <f t="shared" ca="1" si="276"/>
        <v>1000000</v>
      </c>
      <c r="BL325" s="123">
        <f t="shared" ca="1" si="320"/>
        <v>183374.36377657921</v>
      </c>
      <c r="BM325" s="121"/>
      <c r="BN325" s="126">
        <f ca="1">IF(LiabIntType2="Fixed",LiabFxdRate2,OFFSET(Vectors!$D$6,Vectors!A325,MATCH(LiabLoanIndex2,lstInterestRates,0))+LiabMarg2)</f>
        <v>0.04</v>
      </c>
      <c r="BO325" s="122">
        <f t="shared" ca="1" si="321"/>
        <v>22571.416832665098</v>
      </c>
      <c r="BP325" s="124">
        <f t="shared" ca="1" si="322"/>
        <v>22571.416832665098</v>
      </c>
      <c r="BQ325" s="123">
        <f t="shared" ca="1" si="323"/>
        <v>0</v>
      </c>
      <c r="BR325" s="123">
        <f t="shared" ca="1" si="324"/>
        <v>160802.94694391411</v>
      </c>
      <c r="BS325" s="121"/>
      <c r="BT325" s="123">
        <f t="shared" ca="1" si="290"/>
        <v>15480.679918819933</v>
      </c>
      <c r="BU325" s="123">
        <f t="shared" ca="1" si="325"/>
        <v>15480.679918819933</v>
      </c>
      <c r="BV325" s="123">
        <f t="shared" ca="1" si="326"/>
        <v>0</v>
      </c>
      <c r="BW325" s="123">
        <f t="shared" ca="1" si="327"/>
        <v>145322.26702509419</v>
      </c>
      <c r="BX325" s="121"/>
      <c r="BY325" s="123">
        <f t="shared" si="328"/>
        <v>0</v>
      </c>
      <c r="BZ325" s="123">
        <f t="shared" ca="1" si="329"/>
        <v>145322.26702509419</v>
      </c>
      <c r="CA325" s="121"/>
      <c r="CB325" s="122">
        <f t="shared" ca="1" si="277"/>
        <v>0</v>
      </c>
      <c r="CC325" s="122">
        <f t="shared" ca="1" si="330"/>
        <v>0</v>
      </c>
      <c r="CD325" s="124">
        <f t="shared" ca="1" si="331"/>
        <v>0</v>
      </c>
      <c r="CE325" s="121"/>
      <c r="CF325" s="122">
        <f t="shared" ca="1" si="278"/>
        <v>6755944.3698807098</v>
      </c>
      <c r="CG325" s="124">
        <f t="shared" ca="1" si="332"/>
        <v>22571.416832665098</v>
      </c>
      <c r="CH325" s="123">
        <f t="shared" ca="1" si="333"/>
        <v>15480.679918819933</v>
      </c>
      <c r="CI325" s="121"/>
      <c r="CJ325" s="123">
        <f t="shared" ca="1" si="334"/>
        <v>193109.71561898291</v>
      </c>
      <c r="CK325" s="123">
        <f t="shared" ca="1" si="335"/>
        <v>193109.71561898291</v>
      </c>
      <c r="CL325" s="123">
        <f t="shared" ca="1" si="336"/>
        <v>0</v>
      </c>
      <c r="CM325" s="121"/>
      <c r="CN325" s="62">
        <f t="shared" ca="1" si="337"/>
        <v>150988.13232816622</v>
      </c>
      <c r="CO325" s="62" t="b">
        <f t="shared" si="338"/>
        <v>1</v>
      </c>
      <c r="CP325" s="126">
        <f t="shared" ca="1" si="339"/>
        <v>8.8611111111110731E-3</v>
      </c>
      <c r="CQ325" s="120"/>
      <c r="CR325" s="120"/>
      <c r="CS325" s="120"/>
      <c r="CT325" s="120"/>
      <c r="CU325" s="120"/>
      <c r="CV325" s="120"/>
      <c r="CW325" s="120"/>
      <c r="CX325" s="120"/>
      <c r="CY325" s="120"/>
      <c r="CZ325" s="120"/>
      <c r="DA325" s="120"/>
      <c r="DB325" s="120"/>
      <c r="DC325" s="120"/>
      <c r="DD325" s="120"/>
      <c r="DE325" s="116"/>
      <c r="DF325" s="116"/>
      <c r="DG325" s="116"/>
      <c r="DH325" s="116"/>
      <c r="DI325" s="116"/>
      <c r="DJ325" s="116"/>
      <c r="DK325" s="116"/>
      <c r="DL325" s="116"/>
      <c r="DM325" s="116"/>
      <c r="DN325" s="116"/>
    </row>
    <row r="326" spans="1:118" x14ac:dyDescent="0.2">
      <c r="A326" s="27">
        <v>320</v>
      </c>
      <c r="B326" s="29">
        <f t="shared" ref="B326:B366" si="340">IF(A326=0,ClosingDate,IF(A326=1,FirstPayDate,EDATE(B325,PmtFreqAdd)))</f>
        <v>48853</v>
      </c>
      <c r="C326" s="30">
        <f t="shared" ref="C326:C366" si="341">IF(A326=0,0,IF(DayCountSys="30 / 360",DAYS360(B325,B326)/360,IF(DayCountSys="Actual / 360",(B326-B325)/360,(B326-B325)/365)))</f>
        <v>8.3333333333333329E-2</v>
      </c>
      <c r="D326" s="55"/>
      <c r="E326" s="62">
        <f t="shared" ca="1" si="291"/>
        <v>28309090.19384563</v>
      </c>
      <c r="F326" s="63">
        <f ca="1">IF(AssetIntType1="Fixed",AssetFxdRate1,IF(A326=1,OFFSET(Vectors!$D$6,A326,MATCH(AssetFltIndx1,lstInterestRates,0)),IF(MOD($A326,AssetRateReset1)=0,MAX(MIN(OFFSET(Vectors!$D$6,A326,MATCH(AssetFltIndx1,lstInterestRates,0)),(F325-AssetMarg1)+AssetPdCapFl1,AssetLifeCap1-AssetMarg1),(F325-AssetMarg1)-AssetPdCapFl1,AssetLifeFloor1-AssetMarg1),F325)))+AssetMarg1</f>
        <v>0.09</v>
      </c>
      <c r="G326" s="62">
        <f t="shared" ca="1" si="279"/>
        <v>804622.61694478267</v>
      </c>
      <c r="H326" s="62">
        <f t="shared" ca="1" si="292"/>
        <v>212318.17645384223</v>
      </c>
      <c r="I326" s="62">
        <f t="shared" ca="1" si="293"/>
        <v>592304.44049094047</v>
      </c>
      <c r="J326" s="62">
        <f t="shared" ref="J326:J366" ca="1" si="342">IF(A326=0,AssetCurBal1,E326-I326)</f>
        <v>27716785.753354691</v>
      </c>
      <c r="K326" s="55"/>
      <c r="L326" s="62">
        <f t="shared" ca="1" si="294"/>
        <v>5690222.9731140528</v>
      </c>
      <c r="M326" s="68">
        <f ca="1">IF(pdrLossTime1="",OFFSET(Vectors!$AE$6,A326+_Age1,MATCH(SDA_Loss,lstSDA,0)),OFFSET(Vectors!$X$6,A326+_Age1,MATCH(pdrLossTime1,lstDefaultCurve,0)))</f>
        <v>2.7777777777777779E-5</v>
      </c>
      <c r="N326" s="62">
        <f t="shared" ca="1" si="280"/>
        <v>2777.7777777777778</v>
      </c>
      <c r="O326" s="67">
        <f t="shared" ca="1" si="295"/>
        <v>0.27716785753354689</v>
      </c>
      <c r="P326" s="68">
        <f ca="1">OFFSET(Vectors!$L$6,A326+_Age1,MATCH(pdrPrepay1,lstPrepayCurve,0))*pdrPrepayStress1</f>
        <v>5.1430128318229462E-3</v>
      </c>
      <c r="Q326" s="62">
        <f t="shared" ca="1" si="296"/>
        <v>28652.587356352986</v>
      </c>
      <c r="R326" s="62">
        <f t="shared" ca="1" si="297"/>
        <v>118997.07907175706</v>
      </c>
      <c r="S326" s="69">
        <f t="shared" ca="1" si="298"/>
        <v>0.09</v>
      </c>
      <c r="T326" s="62">
        <f t="shared" ca="1" si="299"/>
        <v>42655.838965022056</v>
      </c>
      <c r="U326" s="62">
        <f t="shared" ca="1" si="281"/>
        <v>1111.1111111111111</v>
      </c>
      <c r="V326" s="62">
        <f t="shared" ref="V326:V366" ca="1" si="343">IF(A326=0,AssetCurBal1,L326-N326-Q326-R326)</f>
        <v>5539795.5289081642</v>
      </c>
      <c r="W326" s="55"/>
      <c r="X326" s="62">
        <f t="shared" ca="1" si="300"/>
        <v>191416.61650424323</v>
      </c>
      <c r="Y326" s="55"/>
      <c r="Z326" s="118" t="b">
        <v>0</v>
      </c>
      <c r="AA326" s="120" t="b">
        <f t="shared" si="282"/>
        <v>0</v>
      </c>
      <c r="AB326" s="120" t="b">
        <f t="shared" si="283"/>
        <v>1</v>
      </c>
      <c r="AC326" s="120" t="b">
        <f t="shared" ca="1" si="284"/>
        <v>0</v>
      </c>
      <c r="AD326" s="121"/>
      <c r="AE326" s="129">
        <v>0</v>
      </c>
      <c r="AF326" s="69">
        <f ca="1">IF(Swap_Active="No",0,OFFSET(Vectors!$D$6,Vectors!A326,MATCH(Swap_In,lstInterestRates,0)))</f>
        <v>6.9369000000000056E-2</v>
      </c>
      <c r="AG326" s="62">
        <f t="shared" ca="1" si="301"/>
        <v>0</v>
      </c>
      <c r="AH326" s="69">
        <f ca="1">IF(Swap_Active="No",0,OFFSET(Vectors!$D$6,Vectors!A326,MATCH(Swap_Out,lstInterestRates,0)))</f>
        <v>0.04</v>
      </c>
      <c r="AI326" s="62">
        <f t="shared" ca="1" si="302"/>
        <v>0</v>
      </c>
      <c r="AJ326" s="62">
        <f t="shared" ca="1" si="303"/>
        <v>0</v>
      </c>
      <c r="AK326" s="62">
        <f t="shared" ca="1" si="304"/>
        <v>191416.61650424323</v>
      </c>
      <c r="AL326" s="121"/>
      <c r="AM326" s="123">
        <f t="shared" ca="1" si="285"/>
        <v>9483.7049551900873</v>
      </c>
      <c r="AN326" s="124">
        <f t="shared" ca="1" si="305"/>
        <v>9483.7049551900873</v>
      </c>
      <c r="AO326" s="125">
        <f t="shared" ca="1" si="306"/>
        <v>0</v>
      </c>
      <c r="AP326" s="123">
        <f t="shared" ca="1" si="307"/>
        <v>181932.91154905313</v>
      </c>
      <c r="AQ326" s="121"/>
      <c r="AR326" s="126">
        <f ca="1">IF(LiabIntType1="Fixed",LiabFxdRate1,OFFSET(Vectors!$D$6,Vectors!A326,MATCH(LiabLoanIndex1,lstInterestRates,0))+LiabMarg1)</f>
        <v>7.9369000000000051E-2</v>
      </c>
      <c r="AS326" s="122">
        <f t="shared" ca="1" si="308"/>
        <v>0</v>
      </c>
      <c r="AT326" s="124">
        <f t="shared" ca="1" si="309"/>
        <v>0</v>
      </c>
      <c r="AU326" s="123">
        <f t="shared" ca="1" si="310"/>
        <v>0</v>
      </c>
      <c r="AV326" s="123">
        <f t="shared" ca="1" si="286"/>
        <v>0</v>
      </c>
      <c r="AW326" s="123">
        <f t="shared" ca="1" si="311"/>
        <v>0</v>
      </c>
      <c r="AX326" s="124">
        <f t="shared" ca="1" si="312"/>
        <v>181932.91154905313</v>
      </c>
      <c r="AY326" s="121"/>
      <c r="AZ326" s="122">
        <f t="shared" ca="1" si="287"/>
        <v>0</v>
      </c>
      <c r="BA326" s="124">
        <f t="shared" ca="1" si="313"/>
        <v>0</v>
      </c>
      <c r="BB326" s="123">
        <f t="shared" ca="1" si="314"/>
        <v>0</v>
      </c>
      <c r="BC326" s="123">
        <f t="shared" ca="1" si="288"/>
        <v>0</v>
      </c>
      <c r="BD326" s="123">
        <f t="shared" ca="1" si="315"/>
        <v>0</v>
      </c>
      <c r="BE326" s="124">
        <f t="shared" ca="1" si="316"/>
        <v>181932.91154905313</v>
      </c>
      <c r="BF326" s="121"/>
      <c r="BG326" s="123">
        <f t="shared" si="289"/>
        <v>1000000</v>
      </c>
      <c r="BH326" s="123">
        <f t="shared" ca="1" si="317"/>
        <v>1000000</v>
      </c>
      <c r="BI326" s="123">
        <f t="shared" ca="1" si="318"/>
        <v>0</v>
      </c>
      <c r="BJ326" s="123">
        <f t="shared" ca="1" si="319"/>
        <v>0</v>
      </c>
      <c r="BK326" s="123">
        <f t="shared" ref="BK326:BK366" ca="1" si="344">IF(A326=0,AssetCurBal1*RsrvPercent,BH326-BI326+BJ326)</f>
        <v>1000000</v>
      </c>
      <c r="BL326" s="123">
        <f t="shared" ca="1" si="320"/>
        <v>181932.91154905313</v>
      </c>
      <c r="BM326" s="121"/>
      <c r="BN326" s="126">
        <f ca="1">IF(LiabIntType2="Fixed",LiabFxdRate2,OFFSET(Vectors!$D$6,Vectors!A326,MATCH(LiabLoanIndex2,lstInterestRates,0))+LiabMarg2)</f>
        <v>0.04</v>
      </c>
      <c r="BO326" s="122">
        <f t="shared" ca="1" si="321"/>
        <v>22519.814566269029</v>
      </c>
      <c r="BP326" s="124">
        <f t="shared" ca="1" si="322"/>
        <v>22519.814566269029</v>
      </c>
      <c r="BQ326" s="123">
        <f t="shared" ca="1" si="323"/>
        <v>0</v>
      </c>
      <c r="BR326" s="123">
        <f t="shared" ca="1" si="324"/>
        <v>159413.0969827841</v>
      </c>
      <c r="BS326" s="121"/>
      <c r="BT326" s="123">
        <f t="shared" ca="1" si="290"/>
        <v>15423.19306060507</v>
      </c>
      <c r="BU326" s="123">
        <f t="shared" ca="1" si="325"/>
        <v>15423.19306060507</v>
      </c>
      <c r="BV326" s="123">
        <f t="shared" ca="1" si="326"/>
        <v>0</v>
      </c>
      <c r="BW326" s="123">
        <f t="shared" ca="1" si="327"/>
        <v>143989.90392217904</v>
      </c>
      <c r="BX326" s="121"/>
      <c r="BY326" s="123">
        <f t="shared" si="328"/>
        <v>0</v>
      </c>
      <c r="BZ326" s="123">
        <f t="shared" ca="1" si="329"/>
        <v>143989.90392217904</v>
      </c>
      <c r="CA326" s="121"/>
      <c r="CB326" s="122">
        <f t="shared" ref="CB326:CB366" ca="1" si="345">IF(A326=0,V326*LiabAdvRate1,CB325-CD326)</f>
        <v>0</v>
      </c>
      <c r="CC326" s="122">
        <f t="shared" ca="1" si="330"/>
        <v>0</v>
      </c>
      <c r="CD326" s="124">
        <f t="shared" ca="1" si="331"/>
        <v>0</v>
      </c>
      <c r="CE326" s="121"/>
      <c r="CF326" s="122">
        <f t="shared" ref="CF326:CF366" ca="1" si="346">IF(A326=0,V326*LiabAdvRate2,CF325-CH326)</f>
        <v>6740521.1768201049</v>
      </c>
      <c r="CG326" s="124">
        <f t="shared" ca="1" si="332"/>
        <v>22519.814566269029</v>
      </c>
      <c r="CH326" s="123">
        <f t="shared" ca="1" si="333"/>
        <v>15423.19306060507</v>
      </c>
      <c r="CI326" s="121"/>
      <c r="CJ326" s="123">
        <f t="shared" ca="1" si="334"/>
        <v>191416.61650424323</v>
      </c>
      <c r="CK326" s="123">
        <f t="shared" ca="1" si="335"/>
        <v>191416.61650424323</v>
      </c>
      <c r="CL326" s="123">
        <f t="shared" ca="1" si="336"/>
        <v>0</v>
      </c>
      <c r="CM326" s="121"/>
      <c r="CN326" s="62">
        <f t="shared" ca="1" si="337"/>
        <v>150427.44420588782</v>
      </c>
      <c r="CO326" s="62" t="b">
        <f t="shared" si="338"/>
        <v>1</v>
      </c>
      <c r="CP326" s="126">
        <f t="shared" ca="1" si="339"/>
        <v>8.8888888888888507E-3</v>
      </c>
      <c r="CQ326" s="120"/>
      <c r="CR326" s="120"/>
      <c r="CS326" s="120"/>
      <c r="CT326" s="120"/>
      <c r="CU326" s="120"/>
      <c r="CV326" s="120"/>
      <c r="CW326" s="120"/>
      <c r="CX326" s="120"/>
      <c r="CY326" s="120"/>
      <c r="CZ326" s="120"/>
      <c r="DA326" s="120"/>
      <c r="DB326" s="120"/>
      <c r="DC326" s="120"/>
      <c r="DD326" s="120"/>
      <c r="DE326" s="116"/>
      <c r="DF326" s="116"/>
      <c r="DG326" s="116"/>
      <c r="DH326" s="116"/>
      <c r="DI326" s="116"/>
      <c r="DJ326" s="116"/>
      <c r="DK326" s="116"/>
      <c r="DL326" s="116"/>
      <c r="DM326" s="116"/>
      <c r="DN326" s="116"/>
    </row>
    <row r="327" spans="1:118" x14ac:dyDescent="0.2">
      <c r="A327" s="27">
        <v>321</v>
      </c>
      <c r="B327" s="29">
        <f t="shared" si="340"/>
        <v>48884</v>
      </c>
      <c r="C327" s="30">
        <f t="shared" si="341"/>
        <v>8.3333333333333329E-2</v>
      </c>
      <c r="D327" s="55"/>
      <c r="E327" s="62">
        <f t="shared" ca="1" si="291"/>
        <v>27716785.753354691</v>
      </c>
      <c r="F327" s="63">
        <f ca="1">IF(AssetIntType1="Fixed",AssetFxdRate1,IF(A327=1,OFFSET(Vectors!$D$6,A327,MATCH(AssetFltIndx1,lstInterestRates,0)),IF(MOD($A327,AssetRateReset1)=0,MAX(MIN(OFFSET(Vectors!$D$6,A327,MATCH(AssetFltIndx1,lstInterestRates,0)),(F326-AssetMarg1)+AssetPdCapFl1,AssetLifeCap1-AssetMarg1),(F326-AssetMarg1)-AssetPdCapFl1,AssetLifeFloor1-AssetMarg1),F326)))+AssetMarg1</f>
        <v>0.09</v>
      </c>
      <c r="G327" s="62">
        <f t="shared" ref="G327:G366" ca="1" si="347">IF(J326&lt;=G326,H327+E327,-PMT(F327*C327,OrgTerm1,AssetOrgBal1))</f>
        <v>804622.61694478267</v>
      </c>
      <c r="H327" s="62">
        <f t="shared" ca="1" si="292"/>
        <v>207875.89315016018</v>
      </c>
      <c r="I327" s="62">
        <f t="shared" ca="1" si="293"/>
        <v>596746.72379462246</v>
      </c>
      <c r="J327" s="62">
        <f t="shared" ca="1" si="342"/>
        <v>27120039.029560067</v>
      </c>
      <c r="K327" s="55"/>
      <c r="L327" s="62">
        <f t="shared" ca="1" si="294"/>
        <v>5539795.5289081642</v>
      </c>
      <c r="M327" s="68">
        <f ca="1">IF(pdrLossTime1="",OFFSET(Vectors!$AE$6,A327+_Age1,MATCH(SDA_Loss,lstSDA,0)),OFFSET(Vectors!$X$6,A327+_Age1,MATCH(pdrLossTime1,lstDefaultCurve,0)))</f>
        <v>2.7777777777777779E-5</v>
      </c>
      <c r="N327" s="62">
        <f t="shared" ref="N327:N366" ca="1" si="348">MIN(L327,IF(pdrLossTime1="",L327*M327,$L$7*M327))</f>
        <v>2777.7777777777778</v>
      </c>
      <c r="O327" s="67">
        <f t="shared" ca="1" si="295"/>
        <v>0.27120039029560067</v>
      </c>
      <c r="P327" s="68">
        <f ca="1">OFFSET(Vectors!$L$6,A327+_Age1,MATCH(pdrPrepay1,lstPrepayCurve,0))*pdrPrepayStress1</f>
        <v>5.1430128318229462E-3</v>
      </c>
      <c r="Q327" s="62">
        <f t="shared" ca="1" si="296"/>
        <v>27877.818657196778</v>
      </c>
      <c r="R327" s="62">
        <f t="shared" ca="1" si="297"/>
        <v>119212.85649725111</v>
      </c>
      <c r="S327" s="69">
        <f t="shared" ca="1" si="298"/>
        <v>0.09</v>
      </c>
      <c r="T327" s="62">
        <f t="shared" ca="1" si="299"/>
        <v>41527.633133477895</v>
      </c>
      <c r="U327" s="62">
        <f t="shared" ref="U327:U366" ca="1" si="349">IF(A327&lt;=pdrRecovLag1,0,OFFSET(N327,-pdrRecovLag1,0)*pdrRecovRate1)</f>
        <v>1111.1111111111111</v>
      </c>
      <c r="V327" s="62">
        <f t="shared" ca="1" si="343"/>
        <v>5389927.0759759378</v>
      </c>
      <c r="W327" s="55"/>
      <c r="X327" s="62">
        <f t="shared" ca="1" si="300"/>
        <v>189729.41939903691</v>
      </c>
      <c r="Y327" s="55"/>
      <c r="Z327" s="118" t="b">
        <v>0</v>
      </c>
      <c r="AA327" s="120" t="b">
        <f t="shared" ref="AA327:AA366" si="350">IF(GlobalTrigger="Yes",TRUE,FALSE)</f>
        <v>0</v>
      </c>
      <c r="AB327" s="120" t="b">
        <f t="shared" ref="AB327:AB366" si="351">IF(AND(A327&gt;=PostDefTriggerMo,PostDefTriggerMo&lt;&gt;0),TRUE,FALSE)</f>
        <v>1</v>
      </c>
      <c r="AC327" s="120" t="b">
        <f t="shared" ref="AC327:AC366" ca="1" si="352">IF(CP327&gt;Trigger_Def,TRUE,FALSE)</f>
        <v>0</v>
      </c>
      <c r="AD327" s="121"/>
      <c r="AE327" s="129">
        <v>0</v>
      </c>
      <c r="AF327" s="69">
        <f ca="1">IF(Swap_Active="No",0,OFFSET(Vectors!$D$6,Vectors!A327,MATCH(Swap_In,lstInterestRates,0)))</f>
        <v>6.9369000000000056E-2</v>
      </c>
      <c r="AG327" s="62">
        <f t="shared" ca="1" si="301"/>
        <v>0</v>
      </c>
      <c r="AH327" s="69">
        <f ca="1">IF(Swap_Active="No",0,OFFSET(Vectors!$D$6,Vectors!A327,MATCH(Swap_Out,lstInterestRates,0)))</f>
        <v>0.04</v>
      </c>
      <c r="AI327" s="62">
        <f t="shared" ca="1" si="302"/>
        <v>0</v>
      </c>
      <c r="AJ327" s="62">
        <f t="shared" ca="1" si="303"/>
        <v>0</v>
      </c>
      <c r="AK327" s="62">
        <f t="shared" ca="1" si="304"/>
        <v>189729.41939903691</v>
      </c>
      <c r="AL327" s="121"/>
      <c r="AM327" s="123">
        <f t="shared" ref="AM327:AM366" ca="1" si="353">(C327*AssetFee*L327)+(C327*LiabFees1*CB326)+(C327*LiabFees2*CF326)</f>
        <v>9232.9925481802729</v>
      </c>
      <c r="AN327" s="124">
        <f t="shared" ca="1" si="305"/>
        <v>9232.9925481802729</v>
      </c>
      <c r="AO327" s="125">
        <f t="shared" ca="1" si="306"/>
        <v>0</v>
      </c>
      <c r="AP327" s="123">
        <f t="shared" ca="1" si="307"/>
        <v>180496.42685085663</v>
      </c>
      <c r="AQ327" s="121"/>
      <c r="AR327" s="126">
        <f ca="1">IF(LiabIntType1="Fixed",LiabFxdRate1,OFFSET(Vectors!$D$6,Vectors!A327,MATCH(LiabLoanIndex1,lstInterestRates,0))+LiabMarg1)</f>
        <v>7.9369000000000051E-2</v>
      </c>
      <c r="AS327" s="122">
        <f t="shared" ca="1" si="308"/>
        <v>0</v>
      </c>
      <c r="AT327" s="124">
        <f t="shared" ca="1" si="309"/>
        <v>0</v>
      </c>
      <c r="AU327" s="123">
        <f t="shared" ca="1" si="310"/>
        <v>0</v>
      </c>
      <c r="AV327" s="123">
        <f t="shared" ref="AV327:AV366" ca="1" si="354">IF(LiabReserveOnOff1="No",0,MIN(AU327,BH327))</f>
        <v>0</v>
      </c>
      <c r="AW327" s="123">
        <f t="shared" ca="1" si="311"/>
        <v>0</v>
      </c>
      <c r="AX327" s="124">
        <f t="shared" ca="1" si="312"/>
        <v>180496.42685085663</v>
      </c>
      <c r="AY327" s="121"/>
      <c r="AZ327" s="122">
        <f t="shared" ref="AZ327:AZ366" ca="1" si="355">IF(OR(Z327, AB327,AC327),MIN(AX327,AX327+BH327-AV327,CB326),IF(LiabPrinType1="Sequential",MIN((N327+Q327+R327),CB326),MIN((N327+Q327+R327)*LiabAdvRate1,CB326)))</f>
        <v>0</v>
      </c>
      <c r="BA327" s="124">
        <f t="shared" ca="1" si="313"/>
        <v>0</v>
      </c>
      <c r="BB327" s="123">
        <f t="shared" ca="1" si="314"/>
        <v>0</v>
      </c>
      <c r="BC327" s="123">
        <f t="shared" ref="BC327:BC366" ca="1" si="356">IF(LiabReserveOnOff1="No",0,MIN(BB327,BH327-AV327))</f>
        <v>0</v>
      </c>
      <c r="BD327" s="123">
        <f t="shared" ca="1" si="315"/>
        <v>0</v>
      </c>
      <c r="BE327" s="124">
        <f t="shared" ca="1" si="316"/>
        <v>180496.42685085663</v>
      </c>
      <c r="BF327" s="121"/>
      <c r="BG327" s="123">
        <f t="shared" ref="BG327:BG366" si="357">AssetCurBal1*RsrvPercent</f>
        <v>1000000</v>
      </c>
      <c r="BH327" s="123">
        <f t="shared" ca="1" si="317"/>
        <v>1000000</v>
      </c>
      <c r="BI327" s="123">
        <f t="shared" ca="1" si="318"/>
        <v>0</v>
      </c>
      <c r="BJ327" s="123">
        <f t="shared" ca="1" si="319"/>
        <v>0</v>
      </c>
      <c r="BK327" s="123">
        <f t="shared" ca="1" si="344"/>
        <v>1000000</v>
      </c>
      <c r="BL327" s="123">
        <f t="shared" ca="1" si="320"/>
        <v>180496.42685085663</v>
      </c>
      <c r="BM327" s="121"/>
      <c r="BN327" s="126">
        <f ca="1">IF(LiabIntType2="Fixed",LiabFxdRate2,OFFSET(Vectors!$D$6,Vectors!A327,MATCH(LiabLoanIndex2,lstInterestRates,0))+LiabMarg2)</f>
        <v>0.04</v>
      </c>
      <c r="BO327" s="122">
        <f t="shared" ca="1" si="321"/>
        <v>22468.403922733683</v>
      </c>
      <c r="BP327" s="124">
        <f t="shared" ca="1" si="322"/>
        <v>22468.403922733683</v>
      </c>
      <c r="BQ327" s="123">
        <f t="shared" ca="1" si="323"/>
        <v>0</v>
      </c>
      <c r="BR327" s="123">
        <f t="shared" ca="1" si="324"/>
        <v>158028.02292812295</v>
      </c>
      <c r="BS327" s="121"/>
      <c r="BT327" s="123">
        <f t="shared" ref="BT327:BT366" ca="1" si="358">IF(AND(LiabPrinType2="Sequential",CB326&gt;0),0,IF(LiabPrinType2="Sequential",MIN((N327+Q327+R327),CF326),MIN((N327+Q327+R327)*LiabAdvRate2,CF326)))</f>
        <v>15365.880178780893</v>
      </c>
      <c r="BU327" s="123">
        <f t="shared" ca="1" si="325"/>
        <v>15365.880178780893</v>
      </c>
      <c r="BV327" s="123">
        <f t="shared" ca="1" si="326"/>
        <v>0</v>
      </c>
      <c r="BW327" s="123">
        <f t="shared" ca="1" si="327"/>
        <v>142662.14274934205</v>
      </c>
      <c r="BX327" s="121"/>
      <c r="BY327" s="123">
        <f t="shared" si="328"/>
        <v>0</v>
      </c>
      <c r="BZ327" s="123">
        <f t="shared" ca="1" si="329"/>
        <v>142662.14274934205</v>
      </c>
      <c r="CA327" s="121"/>
      <c r="CB327" s="122">
        <f t="shared" ca="1" si="345"/>
        <v>0</v>
      </c>
      <c r="CC327" s="122">
        <f t="shared" ca="1" si="330"/>
        <v>0</v>
      </c>
      <c r="CD327" s="124">
        <f t="shared" ca="1" si="331"/>
        <v>0</v>
      </c>
      <c r="CE327" s="121"/>
      <c r="CF327" s="122">
        <f t="shared" ca="1" si="346"/>
        <v>6725155.2966413237</v>
      </c>
      <c r="CG327" s="124">
        <f t="shared" ca="1" si="332"/>
        <v>22468.403922733683</v>
      </c>
      <c r="CH327" s="123">
        <f t="shared" ca="1" si="333"/>
        <v>15365.880178780893</v>
      </c>
      <c r="CI327" s="121"/>
      <c r="CJ327" s="123">
        <f t="shared" ca="1" si="334"/>
        <v>189729.41939903691</v>
      </c>
      <c r="CK327" s="123">
        <f t="shared" ca="1" si="335"/>
        <v>189729.41939903691</v>
      </c>
      <c r="CL327" s="123">
        <f t="shared" ca="1" si="336"/>
        <v>0</v>
      </c>
      <c r="CM327" s="121"/>
      <c r="CN327" s="62">
        <f t="shared" ca="1" si="337"/>
        <v>149868.45293222566</v>
      </c>
      <c r="CO327" s="62" t="b">
        <f t="shared" si="338"/>
        <v>1</v>
      </c>
      <c r="CP327" s="126">
        <f t="shared" ca="1" si="339"/>
        <v>8.9166666666666283E-3</v>
      </c>
      <c r="CQ327" s="120"/>
      <c r="CR327" s="120"/>
      <c r="CS327" s="120"/>
      <c r="CT327" s="120"/>
      <c r="CU327" s="120"/>
      <c r="CV327" s="120"/>
      <c r="CW327" s="120"/>
      <c r="CX327" s="120"/>
      <c r="CY327" s="120"/>
      <c r="CZ327" s="120"/>
      <c r="DA327" s="120"/>
      <c r="DB327" s="120"/>
      <c r="DC327" s="120"/>
      <c r="DD327" s="120"/>
      <c r="DE327" s="116"/>
      <c r="DF327" s="116"/>
      <c r="DG327" s="116"/>
      <c r="DH327" s="116"/>
      <c r="DI327" s="116"/>
      <c r="DJ327" s="116"/>
      <c r="DK327" s="116"/>
      <c r="DL327" s="116"/>
      <c r="DM327" s="116"/>
      <c r="DN327" s="116"/>
    </row>
    <row r="328" spans="1:118" x14ac:dyDescent="0.2">
      <c r="A328" s="27">
        <v>322</v>
      </c>
      <c r="B328" s="29">
        <f t="shared" si="340"/>
        <v>48914</v>
      </c>
      <c r="C328" s="30">
        <f t="shared" si="341"/>
        <v>8.3333333333333329E-2</v>
      </c>
      <c r="D328" s="55"/>
      <c r="E328" s="62">
        <f t="shared" ref="E328:E366" ca="1" si="359">J327</f>
        <v>27120039.029560067</v>
      </c>
      <c r="F328" s="63">
        <f ca="1">IF(AssetIntType1="Fixed",AssetFxdRate1,IF(A328=1,OFFSET(Vectors!$D$6,A328,MATCH(AssetFltIndx1,lstInterestRates,0)),IF(MOD($A328,AssetRateReset1)=0,MAX(MIN(OFFSET(Vectors!$D$6,A328,MATCH(AssetFltIndx1,lstInterestRates,0)),(F327-AssetMarg1)+AssetPdCapFl1,AssetLifeCap1-AssetMarg1),(F327-AssetMarg1)-AssetPdCapFl1,AssetLifeFloor1-AssetMarg1),F327)))+AssetMarg1</f>
        <v>0.09</v>
      </c>
      <c r="G328" s="62">
        <f t="shared" ca="1" si="347"/>
        <v>804622.61694478267</v>
      </c>
      <c r="H328" s="62">
        <f t="shared" ref="H328:H366" ca="1" si="360">F328*C328*E328</f>
        <v>203400.29272170051</v>
      </c>
      <c r="I328" s="62">
        <f t="shared" ref="I328:I366" ca="1" si="361">G328-H328</f>
        <v>601222.32422308216</v>
      </c>
      <c r="J328" s="62">
        <f t="shared" ca="1" si="342"/>
        <v>26518816.705336984</v>
      </c>
      <c r="K328" s="55"/>
      <c r="L328" s="62">
        <f t="shared" ref="L328:L366" ca="1" si="362">V327</f>
        <v>5389927.0759759378</v>
      </c>
      <c r="M328" s="68">
        <f ca="1">IF(pdrLossTime1="",OFFSET(Vectors!$AE$6,A328+_Age1,MATCH(SDA_Loss,lstSDA,0)),OFFSET(Vectors!$X$6,A328+_Age1,MATCH(pdrLossTime1,lstDefaultCurve,0)))</f>
        <v>2.7777777777777779E-5</v>
      </c>
      <c r="N328" s="62">
        <f t="shared" ca="1" si="348"/>
        <v>2777.7777777777778</v>
      </c>
      <c r="O328" s="67">
        <f t="shared" ref="O328:O366" ca="1" si="363">IF(A328=0,1,J328/$J$6)</f>
        <v>0.26518816705336984</v>
      </c>
      <c r="P328" s="68">
        <f ca="1">OFFSET(Vectors!$L$6,A328+_Age1,MATCH(pdrPrepay1,lstPrepayCurve,0))*pdrPrepayStress1</f>
        <v>5.1430128318229462E-3</v>
      </c>
      <c r="Q328" s="62">
        <f t="shared" ref="Q328:Q366" ca="1" si="364">IF(L328=0,0,MAX(MIN((L328-N328),L328*O328/O327*P328),0))</f>
        <v>27105.931006723349</v>
      </c>
      <c r="R328" s="62">
        <f t="shared" ref="R328:R366" ca="1" si="365">(L328-N328)*(1-O328/O327)</f>
        <v>119427.35106203804</v>
      </c>
      <c r="S328" s="69">
        <f t="shared" ref="S328:S366" ca="1" si="366">F328</f>
        <v>0.09</v>
      </c>
      <c r="T328" s="62">
        <f t="shared" ref="T328:T366" ca="1" si="367">S328*C328*(L328-N328)</f>
        <v>40403.619736486195</v>
      </c>
      <c r="U328" s="62">
        <f t="shared" ca="1" si="349"/>
        <v>1111.1111111111111</v>
      </c>
      <c r="V328" s="62">
        <f t="shared" ca="1" si="343"/>
        <v>5240616.0161293987</v>
      </c>
      <c r="W328" s="55"/>
      <c r="X328" s="62">
        <f t="shared" ref="X328:X366" ca="1" si="368">Q328+R328+T328+U328</f>
        <v>188048.01291635871</v>
      </c>
      <c r="Y328" s="55"/>
      <c r="Z328" s="118" t="b">
        <v>0</v>
      </c>
      <c r="AA328" s="120" t="b">
        <f t="shared" si="350"/>
        <v>0</v>
      </c>
      <c r="AB328" s="120" t="b">
        <f t="shared" si="351"/>
        <v>1</v>
      </c>
      <c r="AC328" s="120" t="b">
        <f t="shared" ca="1" si="352"/>
        <v>0</v>
      </c>
      <c r="AD328" s="121"/>
      <c r="AE328" s="129">
        <v>0</v>
      </c>
      <c r="AF328" s="69">
        <f ca="1">IF(Swap_Active="No",0,OFFSET(Vectors!$D$6,Vectors!A328,MATCH(Swap_In,lstInterestRates,0)))</f>
        <v>6.9369000000000056E-2</v>
      </c>
      <c r="AG328" s="62">
        <f t="shared" ref="AG328:AG366" ca="1" si="369">AE328*AF328*C328</f>
        <v>0</v>
      </c>
      <c r="AH328" s="69">
        <f ca="1">IF(Swap_Active="No",0,OFFSET(Vectors!$D$6,Vectors!A328,MATCH(Swap_Out,lstInterestRates,0)))</f>
        <v>0.04</v>
      </c>
      <c r="AI328" s="62">
        <f t="shared" ref="AI328:AI366" ca="1" si="370">AE328*AH328*C328</f>
        <v>0</v>
      </c>
      <c r="AJ328" s="62">
        <f t="shared" ref="AJ328:AJ366" ca="1" si="371">AG328-AI328</f>
        <v>0</v>
      </c>
      <c r="AK328" s="62">
        <f t="shared" ref="AK328:AK366" ca="1" si="372">X328+AJ328</f>
        <v>188048.01291635871</v>
      </c>
      <c r="AL328" s="121"/>
      <c r="AM328" s="123">
        <f t="shared" ca="1" si="353"/>
        <v>8983.2117932932288</v>
      </c>
      <c r="AN328" s="124">
        <f t="shared" ref="AN328:AN366" ca="1" si="373">MIN(X328,AM328)</f>
        <v>8983.2117932932288</v>
      </c>
      <c r="AO328" s="125">
        <f t="shared" ref="AO328:AO366" ca="1" si="374">AM328-AN328</f>
        <v>0</v>
      </c>
      <c r="AP328" s="123">
        <f t="shared" ref="AP328:AP366" ca="1" si="375">AK328-AN328</f>
        <v>179064.8011230655</v>
      </c>
      <c r="AQ328" s="121"/>
      <c r="AR328" s="126">
        <f ca="1">IF(LiabIntType1="Fixed",LiabFxdRate1,OFFSET(Vectors!$D$6,Vectors!A328,MATCH(LiabLoanIndex1,lstInterestRates,0))+LiabMarg1)</f>
        <v>7.9369000000000051E-2</v>
      </c>
      <c r="AS328" s="122">
        <f t="shared" ref="AS328:AS366" ca="1" si="376">C328*AR328*CB327</f>
        <v>0</v>
      </c>
      <c r="AT328" s="124">
        <f t="shared" ref="AT328:AT366" ca="1" si="377">MIN(AP328,AS328)</f>
        <v>0</v>
      </c>
      <c r="AU328" s="123">
        <f t="shared" ref="AU328:AU366" ca="1" si="378">AS328-AT328</f>
        <v>0</v>
      </c>
      <c r="AV328" s="123">
        <f t="shared" ca="1" si="354"/>
        <v>0</v>
      </c>
      <c r="AW328" s="123">
        <f t="shared" ref="AW328:AW366" ca="1" si="379">AU328-AV328</f>
        <v>0</v>
      </c>
      <c r="AX328" s="124">
        <f t="shared" ref="AX328:AX366" ca="1" si="380">AP328-AT328</f>
        <v>179064.8011230655</v>
      </c>
      <c r="AY328" s="121"/>
      <c r="AZ328" s="122">
        <f t="shared" ca="1" si="355"/>
        <v>0</v>
      </c>
      <c r="BA328" s="124">
        <f t="shared" ref="BA328:BA366" ca="1" si="381">MIN(AX328,AZ328)</f>
        <v>0</v>
      </c>
      <c r="BB328" s="123">
        <f t="shared" ref="BB328:BB366" ca="1" si="382">AZ328-BA328</f>
        <v>0</v>
      </c>
      <c r="BC328" s="123">
        <f t="shared" ca="1" si="356"/>
        <v>0</v>
      </c>
      <c r="BD328" s="123">
        <f t="shared" ref="BD328:BD366" ca="1" si="383">BB328-BC328</f>
        <v>0</v>
      </c>
      <c r="BE328" s="124">
        <f t="shared" ref="BE328:BE366" ca="1" si="384">AX328-BA328</f>
        <v>179064.8011230655</v>
      </c>
      <c r="BF328" s="121"/>
      <c r="BG328" s="123">
        <f t="shared" si="357"/>
        <v>1000000</v>
      </c>
      <c r="BH328" s="123">
        <f t="shared" ref="BH328:BH366" ca="1" si="385">BK327</f>
        <v>1000000</v>
      </c>
      <c r="BI328" s="123">
        <f t="shared" ref="BI328:BI366" ca="1" si="386">AV328+BC328</f>
        <v>0</v>
      </c>
      <c r="BJ328" s="123">
        <f t="shared" ref="BJ328:BJ366" ca="1" si="387">IF(CB327&lt;1,0,MAX(MIN(BG328-BH328,BE328),0))</f>
        <v>0</v>
      </c>
      <c r="BK328" s="123">
        <f t="shared" ca="1" si="344"/>
        <v>1000000</v>
      </c>
      <c r="BL328" s="123">
        <f t="shared" ref="BL328:BL366" ca="1" si="388">BE328-BJ328</f>
        <v>179064.8011230655</v>
      </c>
      <c r="BM328" s="121"/>
      <c r="BN328" s="126">
        <f ca="1">IF(LiabIntType2="Fixed",LiabFxdRate2,OFFSET(Vectors!$D$6,Vectors!A328,MATCH(LiabLoanIndex2,lstInterestRates,0))+LiabMarg2)</f>
        <v>0.04</v>
      </c>
      <c r="BO328" s="122">
        <f t="shared" ref="BO328:BO366" ca="1" si="389">C328*BN328*CF327</f>
        <v>22417.184322137746</v>
      </c>
      <c r="BP328" s="124">
        <f t="shared" ref="BP328:BP366" ca="1" si="390">MIN(BL328,BO328)</f>
        <v>22417.184322137746</v>
      </c>
      <c r="BQ328" s="123">
        <f t="shared" ref="BQ328:BQ366" ca="1" si="391">BO328-BP328</f>
        <v>0</v>
      </c>
      <c r="BR328" s="123">
        <f t="shared" ref="BR328:BR366" ca="1" si="392">BL328-BP328</f>
        <v>156647.61680092776</v>
      </c>
      <c r="BS328" s="121"/>
      <c r="BT328" s="123">
        <f t="shared" ca="1" si="358"/>
        <v>15308.731157759019</v>
      </c>
      <c r="BU328" s="123">
        <f t="shared" ref="BU328:BU366" ca="1" si="393">MIN(BR328,BT328)</f>
        <v>15308.731157759019</v>
      </c>
      <c r="BV328" s="123">
        <f t="shared" ref="BV328:BV366" ca="1" si="394">BT328-BU328</f>
        <v>0</v>
      </c>
      <c r="BW328" s="123">
        <f t="shared" ref="BW328:BW366" ca="1" si="395">BR328-BU328</f>
        <v>141338.88564316873</v>
      </c>
      <c r="BX328" s="121"/>
      <c r="BY328" s="123">
        <f t="shared" ref="BY328:BY366" si="396">IF(AA328,MIN(BW328,CB327-BA328),0)</f>
        <v>0</v>
      </c>
      <c r="BZ328" s="123">
        <f t="shared" ref="BZ328:BZ366" ca="1" si="397">BW328-BY328</f>
        <v>141338.88564316873</v>
      </c>
      <c r="CA328" s="121"/>
      <c r="CB328" s="122">
        <f t="shared" ca="1" si="345"/>
        <v>0</v>
      </c>
      <c r="CC328" s="122">
        <f t="shared" ref="CC328:CC366" ca="1" si="398">AT328+AV328</f>
        <v>0</v>
      </c>
      <c r="CD328" s="124">
        <f t="shared" ref="CD328:CD366" ca="1" si="399">BA328+BC328+BY328</f>
        <v>0</v>
      </c>
      <c r="CE328" s="121"/>
      <c r="CF328" s="122">
        <f t="shared" ca="1" si="346"/>
        <v>6709846.5654835645</v>
      </c>
      <c r="CG328" s="124">
        <f t="shared" ref="CG328:CG366" ca="1" si="400">BP328</f>
        <v>22417.184322137746</v>
      </c>
      <c r="CH328" s="123">
        <f t="shared" ref="CH328:CH366" ca="1" si="401">BU328</f>
        <v>15308.731157759019</v>
      </c>
      <c r="CI328" s="121"/>
      <c r="CJ328" s="123">
        <f t="shared" ref="CJ328:CJ366" ca="1" si="402">Q328+R328+T328+U328+AG328+BI328</f>
        <v>188048.01291635871</v>
      </c>
      <c r="CK328" s="123">
        <f t="shared" ref="CK328:CK366" ca="1" si="403">AI328+AN328+AT328+AV328+BA328+BC328+BJ328+BP328+BU328+BY328+BZ328</f>
        <v>188048.01291635871</v>
      </c>
      <c r="CL328" s="123">
        <f t="shared" ref="CL328:CL366" ca="1" si="404">CJ328-CK328</f>
        <v>0</v>
      </c>
      <c r="CM328" s="121"/>
      <c r="CN328" s="62">
        <f t="shared" ref="CN328:CN366" ca="1" si="405">N328+Q328+R328</f>
        <v>149311.05984653917</v>
      </c>
      <c r="CO328" s="62" t="b">
        <f t="shared" ref="CO328:CO366" si="406">OR(Z328:AB328)</f>
        <v>1</v>
      </c>
      <c r="CP328" s="126">
        <f t="shared" ref="CP328:CP366" ca="1" si="407">N328/$L$7+CP327</f>
        <v>8.9444444444444059E-3</v>
      </c>
      <c r="CQ328" s="120"/>
      <c r="CR328" s="120"/>
      <c r="CS328" s="120"/>
      <c r="CT328" s="120"/>
      <c r="CU328" s="120"/>
      <c r="CV328" s="120"/>
      <c r="CW328" s="120"/>
      <c r="CX328" s="120"/>
      <c r="CY328" s="120"/>
      <c r="CZ328" s="120"/>
      <c r="DA328" s="120"/>
      <c r="DB328" s="120"/>
      <c r="DC328" s="120"/>
      <c r="DD328" s="120"/>
      <c r="DE328" s="116"/>
      <c r="DF328" s="116"/>
      <c r="DG328" s="116"/>
      <c r="DH328" s="116"/>
      <c r="DI328" s="116"/>
      <c r="DJ328" s="116"/>
      <c r="DK328" s="116"/>
      <c r="DL328" s="116"/>
      <c r="DM328" s="116"/>
      <c r="DN328" s="116"/>
    </row>
    <row r="329" spans="1:118" x14ac:dyDescent="0.2">
      <c r="A329" s="27">
        <v>323</v>
      </c>
      <c r="B329" s="29">
        <f t="shared" si="340"/>
        <v>48945</v>
      </c>
      <c r="C329" s="30">
        <f t="shared" si="341"/>
        <v>8.3333333333333329E-2</v>
      </c>
      <c r="D329" s="55"/>
      <c r="E329" s="62">
        <f t="shared" ca="1" si="359"/>
        <v>26518816.705336984</v>
      </c>
      <c r="F329" s="63">
        <f ca="1">IF(AssetIntType1="Fixed",AssetFxdRate1,IF(A329=1,OFFSET(Vectors!$D$6,A329,MATCH(AssetFltIndx1,lstInterestRates,0)),IF(MOD($A329,AssetRateReset1)=0,MAX(MIN(OFFSET(Vectors!$D$6,A329,MATCH(AssetFltIndx1,lstInterestRates,0)),(F328-AssetMarg1)+AssetPdCapFl1,AssetLifeCap1-AssetMarg1),(F328-AssetMarg1)-AssetPdCapFl1,AssetLifeFloor1-AssetMarg1),F328)))+AssetMarg1</f>
        <v>0.09</v>
      </c>
      <c r="G329" s="62">
        <f t="shared" ca="1" si="347"/>
        <v>804622.61694478267</v>
      </c>
      <c r="H329" s="62">
        <f t="shared" ca="1" si="360"/>
        <v>198891.12529002738</v>
      </c>
      <c r="I329" s="62">
        <f t="shared" ca="1" si="361"/>
        <v>605731.49165475531</v>
      </c>
      <c r="J329" s="62">
        <f t="shared" ca="1" si="342"/>
        <v>25913085.213682231</v>
      </c>
      <c r="K329" s="55"/>
      <c r="L329" s="62">
        <f t="shared" ca="1" si="362"/>
        <v>5240616.0161293987</v>
      </c>
      <c r="M329" s="68">
        <f ca="1">IF(pdrLossTime1="",OFFSET(Vectors!$AE$6,A329+_Age1,MATCH(SDA_Loss,lstSDA,0)),OFFSET(Vectors!$X$6,A329+_Age1,MATCH(pdrLossTime1,lstDefaultCurve,0)))</f>
        <v>2.7777777777777779E-5</v>
      </c>
      <c r="N329" s="62">
        <f t="shared" ca="1" si="348"/>
        <v>2777.7777777777778</v>
      </c>
      <c r="O329" s="67">
        <f t="shared" ca="1" si="363"/>
        <v>0.2591308521368223</v>
      </c>
      <c r="P329" s="68">
        <f ca="1">OFFSET(Vectors!$L$6,A329+_Age1,MATCH(pdrPrepay1,lstPrepayCurve,0))*pdrPrepayStress1</f>
        <v>5.1430128318229462E-3</v>
      </c>
      <c r="Q329" s="62">
        <f t="shared" ca="1" si="364"/>
        <v>26336.916651430747</v>
      </c>
      <c r="R329" s="62">
        <f t="shared" ca="1" si="365"/>
        <v>119640.46527477694</v>
      </c>
      <c r="S329" s="69">
        <f t="shared" ca="1" si="366"/>
        <v>0.09</v>
      </c>
      <c r="T329" s="62">
        <f t="shared" ca="1" si="367"/>
        <v>39283.786787637153</v>
      </c>
      <c r="U329" s="62">
        <f t="shared" ca="1" si="349"/>
        <v>1111.1111111111111</v>
      </c>
      <c r="V329" s="62">
        <f t="shared" ca="1" si="343"/>
        <v>5091860.8564254129</v>
      </c>
      <c r="W329" s="55"/>
      <c r="X329" s="62">
        <f t="shared" ca="1" si="368"/>
        <v>186372.27982495597</v>
      </c>
      <c r="Y329" s="55"/>
      <c r="Z329" s="118" t="b">
        <v>0</v>
      </c>
      <c r="AA329" s="120" t="b">
        <f t="shared" si="350"/>
        <v>0</v>
      </c>
      <c r="AB329" s="120" t="b">
        <f t="shared" si="351"/>
        <v>1</v>
      </c>
      <c r="AC329" s="120" t="b">
        <f t="shared" ca="1" si="352"/>
        <v>0</v>
      </c>
      <c r="AD329" s="121"/>
      <c r="AE329" s="129">
        <v>0</v>
      </c>
      <c r="AF329" s="69">
        <f ca="1">IF(Swap_Active="No",0,OFFSET(Vectors!$D$6,Vectors!A329,MATCH(Swap_In,lstInterestRates,0)))</f>
        <v>6.9369000000000056E-2</v>
      </c>
      <c r="AG329" s="62">
        <f t="shared" ca="1" si="369"/>
        <v>0</v>
      </c>
      <c r="AH329" s="69">
        <f ca="1">IF(Swap_Active="No",0,OFFSET(Vectors!$D$6,Vectors!A329,MATCH(Swap_Out,lstInterestRates,0)))</f>
        <v>0.04</v>
      </c>
      <c r="AI329" s="62">
        <f t="shared" ca="1" si="370"/>
        <v>0</v>
      </c>
      <c r="AJ329" s="62">
        <f t="shared" ca="1" si="371"/>
        <v>0</v>
      </c>
      <c r="AK329" s="62">
        <f t="shared" ca="1" si="372"/>
        <v>186372.27982495597</v>
      </c>
      <c r="AL329" s="121"/>
      <c r="AM329" s="123">
        <f t="shared" ca="1" si="353"/>
        <v>8734.3600268823302</v>
      </c>
      <c r="AN329" s="124">
        <f t="shared" ca="1" si="373"/>
        <v>8734.3600268823302</v>
      </c>
      <c r="AO329" s="125">
        <f t="shared" ca="1" si="374"/>
        <v>0</v>
      </c>
      <c r="AP329" s="123">
        <f t="shared" ca="1" si="375"/>
        <v>177637.91979807365</v>
      </c>
      <c r="AQ329" s="121"/>
      <c r="AR329" s="126">
        <f ca="1">IF(LiabIntType1="Fixed",LiabFxdRate1,OFFSET(Vectors!$D$6,Vectors!A329,MATCH(LiabLoanIndex1,lstInterestRates,0))+LiabMarg1)</f>
        <v>7.9369000000000051E-2</v>
      </c>
      <c r="AS329" s="122">
        <f t="shared" ca="1" si="376"/>
        <v>0</v>
      </c>
      <c r="AT329" s="124">
        <f t="shared" ca="1" si="377"/>
        <v>0</v>
      </c>
      <c r="AU329" s="123">
        <f t="shared" ca="1" si="378"/>
        <v>0</v>
      </c>
      <c r="AV329" s="123">
        <f t="shared" ca="1" si="354"/>
        <v>0</v>
      </c>
      <c r="AW329" s="123">
        <f t="shared" ca="1" si="379"/>
        <v>0</v>
      </c>
      <c r="AX329" s="124">
        <f t="shared" ca="1" si="380"/>
        <v>177637.91979807365</v>
      </c>
      <c r="AY329" s="121"/>
      <c r="AZ329" s="122">
        <f t="shared" ca="1" si="355"/>
        <v>0</v>
      </c>
      <c r="BA329" s="124">
        <f t="shared" ca="1" si="381"/>
        <v>0</v>
      </c>
      <c r="BB329" s="123">
        <f t="shared" ca="1" si="382"/>
        <v>0</v>
      </c>
      <c r="BC329" s="123">
        <f t="shared" ca="1" si="356"/>
        <v>0</v>
      </c>
      <c r="BD329" s="123">
        <f t="shared" ca="1" si="383"/>
        <v>0</v>
      </c>
      <c r="BE329" s="124">
        <f t="shared" ca="1" si="384"/>
        <v>177637.91979807365</v>
      </c>
      <c r="BF329" s="121"/>
      <c r="BG329" s="123">
        <f t="shared" si="357"/>
        <v>1000000</v>
      </c>
      <c r="BH329" s="123">
        <f t="shared" ca="1" si="385"/>
        <v>1000000</v>
      </c>
      <c r="BI329" s="123">
        <f t="shared" ca="1" si="386"/>
        <v>0</v>
      </c>
      <c r="BJ329" s="123">
        <f t="shared" ca="1" si="387"/>
        <v>0</v>
      </c>
      <c r="BK329" s="123">
        <f t="shared" ca="1" si="344"/>
        <v>1000000</v>
      </c>
      <c r="BL329" s="123">
        <f t="shared" ca="1" si="388"/>
        <v>177637.91979807365</v>
      </c>
      <c r="BM329" s="121"/>
      <c r="BN329" s="126">
        <f ca="1">IF(LiabIntType2="Fixed",LiabFxdRate2,OFFSET(Vectors!$D$6,Vectors!A329,MATCH(LiabLoanIndex2,lstInterestRates,0))+LiabMarg2)</f>
        <v>0.04</v>
      </c>
      <c r="BO329" s="122">
        <f t="shared" ca="1" si="389"/>
        <v>22366.155218278545</v>
      </c>
      <c r="BP329" s="124">
        <f t="shared" ca="1" si="390"/>
        <v>22366.155218278545</v>
      </c>
      <c r="BQ329" s="123">
        <f t="shared" ca="1" si="391"/>
        <v>0</v>
      </c>
      <c r="BR329" s="123">
        <f t="shared" ca="1" si="392"/>
        <v>155271.7645797951</v>
      </c>
      <c r="BS329" s="121"/>
      <c r="BT329" s="123">
        <f t="shared" ca="1" si="358"/>
        <v>15251.735206878615</v>
      </c>
      <c r="BU329" s="123">
        <f t="shared" ca="1" si="393"/>
        <v>15251.735206878615</v>
      </c>
      <c r="BV329" s="123">
        <f t="shared" ca="1" si="394"/>
        <v>0</v>
      </c>
      <c r="BW329" s="123">
        <f t="shared" ca="1" si="395"/>
        <v>140020.02937291647</v>
      </c>
      <c r="BX329" s="121"/>
      <c r="BY329" s="123">
        <f t="shared" si="396"/>
        <v>0</v>
      </c>
      <c r="BZ329" s="123">
        <f t="shared" ca="1" si="397"/>
        <v>140020.02937291647</v>
      </c>
      <c r="CA329" s="121"/>
      <c r="CB329" s="122">
        <f t="shared" ca="1" si="345"/>
        <v>0</v>
      </c>
      <c r="CC329" s="122">
        <f t="shared" ca="1" si="398"/>
        <v>0</v>
      </c>
      <c r="CD329" s="124">
        <f t="shared" ca="1" si="399"/>
        <v>0</v>
      </c>
      <c r="CE329" s="121"/>
      <c r="CF329" s="122">
        <f t="shared" ca="1" si="346"/>
        <v>6694594.8302766858</v>
      </c>
      <c r="CG329" s="124">
        <f t="shared" ca="1" si="400"/>
        <v>22366.155218278545</v>
      </c>
      <c r="CH329" s="123">
        <f t="shared" ca="1" si="401"/>
        <v>15251.735206878615</v>
      </c>
      <c r="CI329" s="121"/>
      <c r="CJ329" s="123">
        <f t="shared" ca="1" si="402"/>
        <v>186372.27982495597</v>
      </c>
      <c r="CK329" s="123">
        <f t="shared" ca="1" si="403"/>
        <v>186372.27982495597</v>
      </c>
      <c r="CL329" s="123">
        <f t="shared" ca="1" si="404"/>
        <v>0</v>
      </c>
      <c r="CM329" s="121"/>
      <c r="CN329" s="62">
        <f t="shared" ca="1" si="405"/>
        <v>148755.15970398547</v>
      </c>
      <c r="CO329" s="62" t="b">
        <f t="shared" si="406"/>
        <v>1</v>
      </c>
      <c r="CP329" s="126">
        <f t="shared" ca="1" si="407"/>
        <v>8.9722222222221835E-3</v>
      </c>
      <c r="CQ329" s="120"/>
      <c r="CR329" s="120"/>
      <c r="CS329" s="120"/>
      <c r="CT329" s="120"/>
      <c r="CU329" s="120"/>
      <c r="CV329" s="120"/>
      <c r="CW329" s="120"/>
      <c r="CX329" s="120"/>
      <c r="CY329" s="120"/>
      <c r="CZ329" s="120"/>
      <c r="DA329" s="120"/>
      <c r="DB329" s="120"/>
      <c r="DC329" s="120"/>
      <c r="DD329" s="120"/>
      <c r="DE329" s="116"/>
      <c r="DF329" s="116"/>
      <c r="DG329" s="116"/>
      <c r="DH329" s="116"/>
      <c r="DI329" s="116"/>
      <c r="DJ329" s="116"/>
      <c r="DK329" s="116"/>
      <c r="DL329" s="116"/>
      <c r="DM329" s="116"/>
      <c r="DN329" s="116"/>
    </row>
    <row r="330" spans="1:118" x14ac:dyDescent="0.2">
      <c r="A330" s="27">
        <v>324</v>
      </c>
      <c r="B330" s="29">
        <f t="shared" si="340"/>
        <v>48976</v>
      </c>
      <c r="C330" s="30">
        <f t="shared" si="341"/>
        <v>8.3333333333333329E-2</v>
      </c>
      <c r="D330" s="55"/>
      <c r="E330" s="62">
        <f t="shared" ca="1" si="359"/>
        <v>25913085.213682231</v>
      </c>
      <c r="F330" s="63">
        <f ca="1">IF(AssetIntType1="Fixed",AssetFxdRate1,IF(A330=1,OFFSET(Vectors!$D$6,A330,MATCH(AssetFltIndx1,lstInterestRates,0)),IF(MOD($A330,AssetRateReset1)=0,MAX(MIN(OFFSET(Vectors!$D$6,A330,MATCH(AssetFltIndx1,lstInterestRates,0)),(F329-AssetMarg1)+AssetPdCapFl1,AssetLifeCap1-AssetMarg1),(F329-AssetMarg1)-AssetPdCapFl1,AssetLifeFloor1-AssetMarg1),F329)))+AssetMarg1</f>
        <v>0.09</v>
      </c>
      <c r="G330" s="62">
        <f t="shared" ca="1" si="347"/>
        <v>804622.61694478267</v>
      </c>
      <c r="H330" s="62">
        <f t="shared" ca="1" si="360"/>
        <v>194348.13910261673</v>
      </c>
      <c r="I330" s="62">
        <f t="shared" ca="1" si="361"/>
        <v>610274.47784216597</v>
      </c>
      <c r="J330" s="62">
        <f t="shared" ca="1" si="342"/>
        <v>25302810.735840064</v>
      </c>
      <c r="K330" s="55"/>
      <c r="L330" s="62">
        <f t="shared" ca="1" si="362"/>
        <v>5091860.8564254129</v>
      </c>
      <c r="M330" s="68">
        <f ca="1">IF(pdrLossTime1="",OFFSET(Vectors!$AE$6,A330+_Age1,MATCH(SDA_Loss,lstSDA,0)),OFFSET(Vectors!$X$6,A330+_Age1,MATCH(pdrLossTime1,lstDefaultCurve,0)))</f>
        <v>2.7777777777777779E-5</v>
      </c>
      <c r="N330" s="62">
        <f t="shared" ca="1" si="348"/>
        <v>2777.7777777777778</v>
      </c>
      <c r="O330" s="67">
        <f t="shared" ca="1" si="363"/>
        <v>0.25302810735840064</v>
      </c>
      <c r="P330" s="68">
        <f ca="1">OFFSET(Vectors!$L$6,A330+_Age1,MATCH(pdrPrepay1,lstPrepayCurve,0))*pdrPrepayStress1</f>
        <v>5.1430128318229462E-3</v>
      </c>
      <c r="Q330" s="62">
        <f t="shared" ca="1" si="364"/>
        <v>25570.768415838367</v>
      </c>
      <c r="R330" s="62">
        <f t="shared" ca="1" si="365"/>
        <v>119852.09375521381</v>
      </c>
      <c r="S330" s="69">
        <f t="shared" ca="1" si="366"/>
        <v>0.09</v>
      </c>
      <c r="T330" s="62">
        <f t="shared" ca="1" si="367"/>
        <v>38168.123089857261</v>
      </c>
      <c r="U330" s="62">
        <f t="shared" ca="1" si="349"/>
        <v>1111.1111111111111</v>
      </c>
      <c r="V330" s="62">
        <f t="shared" ca="1" si="343"/>
        <v>4943660.2164765829</v>
      </c>
      <c r="W330" s="55"/>
      <c r="X330" s="62">
        <f t="shared" ca="1" si="368"/>
        <v>184702.09637202055</v>
      </c>
      <c r="Y330" s="55"/>
      <c r="Z330" s="118" t="b">
        <v>0</v>
      </c>
      <c r="AA330" s="120" t="b">
        <f t="shared" si="350"/>
        <v>0</v>
      </c>
      <c r="AB330" s="120" t="b">
        <f t="shared" si="351"/>
        <v>1</v>
      </c>
      <c r="AC330" s="120" t="b">
        <f t="shared" ca="1" si="352"/>
        <v>0</v>
      </c>
      <c r="AD330" s="121"/>
      <c r="AE330" s="129">
        <v>0</v>
      </c>
      <c r="AF330" s="69">
        <f ca="1">IF(Swap_Active="No",0,OFFSET(Vectors!$D$6,Vectors!A330,MATCH(Swap_In,lstInterestRates,0)))</f>
        <v>6.9369000000000056E-2</v>
      </c>
      <c r="AG330" s="62">
        <f t="shared" ca="1" si="369"/>
        <v>0</v>
      </c>
      <c r="AH330" s="69">
        <f ca="1">IF(Swap_Active="No",0,OFFSET(Vectors!$D$6,Vectors!A330,MATCH(Swap_Out,lstInterestRates,0)))</f>
        <v>0.04</v>
      </c>
      <c r="AI330" s="62">
        <f t="shared" ca="1" si="370"/>
        <v>0</v>
      </c>
      <c r="AJ330" s="62">
        <f t="shared" ca="1" si="371"/>
        <v>0</v>
      </c>
      <c r="AK330" s="62">
        <f t="shared" ca="1" si="372"/>
        <v>184702.09637202055</v>
      </c>
      <c r="AL330" s="121"/>
      <c r="AM330" s="123">
        <f t="shared" ca="1" si="353"/>
        <v>8486.4347607090203</v>
      </c>
      <c r="AN330" s="124">
        <f t="shared" ca="1" si="373"/>
        <v>8486.4347607090203</v>
      </c>
      <c r="AO330" s="125">
        <f t="shared" ca="1" si="374"/>
        <v>0</v>
      </c>
      <c r="AP330" s="123">
        <f t="shared" ca="1" si="375"/>
        <v>176215.66161131152</v>
      </c>
      <c r="AQ330" s="121"/>
      <c r="AR330" s="126">
        <f ca="1">IF(LiabIntType1="Fixed",LiabFxdRate1,OFFSET(Vectors!$D$6,Vectors!A330,MATCH(LiabLoanIndex1,lstInterestRates,0))+LiabMarg1)</f>
        <v>7.9369000000000051E-2</v>
      </c>
      <c r="AS330" s="122">
        <f t="shared" ca="1" si="376"/>
        <v>0</v>
      </c>
      <c r="AT330" s="124">
        <f t="shared" ca="1" si="377"/>
        <v>0</v>
      </c>
      <c r="AU330" s="123">
        <f t="shared" ca="1" si="378"/>
        <v>0</v>
      </c>
      <c r="AV330" s="123">
        <f t="shared" ca="1" si="354"/>
        <v>0</v>
      </c>
      <c r="AW330" s="123">
        <f t="shared" ca="1" si="379"/>
        <v>0</v>
      </c>
      <c r="AX330" s="124">
        <f t="shared" ca="1" si="380"/>
        <v>176215.66161131152</v>
      </c>
      <c r="AY330" s="121"/>
      <c r="AZ330" s="122">
        <f t="shared" ca="1" si="355"/>
        <v>0</v>
      </c>
      <c r="BA330" s="124">
        <f t="shared" ca="1" si="381"/>
        <v>0</v>
      </c>
      <c r="BB330" s="123">
        <f t="shared" ca="1" si="382"/>
        <v>0</v>
      </c>
      <c r="BC330" s="123">
        <f t="shared" ca="1" si="356"/>
        <v>0</v>
      </c>
      <c r="BD330" s="123">
        <f t="shared" ca="1" si="383"/>
        <v>0</v>
      </c>
      <c r="BE330" s="124">
        <f t="shared" ca="1" si="384"/>
        <v>176215.66161131152</v>
      </c>
      <c r="BF330" s="121"/>
      <c r="BG330" s="123">
        <f t="shared" si="357"/>
        <v>1000000</v>
      </c>
      <c r="BH330" s="123">
        <f t="shared" ca="1" si="385"/>
        <v>1000000</v>
      </c>
      <c r="BI330" s="123">
        <f t="shared" ca="1" si="386"/>
        <v>0</v>
      </c>
      <c r="BJ330" s="123">
        <f t="shared" ca="1" si="387"/>
        <v>0</v>
      </c>
      <c r="BK330" s="123">
        <f t="shared" ca="1" si="344"/>
        <v>1000000</v>
      </c>
      <c r="BL330" s="123">
        <f t="shared" ca="1" si="388"/>
        <v>176215.66161131152</v>
      </c>
      <c r="BM330" s="121"/>
      <c r="BN330" s="126">
        <f ca="1">IF(LiabIntType2="Fixed",LiabFxdRate2,OFFSET(Vectors!$D$6,Vectors!A330,MATCH(LiabLoanIndex2,lstInterestRates,0))+LiabMarg2)</f>
        <v>0.04</v>
      </c>
      <c r="BO330" s="122">
        <f t="shared" ca="1" si="389"/>
        <v>22315.316100922286</v>
      </c>
      <c r="BP330" s="124">
        <f t="shared" ca="1" si="390"/>
        <v>22315.316100922286</v>
      </c>
      <c r="BQ330" s="123">
        <f t="shared" ca="1" si="391"/>
        <v>0</v>
      </c>
      <c r="BR330" s="123">
        <f t="shared" ca="1" si="392"/>
        <v>153900.34551038922</v>
      </c>
      <c r="BS330" s="121"/>
      <c r="BT330" s="123">
        <f t="shared" ca="1" si="358"/>
        <v>15194.880785899571</v>
      </c>
      <c r="BU330" s="123">
        <f t="shared" ca="1" si="393"/>
        <v>15194.880785899571</v>
      </c>
      <c r="BV330" s="123">
        <f t="shared" ca="1" si="394"/>
        <v>0</v>
      </c>
      <c r="BW330" s="123">
        <f t="shared" ca="1" si="395"/>
        <v>138705.46472448966</v>
      </c>
      <c r="BX330" s="121"/>
      <c r="BY330" s="123">
        <f t="shared" si="396"/>
        <v>0</v>
      </c>
      <c r="BZ330" s="123">
        <f t="shared" ca="1" si="397"/>
        <v>138705.46472448966</v>
      </c>
      <c r="CA330" s="121"/>
      <c r="CB330" s="122">
        <f t="shared" ca="1" si="345"/>
        <v>0</v>
      </c>
      <c r="CC330" s="122">
        <f t="shared" ca="1" si="398"/>
        <v>0</v>
      </c>
      <c r="CD330" s="124">
        <f t="shared" ca="1" si="399"/>
        <v>0</v>
      </c>
      <c r="CE330" s="121"/>
      <c r="CF330" s="122">
        <f t="shared" ca="1" si="346"/>
        <v>6679399.9494907865</v>
      </c>
      <c r="CG330" s="124">
        <f t="shared" ca="1" si="400"/>
        <v>22315.316100922286</v>
      </c>
      <c r="CH330" s="123">
        <f t="shared" ca="1" si="401"/>
        <v>15194.880785899571</v>
      </c>
      <c r="CI330" s="121"/>
      <c r="CJ330" s="123">
        <f t="shared" ca="1" si="402"/>
        <v>184702.09637202055</v>
      </c>
      <c r="CK330" s="123">
        <f t="shared" ca="1" si="403"/>
        <v>184702.09637202055</v>
      </c>
      <c r="CL330" s="123">
        <f t="shared" ca="1" si="404"/>
        <v>0</v>
      </c>
      <c r="CM330" s="121"/>
      <c r="CN330" s="62">
        <f t="shared" ca="1" si="405"/>
        <v>148200.63994882995</v>
      </c>
      <c r="CO330" s="62" t="b">
        <f t="shared" si="406"/>
        <v>1</v>
      </c>
      <c r="CP330" s="126">
        <f t="shared" ca="1" si="407"/>
        <v>8.9999999999999612E-3</v>
      </c>
      <c r="CQ330" s="120"/>
      <c r="CR330" s="120"/>
      <c r="CS330" s="120"/>
      <c r="CT330" s="120"/>
      <c r="CU330" s="120"/>
      <c r="CV330" s="120"/>
      <c r="CW330" s="120"/>
      <c r="CX330" s="120"/>
      <c r="CY330" s="120"/>
      <c r="CZ330" s="120"/>
      <c r="DA330" s="120"/>
      <c r="DB330" s="120"/>
      <c r="DC330" s="120"/>
      <c r="DD330" s="120"/>
      <c r="DE330" s="116"/>
      <c r="DF330" s="116"/>
      <c r="DG330" s="116"/>
      <c r="DH330" s="116"/>
      <c r="DI330" s="116"/>
      <c r="DJ330" s="116"/>
      <c r="DK330" s="116"/>
      <c r="DL330" s="116"/>
      <c r="DM330" s="116"/>
      <c r="DN330" s="116"/>
    </row>
    <row r="331" spans="1:118" x14ac:dyDescent="0.2">
      <c r="A331" s="27">
        <v>325</v>
      </c>
      <c r="B331" s="29">
        <f t="shared" si="340"/>
        <v>49004</v>
      </c>
      <c r="C331" s="30">
        <f t="shared" si="341"/>
        <v>8.3333333333333329E-2</v>
      </c>
      <c r="D331" s="55"/>
      <c r="E331" s="62">
        <f t="shared" ca="1" si="359"/>
        <v>25302810.735840064</v>
      </c>
      <c r="F331" s="63">
        <f ca="1">IF(AssetIntType1="Fixed",AssetFxdRate1,IF(A331=1,OFFSET(Vectors!$D$6,A331,MATCH(AssetFltIndx1,lstInterestRates,0)),IF(MOD($A331,AssetRateReset1)=0,MAX(MIN(OFFSET(Vectors!$D$6,A331,MATCH(AssetFltIndx1,lstInterestRates,0)),(F330-AssetMarg1)+AssetPdCapFl1,AssetLifeCap1-AssetMarg1),(F330-AssetMarg1)-AssetPdCapFl1,AssetLifeFloor1-AssetMarg1),F330)))+AssetMarg1</f>
        <v>0.09</v>
      </c>
      <c r="G331" s="62">
        <f t="shared" ca="1" si="347"/>
        <v>804622.61694478267</v>
      </c>
      <c r="H331" s="62">
        <f t="shared" ca="1" si="360"/>
        <v>189771.08051880047</v>
      </c>
      <c r="I331" s="62">
        <f t="shared" ca="1" si="361"/>
        <v>614851.53642598214</v>
      </c>
      <c r="J331" s="62">
        <f t="shared" ca="1" si="342"/>
        <v>24687959.199414082</v>
      </c>
      <c r="K331" s="55"/>
      <c r="L331" s="62">
        <f t="shared" ca="1" si="362"/>
        <v>4943660.2164765829</v>
      </c>
      <c r="M331" s="68">
        <f ca="1">IF(pdrLossTime1="",OFFSET(Vectors!$AE$6,A331+_Age1,MATCH(SDA_Loss,lstSDA,0)),OFFSET(Vectors!$X$6,A331+_Age1,MATCH(pdrLossTime1,lstDefaultCurve,0)))</f>
        <v>2.7777777777777779E-5</v>
      </c>
      <c r="N331" s="62">
        <f t="shared" ca="1" si="348"/>
        <v>2777.7777777777778</v>
      </c>
      <c r="O331" s="67">
        <f t="shared" ca="1" si="363"/>
        <v>0.24687959199414081</v>
      </c>
      <c r="P331" s="68">
        <f ca="1">OFFSET(Vectors!$L$6,A331+_Age1,MATCH(pdrPrepay1,lstPrepayCurve,0))*pdrPrepayStress1</f>
        <v>5.1430128318229462E-3</v>
      </c>
      <c r="Q331" s="62">
        <f t="shared" ca="1" si="364"/>
        <v>24807.479744027871</v>
      </c>
      <c r="R331" s="62">
        <f t="shared" ca="1" si="365"/>
        <v>120062.12236457558</v>
      </c>
      <c r="S331" s="69">
        <f t="shared" ca="1" si="366"/>
        <v>0.09</v>
      </c>
      <c r="T331" s="62">
        <f t="shared" ca="1" si="367"/>
        <v>37056.618290241036</v>
      </c>
      <c r="U331" s="62">
        <f t="shared" ca="1" si="349"/>
        <v>1111.1111111111111</v>
      </c>
      <c r="V331" s="62">
        <f t="shared" ca="1" si="343"/>
        <v>4796012.8365902007</v>
      </c>
      <c r="W331" s="55"/>
      <c r="X331" s="62">
        <f t="shared" ca="1" si="368"/>
        <v>183037.33150995563</v>
      </c>
      <c r="Y331" s="55"/>
      <c r="Z331" s="118" t="b">
        <v>0</v>
      </c>
      <c r="AA331" s="120" t="b">
        <f t="shared" si="350"/>
        <v>0</v>
      </c>
      <c r="AB331" s="120" t="b">
        <f t="shared" si="351"/>
        <v>1</v>
      </c>
      <c r="AC331" s="120" t="b">
        <f t="shared" ca="1" si="352"/>
        <v>0</v>
      </c>
      <c r="AD331" s="121"/>
      <c r="AE331" s="129">
        <v>0</v>
      </c>
      <c r="AF331" s="69">
        <f ca="1">IF(Swap_Active="No",0,OFFSET(Vectors!$D$6,Vectors!A331,MATCH(Swap_In,lstInterestRates,0)))</f>
        <v>6.9369000000000056E-2</v>
      </c>
      <c r="AG331" s="62">
        <f t="shared" ca="1" si="369"/>
        <v>0</v>
      </c>
      <c r="AH331" s="69">
        <f ca="1">IF(Swap_Active="No",0,OFFSET(Vectors!$D$6,Vectors!A331,MATCH(Swap_Out,lstInterestRates,0)))</f>
        <v>0.04</v>
      </c>
      <c r="AI331" s="62">
        <f t="shared" ca="1" si="370"/>
        <v>0</v>
      </c>
      <c r="AJ331" s="62">
        <f t="shared" ca="1" si="371"/>
        <v>0</v>
      </c>
      <c r="AK331" s="62">
        <f t="shared" ca="1" si="372"/>
        <v>183037.33150995563</v>
      </c>
      <c r="AL331" s="121"/>
      <c r="AM331" s="123">
        <f t="shared" ca="1" si="353"/>
        <v>8239.4336941276379</v>
      </c>
      <c r="AN331" s="124">
        <f t="shared" ca="1" si="373"/>
        <v>8239.4336941276379</v>
      </c>
      <c r="AO331" s="125">
        <f t="shared" ca="1" si="374"/>
        <v>0</v>
      </c>
      <c r="AP331" s="123">
        <f t="shared" ca="1" si="375"/>
        <v>174797.89781582801</v>
      </c>
      <c r="AQ331" s="121"/>
      <c r="AR331" s="126">
        <f ca="1">IF(LiabIntType1="Fixed",LiabFxdRate1,OFFSET(Vectors!$D$6,Vectors!A331,MATCH(LiabLoanIndex1,lstInterestRates,0))+LiabMarg1)</f>
        <v>7.9369000000000051E-2</v>
      </c>
      <c r="AS331" s="122">
        <f t="shared" ca="1" si="376"/>
        <v>0</v>
      </c>
      <c r="AT331" s="124">
        <f t="shared" ca="1" si="377"/>
        <v>0</v>
      </c>
      <c r="AU331" s="123">
        <f t="shared" ca="1" si="378"/>
        <v>0</v>
      </c>
      <c r="AV331" s="123">
        <f t="shared" ca="1" si="354"/>
        <v>0</v>
      </c>
      <c r="AW331" s="123">
        <f t="shared" ca="1" si="379"/>
        <v>0</v>
      </c>
      <c r="AX331" s="124">
        <f t="shared" ca="1" si="380"/>
        <v>174797.89781582801</v>
      </c>
      <c r="AY331" s="121"/>
      <c r="AZ331" s="122">
        <f t="shared" ca="1" si="355"/>
        <v>0</v>
      </c>
      <c r="BA331" s="124">
        <f t="shared" ca="1" si="381"/>
        <v>0</v>
      </c>
      <c r="BB331" s="123">
        <f t="shared" ca="1" si="382"/>
        <v>0</v>
      </c>
      <c r="BC331" s="123">
        <f t="shared" ca="1" si="356"/>
        <v>0</v>
      </c>
      <c r="BD331" s="123">
        <f t="shared" ca="1" si="383"/>
        <v>0</v>
      </c>
      <c r="BE331" s="124">
        <f t="shared" ca="1" si="384"/>
        <v>174797.89781582801</v>
      </c>
      <c r="BF331" s="121"/>
      <c r="BG331" s="123">
        <f t="shared" si="357"/>
        <v>1000000</v>
      </c>
      <c r="BH331" s="123">
        <f t="shared" ca="1" si="385"/>
        <v>1000000</v>
      </c>
      <c r="BI331" s="123">
        <f t="shared" ca="1" si="386"/>
        <v>0</v>
      </c>
      <c r="BJ331" s="123">
        <f t="shared" ca="1" si="387"/>
        <v>0</v>
      </c>
      <c r="BK331" s="123">
        <f t="shared" ca="1" si="344"/>
        <v>1000000</v>
      </c>
      <c r="BL331" s="123">
        <f t="shared" ca="1" si="388"/>
        <v>174797.89781582801</v>
      </c>
      <c r="BM331" s="121"/>
      <c r="BN331" s="126">
        <f ca="1">IF(LiabIntType2="Fixed",LiabFxdRate2,OFFSET(Vectors!$D$6,Vectors!A331,MATCH(LiabLoanIndex2,lstInterestRates,0))+LiabMarg2)</f>
        <v>0.04</v>
      </c>
      <c r="BO331" s="122">
        <f t="shared" ca="1" si="389"/>
        <v>22264.66649830262</v>
      </c>
      <c r="BP331" s="124">
        <f t="shared" ca="1" si="390"/>
        <v>22264.66649830262</v>
      </c>
      <c r="BQ331" s="123">
        <f t="shared" ca="1" si="391"/>
        <v>0</v>
      </c>
      <c r="BR331" s="123">
        <f t="shared" ca="1" si="392"/>
        <v>152533.23131752538</v>
      </c>
      <c r="BS331" s="121"/>
      <c r="BT331" s="123">
        <f t="shared" ca="1" si="358"/>
        <v>15138.155520101731</v>
      </c>
      <c r="BU331" s="123">
        <f t="shared" ca="1" si="393"/>
        <v>15138.155520101731</v>
      </c>
      <c r="BV331" s="123">
        <f t="shared" ca="1" si="394"/>
        <v>0</v>
      </c>
      <c r="BW331" s="123">
        <f t="shared" ca="1" si="395"/>
        <v>137395.07579742366</v>
      </c>
      <c r="BX331" s="121"/>
      <c r="BY331" s="123">
        <f t="shared" si="396"/>
        <v>0</v>
      </c>
      <c r="BZ331" s="123">
        <f t="shared" ca="1" si="397"/>
        <v>137395.07579742366</v>
      </c>
      <c r="CA331" s="121"/>
      <c r="CB331" s="122">
        <f t="shared" ca="1" si="345"/>
        <v>0</v>
      </c>
      <c r="CC331" s="122">
        <f t="shared" ca="1" si="398"/>
        <v>0</v>
      </c>
      <c r="CD331" s="124">
        <f t="shared" ca="1" si="399"/>
        <v>0</v>
      </c>
      <c r="CE331" s="121"/>
      <c r="CF331" s="122">
        <f t="shared" ca="1" si="346"/>
        <v>6664261.7939706845</v>
      </c>
      <c r="CG331" s="124">
        <f t="shared" ca="1" si="400"/>
        <v>22264.66649830262</v>
      </c>
      <c r="CH331" s="123">
        <f t="shared" ca="1" si="401"/>
        <v>15138.155520101731</v>
      </c>
      <c r="CI331" s="121"/>
      <c r="CJ331" s="123">
        <f t="shared" ca="1" si="402"/>
        <v>183037.33150995563</v>
      </c>
      <c r="CK331" s="123">
        <f t="shared" ca="1" si="403"/>
        <v>183037.33150995563</v>
      </c>
      <c r="CL331" s="123">
        <f t="shared" ca="1" si="404"/>
        <v>0</v>
      </c>
      <c r="CM331" s="121"/>
      <c r="CN331" s="62">
        <f t="shared" ca="1" si="405"/>
        <v>147647.37988638124</v>
      </c>
      <c r="CO331" s="62" t="b">
        <f t="shared" si="406"/>
        <v>1</v>
      </c>
      <c r="CP331" s="126">
        <f t="shared" ca="1" si="407"/>
        <v>9.0277777777777388E-3</v>
      </c>
      <c r="CQ331" s="120"/>
      <c r="CR331" s="120"/>
      <c r="CS331" s="120"/>
      <c r="CT331" s="120"/>
      <c r="CU331" s="120"/>
      <c r="CV331" s="120"/>
      <c r="CW331" s="120"/>
      <c r="CX331" s="120"/>
      <c r="CY331" s="120"/>
      <c r="CZ331" s="120"/>
      <c r="DA331" s="120"/>
      <c r="DB331" s="120"/>
      <c r="DC331" s="120"/>
      <c r="DD331" s="120"/>
      <c r="DE331" s="116"/>
      <c r="DF331" s="116"/>
      <c r="DG331" s="116"/>
      <c r="DH331" s="116"/>
      <c r="DI331" s="116"/>
      <c r="DJ331" s="116"/>
      <c r="DK331" s="116"/>
      <c r="DL331" s="116"/>
      <c r="DM331" s="116"/>
      <c r="DN331" s="116"/>
    </row>
    <row r="332" spans="1:118" x14ac:dyDescent="0.2">
      <c r="A332" s="27">
        <v>326</v>
      </c>
      <c r="B332" s="29">
        <f t="shared" si="340"/>
        <v>49035</v>
      </c>
      <c r="C332" s="30">
        <f t="shared" si="341"/>
        <v>8.3333333333333329E-2</v>
      </c>
      <c r="D332" s="55"/>
      <c r="E332" s="62">
        <f t="shared" ca="1" si="359"/>
        <v>24687959.199414082</v>
      </c>
      <c r="F332" s="63">
        <f ca="1">IF(AssetIntType1="Fixed",AssetFxdRate1,IF(A332=1,OFFSET(Vectors!$D$6,A332,MATCH(AssetFltIndx1,lstInterestRates,0)),IF(MOD($A332,AssetRateReset1)=0,MAX(MIN(OFFSET(Vectors!$D$6,A332,MATCH(AssetFltIndx1,lstInterestRates,0)),(F331-AssetMarg1)+AssetPdCapFl1,AssetLifeCap1-AssetMarg1),(F331-AssetMarg1)-AssetPdCapFl1,AssetLifeFloor1-AssetMarg1),F331)))+AssetMarg1</f>
        <v>0.09</v>
      </c>
      <c r="G332" s="62">
        <f t="shared" ca="1" si="347"/>
        <v>804622.61694478267</v>
      </c>
      <c r="H332" s="62">
        <f t="shared" ca="1" si="360"/>
        <v>185159.6939956056</v>
      </c>
      <c r="I332" s="62">
        <f t="shared" ca="1" si="361"/>
        <v>619462.9229491771</v>
      </c>
      <c r="J332" s="62">
        <f t="shared" ca="1" si="342"/>
        <v>24068496.276464906</v>
      </c>
      <c r="K332" s="55"/>
      <c r="L332" s="62">
        <f t="shared" ca="1" si="362"/>
        <v>4796012.8365902007</v>
      </c>
      <c r="M332" s="68">
        <f ca="1">IF(pdrLossTime1="",OFFSET(Vectors!$AE$6,A332+_Age1,MATCH(SDA_Loss,lstSDA,0)),OFFSET(Vectors!$X$6,A332+_Age1,MATCH(pdrLossTime1,lstDefaultCurve,0)))</f>
        <v>2.7777777777777779E-5</v>
      </c>
      <c r="N332" s="62">
        <f t="shared" ca="1" si="348"/>
        <v>2777.7777777777778</v>
      </c>
      <c r="O332" s="67">
        <f t="shared" ca="1" si="363"/>
        <v>0.24068496276464907</v>
      </c>
      <c r="P332" s="68">
        <f ca="1">OFFSET(Vectors!$L$6,A332+_Age1,MATCH(pdrPrepay1,lstPrepayCurve,0))*pdrPrepayStress1</f>
        <v>5.1430128318229462E-3</v>
      </c>
      <c r="Q332" s="62">
        <f t="shared" ca="1" si="364"/>
        <v>24047.044745987485</v>
      </c>
      <c r="R332" s="62">
        <f t="shared" ca="1" si="365"/>
        <v>120270.42721234195</v>
      </c>
      <c r="S332" s="69">
        <f t="shared" ca="1" si="366"/>
        <v>0.09</v>
      </c>
      <c r="T332" s="62">
        <f t="shared" ca="1" si="367"/>
        <v>35949.26294109317</v>
      </c>
      <c r="U332" s="62">
        <f t="shared" ca="1" si="349"/>
        <v>1111.1111111111111</v>
      </c>
      <c r="V332" s="62">
        <f t="shared" ca="1" si="343"/>
        <v>4648917.5868540937</v>
      </c>
      <c r="W332" s="55"/>
      <c r="X332" s="62">
        <f t="shared" ca="1" si="368"/>
        <v>181377.84601053374</v>
      </c>
      <c r="Y332" s="55"/>
      <c r="Z332" s="118" t="b">
        <v>0</v>
      </c>
      <c r="AA332" s="120" t="b">
        <f t="shared" si="350"/>
        <v>0</v>
      </c>
      <c r="AB332" s="120" t="b">
        <f t="shared" si="351"/>
        <v>1</v>
      </c>
      <c r="AC332" s="120" t="b">
        <f t="shared" ca="1" si="352"/>
        <v>0</v>
      </c>
      <c r="AD332" s="121"/>
      <c r="AE332" s="129">
        <v>0</v>
      </c>
      <c r="AF332" s="69">
        <f ca="1">IF(Swap_Active="No",0,OFFSET(Vectors!$D$6,Vectors!A332,MATCH(Swap_In,lstInterestRates,0)))</f>
        <v>6.9369000000000056E-2</v>
      </c>
      <c r="AG332" s="62">
        <f t="shared" ca="1" si="369"/>
        <v>0</v>
      </c>
      <c r="AH332" s="69">
        <f ca="1">IF(Swap_Active="No",0,OFFSET(Vectors!$D$6,Vectors!A332,MATCH(Swap_Out,lstInterestRates,0)))</f>
        <v>0.04</v>
      </c>
      <c r="AI332" s="62">
        <f t="shared" ca="1" si="370"/>
        <v>0</v>
      </c>
      <c r="AJ332" s="62">
        <f t="shared" ca="1" si="371"/>
        <v>0</v>
      </c>
      <c r="AK332" s="62">
        <f t="shared" ca="1" si="372"/>
        <v>181377.84601053374</v>
      </c>
      <c r="AL332" s="121"/>
      <c r="AM332" s="123">
        <f t="shared" ca="1" si="353"/>
        <v>7993.3547276503341</v>
      </c>
      <c r="AN332" s="124">
        <f t="shared" ca="1" si="373"/>
        <v>7993.3547276503341</v>
      </c>
      <c r="AO332" s="125">
        <f t="shared" ca="1" si="374"/>
        <v>0</v>
      </c>
      <c r="AP332" s="123">
        <f t="shared" ca="1" si="375"/>
        <v>173384.49128288342</v>
      </c>
      <c r="AQ332" s="121"/>
      <c r="AR332" s="126">
        <f ca="1">IF(LiabIntType1="Fixed",LiabFxdRate1,OFFSET(Vectors!$D$6,Vectors!A332,MATCH(LiabLoanIndex1,lstInterestRates,0))+LiabMarg1)</f>
        <v>7.9369000000000051E-2</v>
      </c>
      <c r="AS332" s="122">
        <f t="shared" ca="1" si="376"/>
        <v>0</v>
      </c>
      <c r="AT332" s="124">
        <f t="shared" ca="1" si="377"/>
        <v>0</v>
      </c>
      <c r="AU332" s="123">
        <f t="shared" ca="1" si="378"/>
        <v>0</v>
      </c>
      <c r="AV332" s="123">
        <f t="shared" ca="1" si="354"/>
        <v>0</v>
      </c>
      <c r="AW332" s="123">
        <f t="shared" ca="1" si="379"/>
        <v>0</v>
      </c>
      <c r="AX332" s="124">
        <f t="shared" ca="1" si="380"/>
        <v>173384.49128288342</v>
      </c>
      <c r="AY332" s="121"/>
      <c r="AZ332" s="122">
        <f t="shared" ca="1" si="355"/>
        <v>0</v>
      </c>
      <c r="BA332" s="124">
        <f t="shared" ca="1" si="381"/>
        <v>0</v>
      </c>
      <c r="BB332" s="123">
        <f t="shared" ca="1" si="382"/>
        <v>0</v>
      </c>
      <c r="BC332" s="123">
        <f t="shared" ca="1" si="356"/>
        <v>0</v>
      </c>
      <c r="BD332" s="123">
        <f t="shared" ca="1" si="383"/>
        <v>0</v>
      </c>
      <c r="BE332" s="124">
        <f t="shared" ca="1" si="384"/>
        <v>173384.49128288342</v>
      </c>
      <c r="BF332" s="121"/>
      <c r="BG332" s="123">
        <f t="shared" si="357"/>
        <v>1000000</v>
      </c>
      <c r="BH332" s="123">
        <f t="shared" ca="1" si="385"/>
        <v>1000000</v>
      </c>
      <c r="BI332" s="123">
        <f t="shared" ca="1" si="386"/>
        <v>0</v>
      </c>
      <c r="BJ332" s="123">
        <f t="shared" ca="1" si="387"/>
        <v>0</v>
      </c>
      <c r="BK332" s="123">
        <f t="shared" ca="1" si="344"/>
        <v>1000000</v>
      </c>
      <c r="BL332" s="123">
        <f t="shared" ca="1" si="388"/>
        <v>173384.49128288342</v>
      </c>
      <c r="BM332" s="121"/>
      <c r="BN332" s="126">
        <f ca="1">IF(LiabIntType2="Fixed",LiabFxdRate2,OFFSET(Vectors!$D$6,Vectors!A332,MATCH(LiabLoanIndex2,lstInterestRates,0))+LiabMarg2)</f>
        <v>0.04</v>
      </c>
      <c r="BO332" s="122">
        <f t="shared" ca="1" si="389"/>
        <v>22214.205979902279</v>
      </c>
      <c r="BP332" s="124">
        <f t="shared" ca="1" si="390"/>
        <v>22214.205979902279</v>
      </c>
      <c r="BQ332" s="123">
        <f t="shared" ca="1" si="391"/>
        <v>0</v>
      </c>
      <c r="BR332" s="123">
        <f t="shared" ca="1" si="392"/>
        <v>151170.28530298115</v>
      </c>
      <c r="BS332" s="121"/>
      <c r="BT332" s="123">
        <f t="shared" ca="1" si="358"/>
        <v>15081.546103201701</v>
      </c>
      <c r="BU332" s="123">
        <f t="shared" ca="1" si="393"/>
        <v>15081.546103201701</v>
      </c>
      <c r="BV332" s="123">
        <f t="shared" ca="1" si="394"/>
        <v>0</v>
      </c>
      <c r="BW332" s="123">
        <f t="shared" ca="1" si="395"/>
        <v>136088.73919977946</v>
      </c>
      <c r="BX332" s="121"/>
      <c r="BY332" s="123">
        <f t="shared" si="396"/>
        <v>0</v>
      </c>
      <c r="BZ332" s="123">
        <f t="shared" ca="1" si="397"/>
        <v>136088.73919977946</v>
      </c>
      <c r="CA332" s="121"/>
      <c r="CB332" s="122">
        <f t="shared" ca="1" si="345"/>
        <v>0</v>
      </c>
      <c r="CC332" s="122">
        <f t="shared" ca="1" si="398"/>
        <v>0</v>
      </c>
      <c r="CD332" s="124">
        <f t="shared" ca="1" si="399"/>
        <v>0</v>
      </c>
      <c r="CE332" s="121"/>
      <c r="CF332" s="122">
        <f t="shared" ca="1" si="346"/>
        <v>6649180.2478674827</v>
      </c>
      <c r="CG332" s="124">
        <f t="shared" ca="1" si="400"/>
        <v>22214.205979902279</v>
      </c>
      <c r="CH332" s="123">
        <f t="shared" ca="1" si="401"/>
        <v>15081.546103201701</v>
      </c>
      <c r="CI332" s="121"/>
      <c r="CJ332" s="123">
        <f t="shared" ca="1" si="402"/>
        <v>181377.84601053374</v>
      </c>
      <c r="CK332" s="123">
        <f t="shared" ca="1" si="403"/>
        <v>181377.84601053377</v>
      </c>
      <c r="CL332" s="123">
        <f t="shared" ca="1" si="404"/>
        <v>0</v>
      </c>
      <c r="CM332" s="121"/>
      <c r="CN332" s="62">
        <f t="shared" ca="1" si="405"/>
        <v>147095.24973610722</v>
      </c>
      <c r="CO332" s="62" t="b">
        <f t="shared" si="406"/>
        <v>1</v>
      </c>
      <c r="CP332" s="126">
        <f t="shared" ca="1" si="407"/>
        <v>9.0555555555555164E-3</v>
      </c>
      <c r="CQ332" s="120"/>
      <c r="CR332" s="120"/>
      <c r="CS332" s="120"/>
      <c r="CT332" s="120"/>
      <c r="CU332" s="120"/>
      <c r="CV332" s="120"/>
      <c r="CW332" s="120"/>
      <c r="CX332" s="120"/>
      <c r="CY332" s="120"/>
      <c r="CZ332" s="120"/>
      <c r="DA332" s="120"/>
      <c r="DB332" s="120"/>
      <c r="DC332" s="120"/>
      <c r="DD332" s="120"/>
      <c r="DE332" s="116"/>
      <c r="DF332" s="116"/>
      <c r="DG332" s="116"/>
      <c r="DH332" s="116"/>
      <c r="DI332" s="116"/>
      <c r="DJ332" s="116"/>
      <c r="DK332" s="116"/>
      <c r="DL332" s="116"/>
      <c r="DM332" s="116"/>
      <c r="DN332" s="116"/>
    </row>
    <row r="333" spans="1:118" x14ac:dyDescent="0.2">
      <c r="A333" s="27">
        <v>327</v>
      </c>
      <c r="B333" s="29">
        <f t="shared" si="340"/>
        <v>49065</v>
      </c>
      <c r="C333" s="30">
        <f t="shared" si="341"/>
        <v>8.3333333333333329E-2</v>
      </c>
      <c r="D333" s="55"/>
      <c r="E333" s="62">
        <f t="shared" ca="1" si="359"/>
        <v>24068496.276464906</v>
      </c>
      <c r="F333" s="63">
        <f ca="1">IF(AssetIntType1="Fixed",AssetFxdRate1,IF(A333=1,OFFSET(Vectors!$D$6,A333,MATCH(AssetFltIndx1,lstInterestRates,0)),IF(MOD($A333,AssetRateReset1)=0,MAX(MIN(OFFSET(Vectors!$D$6,A333,MATCH(AssetFltIndx1,lstInterestRates,0)),(F332-AssetMarg1)+AssetPdCapFl1,AssetLifeCap1-AssetMarg1),(F332-AssetMarg1)-AssetPdCapFl1,AssetLifeFloor1-AssetMarg1),F332)))+AssetMarg1</f>
        <v>0.09</v>
      </c>
      <c r="G333" s="62">
        <f t="shared" ca="1" si="347"/>
        <v>804622.61694478267</v>
      </c>
      <c r="H333" s="62">
        <f t="shared" ca="1" si="360"/>
        <v>180513.72207348677</v>
      </c>
      <c r="I333" s="62">
        <f t="shared" ca="1" si="361"/>
        <v>624108.8948712959</v>
      </c>
      <c r="J333" s="62">
        <f t="shared" ca="1" si="342"/>
        <v>23444387.381593611</v>
      </c>
      <c r="K333" s="55"/>
      <c r="L333" s="62">
        <f t="shared" ca="1" si="362"/>
        <v>4648917.5868540937</v>
      </c>
      <c r="M333" s="68">
        <f ca="1">IF(pdrLossTime1="",OFFSET(Vectors!$AE$6,A333+_Age1,MATCH(SDA_Loss,lstSDA,0)),OFFSET(Vectors!$X$6,A333+_Age1,MATCH(pdrLossTime1,lstDefaultCurve,0)))</f>
        <v>2.7777777777777779E-5</v>
      </c>
      <c r="N333" s="62">
        <f t="shared" ca="1" si="348"/>
        <v>2777.7777777777778</v>
      </c>
      <c r="O333" s="67">
        <f t="shared" ca="1" si="363"/>
        <v>0.23444387381593612</v>
      </c>
      <c r="P333" s="68">
        <f ca="1">OFFSET(Vectors!$L$6,A333+_Age1,MATCH(pdrPrepay1,lstPrepayCurve,0))*pdrPrepayStress1</f>
        <v>5.1430128318229462E-3</v>
      </c>
      <c r="Q333" s="62">
        <f t="shared" ca="1" si="364"/>
        <v>23289.458249463794</v>
      </c>
      <c r="R333" s="62">
        <f t="shared" ca="1" si="365"/>
        <v>120476.87351766878</v>
      </c>
      <c r="S333" s="69">
        <f t="shared" ca="1" si="366"/>
        <v>0.09</v>
      </c>
      <c r="T333" s="62">
        <f t="shared" ca="1" si="367"/>
        <v>34846.048568072365</v>
      </c>
      <c r="U333" s="62">
        <f t="shared" ca="1" si="349"/>
        <v>1111.1111111111111</v>
      </c>
      <c r="V333" s="62">
        <f t="shared" ca="1" si="343"/>
        <v>4502373.4773091832</v>
      </c>
      <c r="W333" s="55"/>
      <c r="X333" s="62">
        <f t="shared" ca="1" si="368"/>
        <v>179723.49144631607</v>
      </c>
      <c r="Y333" s="55"/>
      <c r="Z333" s="118" t="b">
        <v>0</v>
      </c>
      <c r="AA333" s="120" t="b">
        <f t="shared" si="350"/>
        <v>0</v>
      </c>
      <c r="AB333" s="120" t="b">
        <f t="shared" si="351"/>
        <v>1</v>
      </c>
      <c r="AC333" s="120" t="b">
        <f t="shared" ca="1" si="352"/>
        <v>0</v>
      </c>
      <c r="AD333" s="121"/>
      <c r="AE333" s="129">
        <v>0</v>
      </c>
      <c r="AF333" s="69">
        <f ca="1">IF(Swap_Active="No",0,OFFSET(Vectors!$D$6,Vectors!A333,MATCH(Swap_In,lstInterestRates,0)))</f>
        <v>6.9369000000000056E-2</v>
      </c>
      <c r="AG333" s="62">
        <f t="shared" ca="1" si="369"/>
        <v>0</v>
      </c>
      <c r="AH333" s="69">
        <f ca="1">IF(Swap_Active="No",0,OFFSET(Vectors!$D$6,Vectors!A333,MATCH(Swap_Out,lstInterestRates,0)))</f>
        <v>0.04</v>
      </c>
      <c r="AI333" s="62">
        <f t="shared" ca="1" si="370"/>
        <v>0</v>
      </c>
      <c r="AJ333" s="62">
        <f t="shared" ca="1" si="371"/>
        <v>0</v>
      </c>
      <c r="AK333" s="62">
        <f t="shared" ca="1" si="372"/>
        <v>179723.49144631607</v>
      </c>
      <c r="AL333" s="121"/>
      <c r="AM333" s="123">
        <f t="shared" ca="1" si="353"/>
        <v>7748.1959780901552</v>
      </c>
      <c r="AN333" s="124">
        <f t="shared" ca="1" si="373"/>
        <v>7748.1959780901552</v>
      </c>
      <c r="AO333" s="125">
        <f t="shared" ca="1" si="374"/>
        <v>0</v>
      </c>
      <c r="AP333" s="123">
        <f t="shared" ca="1" si="375"/>
        <v>171975.2954682259</v>
      </c>
      <c r="AQ333" s="121"/>
      <c r="AR333" s="126">
        <f ca="1">IF(LiabIntType1="Fixed",LiabFxdRate1,OFFSET(Vectors!$D$6,Vectors!A333,MATCH(LiabLoanIndex1,lstInterestRates,0))+LiabMarg1)</f>
        <v>7.9369000000000051E-2</v>
      </c>
      <c r="AS333" s="122">
        <f t="shared" ca="1" si="376"/>
        <v>0</v>
      </c>
      <c r="AT333" s="124">
        <f t="shared" ca="1" si="377"/>
        <v>0</v>
      </c>
      <c r="AU333" s="123">
        <f t="shared" ca="1" si="378"/>
        <v>0</v>
      </c>
      <c r="AV333" s="123">
        <f t="shared" ca="1" si="354"/>
        <v>0</v>
      </c>
      <c r="AW333" s="123">
        <f t="shared" ca="1" si="379"/>
        <v>0</v>
      </c>
      <c r="AX333" s="124">
        <f t="shared" ca="1" si="380"/>
        <v>171975.2954682259</v>
      </c>
      <c r="AY333" s="121"/>
      <c r="AZ333" s="122">
        <f t="shared" ca="1" si="355"/>
        <v>0</v>
      </c>
      <c r="BA333" s="124">
        <f t="shared" ca="1" si="381"/>
        <v>0</v>
      </c>
      <c r="BB333" s="123">
        <f t="shared" ca="1" si="382"/>
        <v>0</v>
      </c>
      <c r="BC333" s="123">
        <f t="shared" ca="1" si="356"/>
        <v>0</v>
      </c>
      <c r="BD333" s="123">
        <f t="shared" ca="1" si="383"/>
        <v>0</v>
      </c>
      <c r="BE333" s="124">
        <f t="shared" ca="1" si="384"/>
        <v>171975.2954682259</v>
      </c>
      <c r="BF333" s="121"/>
      <c r="BG333" s="123">
        <f t="shared" si="357"/>
        <v>1000000</v>
      </c>
      <c r="BH333" s="123">
        <f t="shared" ca="1" si="385"/>
        <v>1000000</v>
      </c>
      <c r="BI333" s="123">
        <f t="shared" ca="1" si="386"/>
        <v>0</v>
      </c>
      <c r="BJ333" s="123">
        <f t="shared" ca="1" si="387"/>
        <v>0</v>
      </c>
      <c r="BK333" s="123">
        <f t="shared" ca="1" si="344"/>
        <v>1000000</v>
      </c>
      <c r="BL333" s="123">
        <f t="shared" ca="1" si="388"/>
        <v>171975.2954682259</v>
      </c>
      <c r="BM333" s="121"/>
      <c r="BN333" s="126">
        <f ca="1">IF(LiabIntType2="Fixed",LiabFxdRate2,OFFSET(Vectors!$D$6,Vectors!A333,MATCH(LiabLoanIndex2,lstInterestRates,0))+LiabMarg2)</f>
        <v>0.04</v>
      </c>
      <c r="BO333" s="122">
        <f t="shared" ca="1" si="389"/>
        <v>22163.934159558274</v>
      </c>
      <c r="BP333" s="124">
        <f t="shared" ca="1" si="390"/>
        <v>22163.934159558274</v>
      </c>
      <c r="BQ333" s="123">
        <f t="shared" ca="1" si="391"/>
        <v>0</v>
      </c>
      <c r="BR333" s="123">
        <f t="shared" ca="1" si="392"/>
        <v>149811.36130866763</v>
      </c>
      <c r="BS333" s="121"/>
      <c r="BT333" s="123">
        <f t="shared" ca="1" si="358"/>
        <v>15025.038185931937</v>
      </c>
      <c r="BU333" s="123">
        <f t="shared" ca="1" si="393"/>
        <v>15025.038185931937</v>
      </c>
      <c r="BV333" s="123">
        <f t="shared" ca="1" si="394"/>
        <v>0</v>
      </c>
      <c r="BW333" s="123">
        <f t="shared" ca="1" si="395"/>
        <v>134786.32312273569</v>
      </c>
      <c r="BX333" s="121"/>
      <c r="BY333" s="123">
        <f t="shared" si="396"/>
        <v>0</v>
      </c>
      <c r="BZ333" s="123">
        <f t="shared" ca="1" si="397"/>
        <v>134786.32312273569</v>
      </c>
      <c r="CA333" s="121"/>
      <c r="CB333" s="122">
        <f t="shared" ca="1" si="345"/>
        <v>0</v>
      </c>
      <c r="CC333" s="122">
        <f t="shared" ca="1" si="398"/>
        <v>0</v>
      </c>
      <c r="CD333" s="124">
        <f t="shared" ca="1" si="399"/>
        <v>0</v>
      </c>
      <c r="CE333" s="121"/>
      <c r="CF333" s="122">
        <f t="shared" ca="1" si="346"/>
        <v>6634155.209681551</v>
      </c>
      <c r="CG333" s="124">
        <f t="shared" ca="1" si="400"/>
        <v>22163.934159558274</v>
      </c>
      <c r="CH333" s="123">
        <f t="shared" ca="1" si="401"/>
        <v>15025.038185931937</v>
      </c>
      <c r="CI333" s="121"/>
      <c r="CJ333" s="123">
        <f t="shared" ca="1" si="402"/>
        <v>179723.49144631607</v>
      </c>
      <c r="CK333" s="123">
        <f t="shared" ca="1" si="403"/>
        <v>179723.49144631607</v>
      </c>
      <c r="CL333" s="123">
        <f t="shared" ca="1" si="404"/>
        <v>0</v>
      </c>
      <c r="CM333" s="121"/>
      <c r="CN333" s="62">
        <f t="shared" ca="1" si="405"/>
        <v>146544.10954491034</v>
      </c>
      <c r="CO333" s="62" t="b">
        <f t="shared" si="406"/>
        <v>1</v>
      </c>
      <c r="CP333" s="126">
        <f t="shared" ca="1" si="407"/>
        <v>9.083333333333294E-3</v>
      </c>
      <c r="CQ333" s="120"/>
      <c r="CR333" s="120"/>
      <c r="CS333" s="120"/>
      <c r="CT333" s="120"/>
      <c r="CU333" s="120"/>
      <c r="CV333" s="120"/>
      <c r="CW333" s="120"/>
      <c r="CX333" s="120"/>
      <c r="CY333" s="120"/>
      <c r="CZ333" s="120"/>
      <c r="DA333" s="120"/>
      <c r="DB333" s="120"/>
      <c r="DC333" s="120"/>
      <c r="DD333" s="120"/>
      <c r="DE333" s="116"/>
      <c r="DF333" s="116"/>
      <c r="DG333" s="116"/>
      <c r="DH333" s="116"/>
      <c r="DI333" s="116"/>
      <c r="DJ333" s="116"/>
      <c r="DK333" s="116"/>
      <c r="DL333" s="116"/>
      <c r="DM333" s="116"/>
      <c r="DN333" s="116"/>
    </row>
    <row r="334" spans="1:118" x14ac:dyDescent="0.2">
      <c r="A334" s="27">
        <v>328</v>
      </c>
      <c r="B334" s="29">
        <f t="shared" si="340"/>
        <v>49096</v>
      </c>
      <c r="C334" s="30">
        <f t="shared" si="341"/>
        <v>8.3333333333333329E-2</v>
      </c>
      <c r="D334" s="55"/>
      <c r="E334" s="62">
        <f t="shared" ca="1" si="359"/>
        <v>23444387.381593611</v>
      </c>
      <c r="F334" s="63">
        <f ca="1">IF(AssetIntType1="Fixed",AssetFxdRate1,IF(A334=1,OFFSET(Vectors!$D$6,A334,MATCH(AssetFltIndx1,lstInterestRates,0)),IF(MOD($A334,AssetRateReset1)=0,MAX(MIN(OFFSET(Vectors!$D$6,A334,MATCH(AssetFltIndx1,lstInterestRates,0)),(F333-AssetMarg1)+AssetPdCapFl1,AssetLifeCap1-AssetMarg1),(F333-AssetMarg1)-AssetPdCapFl1,AssetLifeFloor1-AssetMarg1),F333)))+AssetMarg1</f>
        <v>0.09</v>
      </c>
      <c r="G334" s="62">
        <f t="shared" ca="1" si="347"/>
        <v>804622.61694478267</v>
      </c>
      <c r="H334" s="62">
        <f t="shared" ca="1" si="360"/>
        <v>175832.90536195209</v>
      </c>
      <c r="I334" s="62">
        <f t="shared" ca="1" si="361"/>
        <v>628789.71158283064</v>
      </c>
      <c r="J334" s="62">
        <f t="shared" ca="1" si="342"/>
        <v>22815597.670010779</v>
      </c>
      <c r="K334" s="55"/>
      <c r="L334" s="62">
        <f t="shared" ca="1" si="362"/>
        <v>4502373.4773091832</v>
      </c>
      <c r="M334" s="68">
        <f ca="1">IF(pdrLossTime1="",OFFSET(Vectors!$AE$6,A334+_Age1,MATCH(SDA_Loss,lstSDA,0)),OFFSET(Vectors!$X$6,A334+_Age1,MATCH(pdrLossTime1,lstDefaultCurve,0)))</f>
        <v>2.7777777777777779E-5</v>
      </c>
      <c r="N334" s="62">
        <f t="shared" ca="1" si="348"/>
        <v>2777.7777777777778</v>
      </c>
      <c r="O334" s="67">
        <f t="shared" ca="1" si="363"/>
        <v>0.22815597670010779</v>
      </c>
      <c r="P334" s="68">
        <f ca="1">OFFSET(Vectors!$L$6,A334+_Age1,MATCH(pdrPrepay1,lstPrepayCurve,0))*pdrPrepayStress1</f>
        <v>5.1430128318229462E-3</v>
      </c>
      <c r="Q334" s="62">
        <f t="shared" ca="1" si="364"/>
        <v>22534.715858152515</v>
      </c>
      <c r="R334" s="62">
        <f t="shared" ca="1" si="365"/>
        <v>120681.31429908964</v>
      </c>
      <c r="S334" s="69">
        <f t="shared" ca="1" si="366"/>
        <v>0.09</v>
      </c>
      <c r="T334" s="62">
        <f t="shared" ca="1" si="367"/>
        <v>33746.967746485541</v>
      </c>
      <c r="U334" s="62">
        <f t="shared" ca="1" si="349"/>
        <v>1111.1111111111111</v>
      </c>
      <c r="V334" s="62">
        <f t="shared" ca="1" si="343"/>
        <v>4356379.6693741633</v>
      </c>
      <c r="W334" s="55"/>
      <c r="X334" s="62">
        <f t="shared" ca="1" si="368"/>
        <v>178074.10901483882</v>
      </c>
      <c r="Y334" s="55"/>
      <c r="Z334" s="118" t="b">
        <v>0</v>
      </c>
      <c r="AA334" s="120" t="b">
        <f t="shared" si="350"/>
        <v>0</v>
      </c>
      <c r="AB334" s="120" t="b">
        <f t="shared" si="351"/>
        <v>1</v>
      </c>
      <c r="AC334" s="120" t="b">
        <f t="shared" ca="1" si="352"/>
        <v>0</v>
      </c>
      <c r="AD334" s="121"/>
      <c r="AE334" s="129">
        <v>0</v>
      </c>
      <c r="AF334" s="69">
        <f ca="1">IF(Swap_Active="No",0,OFFSET(Vectors!$D$6,Vectors!A334,MATCH(Swap_In,lstInterestRates,0)))</f>
        <v>6.9369000000000056E-2</v>
      </c>
      <c r="AG334" s="62">
        <f t="shared" ca="1" si="369"/>
        <v>0</v>
      </c>
      <c r="AH334" s="69">
        <f ca="1">IF(Swap_Active="No",0,OFFSET(Vectors!$D$6,Vectors!A334,MATCH(Swap_Out,lstInterestRates,0)))</f>
        <v>0.04</v>
      </c>
      <c r="AI334" s="62">
        <f t="shared" ca="1" si="370"/>
        <v>0</v>
      </c>
      <c r="AJ334" s="62">
        <f t="shared" ca="1" si="371"/>
        <v>0</v>
      </c>
      <c r="AK334" s="62">
        <f t="shared" ca="1" si="372"/>
        <v>178074.10901483882</v>
      </c>
      <c r="AL334" s="121"/>
      <c r="AM334" s="123">
        <f t="shared" ca="1" si="353"/>
        <v>7503.955795515305</v>
      </c>
      <c r="AN334" s="124">
        <f t="shared" ca="1" si="373"/>
        <v>7503.955795515305</v>
      </c>
      <c r="AO334" s="125">
        <f t="shared" ca="1" si="374"/>
        <v>0</v>
      </c>
      <c r="AP334" s="123">
        <f t="shared" ca="1" si="375"/>
        <v>170570.15321932352</v>
      </c>
      <c r="AQ334" s="121"/>
      <c r="AR334" s="126">
        <f ca="1">IF(LiabIntType1="Fixed",LiabFxdRate1,OFFSET(Vectors!$D$6,Vectors!A334,MATCH(LiabLoanIndex1,lstInterestRates,0))+LiabMarg1)</f>
        <v>7.9369000000000051E-2</v>
      </c>
      <c r="AS334" s="122">
        <f t="shared" ca="1" si="376"/>
        <v>0</v>
      </c>
      <c r="AT334" s="124">
        <f t="shared" ca="1" si="377"/>
        <v>0</v>
      </c>
      <c r="AU334" s="123">
        <f t="shared" ca="1" si="378"/>
        <v>0</v>
      </c>
      <c r="AV334" s="123">
        <f t="shared" ca="1" si="354"/>
        <v>0</v>
      </c>
      <c r="AW334" s="123">
        <f t="shared" ca="1" si="379"/>
        <v>0</v>
      </c>
      <c r="AX334" s="124">
        <f t="shared" ca="1" si="380"/>
        <v>170570.15321932352</v>
      </c>
      <c r="AY334" s="121"/>
      <c r="AZ334" s="122">
        <f t="shared" ca="1" si="355"/>
        <v>0</v>
      </c>
      <c r="BA334" s="124">
        <f t="shared" ca="1" si="381"/>
        <v>0</v>
      </c>
      <c r="BB334" s="123">
        <f t="shared" ca="1" si="382"/>
        <v>0</v>
      </c>
      <c r="BC334" s="123">
        <f t="shared" ca="1" si="356"/>
        <v>0</v>
      </c>
      <c r="BD334" s="123">
        <f t="shared" ca="1" si="383"/>
        <v>0</v>
      </c>
      <c r="BE334" s="124">
        <f t="shared" ca="1" si="384"/>
        <v>170570.15321932352</v>
      </c>
      <c r="BF334" s="121"/>
      <c r="BG334" s="123">
        <f t="shared" si="357"/>
        <v>1000000</v>
      </c>
      <c r="BH334" s="123">
        <f t="shared" ca="1" si="385"/>
        <v>1000000</v>
      </c>
      <c r="BI334" s="123">
        <f t="shared" ca="1" si="386"/>
        <v>0</v>
      </c>
      <c r="BJ334" s="123">
        <f t="shared" ca="1" si="387"/>
        <v>0</v>
      </c>
      <c r="BK334" s="123">
        <f t="shared" ca="1" si="344"/>
        <v>1000000</v>
      </c>
      <c r="BL334" s="123">
        <f t="shared" ca="1" si="388"/>
        <v>170570.15321932352</v>
      </c>
      <c r="BM334" s="121"/>
      <c r="BN334" s="126">
        <f ca="1">IF(LiabIntType2="Fixed",LiabFxdRate2,OFFSET(Vectors!$D$6,Vectors!A334,MATCH(LiabLoanIndex2,lstInterestRates,0))+LiabMarg2)</f>
        <v>0.04</v>
      </c>
      <c r="BO334" s="122">
        <f t="shared" ca="1" si="389"/>
        <v>22113.850698938502</v>
      </c>
      <c r="BP334" s="124">
        <f t="shared" ca="1" si="390"/>
        <v>22113.850698938502</v>
      </c>
      <c r="BQ334" s="123">
        <f t="shared" ca="1" si="391"/>
        <v>0</v>
      </c>
      <c r="BR334" s="123">
        <f t="shared" ca="1" si="392"/>
        <v>148456.30252038501</v>
      </c>
      <c r="BS334" s="121"/>
      <c r="BT334" s="123">
        <f t="shared" ca="1" si="358"/>
        <v>14968.616247663245</v>
      </c>
      <c r="BU334" s="123">
        <f t="shared" ca="1" si="393"/>
        <v>14968.616247663245</v>
      </c>
      <c r="BV334" s="123">
        <f t="shared" ca="1" si="394"/>
        <v>0</v>
      </c>
      <c r="BW334" s="123">
        <f t="shared" ca="1" si="395"/>
        <v>133487.68627272177</v>
      </c>
      <c r="BX334" s="121"/>
      <c r="BY334" s="123">
        <f t="shared" si="396"/>
        <v>0</v>
      </c>
      <c r="BZ334" s="123">
        <f t="shared" ca="1" si="397"/>
        <v>133487.68627272177</v>
      </c>
      <c r="CA334" s="121"/>
      <c r="CB334" s="122">
        <f t="shared" ca="1" si="345"/>
        <v>0</v>
      </c>
      <c r="CC334" s="122">
        <f t="shared" ca="1" si="398"/>
        <v>0</v>
      </c>
      <c r="CD334" s="124">
        <f t="shared" ca="1" si="399"/>
        <v>0</v>
      </c>
      <c r="CE334" s="121"/>
      <c r="CF334" s="122">
        <f t="shared" ca="1" si="346"/>
        <v>6619186.5934338877</v>
      </c>
      <c r="CG334" s="124">
        <f t="shared" ca="1" si="400"/>
        <v>22113.850698938502</v>
      </c>
      <c r="CH334" s="123">
        <f t="shared" ca="1" si="401"/>
        <v>14968.616247663245</v>
      </c>
      <c r="CI334" s="121"/>
      <c r="CJ334" s="123">
        <f t="shared" ca="1" si="402"/>
        <v>178074.10901483882</v>
      </c>
      <c r="CK334" s="123">
        <f t="shared" ca="1" si="403"/>
        <v>178074.10901483882</v>
      </c>
      <c r="CL334" s="123">
        <f t="shared" ca="1" si="404"/>
        <v>0</v>
      </c>
      <c r="CM334" s="121"/>
      <c r="CN334" s="62">
        <f t="shared" ca="1" si="405"/>
        <v>145993.80793501993</v>
      </c>
      <c r="CO334" s="62" t="b">
        <f t="shared" si="406"/>
        <v>1</v>
      </c>
      <c r="CP334" s="126">
        <f t="shared" ca="1" si="407"/>
        <v>9.1111111111110716E-3</v>
      </c>
      <c r="CQ334" s="120"/>
      <c r="CR334" s="120"/>
      <c r="CS334" s="120"/>
      <c r="CT334" s="120"/>
      <c r="CU334" s="120"/>
      <c r="CV334" s="120"/>
      <c r="CW334" s="120"/>
      <c r="CX334" s="120"/>
      <c r="CY334" s="120"/>
      <c r="CZ334" s="120"/>
      <c r="DA334" s="120"/>
      <c r="DB334" s="120"/>
      <c r="DC334" s="120"/>
      <c r="DD334" s="120"/>
      <c r="DE334" s="116"/>
      <c r="DF334" s="116"/>
      <c r="DG334" s="116"/>
      <c r="DH334" s="116"/>
      <c r="DI334" s="116"/>
      <c r="DJ334" s="116"/>
      <c r="DK334" s="116"/>
      <c r="DL334" s="116"/>
      <c r="DM334" s="116"/>
      <c r="DN334" s="116"/>
    </row>
    <row r="335" spans="1:118" x14ac:dyDescent="0.2">
      <c r="A335" s="27">
        <v>329</v>
      </c>
      <c r="B335" s="29">
        <f t="shared" si="340"/>
        <v>49126</v>
      </c>
      <c r="C335" s="30">
        <f t="shared" si="341"/>
        <v>8.3333333333333329E-2</v>
      </c>
      <c r="D335" s="55"/>
      <c r="E335" s="62">
        <f t="shared" ca="1" si="359"/>
        <v>22815597.670010779</v>
      </c>
      <c r="F335" s="63">
        <f ca="1">IF(AssetIntType1="Fixed",AssetFxdRate1,IF(A335=1,OFFSET(Vectors!$D$6,A335,MATCH(AssetFltIndx1,lstInterestRates,0)),IF(MOD($A335,AssetRateReset1)=0,MAX(MIN(OFFSET(Vectors!$D$6,A335,MATCH(AssetFltIndx1,lstInterestRates,0)),(F334-AssetMarg1)+AssetPdCapFl1,AssetLifeCap1-AssetMarg1),(F334-AssetMarg1)-AssetPdCapFl1,AssetLifeFloor1-AssetMarg1),F334)))+AssetMarg1</f>
        <v>0.09</v>
      </c>
      <c r="G335" s="62">
        <f t="shared" ca="1" si="347"/>
        <v>804622.61694478267</v>
      </c>
      <c r="H335" s="62">
        <f t="shared" ca="1" si="360"/>
        <v>171116.98252508085</v>
      </c>
      <c r="I335" s="62">
        <f t="shared" ca="1" si="361"/>
        <v>633505.63441970176</v>
      </c>
      <c r="J335" s="62">
        <f t="shared" ca="1" si="342"/>
        <v>22182092.035591077</v>
      </c>
      <c r="K335" s="55"/>
      <c r="L335" s="62">
        <f t="shared" ca="1" si="362"/>
        <v>4356379.6693741633</v>
      </c>
      <c r="M335" s="68">
        <f ca="1">IF(pdrLossTime1="",OFFSET(Vectors!$AE$6,A335+_Age1,MATCH(SDA_Loss,lstSDA,0)),OFFSET(Vectors!$X$6,A335+_Age1,MATCH(pdrLossTime1,lstDefaultCurve,0)))</f>
        <v>2.7777777777777779E-5</v>
      </c>
      <c r="N335" s="62">
        <f t="shared" ca="1" si="348"/>
        <v>2777.7777777777778</v>
      </c>
      <c r="O335" s="67">
        <f t="shared" ca="1" si="363"/>
        <v>0.22182092035591078</v>
      </c>
      <c r="P335" s="68">
        <f ca="1">OFFSET(Vectors!$L$6,A335+_Age1,MATCH(pdrPrepay1,lstPrepayCurve,0))*pdrPrepayStress1</f>
        <v>5.1430128318229462E-3</v>
      </c>
      <c r="Q335" s="62">
        <f t="shared" ca="1" si="364"/>
        <v>21782.81401721471</v>
      </c>
      <c r="R335" s="62">
        <f t="shared" ca="1" si="365"/>
        <v>120883.58886043065</v>
      </c>
      <c r="S335" s="69">
        <f t="shared" ca="1" si="366"/>
        <v>0.09</v>
      </c>
      <c r="T335" s="62">
        <f t="shared" ca="1" si="367"/>
        <v>32652.014186972887</v>
      </c>
      <c r="U335" s="62">
        <f t="shared" ca="1" si="349"/>
        <v>1111.1111111111111</v>
      </c>
      <c r="V335" s="62">
        <f t="shared" ca="1" si="343"/>
        <v>4210935.4887187397</v>
      </c>
      <c r="W335" s="55"/>
      <c r="X335" s="62">
        <f t="shared" ca="1" si="368"/>
        <v>176429.52817572939</v>
      </c>
      <c r="Y335" s="55"/>
      <c r="Z335" s="118" t="b">
        <v>0</v>
      </c>
      <c r="AA335" s="120" t="b">
        <f t="shared" si="350"/>
        <v>0</v>
      </c>
      <c r="AB335" s="120" t="b">
        <f t="shared" si="351"/>
        <v>1</v>
      </c>
      <c r="AC335" s="120" t="b">
        <f t="shared" ca="1" si="352"/>
        <v>0</v>
      </c>
      <c r="AD335" s="121"/>
      <c r="AE335" s="129">
        <v>0</v>
      </c>
      <c r="AF335" s="69">
        <f ca="1">IF(Swap_Active="No",0,OFFSET(Vectors!$D$6,Vectors!A335,MATCH(Swap_In,lstInterestRates,0)))</f>
        <v>6.9369000000000056E-2</v>
      </c>
      <c r="AG335" s="62">
        <f t="shared" ca="1" si="369"/>
        <v>0</v>
      </c>
      <c r="AH335" s="69">
        <f ca="1">IF(Swap_Active="No",0,OFFSET(Vectors!$D$6,Vectors!A335,MATCH(Swap_Out,lstInterestRates,0)))</f>
        <v>0.04</v>
      </c>
      <c r="AI335" s="62">
        <f t="shared" ca="1" si="370"/>
        <v>0</v>
      </c>
      <c r="AJ335" s="62">
        <f t="shared" ca="1" si="371"/>
        <v>0</v>
      </c>
      <c r="AK335" s="62">
        <f t="shared" ca="1" si="372"/>
        <v>176429.52817572939</v>
      </c>
      <c r="AL335" s="121"/>
      <c r="AM335" s="123">
        <f t="shared" ca="1" si="353"/>
        <v>7260.6327822902713</v>
      </c>
      <c r="AN335" s="124">
        <f t="shared" ca="1" si="373"/>
        <v>7260.6327822902713</v>
      </c>
      <c r="AO335" s="125">
        <f t="shared" ca="1" si="374"/>
        <v>0</v>
      </c>
      <c r="AP335" s="123">
        <f t="shared" ca="1" si="375"/>
        <v>169168.8953934391</v>
      </c>
      <c r="AQ335" s="121"/>
      <c r="AR335" s="126">
        <f ca="1">IF(LiabIntType1="Fixed",LiabFxdRate1,OFFSET(Vectors!$D$6,Vectors!A335,MATCH(LiabLoanIndex1,lstInterestRates,0))+LiabMarg1)</f>
        <v>7.9369000000000051E-2</v>
      </c>
      <c r="AS335" s="122">
        <f t="shared" ca="1" si="376"/>
        <v>0</v>
      </c>
      <c r="AT335" s="124">
        <f t="shared" ca="1" si="377"/>
        <v>0</v>
      </c>
      <c r="AU335" s="123">
        <f t="shared" ca="1" si="378"/>
        <v>0</v>
      </c>
      <c r="AV335" s="123">
        <f t="shared" ca="1" si="354"/>
        <v>0</v>
      </c>
      <c r="AW335" s="123">
        <f t="shared" ca="1" si="379"/>
        <v>0</v>
      </c>
      <c r="AX335" s="124">
        <f t="shared" ca="1" si="380"/>
        <v>169168.8953934391</v>
      </c>
      <c r="AY335" s="121"/>
      <c r="AZ335" s="122">
        <f t="shared" ca="1" si="355"/>
        <v>0</v>
      </c>
      <c r="BA335" s="124">
        <f t="shared" ca="1" si="381"/>
        <v>0</v>
      </c>
      <c r="BB335" s="123">
        <f t="shared" ca="1" si="382"/>
        <v>0</v>
      </c>
      <c r="BC335" s="123">
        <f t="shared" ca="1" si="356"/>
        <v>0</v>
      </c>
      <c r="BD335" s="123">
        <f t="shared" ca="1" si="383"/>
        <v>0</v>
      </c>
      <c r="BE335" s="124">
        <f t="shared" ca="1" si="384"/>
        <v>169168.8953934391</v>
      </c>
      <c r="BF335" s="121"/>
      <c r="BG335" s="123">
        <f t="shared" si="357"/>
        <v>1000000</v>
      </c>
      <c r="BH335" s="123">
        <f t="shared" ca="1" si="385"/>
        <v>1000000</v>
      </c>
      <c r="BI335" s="123">
        <f t="shared" ca="1" si="386"/>
        <v>0</v>
      </c>
      <c r="BJ335" s="123">
        <f t="shared" ca="1" si="387"/>
        <v>0</v>
      </c>
      <c r="BK335" s="123">
        <f t="shared" ca="1" si="344"/>
        <v>1000000</v>
      </c>
      <c r="BL335" s="123">
        <f t="shared" ca="1" si="388"/>
        <v>169168.8953934391</v>
      </c>
      <c r="BM335" s="121"/>
      <c r="BN335" s="126">
        <f ca="1">IF(LiabIntType2="Fixed",LiabFxdRate2,OFFSET(Vectors!$D$6,Vectors!A335,MATCH(LiabLoanIndex2,lstInterestRates,0))+LiabMarg2)</f>
        <v>0.04</v>
      </c>
      <c r="BO335" s="122">
        <f t="shared" ca="1" si="389"/>
        <v>22063.955311446291</v>
      </c>
      <c r="BP335" s="124">
        <f t="shared" ca="1" si="390"/>
        <v>22063.955311446291</v>
      </c>
      <c r="BQ335" s="123">
        <f t="shared" ca="1" si="391"/>
        <v>0</v>
      </c>
      <c r="BR335" s="123">
        <f t="shared" ca="1" si="392"/>
        <v>147104.94008199283</v>
      </c>
      <c r="BS335" s="121"/>
      <c r="BT335" s="123">
        <f t="shared" ca="1" si="358"/>
        <v>14912.263447884277</v>
      </c>
      <c r="BU335" s="123">
        <f t="shared" ca="1" si="393"/>
        <v>14912.263447884277</v>
      </c>
      <c r="BV335" s="123">
        <f t="shared" ca="1" si="394"/>
        <v>0</v>
      </c>
      <c r="BW335" s="123">
        <f t="shared" ca="1" si="395"/>
        <v>132192.67663410856</v>
      </c>
      <c r="BX335" s="121"/>
      <c r="BY335" s="123">
        <f t="shared" si="396"/>
        <v>0</v>
      </c>
      <c r="BZ335" s="123">
        <f t="shared" ca="1" si="397"/>
        <v>132192.67663410856</v>
      </c>
      <c r="CA335" s="121"/>
      <c r="CB335" s="122">
        <f t="shared" ca="1" si="345"/>
        <v>0</v>
      </c>
      <c r="CC335" s="122">
        <f t="shared" ca="1" si="398"/>
        <v>0</v>
      </c>
      <c r="CD335" s="124">
        <f t="shared" ca="1" si="399"/>
        <v>0</v>
      </c>
      <c r="CE335" s="121"/>
      <c r="CF335" s="122">
        <f t="shared" ca="1" si="346"/>
        <v>6604274.3299860032</v>
      </c>
      <c r="CG335" s="124">
        <f t="shared" ca="1" si="400"/>
        <v>22063.955311446291</v>
      </c>
      <c r="CH335" s="123">
        <f t="shared" ca="1" si="401"/>
        <v>14912.263447884277</v>
      </c>
      <c r="CI335" s="121"/>
      <c r="CJ335" s="123">
        <f t="shared" ca="1" si="402"/>
        <v>176429.52817572939</v>
      </c>
      <c r="CK335" s="123">
        <f t="shared" ca="1" si="403"/>
        <v>176429.52817572939</v>
      </c>
      <c r="CL335" s="123">
        <f t="shared" ca="1" si="404"/>
        <v>0</v>
      </c>
      <c r="CM335" s="121"/>
      <c r="CN335" s="62">
        <f t="shared" ca="1" si="405"/>
        <v>145444.18065542314</v>
      </c>
      <c r="CO335" s="62" t="b">
        <f t="shared" si="406"/>
        <v>1</v>
      </c>
      <c r="CP335" s="126">
        <f t="shared" ca="1" si="407"/>
        <v>9.1388888888888492E-3</v>
      </c>
      <c r="CQ335" s="120"/>
      <c r="CR335" s="120"/>
      <c r="CS335" s="120"/>
      <c r="CT335" s="120"/>
      <c r="CU335" s="120"/>
      <c r="CV335" s="120"/>
      <c r="CW335" s="120"/>
      <c r="CX335" s="120"/>
      <c r="CY335" s="120"/>
      <c r="CZ335" s="120"/>
      <c r="DA335" s="120"/>
      <c r="DB335" s="120"/>
      <c r="DC335" s="120"/>
      <c r="DD335" s="120"/>
      <c r="DE335" s="116"/>
      <c r="DF335" s="116"/>
      <c r="DG335" s="116"/>
      <c r="DH335" s="116"/>
      <c r="DI335" s="116"/>
      <c r="DJ335" s="116"/>
      <c r="DK335" s="116"/>
      <c r="DL335" s="116"/>
      <c r="DM335" s="116"/>
      <c r="DN335" s="116"/>
    </row>
    <row r="336" spans="1:118" x14ac:dyDescent="0.2">
      <c r="A336" s="27">
        <v>330</v>
      </c>
      <c r="B336" s="29">
        <f t="shared" si="340"/>
        <v>49157</v>
      </c>
      <c r="C336" s="30">
        <f t="shared" si="341"/>
        <v>8.3333333333333329E-2</v>
      </c>
      <c r="D336" s="55"/>
      <c r="E336" s="62">
        <f t="shared" ca="1" si="359"/>
        <v>22182092.035591077</v>
      </c>
      <c r="F336" s="63">
        <f ca="1">IF(AssetIntType1="Fixed",AssetFxdRate1,IF(A336=1,OFFSET(Vectors!$D$6,A336,MATCH(AssetFltIndx1,lstInterestRates,0)),IF(MOD($A336,AssetRateReset1)=0,MAX(MIN(OFFSET(Vectors!$D$6,A336,MATCH(AssetFltIndx1,lstInterestRates,0)),(F335-AssetMarg1)+AssetPdCapFl1,AssetLifeCap1-AssetMarg1),(F335-AssetMarg1)-AssetPdCapFl1,AssetLifeFloor1-AssetMarg1),F335)))+AssetMarg1</f>
        <v>0.09</v>
      </c>
      <c r="G336" s="62">
        <f t="shared" ca="1" si="347"/>
        <v>804622.61694478267</v>
      </c>
      <c r="H336" s="62">
        <f t="shared" ca="1" si="360"/>
        <v>166365.69026693306</v>
      </c>
      <c r="I336" s="62">
        <f t="shared" ca="1" si="361"/>
        <v>638256.92667784961</v>
      </c>
      <c r="J336" s="62">
        <f t="shared" ca="1" si="342"/>
        <v>21543835.108913228</v>
      </c>
      <c r="K336" s="55"/>
      <c r="L336" s="62">
        <f t="shared" ca="1" si="362"/>
        <v>4210935.4887187397</v>
      </c>
      <c r="M336" s="68">
        <f ca="1">IF(pdrLossTime1="",OFFSET(Vectors!$AE$6,A336+_Age1,MATCH(SDA_Loss,lstSDA,0)),OFFSET(Vectors!$X$6,A336+_Age1,MATCH(pdrLossTime1,lstDefaultCurve,0)))</f>
        <v>2.7777777777777779E-5</v>
      </c>
      <c r="N336" s="62">
        <f t="shared" ca="1" si="348"/>
        <v>2777.7777777777778</v>
      </c>
      <c r="O336" s="67">
        <f t="shared" ca="1" si="363"/>
        <v>0.21543835108913229</v>
      </c>
      <c r="P336" s="68">
        <f ca="1">OFFSET(Vectors!$L$6,A336+_Age1,MATCH(pdrPrepay1,lstPrepayCurve,0))*pdrPrepayStress1</f>
        <v>5.1430128318229462E-3</v>
      </c>
      <c r="Q336" s="62">
        <f t="shared" ca="1" si="364"/>
        <v>21033.750087294331</v>
      </c>
      <c r="R336" s="62">
        <f t="shared" ca="1" si="365"/>
        <v>121083.52103360582</v>
      </c>
      <c r="S336" s="69">
        <f t="shared" ca="1" si="366"/>
        <v>0.09</v>
      </c>
      <c r="T336" s="62">
        <f t="shared" ca="1" si="367"/>
        <v>31561.182832057213</v>
      </c>
      <c r="U336" s="62">
        <f t="shared" ca="1" si="349"/>
        <v>1111.1111111111111</v>
      </c>
      <c r="V336" s="62">
        <f t="shared" ca="1" si="343"/>
        <v>4066040.4398200614</v>
      </c>
      <c r="W336" s="55"/>
      <c r="X336" s="62">
        <f t="shared" ca="1" si="368"/>
        <v>174789.56506406848</v>
      </c>
      <c r="Y336" s="55"/>
      <c r="Z336" s="118" t="b">
        <v>0</v>
      </c>
      <c r="AA336" s="120" t="b">
        <f t="shared" si="350"/>
        <v>0</v>
      </c>
      <c r="AB336" s="120" t="b">
        <f t="shared" si="351"/>
        <v>1</v>
      </c>
      <c r="AC336" s="120" t="b">
        <f t="shared" ca="1" si="352"/>
        <v>0</v>
      </c>
      <c r="AD336" s="121"/>
      <c r="AE336" s="129">
        <v>0</v>
      </c>
      <c r="AF336" s="69">
        <f ca="1">IF(Swap_Active="No",0,OFFSET(Vectors!$D$6,Vectors!A336,MATCH(Swap_In,lstInterestRates,0)))</f>
        <v>6.9369000000000056E-2</v>
      </c>
      <c r="AG336" s="62">
        <f t="shared" ca="1" si="369"/>
        <v>0</v>
      </c>
      <c r="AH336" s="69">
        <f ca="1">IF(Swap_Active="No",0,OFFSET(Vectors!$D$6,Vectors!A336,MATCH(Swap_Out,lstInterestRates,0)))</f>
        <v>0.04</v>
      </c>
      <c r="AI336" s="62">
        <f t="shared" ca="1" si="370"/>
        <v>0</v>
      </c>
      <c r="AJ336" s="62">
        <f t="shared" ca="1" si="371"/>
        <v>0</v>
      </c>
      <c r="AK336" s="62">
        <f t="shared" ca="1" si="372"/>
        <v>174789.56506406848</v>
      </c>
      <c r="AL336" s="121"/>
      <c r="AM336" s="123">
        <f t="shared" ca="1" si="353"/>
        <v>7018.2258145312326</v>
      </c>
      <c r="AN336" s="124">
        <f t="shared" ca="1" si="373"/>
        <v>7018.2258145312326</v>
      </c>
      <c r="AO336" s="125">
        <f t="shared" ca="1" si="374"/>
        <v>0</v>
      </c>
      <c r="AP336" s="123">
        <f t="shared" ca="1" si="375"/>
        <v>167771.33924953724</v>
      </c>
      <c r="AQ336" s="121"/>
      <c r="AR336" s="126">
        <f ca="1">IF(LiabIntType1="Fixed",LiabFxdRate1,OFFSET(Vectors!$D$6,Vectors!A336,MATCH(LiabLoanIndex1,lstInterestRates,0))+LiabMarg1)</f>
        <v>7.9369000000000051E-2</v>
      </c>
      <c r="AS336" s="122">
        <f t="shared" ca="1" si="376"/>
        <v>0</v>
      </c>
      <c r="AT336" s="124">
        <f t="shared" ca="1" si="377"/>
        <v>0</v>
      </c>
      <c r="AU336" s="123">
        <f t="shared" ca="1" si="378"/>
        <v>0</v>
      </c>
      <c r="AV336" s="123">
        <f t="shared" ca="1" si="354"/>
        <v>0</v>
      </c>
      <c r="AW336" s="123">
        <f t="shared" ca="1" si="379"/>
        <v>0</v>
      </c>
      <c r="AX336" s="124">
        <f t="shared" ca="1" si="380"/>
        <v>167771.33924953724</v>
      </c>
      <c r="AY336" s="121"/>
      <c r="AZ336" s="122">
        <f t="shared" ca="1" si="355"/>
        <v>0</v>
      </c>
      <c r="BA336" s="124">
        <f t="shared" ca="1" si="381"/>
        <v>0</v>
      </c>
      <c r="BB336" s="123">
        <f t="shared" ca="1" si="382"/>
        <v>0</v>
      </c>
      <c r="BC336" s="123">
        <f t="shared" ca="1" si="356"/>
        <v>0</v>
      </c>
      <c r="BD336" s="123">
        <f t="shared" ca="1" si="383"/>
        <v>0</v>
      </c>
      <c r="BE336" s="124">
        <f t="shared" ca="1" si="384"/>
        <v>167771.33924953724</v>
      </c>
      <c r="BF336" s="121"/>
      <c r="BG336" s="123">
        <f t="shared" si="357"/>
        <v>1000000</v>
      </c>
      <c r="BH336" s="123">
        <f t="shared" ca="1" si="385"/>
        <v>1000000</v>
      </c>
      <c r="BI336" s="123">
        <f t="shared" ca="1" si="386"/>
        <v>0</v>
      </c>
      <c r="BJ336" s="123">
        <f t="shared" ca="1" si="387"/>
        <v>0</v>
      </c>
      <c r="BK336" s="123">
        <f t="shared" ca="1" si="344"/>
        <v>1000000</v>
      </c>
      <c r="BL336" s="123">
        <f t="shared" ca="1" si="388"/>
        <v>167771.33924953724</v>
      </c>
      <c r="BM336" s="121"/>
      <c r="BN336" s="126">
        <f ca="1">IF(LiabIntType2="Fixed",LiabFxdRate2,OFFSET(Vectors!$D$6,Vectors!A336,MATCH(LiabLoanIndex2,lstInterestRates,0))+LiabMarg2)</f>
        <v>0.04</v>
      </c>
      <c r="BO336" s="122">
        <f t="shared" ca="1" si="389"/>
        <v>22014.24776662001</v>
      </c>
      <c r="BP336" s="124">
        <f t="shared" ca="1" si="390"/>
        <v>22014.24776662001</v>
      </c>
      <c r="BQ336" s="123">
        <f t="shared" ca="1" si="391"/>
        <v>0</v>
      </c>
      <c r="BR336" s="123">
        <f t="shared" ca="1" si="392"/>
        <v>145757.09148291723</v>
      </c>
      <c r="BS336" s="121"/>
      <c r="BT336" s="123">
        <f t="shared" ca="1" si="358"/>
        <v>14855.961453625843</v>
      </c>
      <c r="BU336" s="123">
        <f t="shared" ca="1" si="393"/>
        <v>14855.961453625843</v>
      </c>
      <c r="BV336" s="123">
        <f t="shared" ca="1" si="394"/>
        <v>0</v>
      </c>
      <c r="BW336" s="123">
        <f t="shared" ca="1" si="395"/>
        <v>130901.13002929138</v>
      </c>
      <c r="BX336" s="121"/>
      <c r="BY336" s="123">
        <f t="shared" si="396"/>
        <v>0</v>
      </c>
      <c r="BZ336" s="123">
        <f t="shared" ca="1" si="397"/>
        <v>130901.13002929138</v>
      </c>
      <c r="CA336" s="121"/>
      <c r="CB336" s="122">
        <f t="shared" ca="1" si="345"/>
        <v>0</v>
      </c>
      <c r="CC336" s="122">
        <f t="shared" ca="1" si="398"/>
        <v>0</v>
      </c>
      <c r="CD336" s="124">
        <f t="shared" ca="1" si="399"/>
        <v>0</v>
      </c>
      <c r="CE336" s="121"/>
      <c r="CF336" s="122">
        <f t="shared" ca="1" si="346"/>
        <v>6589418.3685323773</v>
      </c>
      <c r="CG336" s="124">
        <f t="shared" ca="1" si="400"/>
        <v>22014.24776662001</v>
      </c>
      <c r="CH336" s="123">
        <f t="shared" ca="1" si="401"/>
        <v>14855.961453625843</v>
      </c>
      <c r="CI336" s="121"/>
      <c r="CJ336" s="123">
        <f t="shared" ca="1" si="402"/>
        <v>174789.56506406848</v>
      </c>
      <c r="CK336" s="123">
        <f t="shared" ca="1" si="403"/>
        <v>174789.56506406848</v>
      </c>
      <c r="CL336" s="123">
        <f t="shared" ca="1" si="404"/>
        <v>0</v>
      </c>
      <c r="CM336" s="121"/>
      <c r="CN336" s="62">
        <f t="shared" ca="1" si="405"/>
        <v>144895.04889867792</v>
      </c>
      <c r="CO336" s="62" t="b">
        <f t="shared" si="406"/>
        <v>1</v>
      </c>
      <c r="CP336" s="126">
        <f t="shared" ca="1" si="407"/>
        <v>9.1666666666666268E-3</v>
      </c>
      <c r="CQ336" s="120"/>
      <c r="CR336" s="120"/>
      <c r="CS336" s="120"/>
      <c r="CT336" s="120"/>
      <c r="CU336" s="120"/>
      <c r="CV336" s="120"/>
      <c r="CW336" s="120"/>
      <c r="CX336" s="120"/>
      <c r="CY336" s="120"/>
      <c r="CZ336" s="120"/>
      <c r="DA336" s="120"/>
      <c r="DB336" s="120"/>
      <c r="DC336" s="120"/>
      <c r="DD336" s="120"/>
      <c r="DE336" s="116"/>
      <c r="DF336" s="116"/>
      <c r="DG336" s="116"/>
      <c r="DH336" s="116"/>
      <c r="DI336" s="116"/>
      <c r="DJ336" s="116"/>
      <c r="DK336" s="116"/>
      <c r="DL336" s="116"/>
      <c r="DM336" s="116"/>
      <c r="DN336" s="116"/>
    </row>
    <row r="337" spans="1:118" x14ac:dyDescent="0.2">
      <c r="A337" s="27">
        <v>331</v>
      </c>
      <c r="B337" s="29">
        <f t="shared" si="340"/>
        <v>49188</v>
      </c>
      <c r="C337" s="30">
        <f t="shared" si="341"/>
        <v>8.3333333333333329E-2</v>
      </c>
      <c r="D337" s="55"/>
      <c r="E337" s="62">
        <f t="shared" ca="1" si="359"/>
        <v>21543835.108913228</v>
      </c>
      <c r="F337" s="63">
        <f ca="1">IF(AssetIntType1="Fixed",AssetFxdRate1,IF(A337=1,OFFSET(Vectors!$D$6,A337,MATCH(AssetFltIndx1,lstInterestRates,0)),IF(MOD($A337,AssetRateReset1)=0,MAX(MIN(OFFSET(Vectors!$D$6,A337,MATCH(AssetFltIndx1,lstInterestRates,0)),(F336-AssetMarg1)+AssetPdCapFl1,AssetLifeCap1-AssetMarg1),(F336-AssetMarg1)-AssetPdCapFl1,AssetLifeFloor1-AssetMarg1),F336)))+AssetMarg1</f>
        <v>0.09</v>
      </c>
      <c r="G337" s="62">
        <f t="shared" ca="1" si="347"/>
        <v>804622.61694478267</v>
      </c>
      <c r="H337" s="62">
        <f t="shared" ca="1" si="360"/>
        <v>161578.76331684922</v>
      </c>
      <c r="I337" s="62">
        <f t="shared" ca="1" si="361"/>
        <v>643043.85362793342</v>
      </c>
      <c r="J337" s="62">
        <f t="shared" ca="1" si="342"/>
        <v>20900791.255285293</v>
      </c>
      <c r="K337" s="55"/>
      <c r="L337" s="62">
        <f t="shared" ca="1" si="362"/>
        <v>4066040.4398200614</v>
      </c>
      <c r="M337" s="68">
        <f ca="1">IF(pdrLossTime1="",OFFSET(Vectors!$AE$6,A337+_Age1,MATCH(SDA_Loss,lstSDA,0)),OFFSET(Vectors!$X$6,A337+_Age1,MATCH(pdrLossTime1,lstDefaultCurve,0)))</f>
        <v>2.7777777777777779E-5</v>
      </c>
      <c r="N337" s="62">
        <f t="shared" ca="1" si="348"/>
        <v>2777.7777777777778</v>
      </c>
      <c r="O337" s="67">
        <f t="shared" ca="1" si="363"/>
        <v>0.20900791255285292</v>
      </c>
      <c r="P337" s="68">
        <f ca="1">OFFSET(Vectors!$L$6,A337+_Age1,MATCH(pdrPrepay1,lstPrepayCurve,0))*pdrPrepayStress1</f>
        <v>5.1430128318229462E-3</v>
      </c>
      <c r="Q337" s="62">
        <f t="shared" ca="1" si="364"/>
        <v>20287.52242844685</v>
      </c>
      <c r="R337" s="62">
        <f t="shared" ca="1" si="365"/>
        <v>121280.91712979968</v>
      </c>
      <c r="S337" s="69">
        <f t="shared" ca="1" si="366"/>
        <v>0.09</v>
      </c>
      <c r="T337" s="62">
        <f t="shared" ca="1" si="367"/>
        <v>30474.469965317126</v>
      </c>
      <c r="U337" s="62">
        <f t="shared" ca="1" si="349"/>
        <v>1111.1111111111111</v>
      </c>
      <c r="V337" s="62">
        <f t="shared" ca="1" si="343"/>
        <v>3921694.2224840368</v>
      </c>
      <c r="W337" s="55"/>
      <c r="X337" s="62">
        <f t="shared" ca="1" si="368"/>
        <v>173154.02063467476</v>
      </c>
      <c r="Y337" s="55"/>
      <c r="Z337" s="118" t="b">
        <v>0</v>
      </c>
      <c r="AA337" s="120" t="b">
        <f t="shared" si="350"/>
        <v>0</v>
      </c>
      <c r="AB337" s="120" t="b">
        <f t="shared" si="351"/>
        <v>1</v>
      </c>
      <c r="AC337" s="120" t="b">
        <f t="shared" ca="1" si="352"/>
        <v>0</v>
      </c>
      <c r="AD337" s="121"/>
      <c r="AE337" s="129">
        <v>0</v>
      </c>
      <c r="AF337" s="69">
        <f ca="1">IF(Swap_Active="No",0,OFFSET(Vectors!$D$6,Vectors!A337,MATCH(Swap_In,lstInterestRates,0)))</f>
        <v>6.9369000000000056E-2</v>
      </c>
      <c r="AG337" s="62">
        <f t="shared" ca="1" si="369"/>
        <v>0</v>
      </c>
      <c r="AH337" s="69">
        <f ca="1">IF(Swap_Active="No",0,OFFSET(Vectors!$D$6,Vectors!A337,MATCH(Swap_Out,lstInterestRates,0)))</f>
        <v>0.04</v>
      </c>
      <c r="AI337" s="62">
        <f t="shared" ca="1" si="370"/>
        <v>0</v>
      </c>
      <c r="AJ337" s="62">
        <f t="shared" ca="1" si="371"/>
        <v>0</v>
      </c>
      <c r="AK337" s="62">
        <f t="shared" ca="1" si="372"/>
        <v>173154.02063467476</v>
      </c>
      <c r="AL337" s="121"/>
      <c r="AM337" s="123">
        <f t="shared" ca="1" si="353"/>
        <v>6776.7340663667683</v>
      </c>
      <c r="AN337" s="124">
        <f t="shared" ca="1" si="373"/>
        <v>6776.7340663667683</v>
      </c>
      <c r="AO337" s="125">
        <f t="shared" ca="1" si="374"/>
        <v>0</v>
      </c>
      <c r="AP337" s="123">
        <f t="shared" ca="1" si="375"/>
        <v>166377.28656830799</v>
      </c>
      <c r="AQ337" s="121"/>
      <c r="AR337" s="126">
        <f ca="1">IF(LiabIntType1="Fixed",LiabFxdRate1,OFFSET(Vectors!$D$6,Vectors!A337,MATCH(LiabLoanIndex1,lstInterestRates,0))+LiabMarg1)</f>
        <v>7.9369000000000051E-2</v>
      </c>
      <c r="AS337" s="122">
        <f t="shared" ca="1" si="376"/>
        <v>0</v>
      </c>
      <c r="AT337" s="124">
        <f t="shared" ca="1" si="377"/>
        <v>0</v>
      </c>
      <c r="AU337" s="123">
        <f t="shared" ca="1" si="378"/>
        <v>0</v>
      </c>
      <c r="AV337" s="123">
        <f t="shared" ca="1" si="354"/>
        <v>0</v>
      </c>
      <c r="AW337" s="123">
        <f t="shared" ca="1" si="379"/>
        <v>0</v>
      </c>
      <c r="AX337" s="124">
        <f t="shared" ca="1" si="380"/>
        <v>166377.28656830799</v>
      </c>
      <c r="AY337" s="121"/>
      <c r="AZ337" s="122">
        <f t="shared" ca="1" si="355"/>
        <v>0</v>
      </c>
      <c r="BA337" s="124">
        <f t="shared" ca="1" si="381"/>
        <v>0</v>
      </c>
      <c r="BB337" s="123">
        <f t="shared" ca="1" si="382"/>
        <v>0</v>
      </c>
      <c r="BC337" s="123">
        <f t="shared" ca="1" si="356"/>
        <v>0</v>
      </c>
      <c r="BD337" s="123">
        <f t="shared" ca="1" si="383"/>
        <v>0</v>
      </c>
      <c r="BE337" s="124">
        <f t="shared" ca="1" si="384"/>
        <v>166377.28656830799</v>
      </c>
      <c r="BF337" s="121"/>
      <c r="BG337" s="123">
        <f t="shared" si="357"/>
        <v>1000000</v>
      </c>
      <c r="BH337" s="123">
        <f t="shared" ca="1" si="385"/>
        <v>1000000</v>
      </c>
      <c r="BI337" s="123">
        <f t="shared" ca="1" si="386"/>
        <v>0</v>
      </c>
      <c r="BJ337" s="123">
        <f t="shared" ca="1" si="387"/>
        <v>0</v>
      </c>
      <c r="BK337" s="123">
        <f t="shared" ca="1" si="344"/>
        <v>1000000</v>
      </c>
      <c r="BL337" s="123">
        <f t="shared" ca="1" si="388"/>
        <v>166377.28656830799</v>
      </c>
      <c r="BM337" s="121"/>
      <c r="BN337" s="126">
        <f ca="1">IF(LiabIntType2="Fixed",LiabFxdRate2,OFFSET(Vectors!$D$6,Vectors!A337,MATCH(LiabLoanIndex2,lstInterestRates,0))+LiabMarg2)</f>
        <v>0.04</v>
      </c>
      <c r="BO337" s="122">
        <f t="shared" ca="1" si="389"/>
        <v>21964.727895107924</v>
      </c>
      <c r="BP337" s="124">
        <f t="shared" ca="1" si="390"/>
        <v>21964.727895107924</v>
      </c>
      <c r="BQ337" s="123">
        <f t="shared" ca="1" si="391"/>
        <v>0</v>
      </c>
      <c r="BR337" s="123">
        <f t="shared" ca="1" si="392"/>
        <v>144412.55867320005</v>
      </c>
      <c r="BS337" s="121"/>
      <c r="BT337" s="123">
        <f t="shared" ca="1" si="358"/>
        <v>14799.690238002617</v>
      </c>
      <c r="BU337" s="123">
        <f t="shared" ca="1" si="393"/>
        <v>14799.690238002617</v>
      </c>
      <c r="BV337" s="123">
        <f t="shared" ca="1" si="394"/>
        <v>0</v>
      </c>
      <c r="BW337" s="123">
        <f t="shared" ca="1" si="395"/>
        <v>129612.86843519744</v>
      </c>
      <c r="BX337" s="121"/>
      <c r="BY337" s="123">
        <f t="shared" si="396"/>
        <v>0</v>
      </c>
      <c r="BZ337" s="123">
        <f t="shared" ca="1" si="397"/>
        <v>129612.86843519744</v>
      </c>
      <c r="CA337" s="121"/>
      <c r="CB337" s="122">
        <f t="shared" ca="1" si="345"/>
        <v>0</v>
      </c>
      <c r="CC337" s="122">
        <f t="shared" ca="1" si="398"/>
        <v>0</v>
      </c>
      <c r="CD337" s="124">
        <f t="shared" ca="1" si="399"/>
        <v>0</v>
      </c>
      <c r="CE337" s="121"/>
      <c r="CF337" s="122">
        <f t="shared" ca="1" si="346"/>
        <v>6574618.6782943746</v>
      </c>
      <c r="CG337" s="124">
        <f t="shared" ca="1" si="400"/>
        <v>21964.727895107924</v>
      </c>
      <c r="CH337" s="123">
        <f t="shared" ca="1" si="401"/>
        <v>14799.690238002617</v>
      </c>
      <c r="CI337" s="121"/>
      <c r="CJ337" s="123">
        <f t="shared" ca="1" si="402"/>
        <v>173154.02063467476</v>
      </c>
      <c r="CK337" s="123">
        <f t="shared" ca="1" si="403"/>
        <v>173154.02063467476</v>
      </c>
      <c r="CL337" s="123">
        <f t="shared" ca="1" si="404"/>
        <v>0</v>
      </c>
      <c r="CM337" s="121"/>
      <c r="CN337" s="62">
        <f t="shared" ca="1" si="405"/>
        <v>144346.2173360243</v>
      </c>
      <c r="CO337" s="62" t="b">
        <f t="shared" si="406"/>
        <v>1</v>
      </c>
      <c r="CP337" s="126">
        <f t="shared" ca="1" si="407"/>
        <v>9.1944444444444044E-3</v>
      </c>
      <c r="CQ337" s="120"/>
      <c r="CR337" s="120"/>
      <c r="CS337" s="120"/>
      <c r="CT337" s="120"/>
      <c r="CU337" s="120"/>
      <c r="CV337" s="120"/>
      <c r="CW337" s="120"/>
      <c r="CX337" s="120"/>
      <c r="CY337" s="120"/>
      <c r="CZ337" s="120"/>
      <c r="DA337" s="120"/>
      <c r="DB337" s="120"/>
      <c r="DC337" s="120"/>
      <c r="DD337" s="120"/>
      <c r="DE337" s="116"/>
      <c r="DF337" s="116"/>
      <c r="DG337" s="116"/>
      <c r="DH337" s="116"/>
      <c r="DI337" s="116"/>
      <c r="DJ337" s="116"/>
      <c r="DK337" s="116"/>
      <c r="DL337" s="116"/>
      <c r="DM337" s="116"/>
      <c r="DN337" s="116"/>
    </row>
    <row r="338" spans="1:118" x14ac:dyDescent="0.2">
      <c r="A338" s="27">
        <v>332</v>
      </c>
      <c r="B338" s="29">
        <f t="shared" si="340"/>
        <v>49218</v>
      </c>
      <c r="C338" s="30">
        <f t="shared" si="341"/>
        <v>8.3333333333333329E-2</v>
      </c>
      <c r="D338" s="55"/>
      <c r="E338" s="62">
        <f t="shared" ca="1" si="359"/>
        <v>20900791.255285293</v>
      </c>
      <c r="F338" s="63">
        <f ca="1">IF(AssetIntType1="Fixed",AssetFxdRate1,IF(A338=1,OFFSET(Vectors!$D$6,A338,MATCH(AssetFltIndx1,lstInterestRates,0)),IF(MOD($A338,AssetRateReset1)=0,MAX(MIN(OFFSET(Vectors!$D$6,A338,MATCH(AssetFltIndx1,lstInterestRates,0)),(F337-AssetMarg1)+AssetPdCapFl1,AssetLifeCap1-AssetMarg1),(F337-AssetMarg1)-AssetPdCapFl1,AssetLifeFloor1-AssetMarg1),F337)))+AssetMarg1</f>
        <v>0.09</v>
      </c>
      <c r="G338" s="62">
        <f t="shared" ca="1" si="347"/>
        <v>804622.61694478267</v>
      </c>
      <c r="H338" s="62">
        <f t="shared" ca="1" si="360"/>
        <v>156755.93441463969</v>
      </c>
      <c r="I338" s="62">
        <f t="shared" ca="1" si="361"/>
        <v>647866.68253014295</v>
      </c>
      <c r="J338" s="62">
        <f t="shared" ca="1" si="342"/>
        <v>20252924.57275515</v>
      </c>
      <c r="K338" s="55"/>
      <c r="L338" s="62">
        <f t="shared" ca="1" si="362"/>
        <v>3921694.2224840368</v>
      </c>
      <c r="M338" s="68">
        <f ca="1">IF(pdrLossTime1="",OFFSET(Vectors!$AE$6,A338+_Age1,MATCH(SDA_Loss,lstSDA,0)),OFFSET(Vectors!$X$6,A338+_Age1,MATCH(pdrLossTime1,lstDefaultCurve,0)))</f>
        <v>2.7777777777777779E-5</v>
      </c>
      <c r="N338" s="62">
        <f t="shared" ca="1" si="348"/>
        <v>2777.7777777777778</v>
      </c>
      <c r="O338" s="67">
        <f t="shared" ca="1" si="363"/>
        <v>0.20252924572755152</v>
      </c>
      <c r="P338" s="68">
        <f ca="1">OFFSET(Vectors!$L$6,A338+_Age1,MATCH(pdrPrepay1,lstPrepayCurve,0))*pdrPrepayStress1</f>
        <v>5.1430128318229462E-3</v>
      </c>
      <c r="Q338" s="62">
        <f t="shared" ca="1" si="364"/>
        <v>19544.130495677695</v>
      </c>
      <c r="R338" s="62">
        <f t="shared" ca="1" si="365"/>
        <v>121475.56353889819</v>
      </c>
      <c r="S338" s="69">
        <f t="shared" ca="1" si="366"/>
        <v>0.09</v>
      </c>
      <c r="T338" s="62">
        <f t="shared" ca="1" si="367"/>
        <v>29391.873335296939</v>
      </c>
      <c r="U338" s="62">
        <f t="shared" ca="1" si="349"/>
        <v>1111.1111111111111</v>
      </c>
      <c r="V338" s="62">
        <f t="shared" ca="1" si="343"/>
        <v>3777896.7506716829</v>
      </c>
      <c r="W338" s="55"/>
      <c r="X338" s="62">
        <f t="shared" ca="1" si="368"/>
        <v>171522.67848098394</v>
      </c>
      <c r="Y338" s="55"/>
      <c r="Z338" s="118" t="b">
        <v>0</v>
      </c>
      <c r="AA338" s="120" t="b">
        <f t="shared" si="350"/>
        <v>0</v>
      </c>
      <c r="AB338" s="120" t="b">
        <f t="shared" si="351"/>
        <v>1</v>
      </c>
      <c r="AC338" s="120" t="b">
        <f t="shared" ca="1" si="352"/>
        <v>0</v>
      </c>
      <c r="AD338" s="121"/>
      <c r="AE338" s="129">
        <v>0</v>
      </c>
      <c r="AF338" s="69">
        <f ca="1">IF(Swap_Active="No",0,OFFSET(Vectors!$D$6,Vectors!A338,MATCH(Swap_In,lstInterestRates,0)))</f>
        <v>6.9369000000000056E-2</v>
      </c>
      <c r="AG338" s="62">
        <f t="shared" ca="1" si="369"/>
        <v>0</v>
      </c>
      <c r="AH338" s="69">
        <f ca="1">IF(Swap_Active="No",0,OFFSET(Vectors!$D$6,Vectors!A338,MATCH(Swap_Out,lstInterestRates,0)))</f>
        <v>0.04</v>
      </c>
      <c r="AI338" s="62">
        <f t="shared" ca="1" si="370"/>
        <v>0</v>
      </c>
      <c r="AJ338" s="62">
        <f t="shared" ca="1" si="371"/>
        <v>0</v>
      </c>
      <c r="AK338" s="62">
        <f t="shared" ca="1" si="372"/>
        <v>171522.67848098394</v>
      </c>
      <c r="AL338" s="121"/>
      <c r="AM338" s="123">
        <f t="shared" ca="1" si="353"/>
        <v>6536.1570374733947</v>
      </c>
      <c r="AN338" s="124">
        <f t="shared" ca="1" si="373"/>
        <v>6536.1570374733947</v>
      </c>
      <c r="AO338" s="125">
        <f t="shared" ca="1" si="374"/>
        <v>0</v>
      </c>
      <c r="AP338" s="123">
        <f t="shared" ca="1" si="375"/>
        <v>164986.52144351054</v>
      </c>
      <c r="AQ338" s="121"/>
      <c r="AR338" s="126">
        <f ca="1">IF(LiabIntType1="Fixed",LiabFxdRate1,OFFSET(Vectors!$D$6,Vectors!A338,MATCH(LiabLoanIndex1,lstInterestRates,0))+LiabMarg1)</f>
        <v>7.9369000000000051E-2</v>
      </c>
      <c r="AS338" s="122">
        <f t="shared" ca="1" si="376"/>
        <v>0</v>
      </c>
      <c r="AT338" s="124">
        <f t="shared" ca="1" si="377"/>
        <v>0</v>
      </c>
      <c r="AU338" s="123">
        <f t="shared" ca="1" si="378"/>
        <v>0</v>
      </c>
      <c r="AV338" s="123">
        <f t="shared" ca="1" si="354"/>
        <v>0</v>
      </c>
      <c r="AW338" s="123">
        <f t="shared" ca="1" si="379"/>
        <v>0</v>
      </c>
      <c r="AX338" s="124">
        <f t="shared" ca="1" si="380"/>
        <v>164986.52144351054</v>
      </c>
      <c r="AY338" s="121"/>
      <c r="AZ338" s="122">
        <f t="shared" ca="1" si="355"/>
        <v>0</v>
      </c>
      <c r="BA338" s="124">
        <f t="shared" ca="1" si="381"/>
        <v>0</v>
      </c>
      <c r="BB338" s="123">
        <f t="shared" ca="1" si="382"/>
        <v>0</v>
      </c>
      <c r="BC338" s="123">
        <f t="shared" ca="1" si="356"/>
        <v>0</v>
      </c>
      <c r="BD338" s="123">
        <f t="shared" ca="1" si="383"/>
        <v>0</v>
      </c>
      <c r="BE338" s="124">
        <f t="shared" ca="1" si="384"/>
        <v>164986.52144351054</v>
      </c>
      <c r="BF338" s="121"/>
      <c r="BG338" s="123">
        <f t="shared" si="357"/>
        <v>1000000</v>
      </c>
      <c r="BH338" s="123">
        <f t="shared" ca="1" si="385"/>
        <v>1000000</v>
      </c>
      <c r="BI338" s="123">
        <f t="shared" ca="1" si="386"/>
        <v>0</v>
      </c>
      <c r="BJ338" s="123">
        <f t="shared" ca="1" si="387"/>
        <v>0</v>
      </c>
      <c r="BK338" s="123">
        <f t="shared" ca="1" si="344"/>
        <v>1000000</v>
      </c>
      <c r="BL338" s="123">
        <f t="shared" ca="1" si="388"/>
        <v>164986.52144351054</v>
      </c>
      <c r="BM338" s="121"/>
      <c r="BN338" s="126">
        <f ca="1">IF(LiabIntType2="Fixed",LiabFxdRate2,OFFSET(Vectors!$D$6,Vectors!A338,MATCH(LiabLoanIndex2,lstInterestRates,0))+LiabMarg2)</f>
        <v>0.04</v>
      </c>
      <c r="BO338" s="122">
        <f t="shared" ca="1" si="389"/>
        <v>21915.395594314581</v>
      </c>
      <c r="BP338" s="124">
        <f t="shared" ca="1" si="390"/>
        <v>21915.395594314581</v>
      </c>
      <c r="BQ338" s="123">
        <f t="shared" ca="1" si="391"/>
        <v>0</v>
      </c>
      <c r="BR338" s="123">
        <f t="shared" ca="1" si="392"/>
        <v>143071.12584919596</v>
      </c>
      <c r="BS338" s="121"/>
      <c r="BT338" s="123">
        <f t="shared" ca="1" si="358"/>
        <v>14743.427843880363</v>
      </c>
      <c r="BU338" s="123">
        <f t="shared" ca="1" si="393"/>
        <v>14743.427843880363</v>
      </c>
      <c r="BV338" s="123">
        <f t="shared" ca="1" si="394"/>
        <v>0</v>
      </c>
      <c r="BW338" s="123">
        <f t="shared" ca="1" si="395"/>
        <v>128327.6980053156</v>
      </c>
      <c r="BX338" s="121"/>
      <c r="BY338" s="123">
        <f t="shared" si="396"/>
        <v>0</v>
      </c>
      <c r="BZ338" s="123">
        <f t="shared" ca="1" si="397"/>
        <v>128327.6980053156</v>
      </c>
      <c r="CA338" s="121"/>
      <c r="CB338" s="122">
        <f t="shared" ca="1" si="345"/>
        <v>0</v>
      </c>
      <c r="CC338" s="122">
        <f t="shared" ca="1" si="398"/>
        <v>0</v>
      </c>
      <c r="CD338" s="124">
        <f t="shared" ca="1" si="399"/>
        <v>0</v>
      </c>
      <c r="CE338" s="121"/>
      <c r="CF338" s="122">
        <f t="shared" ca="1" si="346"/>
        <v>6559875.2504504947</v>
      </c>
      <c r="CG338" s="124">
        <f t="shared" ca="1" si="400"/>
        <v>21915.395594314581</v>
      </c>
      <c r="CH338" s="123">
        <f t="shared" ca="1" si="401"/>
        <v>14743.427843880363</v>
      </c>
      <c r="CI338" s="121"/>
      <c r="CJ338" s="123">
        <f t="shared" ca="1" si="402"/>
        <v>171522.67848098394</v>
      </c>
      <c r="CK338" s="123">
        <f t="shared" ca="1" si="403"/>
        <v>171522.67848098394</v>
      </c>
      <c r="CL338" s="123">
        <f t="shared" ca="1" si="404"/>
        <v>0</v>
      </c>
      <c r="CM338" s="121"/>
      <c r="CN338" s="62">
        <f t="shared" ca="1" si="405"/>
        <v>143797.47181235367</v>
      </c>
      <c r="CO338" s="62" t="b">
        <f t="shared" si="406"/>
        <v>1</v>
      </c>
      <c r="CP338" s="126">
        <f t="shared" ca="1" si="407"/>
        <v>9.222222222222182E-3</v>
      </c>
      <c r="CQ338" s="120"/>
      <c r="CR338" s="120"/>
      <c r="CS338" s="120"/>
      <c r="CT338" s="120"/>
      <c r="CU338" s="120"/>
      <c r="CV338" s="120"/>
      <c r="CW338" s="120"/>
      <c r="CX338" s="120"/>
      <c r="CY338" s="120"/>
      <c r="CZ338" s="120"/>
      <c r="DA338" s="120"/>
      <c r="DB338" s="120"/>
      <c r="DC338" s="120"/>
      <c r="DD338" s="120"/>
      <c r="DE338" s="116"/>
      <c r="DF338" s="116"/>
      <c r="DG338" s="116"/>
      <c r="DH338" s="116"/>
      <c r="DI338" s="116"/>
      <c r="DJ338" s="116"/>
      <c r="DK338" s="116"/>
      <c r="DL338" s="116"/>
      <c r="DM338" s="116"/>
      <c r="DN338" s="116"/>
    </row>
    <row r="339" spans="1:118" x14ac:dyDescent="0.2">
      <c r="A339" s="27">
        <v>333</v>
      </c>
      <c r="B339" s="29">
        <f t="shared" si="340"/>
        <v>49249</v>
      </c>
      <c r="C339" s="30">
        <f t="shared" si="341"/>
        <v>8.3333333333333329E-2</v>
      </c>
      <c r="D339" s="55"/>
      <c r="E339" s="62">
        <f t="shared" ca="1" si="359"/>
        <v>20252924.57275515</v>
      </c>
      <c r="F339" s="63">
        <f ca="1">IF(AssetIntType1="Fixed",AssetFxdRate1,IF(A339=1,OFFSET(Vectors!$D$6,A339,MATCH(AssetFltIndx1,lstInterestRates,0)),IF(MOD($A339,AssetRateReset1)=0,MAX(MIN(OFFSET(Vectors!$D$6,A339,MATCH(AssetFltIndx1,lstInterestRates,0)),(F338-AssetMarg1)+AssetPdCapFl1,AssetLifeCap1-AssetMarg1),(F338-AssetMarg1)-AssetPdCapFl1,AssetLifeFloor1-AssetMarg1),F338)))+AssetMarg1</f>
        <v>0.09</v>
      </c>
      <c r="G339" s="62">
        <f t="shared" ca="1" si="347"/>
        <v>804622.61694478267</v>
      </c>
      <c r="H339" s="62">
        <f t="shared" ca="1" si="360"/>
        <v>151896.93429566361</v>
      </c>
      <c r="I339" s="62">
        <f t="shared" ca="1" si="361"/>
        <v>652725.68264911906</v>
      </c>
      <c r="J339" s="62">
        <f t="shared" ca="1" si="342"/>
        <v>19600198.89010603</v>
      </c>
      <c r="K339" s="55"/>
      <c r="L339" s="62">
        <f t="shared" ca="1" si="362"/>
        <v>3777896.7506716829</v>
      </c>
      <c r="M339" s="68">
        <f ca="1">IF(pdrLossTime1="",OFFSET(Vectors!$AE$6,A339+_Age1,MATCH(SDA_Loss,lstSDA,0)),OFFSET(Vectors!$X$6,A339+_Age1,MATCH(pdrLossTime1,lstDefaultCurve,0)))</f>
        <v>2.7777777777777779E-5</v>
      </c>
      <c r="N339" s="62">
        <f t="shared" ca="1" si="348"/>
        <v>2777.7777777777778</v>
      </c>
      <c r="O339" s="67">
        <f t="shared" ca="1" si="363"/>
        <v>0.1960019889010603</v>
      </c>
      <c r="P339" s="68">
        <f ca="1">OFFSET(Vectors!$L$6,A339+_Age1,MATCH(pdrPrepay1,lstPrepayCurve,0))*pdrPrepayStress1</f>
        <v>5.1430128318229462E-3</v>
      </c>
      <c r="Q339" s="62">
        <f t="shared" ca="1" si="364"/>
        <v>18803.574948150377</v>
      </c>
      <c r="R339" s="62">
        <f t="shared" ca="1" si="365"/>
        <v>121667.22390200532</v>
      </c>
      <c r="S339" s="69">
        <f t="shared" ca="1" si="366"/>
        <v>0.09</v>
      </c>
      <c r="T339" s="62">
        <f t="shared" ca="1" si="367"/>
        <v>28313.392296704285</v>
      </c>
      <c r="U339" s="62">
        <f t="shared" ca="1" si="349"/>
        <v>1111.1111111111111</v>
      </c>
      <c r="V339" s="62">
        <f t="shared" ca="1" si="343"/>
        <v>3634648.1740437495</v>
      </c>
      <c r="W339" s="55"/>
      <c r="X339" s="62">
        <f t="shared" ca="1" si="368"/>
        <v>169895.30225797111</v>
      </c>
      <c r="Y339" s="55"/>
      <c r="Z339" s="118" t="b">
        <v>0</v>
      </c>
      <c r="AA339" s="120" t="b">
        <f t="shared" si="350"/>
        <v>0</v>
      </c>
      <c r="AB339" s="120" t="b">
        <f t="shared" si="351"/>
        <v>1</v>
      </c>
      <c r="AC339" s="120" t="b">
        <f t="shared" ca="1" si="352"/>
        <v>0</v>
      </c>
      <c r="AD339" s="121"/>
      <c r="AE339" s="129">
        <v>0</v>
      </c>
      <c r="AF339" s="69">
        <f ca="1">IF(Swap_Active="No",0,OFFSET(Vectors!$D$6,Vectors!A339,MATCH(Swap_In,lstInterestRates,0)))</f>
        <v>6.9369000000000056E-2</v>
      </c>
      <c r="AG339" s="62">
        <f t="shared" ca="1" si="369"/>
        <v>0</v>
      </c>
      <c r="AH339" s="69">
        <f ca="1">IF(Swap_Active="No",0,OFFSET(Vectors!$D$6,Vectors!A339,MATCH(Swap_Out,lstInterestRates,0)))</f>
        <v>0.04</v>
      </c>
      <c r="AI339" s="62">
        <f t="shared" ca="1" si="370"/>
        <v>0</v>
      </c>
      <c r="AJ339" s="62">
        <f t="shared" ca="1" si="371"/>
        <v>0</v>
      </c>
      <c r="AK339" s="62">
        <f t="shared" ca="1" si="372"/>
        <v>169895.30225797111</v>
      </c>
      <c r="AL339" s="121"/>
      <c r="AM339" s="123">
        <f t="shared" ca="1" si="353"/>
        <v>6296.4945844528047</v>
      </c>
      <c r="AN339" s="124">
        <f t="shared" ca="1" si="373"/>
        <v>6296.4945844528047</v>
      </c>
      <c r="AO339" s="125">
        <f t="shared" ca="1" si="374"/>
        <v>0</v>
      </c>
      <c r="AP339" s="123">
        <f t="shared" ca="1" si="375"/>
        <v>163598.80767351831</v>
      </c>
      <c r="AQ339" s="121"/>
      <c r="AR339" s="126">
        <f ca="1">IF(LiabIntType1="Fixed",LiabFxdRate1,OFFSET(Vectors!$D$6,Vectors!A339,MATCH(LiabLoanIndex1,lstInterestRates,0))+LiabMarg1)</f>
        <v>7.9369000000000051E-2</v>
      </c>
      <c r="AS339" s="122">
        <f t="shared" ca="1" si="376"/>
        <v>0</v>
      </c>
      <c r="AT339" s="124">
        <f t="shared" ca="1" si="377"/>
        <v>0</v>
      </c>
      <c r="AU339" s="123">
        <f t="shared" ca="1" si="378"/>
        <v>0</v>
      </c>
      <c r="AV339" s="123">
        <f t="shared" ca="1" si="354"/>
        <v>0</v>
      </c>
      <c r="AW339" s="123">
        <f t="shared" ca="1" si="379"/>
        <v>0</v>
      </c>
      <c r="AX339" s="124">
        <f t="shared" ca="1" si="380"/>
        <v>163598.80767351831</v>
      </c>
      <c r="AY339" s="121"/>
      <c r="AZ339" s="122">
        <f t="shared" ca="1" si="355"/>
        <v>0</v>
      </c>
      <c r="BA339" s="124">
        <f t="shared" ca="1" si="381"/>
        <v>0</v>
      </c>
      <c r="BB339" s="123">
        <f t="shared" ca="1" si="382"/>
        <v>0</v>
      </c>
      <c r="BC339" s="123">
        <f t="shared" ca="1" si="356"/>
        <v>0</v>
      </c>
      <c r="BD339" s="123">
        <f t="shared" ca="1" si="383"/>
        <v>0</v>
      </c>
      <c r="BE339" s="124">
        <f t="shared" ca="1" si="384"/>
        <v>163598.80767351831</v>
      </c>
      <c r="BF339" s="121"/>
      <c r="BG339" s="123">
        <f t="shared" si="357"/>
        <v>1000000</v>
      </c>
      <c r="BH339" s="123">
        <f t="shared" ca="1" si="385"/>
        <v>1000000</v>
      </c>
      <c r="BI339" s="123">
        <f t="shared" ca="1" si="386"/>
        <v>0</v>
      </c>
      <c r="BJ339" s="123">
        <f t="shared" ca="1" si="387"/>
        <v>0</v>
      </c>
      <c r="BK339" s="123">
        <f t="shared" ca="1" si="344"/>
        <v>1000000</v>
      </c>
      <c r="BL339" s="123">
        <f t="shared" ca="1" si="388"/>
        <v>163598.80767351831</v>
      </c>
      <c r="BM339" s="121"/>
      <c r="BN339" s="126">
        <f ca="1">IF(LiabIntType2="Fixed",LiabFxdRate2,OFFSET(Vectors!$D$6,Vectors!A339,MATCH(LiabLoanIndex2,lstInterestRates,0))+LiabMarg2)</f>
        <v>0.04</v>
      </c>
      <c r="BO339" s="122">
        <f t="shared" ca="1" si="389"/>
        <v>21866.25083483498</v>
      </c>
      <c r="BP339" s="124">
        <f t="shared" ca="1" si="390"/>
        <v>21866.25083483498</v>
      </c>
      <c r="BQ339" s="123">
        <f t="shared" ca="1" si="391"/>
        <v>0</v>
      </c>
      <c r="BR339" s="123">
        <f t="shared" ca="1" si="392"/>
        <v>141732.55683868332</v>
      </c>
      <c r="BS339" s="121"/>
      <c r="BT339" s="123">
        <f t="shared" ca="1" si="358"/>
        <v>14687.150105173574</v>
      </c>
      <c r="BU339" s="123">
        <f t="shared" ca="1" si="393"/>
        <v>14687.150105173574</v>
      </c>
      <c r="BV339" s="123">
        <f t="shared" ca="1" si="394"/>
        <v>0</v>
      </c>
      <c r="BW339" s="123">
        <f t="shared" ca="1" si="395"/>
        <v>127045.40673350975</v>
      </c>
      <c r="BX339" s="121"/>
      <c r="BY339" s="123">
        <f t="shared" si="396"/>
        <v>0</v>
      </c>
      <c r="BZ339" s="123">
        <f t="shared" ca="1" si="397"/>
        <v>127045.40673350975</v>
      </c>
      <c r="CA339" s="121"/>
      <c r="CB339" s="122">
        <f t="shared" ca="1" si="345"/>
        <v>0</v>
      </c>
      <c r="CC339" s="122">
        <f t="shared" ca="1" si="398"/>
        <v>0</v>
      </c>
      <c r="CD339" s="124">
        <f t="shared" ca="1" si="399"/>
        <v>0</v>
      </c>
      <c r="CE339" s="121"/>
      <c r="CF339" s="122">
        <f t="shared" ca="1" si="346"/>
        <v>6545188.100345321</v>
      </c>
      <c r="CG339" s="124">
        <f t="shared" ca="1" si="400"/>
        <v>21866.25083483498</v>
      </c>
      <c r="CH339" s="123">
        <f t="shared" ca="1" si="401"/>
        <v>14687.150105173574</v>
      </c>
      <c r="CI339" s="121"/>
      <c r="CJ339" s="123">
        <f t="shared" ca="1" si="402"/>
        <v>169895.30225797111</v>
      </c>
      <c r="CK339" s="123">
        <f t="shared" ca="1" si="403"/>
        <v>169895.30225797111</v>
      </c>
      <c r="CL339" s="123">
        <f t="shared" ca="1" si="404"/>
        <v>0</v>
      </c>
      <c r="CM339" s="121"/>
      <c r="CN339" s="62">
        <f t="shared" ca="1" si="405"/>
        <v>143248.57662793348</v>
      </c>
      <c r="CO339" s="62" t="b">
        <f t="shared" si="406"/>
        <v>1</v>
      </c>
      <c r="CP339" s="126">
        <f t="shared" ca="1" si="407"/>
        <v>9.2499999999999596E-3</v>
      </c>
      <c r="CQ339" s="120"/>
      <c r="CR339" s="120"/>
      <c r="CS339" s="120"/>
      <c r="CT339" s="120"/>
      <c r="CU339" s="120"/>
      <c r="CV339" s="120"/>
      <c r="CW339" s="120"/>
      <c r="CX339" s="120"/>
      <c r="CY339" s="120"/>
      <c r="CZ339" s="120"/>
      <c r="DA339" s="120"/>
      <c r="DB339" s="120"/>
      <c r="DC339" s="120"/>
      <c r="DD339" s="120"/>
      <c r="DE339" s="116"/>
      <c r="DF339" s="116"/>
      <c r="DG339" s="116"/>
      <c r="DH339" s="116"/>
      <c r="DI339" s="116"/>
      <c r="DJ339" s="116"/>
      <c r="DK339" s="116"/>
      <c r="DL339" s="116"/>
      <c r="DM339" s="116"/>
      <c r="DN339" s="116"/>
    </row>
    <row r="340" spans="1:118" x14ac:dyDescent="0.2">
      <c r="A340" s="27">
        <v>334</v>
      </c>
      <c r="B340" s="29">
        <f t="shared" si="340"/>
        <v>49279</v>
      </c>
      <c r="C340" s="30">
        <f t="shared" si="341"/>
        <v>8.3333333333333329E-2</v>
      </c>
      <c r="D340" s="55"/>
      <c r="E340" s="62">
        <f t="shared" ca="1" si="359"/>
        <v>19600198.89010603</v>
      </c>
      <c r="F340" s="63">
        <f ca="1">IF(AssetIntType1="Fixed",AssetFxdRate1,IF(A340=1,OFFSET(Vectors!$D$6,A340,MATCH(AssetFltIndx1,lstInterestRates,0)),IF(MOD($A340,AssetRateReset1)=0,MAX(MIN(OFFSET(Vectors!$D$6,A340,MATCH(AssetFltIndx1,lstInterestRates,0)),(F339-AssetMarg1)+AssetPdCapFl1,AssetLifeCap1-AssetMarg1),(F339-AssetMarg1)-AssetPdCapFl1,AssetLifeFloor1-AssetMarg1),F339)))+AssetMarg1</f>
        <v>0.09</v>
      </c>
      <c r="G340" s="62">
        <f t="shared" ca="1" si="347"/>
        <v>804622.61694478267</v>
      </c>
      <c r="H340" s="62">
        <f t="shared" ca="1" si="360"/>
        <v>147001.49167579523</v>
      </c>
      <c r="I340" s="62">
        <f t="shared" ca="1" si="361"/>
        <v>657621.12526898738</v>
      </c>
      <c r="J340" s="62">
        <f t="shared" ca="1" si="342"/>
        <v>18942577.764837041</v>
      </c>
      <c r="K340" s="55"/>
      <c r="L340" s="62">
        <f t="shared" ca="1" si="362"/>
        <v>3634648.1740437495</v>
      </c>
      <c r="M340" s="68">
        <f ca="1">IF(pdrLossTime1="",OFFSET(Vectors!$AE$6,A340+_Age1,MATCH(SDA_Loss,lstSDA,0)),OFFSET(Vectors!$X$6,A340+_Age1,MATCH(pdrLossTime1,lstDefaultCurve,0)))</f>
        <v>2.7777777777777779E-5</v>
      </c>
      <c r="N340" s="62">
        <f t="shared" ca="1" si="348"/>
        <v>2777.7777777777778</v>
      </c>
      <c r="O340" s="67">
        <f t="shared" ca="1" si="363"/>
        <v>0.1894257776483704</v>
      </c>
      <c r="P340" s="68">
        <f ca="1">OFFSET(Vectors!$L$6,A340+_Age1,MATCH(pdrPrepay1,lstPrepayCurve,0))*pdrPrepayStress1</f>
        <v>5.1430128318229462E-3</v>
      </c>
      <c r="Q340" s="62">
        <f t="shared" ca="1" si="364"/>
        <v>18065.857774577529</v>
      </c>
      <c r="R340" s="62">
        <f t="shared" ca="1" si="365"/>
        <v>121855.63576241019</v>
      </c>
      <c r="S340" s="69">
        <f t="shared" ca="1" si="366"/>
        <v>0.09</v>
      </c>
      <c r="T340" s="62">
        <f t="shared" ca="1" si="367"/>
        <v>27239.027971994787</v>
      </c>
      <c r="U340" s="62">
        <f t="shared" ca="1" si="349"/>
        <v>1111.1111111111111</v>
      </c>
      <c r="V340" s="62">
        <f t="shared" ca="1" si="343"/>
        <v>3491948.9027289837</v>
      </c>
      <c r="W340" s="55"/>
      <c r="X340" s="62">
        <f t="shared" ca="1" si="368"/>
        <v>168271.63262009365</v>
      </c>
      <c r="Y340" s="55"/>
      <c r="Z340" s="118" t="b">
        <v>0</v>
      </c>
      <c r="AA340" s="120" t="b">
        <f t="shared" si="350"/>
        <v>0</v>
      </c>
      <c r="AB340" s="120" t="b">
        <f t="shared" si="351"/>
        <v>1</v>
      </c>
      <c r="AC340" s="120" t="b">
        <f t="shared" ca="1" si="352"/>
        <v>0</v>
      </c>
      <c r="AD340" s="121"/>
      <c r="AE340" s="129">
        <v>0</v>
      </c>
      <c r="AF340" s="69">
        <f ca="1">IF(Swap_Active="No",0,OFFSET(Vectors!$D$6,Vectors!A340,MATCH(Swap_In,lstInterestRates,0)))</f>
        <v>6.9369000000000056E-2</v>
      </c>
      <c r="AG340" s="62">
        <f t="shared" ca="1" si="369"/>
        <v>0</v>
      </c>
      <c r="AH340" s="69">
        <f ca="1">IF(Swap_Active="No",0,OFFSET(Vectors!$D$6,Vectors!A340,MATCH(Swap_Out,lstInterestRates,0)))</f>
        <v>0.04</v>
      </c>
      <c r="AI340" s="62">
        <f t="shared" ca="1" si="370"/>
        <v>0</v>
      </c>
      <c r="AJ340" s="62">
        <f t="shared" ca="1" si="371"/>
        <v>0</v>
      </c>
      <c r="AK340" s="62">
        <f t="shared" ca="1" si="372"/>
        <v>168271.63262009365</v>
      </c>
      <c r="AL340" s="121"/>
      <c r="AM340" s="123">
        <f t="shared" ca="1" si="353"/>
        <v>6057.7469567395819</v>
      </c>
      <c r="AN340" s="124">
        <f t="shared" ca="1" si="373"/>
        <v>6057.7469567395819</v>
      </c>
      <c r="AO340" s="125">
        <f t="shared" ca="1" si="374"/>
        <v>0</v>
      </c>
      <c r="AP340" s="123">
        <f t="shared" ca="1" si="375"/>
        <v>162213.88566335407</v>
      </c>
      <c r="AQ340" s="121"/>
      <c r="AR340" s="126">
        <f ca="1">IF(LiabIntType1="Fixed",LiabFxdRate1,OFFSET(Vectors!$D$6,Vectors!A340,MATCH(LiabLoanIndex1,lstInterestRates,0))+LiabMarg1)</f>
        <v>7.9369000000000051E-2</v>
      </c>
      <c r="AS340" s="122">
        <f t="shared" ca="1" si="376"/>
        <v>0</v>
      </c>
      <c r="AT340" s="124">
        <f t="shared" ca="1" si="377"/>
        <v>0</v>
      </c>
      <c r="AU340" s="123">
        <f t="shared" ca="1" si="378"/>
        <v>0</v>
      </c>
      <c r="AV340" s="123">
        <f t="shared" ca="1" si="354"/>
        <v>0</v>
      </c>
      <c r="AW340" s="123">
        <f t="shared" ca="1" si="379"/>
        <v>0</v>
      </c>
      <c r="AX340" s="124">
        <f t="shared" ca="1" si="380"/>
        <v>162213.88566335407</v>
      </c>
      <c r="AY340" s="121"/>
      <c r="AZ340" s="122">
        <f t="shared" ca="1" si="355"/>
        <v>0</v>
      </c>
      <c r="BA340" s="124">
        <f t="shared" ca="1" si="381"/>
        <v>0</v>
      </c>
      <c r="BB340" s="123">
        <f t="shared" ca="1" si="382"/>
        <v>0</v>
      </c>
      <c r="BC340" s="123">
        <f t="shared" ca="1" si="356"/>
        <v>0</v>
      </c>
      <c r="BD340" s="123">
        <f t="shared" ca="1" si="383"/>
        <v>0</v>
      </c>
      <c r="BE340" s="124">
        <f t="shared" ca="1" si="384"/>
        <v>162213.88566335407</v>
      </c>
      <c r="BF340" s="121"/>
      <c r="BG340" s="123">
        <f t="shared" si="357"/>
        <v>1000000</v>
      </c>
      <c r="BH340" s="123">
        <f t="shared" ca="1" si="385"/>
        <v>1000000</v>
      </c>
      <c r="BI340" s="123">
        <f t="shared" ca="1" si="386"/>
        <v>0</v>
      </c>
      <c r="BJ340" s="123">
        <f t="shared" ca="1" si="387"/>
        <v>0</v>
      </c>
      <c r="BK340" s="123">
        <f t="shared" ca="1" si="344"/>
        <v>1000000</v>
      </c>
      <c r="BL340" s="123">
        <f t="shared" ca="1" si="388"/>
        <v>162213.88566335407</v>
      </c>
      <c r="BM340" s="121"/>
      <c r="BN340" s="126">
        <f ca="1">IF(LiabIntType2="Fixed",LiabFxdRate2,OFFSET(Vectors!$D$6,Vectors!A340,MATCH(LiabLoanIndex2,lstInterestRates,0))+LiabMarg2)</f>
        <v>0.04</v>
      </c>
      <c r="BO340" s="122">
        <f t="shared" ca="1" si="389"/>
        <v>21817.293667817736</v>
      </c>
      <c r="BP340" s="124">
        <f t="shared" ca="1" si="390"/>
        <v>21817.293667817736</v>
      </c>
      <c r="BQ340" s="123">
        <f t="shared" ca="1" si="391"/>
        <v>0</v>
      </c>
      <c r="BR340" s="123">
        <f t="shared" ca="1" si="392"/>
        <v>140396.59199553635</v>
      </c>
      <c r="BS340" s="121"/>
      <c r="BT340" s="123">
        <f t="shared" ca="1" si="358"/>
        <v>14630.830316328327</v>
      </c>
      <c r="BU340" s="123">
        <f t="shared" ca="1" si="393"/>
        <v>14630.830316328327</v>
      </c>
      <c r="BV340" s="123">
        <f t="shared" ca="1" si="394"/>
        <v>0</v>
      </c>
      <c r="BW340" s="123">
        <f t="shared" ca="1" si="395"/>
        <v>125765.76167920802</v>
      </c>
      <c r="BX340" s="121"/>
      <c r="BY340" s="123">
        <f t="shared" si="396"/>
        <v>0</v>
      </c>
      <c r="BZ340" s="123">
        <f t="shared" ca="1" si="397"/>
        <v>125765.76167920802</v>
      </c>
      <c r="CA340" s="121"/>
      <c r="CB340" s="122">
        <f t="shared" ca="1" si="345"/>
        <v>0</v>
      </c>
      <c r="CC340" s="122">
        <f t="shared" ca="1" si="398"/>
        <v>0</v>
      </c>
      <c r="CD340" s="124">
        <f t="shared" ca="1" si="399"/>
        <v>0</v>
      </c>
      <c r="CE340" s="121"/>
      <c r="CF340" s="122">
        <f t="shared" ca="1" si="346"/>
        <v>6530557.2700289926</v>
      </c>
      <c r="CG340" s="124">
        <f t="shared" ca="1" si="400"/>
        <v>21817.293667817736</v>
      </c>
      <c r="CH340" s="123">
        <f t="shared" ca="1" si="401"/>
        <v>14630.830316328327</v>
      </c>
      <c r="CI340" s="121"/>
      <c r="CJ340" s="123">
        <f t="shared" ca="1" si="402"/>
        <v>168271.63262009365</v>
      </c>
      <c r="CK340" s="123">
        <f t="shared" ca="1" si="403"/>
        <v>168271.63262009367</v>
      </c>
      <c r="CL340" s="123">
        <f t="shared" ca="1" si="404"/>
        <v>0</v>
      </c>
      <c r="CM340" s="121"/>
      <c r="CN340" s="62">
        <f t="shared" ca="1" si="405"/>
        <v>142699.2713147655</v>
      </c>
      <c r="CO340" s="62" t="b">
        <f t="shared" si="406"/>
        <v>1</v>
      </c>
      <c r="CP340" s="126">
        <f t="shared" ca="1" si="407"/>
        <v>9.2777777777777373E-3</v>
      </c>
      <c r="CQ340" s="120"/>
      <c r="CR340" s="120"/>
      <c r="CS340" s="120"/>
      <c r="CT340" s="120"/>
      <c r="CU340" s="120"/>
      <c r="CV340" s="120"/>
      <c r="CW340" s="120"/>
      <c r="CX340" s="120"/>
      <c r="CY340" s="120"/>
      <c r="CZ340" s="120"/>
      <c r="DA340" s="120"/>
      <c r="DB340" s="120"/>
      <c r="DC340" s="120"/>
      <c r="DD340" s="120"/>
      <c r="DE340" s="116"/>
      <c r="DF340" s="116"/>
      <c r="DG340" s="116"/>
      <c r="DH340" s="116"/>
      <c r="DI340" s="116"/>
      <c r="DJ340" s="116"/>
      <c r="DK340" s="116"/>
      <c r="DL340" s="116"/>
      <c r="DM340" s="116"/>
      <c r="DN340" s="116"/>
    </row>
    <row r="341" spans="1:118" x14ac:dyDescent="0.2">
      <c r="A341" s="27">
        <v>335</v>
      </c>
      <c r="B341" s="29">
        <f t="shared" si="340"/>
        <v>49310</v>
      </c>
      <c r="C341" s="30">
        <f t="shared" si="341"/>
        <v>8.3333333333333329E-2</v>
      </c>
      <c r="D341" s="55"/>
      <c r="E341" s="62">
        <f t="shared" ca="1" si="359"/>
        <v>18942577.764837041</v>
      </c>
      <c r="F341" s="63">
        <f ca="1">IF(AssetIntType1="Fixed",AssetFxdRate1,IF(A341=1,OFFSET(Vectors!$D$6,A341,MATCH(AssetFltIndx1,lstInterestRates,0)),IF(MOD($A341,AssetRateReset1)=0,MAX(MIN(OFFSET(Vectors!$D$6,A341,MATCH(AssetFltIndx1,lstInterestRates,0)),(F340-AssetMarg1)+AssetPdCapFl1,AssetLifeCap1-AssetMarg1),(F340-AssetMarg1)-AssetPdCapFl1,AssetLifeFloor1-AssetMarg1),F340)))+AssetMarg1</f>
        <v>0.09</v>
      </c>
      <c r="G341" s="62">
        <f t="shared" ca="1" si="347"/>
        <v>804622.61694478267</v>
      </c>
      <c r="H341" s="62">
        <f t="shared" ca="1" si="360"/>
        <v>142069.3332362778</v>
      </c>
      <c r="I341" s="62">
        <f t="shared" ca="1" si="361"/>
        <v>662553.28370850487</v>
      </c>
      <c r="J341" s="62">
        <f t="shared" ca="1" si="342"/>
        <v>18280024.481128536</v>
      </c>
      <c r="K341" s="55"/>
      <c r="L341" s="62">
        <f t="shared" ca="1" si="362"/>
        <v>3491948.9027289837</v>
      </c>
      <c r="M341" s="68">
        <f ca="1">IF(pdrLossTime1="",OFFSET(Vectors!$AE$6,A341+_Age1,MATCH(SDA_Loss,lstSDA,0)),OFFSET(Vectors!$X$6,A341+_Age1,MATCH(pdrLossTime1,lstDefaultCurve,0)))</f>
        <v>2.7777777777777779E-5</v>
      </c>
      <c r="N341" s="62">
        <f t="shared" ca="1" si="348"/>
        <v>2777.7777777777778</v>
      </c>
      <c r="O341" s="67">
        <f t="shared" ca="1" si="363"/>
        <v>0.18280024481128537</v>
      </c>
      <c r="P341" s="68">
        <f ca="1">OFFSET(Vectors!$L$6,A341+_Age1,MATCH(pdrPrepay1,lstPrepayCurve,0))*pdrPrepayStress1</f>
        <v>5.1430128318229462E-3</v>
      </c>
      <c r="Q341" s="62">
        <f t="shared" ca="1" si="364"/>
        <v>17330.982437882041</v>
      </c>
      <c r="R341" s="62">
        <f t="shared" ca="1" si="365"/>
        <v>122040.50657501415</v>
      </c>
      <c r="S341" s="69">
        <f t="shared" ca="1" si="366"/>
        <v>0.09</v>
      </c>
      <c r="T341" s="62">
        <f t="shared" ca="1" si="367"/>
        <v>26168.783437134043</v>
      </c>
      <c r="U341" s="62">
        <f t="shared" ca="1" si="349"/>
        <v>1111.1111111111111</v>
      </c>
      <c r="V341" s="62">
        <f t="shared" ca="1" si="343"/>
        <v>3349799.6359383096</v>
      </c>
      <c r="W341" s="55"/>
      <c r="X341" s="62">
        <f t="shared" ca="1" si="368"/>
        <v>166651.38356114138</v>
      </c>
      <c r="Y341" s="55"/>
      <c r="Z341" s="118" t="b">
        <v>0</v>
      </c>
      <c r="AA341" s="120" t="b">
        <f t="shared" si="350"/>
        <v>0</v>
      </c>
      <c r="AB341" s="120" t="b">
        <f t="shared" si="351"/>
        <v>1</v>
      </c>
      <c r="AC341" s="120" t="b">
        <f t="shared" ca="1" si="352"/>
        <v>0</v>
      </c>
      <c r="AD341" s="121"/>
      <c r="AE341" s="129">
        <v>0</v>
      </c>
      <c r="AF341" s="69">
        <f ca="1">IF(Swap_Active="No",0,OFFSET(Vectors!$D$6,Vectors!A341,MATCH(Swap_In,lstInterestRates,0)))</f>
        <v>6.9369000000000056E-2</v>
      </c>
      <c r="AG341" s="62">
        <f t="shared" ca="1" si="369"/>
        <v>0</v>
      </c>
      <c r="AH341" s="69">
        <f ca="1">IF(Swap_Active="No",0,OFFSET(Vectors!$D$6,Vectors!A341,MATCH(Swap_Out,lstInterestRates,0)))</f>
        <v>0.04</v>
      </c>
      <c r="AI341" s="62">
        <f t="shared" ca="1" si="370"/>
        <v>0</v>
      </c>
      <c r="AJ341" s="62">
        <f t="shared" ca="1" si="371"/>
        <v>0</v>
      </c>
      <c r="AK341" s="62">
        <f t="shared" ca="1" si="372"/>
        <v>166651.38356114138</v>
      </c>
      <c r="AL341" s="121"/>
      <c r="AM341" s="123">
        <f t="shared" ca="1" si="353"/>
        <v>5819.914837881639</v>
      </c>
      <c r="AN341" s="124">
        <f t="shared" ca="1" si="373"/>
        <v>5819.914837881639</v>
      </c>
      <c r="AO341" s="125">
        <f t="shared" ca="1" si="374"/>
        <v>0</v>
      </c>
      <c r="AP341" s="123">
        <f t="shared" ca="1" si="375"/>
        <v>160831.46872325975</v>
      </c>
      <c r="AQ341" s="121"/>
      <c r="AR341" s="126">
        <f ca="1">IF(LiabIntType1="Fixed",LiabFxdRate1,OFFSET(Vectors!$D$6,Vectors!A341,MATCH(LiabLoanIndex1,lstInterestRates,0))+LiabMarg1)</f>
        <v>7.9369000000000051E-2</v>
      </c>
      <c r="AS341" s="122">
        <f t="shared" ca="1" si="376"/>
        <v>0</v>
      </c>
      <c r="AT341" s="124">
        <f t="shared" ca="1" si="377"/>
        <v>0</v>
      </c>
      <c r="AU341" s="123">
        <f t="shared" ca="1" si="378"/>
        <v>0</v>
      </c>
      <c r="AV341" s="123">
        <f t="shared" ca="1" si="354"/>
        <v>0</v>
      </c>
      <c r="AW341" s="123">
        <f t="shared" ca="1" si="379"/>
        <v>0</v>
      </c>
      <c r="AX341" s="124">
        <f t="shared" ca="1" si="380"/>
        <v>160831.46872325975</v>
      </c>
      <c r="AY341" s="121"/>
      <c r="AZ341" s="122">
        <f t="shared" ca="1" si="355"/>
        <v>0</v>
      </c>
      <c r="BA341" s="124">
        <f t="shared" ca="1" si="381"/>
        <v>0</v>
      </c>
      <c r="BB341" s="123">
        <f t="shared" ca="1" si="382"/>
        <v>0</v>
      </c>
      <c r="BC341" s="123">
        <f t="shared" ca="1" si="356"/>
        <v>0</v>
      </c>
      <c r="BD341" s="123">
        <f t="shared" ca="1" si="383"/>
        <v>0</v>
      </c>
      <c r="BE341" s="124">
        <f t="shared" ca="1" si="384"/>
        <v>160831.46872325975</v>
      </c>
      <c r="BF341" s="121"/>
      <c r="BG341" s="123">
        <f t="shared" si="357"/>
        <v>1000000</v>
      </c>
      <c r="BH341" s="123">
        <f t="shared" ca="1" si="385"/>
        <v>1000000</v>
      </c>
      <c r="BI341" s="123">
        <f t="shared" ca="1" si="386"/>
        <v>0</v>
      </c>
      <c r="BJ341" s="123">
        <f t="shared" ca="1" si="387"/>
        <v>0</v>
      </c>
      <c r="BK341" s="123">
        <f t="shared" ca="1" si="344"/>
        <v>1000000</v>
      </c>
      <c r="BL341" s="123">
        <f t="shared" ca="1" si="388"/>
        <v>160831.46872325975</v>
      </c>
      <c r="BM341" s="121"/>
      <c r="BN341" s="126">
        <f ca="1">IF(LiabIntType2="Fixed",LiabFxdRate2,OFFSET(Vectors!$D$6,Vectors!A341,MATCH(LiabLoanIndex2,lstInterestRates,0))+LiabMarg2)</f>
        <v>0.04</v>
      </c>
      <c r="BO341" s="122">
        <f t="shared" ca="1" si="389"/>
        <v>21768.524233429973</v>
      </c>
      <c r="BP341" s="124">
        <f t="shared" ca="1" si="390"/>
        <v>21768.524233429973</v>
      </c>
      <c r="BQ341" s="123">
        <f t="shared" ca="1" si="391"/>
        <v>0</v>
      </c>
      <c r="BR341" s="123">
        <f t="shared" ca="1" si="392"/>
        <v>139062.94448982977</v>
      </c>
      <c r="BS341" s="121"/>
      <c r="BT341" s="123">
        <f t="shared" ca="1" si="358"/>
        <v>14574.438838004337</v>
      </c>
      <c r="BU341" s="123">
        <f t="shared" ca="1" si="393"/>
        <v>14574.438838004337</v>
      </c>
      <c r="BV341" s="123">
        <f t="shared" ca="1" si="394"/>
        <v>0</v>
      </c>
      <c r="BW341" s="123">
        <f t="shared" ca="1" si="395"/>
        <v>124488.50565182543</v>
      </c>
      <c r="BX341" s="121"/>
      <c r="BY341" s="123">
        <f t="shared" si="396"/>
        <v>0</v>
      </c>
      <c r="BZ341" s="123">
        <f t="shared" ca="1" si="397"/>
        <v>124488.50565182543</v>
      </c>
      <c r="CA341" s="121"/>
      <c r="CB341" s="122">
        <f t="shared" ca="1" si="345"/>
        <v>0</v>
      </c>
      <c r="CC341" s="122">
        <f t="shared" ca="1" si="398"/>
        <v>0</v>
      </c>
      <c r="CD341" s="124">
        <f t="shared" ca="1" si="399"/>
        <v>0</v>
      </c>
      <c r="CE341" s="121"/>
      <c r="CF341" s="122">
        <f t="shared" ca="1" si="346"/>
        <v>6515982.8311909884</v>
      </c>
      <c r="CG341" s="124">
        <f t="shared" ca="1" si="400"/>
        <v>21768.524233429973</v>
      </c>
      <c r="CH341" s="123">
        <f t="shared" ca="1" si="401"/>
        <v>14574.438838004337</v>
      </c>
      <c r="CI341" s="121"/>
      <c r="CJ341" s="123">
        <f t="shared" ca="1" si="402"/>
        <v>166651.38356114138</v>
      </c>
      <c r="CK341" s="123">
        <f t="shared" ca="1" si="403"/>
        <v>166651.38356114138</v>
      </c>
      <c r="CL341" s="123">
        <f t="shared" ca="1" si="404"/>
        <v>0</v>
      </c>
      <c r="CM341" s="121"/>
      <c r="CN341" s="62">
        <f t="shared" ca="1" si="405"/>
        <v>142149.26679067398</v>
      </c>
      <c r="CO341" s="62" t="b">
        <f t="shared" si="406"/>
        <v>1</v>
      </c>
      <c r="CP341" s="126">
        <f t="shared" ca="1" si="407"/>
        <v>9.3055555555555149E-3</v>
      </c>
      <c r="CQ341" s="120"/>
      <c r="CR341" s="120"/>
      <c r="CS341" s="120"/>
      <c r="CT341" s="120"/>
      <c r="CU341" s="120"/>
      <c r="CV341" s="120"/>
      <c r="CW341" s="120"/>
      <c r="CX341" s="120"/>
      <c r="CY341" s="120"/>
      <c r="CZ341" s="120"/>
      <c r="DA341" s="120"/>
      <c r="DB341" s="120"/>
      <c r="DC341" s="120"/>
      <c r="DD341" s="120"/>
      <c r="DE341" s="116"/>
      <c r="DF341" s="116"/>
      <c r="DG341" s="116"/>
      <c r="DH341" s="116"/>
      <c r="DI341" s="116"/>
      <c r="DJ341" s="116"/>
      <c r="DK341" s="116"/>
      <c r="DL341" s="116"/>
      <c r="DM341" s="116"/>
      <c r="DN341" s="116"/>
    </row>
    <row r="342" spans="1:118" x14ac:dyDescent="0.2">
      <c r="A342" s="27">
        <v>336</v>
      </c>
      <c r="B342" s="29">
        <f t="shared" si="340"/>
        <v>49341</v>
      </c>
      <c r="C342" s="30">
        <f t="shared" si="341"/>
        <v>8.3333333333333329E-2</v>
      </c>
      <c r="D342" s="55"/>
      <c r="E342" s="62">
        <f t="shared" ca="1" si="359"/>
        <v>18280024.481128536</v>
      </c>
      <c r="F342" s="63">
        <f ca="1">IF(AssetIntType1="Fixed",AssetFxdRate1,IF(A342=1,OFFSET(Vectors!$D$6,A342,MATCH(AssetFltIndx1,lstInterestRates,0)),IF(MOD($A342,AssetRateReset1)=0,MAX(MIN(OFFSET(Vectors!$D$6,A342,MATCH(AssetFltIndx1,lstInterestRates,0)),(F341-AssetMarg1)+AssetPdCapFl1,AssetLifeCap1-AssetMarg1),(F341-AssetMarg1)-AssetPdCapFl1,AssetLifeFloor1-AssetMarg1),F341)))+AssetMarg1</f>
        <v>0.09</v>
      </c>
      <c r="G342" s="62">
        <f t="shared" ca="1" si="347"/>
        <v>804622.61694478267</v>
      </c>
      <c r="H342" s="62">
        <f t="shared" ca="1" si="360"/>
        <v>137100.18360846402</v>
      </c>
      <c r="I342" s="62">
        <f t="shared" ca="1" si="361"/>
        <v>667522.4333363187</v>
      </c>
      <c r="J342" s="62">
        <f t="shared" ca="1" si="342"/>
        <v>17612502.047792219</v>
      </c>
      <c r="K342" s="55"/>
      <c r="L342" s="62">
        <f t="shared" ca="1" si="362"/>
        <v>3349799.6359383096</v>
      </c>
      <c r="M342" s="68">
        <f ca="1">IF(pdrLossTime1="",OFFSET(Vectors!$AE$6,A342+_Age1,MATCH(SDA_Loss,lstSDA,0)),OFFSET(Vectors!$X$6,A342+_Age1,MATCH(pdrLossTime1,lstDefaultCurve,0)))</f>
        <v>2.7777777777777779E-5</v>
      </c>
      <c r="N342" s="62">
        <f t="shared" ca="1" si="348"/>
        <v>2777.7777777777778</v>
      </c>
      <c r="O342" s="67">
        <f t="shared" ca="1" si="363"/>
        <v>0.1761250204779222</v>
      </c>
      <c r="P342" s="68">
        <f ca="1">OFFSET(Vectors!$L$6,A342+_Age1,MATCH(pdrPrepay1,lstPrepayCurve,0))*pdrPrepayStress1</f>
        <v>5.1430128318229462E-3</v>
      </c>
      <c r="Q342" s="62">
        <f t="shared" ca="1" si="364"/>
        <v>16598.954042948149</v>
      </c>
      <c r="R342" s="62">
        <f t="shared" ca="1" si="365"/>
        <v>122221.5089206066</v>
      </c>
      <c r="S342" s="69">
        <f t="shared" ca="1" si="366"/>
        <v>0.09</v>
      </c>
      <c r="T342" s="62">
        <f t="shared" ca="1" si="367"/>
        <v>25102.663936203986</v>
      </c>
      <c r="U342" s="62">
        <f t="shared" ca="1" si="349"/>
        <v>1111.1111111111111</v>
      </c>
      <c r="V342" s="62">
        <f t="shared" ca="1" si="343"/>
        <v>3208201.3951969766</v>
      </c>
      <c r="W342" s="55"/>
      <c r="X342" s="62">
        <f t="shared" ca="1" si="368"/>
        <v>165034.23801086986</v>
      </c>
      <c r="Y342" s="55"/>
      <c r="Z342" s="118" t="b">
        <v>0</v>
      </c>
      <c r="AA342" s="120" t="b">
        <f t="shared" si="350"/>
        <v>0</v>
      </c>
      <c r="AB342" s="120" t="b">
        <f t="shared" si="351"/>
        <v>1</v>
      </c>
      <c r="AC342" s="120" t="b">
        <f t="shared" ca="1" si="352"/>
        <v>0</v>
      </c>
      <c r="AD342" s="121"/>
      <c r="AE342" s="129">
        <v>0</v>
      </c>
      <c r="AF342" s="69">
        <f ca="1">IF(Swap_Active="No",0,OFFSET(Vectors!$D$6,Vectors!A342,MATCH(Swap_In,lstInterestRates,0)))</f>
        <v>6.9369000000000056E-2</v>
      </c>
      <c r="AG342" s="62">
        <f t="shared" ca="1" si="369"/>
        <v>0</v>
      </c>
      <c r="AH342" s="69">
        <f ca="1">IF(Swap_Active="No",0,OFFSET(Vectors!$D$6,Vectors!A342,MATCH(Swap_Out,lstInterestRates,0)))</f>
        <v>0.04</v>
      </c>
      <c r="AI342" s="62">
        <f t="shared" ca="1" si="370"/>
        <v>0</v>
      </c>
      <c r="AJ342" s="62">
        <f t="shared" ca="1" si="371"/>
        <v>0</v>
      </c>
      <c r="AK342" s="62">
        <f t="shared" ca="1" si="372"/>
        <v>165034.23801086986</v>
      </c>
      <c r="AL342" s="121"/>
      <c r="AM342" s="123">
        <f t="shared" ca="1" si="353"/>
        <v>5582.999393230516</v>
      </c>
      <c r="AN342" s="124">
        <f t="shared" ca="1" si="373"/>
        <v>5582.999393230516</v>
      </c>
      <c r="AO342" s="125">
        <f t="shared" ca="1" si="374"/>
        <v>0</v>
      </c>
      <c r="AP342" s="123">
        <f t="shared" ca="1" si="375"/>
        <v>159451.23861763935</v>
      </c>
      <c r="AQ342" s="121"/>
      <c r="AR342" s="126">
        <f ca="1">IF(LiabIntType1="Fixed",LiabFxdRate1,OFFSET(Vectors!$D$6,Vectors!A342,MATCH(LiabLoanIndex1,lstInterestRates,0))+LiabMarg1)</f>
        <v>7.9369000000000051E-2</v>
      </c>
      <c r="AS342" s="122">
        <f t="shared" ca="1" si="376"/>
        <v>0</v>
      </c>
      <c r="AT342" s="124">
        <f t="shared" ca="1" si="377"/>
        <v>0</v>
      </c>
      <c r="AU342" s="123">
        <f t="shared" ca="1" si="378"/>
        <v>0</v>
      </c>
      <c r="AV342" s="123">
        <f t="shared" ca="1" si="354"/>
        <v>0</v>
      </c>
      <c r="AW342" s="123">
        <f t="shared" ca="1" si="379"/>
        <v>0</v>
      </c>
      <c r="AX342" s="124">
        <f t="shared" ca="1" si="380"/>
        <v>159451.23861763935</v>
      </c>
      <c r="AY342" s="121"/>
      <c r="AZ342" s="122">
        <f t="shared" ca="1" si="355"/>
        <v>0</v>
      </c>
      <c r="BA342" s="124">
        <f t="shared" ca="1" si="381"/>
        <v>0</v>
      </c>
      <c r="BB342" s="123">
        <f t="shared" ca="1" si="382"/>
        <v>0</v>
      </c>
      <c r="BC342" s="123">
        <f t="shared" ca="1" si="356"/>
        <v>0</v>
      </c>
      <c r="BD342" s="123">
        <f t="shared" ca="1" si="383"/>
        <v>0</v>
      </c>
      <c r="BE342" s="124">
        <f t="shared" ca="1" si="384"/>
        <v>159451.23861763935</v>
      </c>
      <c r="BF342" s="121"/>
      <c r="BG342" s="123">
        <f t="shared" si="357"/>
        <v>1000000</v>
      </c>
      <c r="BH342" s="123">
        <f t="shared" ca="1" si="385"/>
        <v>1000000</v>
      </c>
      <c r="BI342" s="123">
        <f t="shared" ca="1" si="386"/>
        <v>0</v>
      </c>
      <c r="BJ342" s="123">
        <f t="shared" ca="1" si="387"/>
        <v>0</v>
      </c>
      <c r="BK342" s="123">
        <f t="shared" ca="1" si="344"/>
        <v>1000000</v>
      </c>
      <c r="BL342" s="123">
        <f t="shared" ca="1" si="388"/>
        <v>159451.23861763935</v>
      </c>
      <c r="BM342" s="121"/>
      <c r="BN342" s="126">
        <f ca="1">IF(LiabIntType2="Fixed",LiabFxdRate2,OFFSET(Vectors!$D$6,Vectors!A342,MATCH(LiabLoanIndex2,lstInterestRates,0))+LiabMarg2)</f>
        <v>0.04</v>
      </c>
      <c r="BO342" s="122">
        <f t="shared" ca="1" si="389"/>
        <v>21719.942770636626</v>
      </c>
      <c r="BP342" s="124">
        <f t="shared" ca="1" si="390"/>
        <v>21719.942770636626</v>
      </c>
      <c r="BQ342" s="123">
        <f t="shared" ca="1" si="391"/>
        <v>0</v>
      </c>
      <c r="BR342" s="123">
        <f t="shared" ca="1" si="392"/>
        <v>137731.29584700271</v>
      </c>
      <c r="BS342" s="121"/>
      <c r="BT342" s="123">
        <f t="shared" ca="1" si="358"/>
        <v>14517.942623598248</v>
      </c>
      <c r="BU342" s="123">
        <f t="shared" ca="1" si="393"/>
        <v>14517.942623598248</v>
      </c>
      <c r="BV342" s="123">
        <f t="shared" ca="1" si="394"/>
        <v>0</v>
      </c>
      <c r="BW342" s="123">
        <f t="shared" ca="1" si="395"/>
        <v>123213.35322340445</v>
      </c>
      <c r="BX342" s="121"/>
      <c r="BY342" s="123">
        <f t="shared" si="396"/>
        <v>0</v>
      </c>
      <c r="BZ342" s="123">
        <f t="shared" ca="1" si="397"/>
        <v>123213.35322340445</v>
      </c>
      <c r="CA342" s="121"/>
      <c r="CB342" s="122">
        <f t="shared" ca="1" si="345"/>
        <v>0</v>
      </c>
      <c r="CC342" s="122">
        <f t="shared" ca="1" si="398"/>
        <v>0</v>
      </c>
      <c r="CD342" s="124">
        <f t="shared" ca="1" si="399"/>
        <v>0</v>
      </c>
      <c r="CE342" s="121"/>
      <c r="CF342" s="122">
        <f t="shared" ca="1" si="346"/>
        <v>6501464.8885673899</v>
      </c>
      <c r="CG342" s="124">
        <f t="shared" ca="1" si="400"/>
        <v>21719.942770636626</v>
      </c>
      <c r="CH342" s="123">
        <f t="shared" ca="1" si="401"/>
        <v>14517.942623598248</v>
      </c>
      <c r="CI342" s="121"/>
      <c r="CJ342" s="123">
        <f t="shared" ca="1" si="402"/>
        <v>165034.23801086986</v>
      </c>
      <c r="CK342" s="123">
        <f t="shared" ca="1" si="403"/>
        <v>165034.23801086983</v>
      </c>
      <c r="CL342" s="123">
        <f t="shared" ca="1" si="404"/>
        <v>0</v>
      </c>
      <c r="CM342" s="121"/>
      <c r="CN342" s="62">
        <f t="shared" ca="1" si="405"/>
        <v>141598.24074133253</v>
      </c>
      <c r="CO342" s="62" t="b">
        <f t="shared" si="406"/>
        <v>1</v>
      </c>
      <c r="CP342" s="126">
        <f t="shared" ca="1" si="407"/>
        <v>9.3333333333332925E-3</v>
      </c>
      <c r="CQ342" s="120"/>
      <c r="CR342" s="120"/>
      <c r="CS342" s="120"/>
      <c r="CT342" s="120"/>
      <c r="CU342" s="120"/>
      <c r="CV342" s="120"/>
      <c r="CW342" s="120"/>
      <c r="CX342" s="120"/>
      <c r="CY342" s="120"/>
      <c r="CZ342" s="120"/>
      <c r="DA342" s="120"/>
      <c r="DB342" s="120"/>
      <c r="DC342" s="120"/>
      <c r="DD342" s="120"/>
      <c r="DE342" s="116"/>
      <c r="DF342" s="116"/>
      <c r="DG342" s="116"/>
      <c r="DH342" s="116"/>
      <c r="DI342" s="116"/>
      <c r="DJ342" s="116"/>
      <c r="DK342" s="116"/>
      <c r="DL342" s="116"/>
      <c r="DM342" s="116"/>
      <c r="DN342" s="116"/>
    </row>
    <row r="343" spans="1:118" x14ac:dyDescent="0.2">
      <c r="A343" s="27">
        <v>337</v>
      </c>
      <c r="B343" s="29">
        <f t="shared" si="340"/>
        <v>49369</v>
      </c>
      <c r="C343" s="30">
        <f t="shared" si="341"/>
        <v>8.3333333333333329E-2</v>
      </c>
      <c r="D343" s="55"/>
      <c r="E343" s="62">
        <f t="shared" ca="1" si="359"/>
        <v>17612502.047792219</v>
      </c>
      <c r="F343" s="63">
        <f ca="1">IF(AssetIntType1="Fixed",AssetFxdRate1,IF(A343=1,OFFSET(Vectors!$D$6,A343,MATCH(AssetFltIndx1,lstInterestRates,0)),IF(MOD($A343,AssetRateReset1)=0,MAX(MIN(OFFSET(Vectors!$D$6,A343,MATCH(AssetFltIndx1,lstInterestRates,0)),(F342-AssetMarg1)+AssetPdCapFl1,AssetLifeCap1-AssetMarg1),(F342-AssetMarg1)-AssetPdCapFl1,AssetLifeFloor1-AssetMarg1),F342)))+AssetMarg1</f>
        <v>0.09</v>
      </c>
      <c r="G343" s="62">
        <f t="shared" ca="1" si="347"/>
        <v>804622.61694478267</v>
      </c>
      <c r="H343" s="62">
        <f t="shared" ca="1" si="360"/>
        <v>132093.76535844163</v>
      </c>
      <c r="I343" s="62">
        <f t="shared" ca="1" si="361"/>
        <v>672528.85158634104</v>
      </c>
      <c r="J343" s="62">
        <f t="shared" ca="1" si="342"/>
        <v>16939973.196205877</v>
      </c>
      <c r="K343" s="55"/>
      <c r="L343" s="62">
        <f t="shared" ca="1" si="362"/>
        <v>3208201.3951969766</v>
      </c>
      <c r="M343" s="68">
        <f ca="1">IF(pdrLossTime1="",OFFSET(Vectors!$AE$6,A343+_Age1,MATCH(SDA_Loss,lstSDA,0)),OFFSET(Vectors!$X$6,A343+_Age1,MATCH(pdrLossTime1,lstDefaultCurve,0)))</f>
        <v>2.7777777777777779E-5</v>
      </c>
      <c r="N343" s="62">
        <f t="shared" ca="1" si="348"/>
        <v>2777.7777777777778</v>
      </c>
      <c r="O343" s="67">
        <f t="shared" ca="1" si="363"/>
        <v>0.16939973196205876</v>
      </c>
      <c r="P343" s="68">
        <f ca="1">OFFSET(Vectors!$L$6,A343+_Age1,MATCH(pdrPrepay1,lstPrepayCurve,0))*pdrPrepayStress1</f>
        <v>5.1430128318229462E-3</v>
      </c>
      <c r="Q343" s="62">
        <f t="shared" ca="1" si="364"/>
        <v>15869.779532225788</v>
      </c>
      <c r="R343" s="62">
        <f t="shared" ca="1" si="365"/>
        <v>122398.27472672479</v>
      </c>
      <c r="S343" s="69">
        <f t="shared" ca="1" si="366"/>
        <v>0.09</v>
      </c>
      <c r="T343" s="62">
        <f t="shared" ca="1" si="367"/>
        <v>24040.677130643988</v>
      </c>
      <c r="U343" s="62">
        <f t="shared" ca="1" si="349"/>
        <v>1111.1111111111111</v>
      </c>
      <c r="V343" s="62">
        <f t="shared" ca="1" si="343"/>
        <v>3067155.5631602481</v>
      </c>
      <c r="W343" s="55"/>
      <c r="X343" s="62">
        <f t="shared" ca="1" si="368"/>
        <v>163419.84250070568</v>
      </c>
      <c r="Y343" s="55"/>
      <c r="Z343" s="118" t="b">
        <v>0</v>
      </c>
      <c r="AA343" s="120" t="b">
        <f t="shared" si="350"/>
        <v>0</v>
      </c>
      <c r="AB343" s="120" t="b">
        <f t="shared" si="351"/>
        <v>1</v>
      </c>
      <c r="AC343" s="120" t="b">
        <f t="shared" ca="1" si="352"/>
        <v>0</v>
      </c>
      <c r="AD343" s="121"/>
      <c r="AE343" s="129">
        <v>0</v>
      </c>
      <c r="AF343" s="69">
        <f ca="1">IF(Swap_Active="No",0,OFFSET(Vectors!$D$6,Vectors!A343,MATCH(Swap_In,lstInterestRates,0)))</f>
        <v>6.9369000000000056E-2</v>
      </c>
      <c r="AG343" s="62">
        <f t="shared" ca="1" si="369"/>
        <v>0</v>
      </c>
      <c r="AH343" s="69">
        <f ca="1">IF(Swap_Active="No",0,OFFSET(Vectors!$D$6,Vectors!A343,MATCH(Swap_Out,lstInterestRates,0)))</f>
        <v>0.04</v>
      </c>
      <c r="AI343" s="62">
        <f t="shared" ca="1" si="370"/>
        <v>0</v>
      </c>
      <c r="AJ343" s="62">
        <f t="shared" ca="1" si="371"/>
        <v>0</v>
      </c>
      <c r="AK343" s="62">
        <f t="shared" ca="1" si="372"/>
        <v>163419.84250070568</v>
      </c>
      <c r="AL343" s="121"/>
      <c r="AM343" s="123">
        <f t="shared" ca="1" si="353"/>
        <v>5347.0023253282943</v>
      </c>
      <c r="AN343" s="124">
        <f t="shared" ca="1" si="373"/>
        <v>5347.0023253282943</v>
      </c>
      <c r="AO343" s="125">
        <f t="shared" ca="1" si="374"/>
        <v>0</v>
      </c>
      <c r="AP343" s="123">
        <f t="shared" ca="1" si="375"/>
        <v>158072.84017537738</v>
      </c>
      <c r="AQ343" s="121"/>
      <c r="AR343" s="126">
        <f ca="1">IF(LiabIntType1="Fixed",LiabFxdRate1,OFFSET(Vectors!$D$6,Vectors!A343,MATCH(LiabLoanIndex1,lstInterestRates,0))+LiabMarg1)</f>
        <v>7.9369000000000051E-2</v>
      </c>
      <c r="AS343" s="122">
        <f t="shared" ca="1" si="376"/>
        <v>0</v>
      </c>
      <c r="AT343" s="124">
        <f t="shared" ca="1" si="377"/>
        <v>0</v>
      </c>
      <c r="AU343" s="123">
        <f t="shared" ca="1" si="378"/>
        <v>0</v>
      </c>
      <c r="AV343" s="123">
        <f t="shared" ca="1" si="354"/>
        <v>0</v>
      </c>
      <c r="AW343" s="123">
        <f t="shared" ca="1" si="379"/>
        <v>0</v>
      </c>
      <c r="AX343" s="124">
        <f t="shared" ca="1" si="380"/>
        <v>158072.84017537738</v>
      </c>
      <c r="AY343" s="121"/>
      <c r="AZ343" s="122">
        <f t="shared" ca="1" si="355"/>
        <v>0</v>
      </c>
      <c r="BA343" s="124">
        <f t="shared" ca="1" si="381"/>
        <v>0</v>
      </c>
      <c r="BB343" s="123">
        <f t="shared" ca="1" si="382"/>
        <v>0</v>
      </c>
      <c r="BC343" s="123">
        <f t="shared" ca="1" si="356"/>
        <v>0</v>
      </c>
      <c r="BD343" s="123">
        <f t="shared" ca="1" si="383"/>
        <v>0</v>
      </c>
      <c r="BE343" s="124">
        <f t="shared" ca="1" si="384"/>
        <v>158072.84017537738</v>
      </c>
      <c r="BF343" s="121"/>
      <c r="BG343" s="123">
        <f t="shared" si="357"/>
        <v>1000000</v>
      </c>
      <c r="BH343" s="123">
        <f t="shared" ca="1" si="385"/>
        <v>1000000</v>
      </c>
      <c r="BI343" s="123">
        <f t="shared" ca="1" si="386"/>
        <v>0</v>
      </c>
      <c r="BJ343" s="123">
        <f t="shared" ca="1" si="387"/>
        <v>0</v>
      </c>
      <c r="BK343" s="123">
        <f t="shared" ca="1" si="344"/>
        <v>1000000</v>
      </c>
      <c r="BL343" s="123">
        <f t="shared" ca="1" si="388"/>
        <v>158072.84017537738</v>
      </c>
      <c r="BM343" s="121"/>
      <c r="BN343" s="126">
        <f ca="1">IF(LiabIntType2="Fixed",LiabFxdRate2,OFFSET(Vectors!$D$6,Vectors!A343,MATCH(LiabLoanIndex2,lstInterestRates,0))+LiabMarg2)</f>
        <v>0.04</v>
      </c>
      <c r="BO343" s="122">
        <f t="shared" ca="1" si="389"/>
        <v>21671.549628557965</v>
      </c>
      <c r="BP343" s="124">
        <f t="shared" ca="1" si="390"/>
        <v>21671.549628557965</v>
      </c>
      <c r="BQ343" s="123">
        <f t="shared" ca="1" si="391"/>
        <v>0</v>
      </c>
      <c r="BR343" s="123">
        <f t="shared" ca="1" si="392"/>
        <v>136401.29054681942</v>
      </c>
      <c r="BS343" s="121"/>
      <c r="BT343" s="123">
        <f t="shared" ca="1" si="358"/>
        <v>14461.304646768649</v>
      </c>
      <c r="BU343" s="123">
        <f t="shared" ca="1" si="393"/>
        <v>14461.304646768649</v>
      </c>
      <c r="BV343" s="123">
        <f t="shared" ca="1" si="394"/>
        <v>0</v>
      </c>
      <c r="BW343" s="123">
        <f t="shared" ca="1" si="395"/>
        <v>121939.98590005077</v>
      </c>
      <c r="BX343" s="121"/>
      <c r="BY343" s="123">
        <f t="shared" si="396"/>
        <v>0</v>
      </c>
      <c r="BZ343" s="123">
        <f t="shared" ca="1" si="397"/>
        <v>121939.98590005077</v>
      </c>
      <c r="CA343" s="121"/>
      <c r="CB343" s="122">
        <f t="shared" ca="1" si="345"/>
        <v>0</v>
      </c>
      <c r="CC343" s="122">
        <f t="shared" ca="1" si="398"/>
        <v>0</v>
      </c>
      <c r="CD343" s="124">
        <f t="shared" ca="1" si="399"/>
        <v>0</v>
      </c>
      <c r="CE343" s="121"/>
      <c r="CF343" s="122">
        <f t="shared" ca="1" si="346"/>
        <v>6487003.5839206213</v>
      </c>
      <c r="CG343" s="124">
        <f t="shared" ca="1" si="400"/>
        <v>21671.549628557965</v>
      </c>
      <c r="CH343" s="123">
        <f t="shared" ca="1" si="401"/>
        <v>14461.304646768649</v>
      </c>
      <c r="CI343" s="121"/>
      <c r="CJ343" s="123">
        <f t="shared" ca="1" si="402"/>
        <v>163419.84250070568</v>
      </c>
      <c r="CK343" s="123">
        <f t="shared" ca="1" si="403"/>
        <v>163419.84250070568</v>
      </c>
      <c r="CL343" s="123">
        <f t="shared" ca="1" si="404"/>
        <v>0</v>
      </c>
      <c r="CM343" s="121"/>
      <c r="CN343" s="62">
        <f t="shared" ca="1" si="405"/>
        <v>141045.83203672836</v>
      </c>
      <c r="CO343" s="62" t="b">
        <f t="shared" si="406"/>
        <v>1</v>
      </c>
      <c r="CP343" s="126">
        <f t="shared" ca="1" si="407"/>
        <v>9.3611111111110701E-3</v>
      </c>
      <c r="CQ343" s="120"/>
      <c r="CR343" s="120"/>
      <c r="CS343" s="120"/>
      <c r="CT343" s="120"/>
      <c r="CU343" s="120"/>
      <c r="CV343" s="120"/>
      <c r="CW343" s="120"/>
      <c r="CX343" s="120"/>
      <c r="CY343" s="120"/>
      <c r="CZ343" s="120"/>
      <c r="DA343" s="120"/>
      <c r="DB343" s="120"/>
      <c r="DC343" s="120"/>
      <c r="DD343" s="120"/>
      <c r="DE343" s="116"/>
      <c r="DF343" s="116"/>
      <c r="DG343" s="116"/>
      <c r="DH343" s="116"/>
      <c r="DI343" s="116"/>
      <c r="DJ343" s="116"/>
      <c r="DK343" s="116"/>
      <c r="DL343" s="116"/>
      <c r="DM343" s="116"/>
      <c r="DN343" s="116"/>
    </row>
    <row r="344" spans="1:118" x14ac:dyDescent="0.2">
      <c r="A344" s="27">
        <v>338</v>
      </c>
      <c r="B344" s="29">
        <f t="shared" si="340"/>
        <v>49400</v>
      </c>
      <c r="C344" s="30">
        <f t="shared" si="341"/>
        <v>8.3333333333333329E-2</v>
      </c>
      <c r="D344" s="55"/>
      <c r="E344" s="62">
        <f t="shared" ca="1" si="359"/>
        <v>16939973.196205877</v>
      </c>
      <c r="F344" s="63">
        <f ca="1">IF(AssetIntType1="Fixed",AssetFxdRate1,IF(A344=1,OFFSET(Vectors!$D$6,A344,MATCH(AssetFltIndx1,lstInterestRates,0)),IF(MOD($A344,AssetRateReset1)=0,MAX(MIN(OFFSET(Vectors!$D$6,A344,MATCH(AssetFltIndx1,lstInterestRates,0)),(F343-AssetMarg1)+AssetPdCapFl1,AssetLifeCap1-AssetMarg1),(F343-AssetMarg1)-AssetPdCapFl1,AssetLifeFloor1-AssetMarg1),F343)))+AssetMarg1</f>
        <v>0.09</v>
      </c>
      <c r="G344" s="62">
        <f t="shared" ca="1" si="347"/>
        <v>804622.61694478267</v>
      </c>
      <c r="H344" s="62">
        <f t="shared" ca="1" si="360"/>
        <v>127049.79897154408</v>
      </c>
      <c r="I344" s="62">
        <f t="shared" ca="1" si="361"/>
        <v>677572.81797323865</v>
      </c>
      <c r="J344" s="62">
        <f t="shared" ca="1" si="342"/>
        <v>16262400.378232637</v>
      </c>
      <c r="K344" s="55"/>
      <c r="L344" s="62">
        <f t="shared" ca="1" si="362"/>
        <v>3067155.5631602481</v>
      </c>
      <c r="M344" s="68">
        <f ca="1">IF(pdrLossTime1="",OFFSET(Vectors!$AE$6,A344+_Age1,MATCH(SDA_Loss,lstSDA,0)),OFFSET(Vectors!$X$6,A344+_Age1,MATCH(pdrLossTime1,lstDefaultCurve,0)))</f>
        <v>2.7777777777777779E-5</v>
      </c>
      <c r="N344" s="62">
        <f t="shared" ca="1" si="348"/>
        <v>2777.7777777777778</v>
      </c>
      <c r="O344" s="67">
        <f t="shared" ca="1" si="363"/>
        <v>0.16262400378232639</v>
      </c>
      <c r="P344" s="68">
        <f ca="1">OFFSET(Vectors!$L$6,A344+_Age1,MATCH(pdrPrepay1,lstPrepayCurve,0))*pdrPrepayStress1</f>
        <v>5.1430128318229462E-3</v>
      </c>
      <c r="Q344" s="62">
        <f t="shared" ca="1" si="364"/>
        <v>15143.467915177331</v>
      </c>
      <c r="R344" s="62">
        <f t="shared" ca="1" si="365"/>
        <v>122570.38823657863</v>
      </c>
      <c r="S344" s="69">
        <f t="shared" ca="1" si="366"/>
        <v>0.09</v>
      </c>
      <c r="T344" s="62">
        <f t="shared" ca="1" si="367"/>
        <v>22982.833390368523</v>
      </c>
      <c r="U344" s="62">
        <f t="shared" ca="1" si="349"/>
        <v>1111.1111111111111</v>
      </c>
      <c r="V344" s="62">
        <f t="shared" ca="1" si="343"/>
        <v>2926663.9292307142</v>
      </c>
      <c r="W344" s="55"/>
      <c r="X344" s="62">
        <f t="shared" ca="1" si="368"/>
        <v>161807.80065323561</v>
      </c>
      <c r="Y344" s="55"/>
      <c r="Z344" s="118" t="b">
        <v>0</v>
      </c>
      <c r="AA344" s="120" t="b">
        <f t="shared" si="350"/>
        <v>0</v>
      </c>
      <c r="AB344" s="120" t="b">
        <f t="shared" si="351"/>
        <v>1</v>
      </c>
      <c r="AC344" s="120" t="b">
        <f t="shared" ca="1" si="352"/>
        <v>0</v>
      </c>
      <c r="AD344" s="121"/>
      <c r="AE344" s="129">
        <v>0</v>
      </c>
      <c r="AF344" s="69">
        <f ca="1">IF(Swap_Active="No",0,OFFSET(Vectors!$D$6,Vectors!A344,MATCH(Swap_In,lstInterestRates,0)))</f>
        <v>6.9369000000000056E-2</v>
      </c>
      <c r="AG344" s="62">
        <f t="shared" ca="1" si="369"/>
        <v>0</v>
      </c>
      <c r="AH344" s="69">
        <f ca="1">IF(Swap_Active="No",0,OFFSET(Vectors!$D$6,Vectors!A344,MATCH(Swap_Out,lstInterestRates,0)))</f>
        <v>0.04</v>
      </c>
      <c r="AI344" s="62">
        <f t="shared" ca="1" si="370"/>
        <v>0</v>
      </c>
      <c r="AJ344" s="62">
        <f t="shared" ca="1" si="371"/>
        <v>0</v>
      </c>
      <c r="AK344" s="62">
        <f t="shared" ca="1" si="372"/>
        <v>161807.80065323561</v>
      </c>
      <c r="AL344" s="121"/>
      <c r="AM344" s="123">
        <f t="shared" ca="1" si="353"/>
        <v>5111.9259386004132</v>
      </c>
      <c r="AN344" s="124">
        <f t="shared" ca="1" si="373"/>
        <v>5111.9259386004132</v>
      </c>
      <c r="AO344" s="125">
        <f t="shared" ca="1" si="374"/>
        <v>0</v>
      </c>
      <c r="AP344" s="123">
        <f t="shared" ca="1" si="375"/>
        <v>156695.8747146352</v>
      </c>
      <c r="AQ344" s="121"/>
      <c r="AR344" s="126">
        <f ca="1">IF(LiabIntType1="Fixed",LiabFxdRate1,OFFSET(Vectors!$D$6,Vectors!A344,MATCH(LiabLoanIndex1,lstInterestRates,0))+LiabMarg1)</f>
        <v>7.9369000000000051E-2</v>
      </c>
      <c r="AS344" s="122">
        <f t="shared" ca="1" si="376"/>
        <v>0</v>
      </c>
      <c r="AT344" s="124">
        <f t="shared" ca="1" si="377"/>
        <v>0</v>
      </c>
      <c r="AU344" s="123">
        <f t="shared" ca="1" si="378"/>
        <v>0</v>
      </c>
      <c r="AV344" s="123">
        <f t="shared" ca="1" si="354"/>
        <v>0</v>
      </c>
      <c r="AW344" s="123">
        <f t="shared" ca="1" si="379"/>
        <v>0</v>
      </c>
      <c r="AX344" s="124">
        <f t="shared" ca="1" si="380"/>
        <v>156695.8747146352</v>
      </c>
      <c r="AY344" s="121"/>
      <c r="AZ344" s="122">
        <f t="shared" ca="1" si="355"/>
        <v>0</v>
      </c>
      <c r="BA344" s="124">
        <f t="shared" ca="1" si="381"/>
        <v>0</v>
      </c>
      <c r="BB344" s="123">
        <f t="shared" ca="1" si="382"/>
        <v>0</v>
      </c>
      <c r="BC344" s="123">
        <f t="shared" ca="1" si="356"/>
        <v>0</v>
      </c>
      <c r="BD344" s="123">
        <f t="shared" ca="1" si="383"/>
        <v>0</v>
      </c>
      <c r="BE344" s="124">
        <f t="shared" ca="1" si="384"/>
        <v>156695.8747146352</v>
      </c>
      <c r="BF344" s="121"/>
      <c r="BG344" s="123">
        <f t="shared" si="357"/>
        <v>1000000</v>
      </c>
      <c r="BH344" s="123">
        <f t="shared" ca="1" si="385"/>
        <v>1000000</v>
      </c>
      <c r="BI344" s="123">
        <f t="shared" ca="1" si="386"/>
        <v>0</v>
      </c>
      <c r="BJ344" s="123">
        <f t="shared" ca="1" si="387"/>
        <v>0</v>
      </c>
      <c r="BK344" s="123">
        <f t="shared" ca="1" si="344"/>
        <v>1000000</v>
      </c>
      <c r="BL344" s="123">
        <f t="shared" ca="1" si="388"/>
        <v>156695.8747146352</v>
      </c>
      <c r="BM344" s="121"/>
      <c r="BN344" s="126">
        <f ca="1">IF(LiabIntType2="Fixed",LiabFxdRate2,OFFSET(Vectors!$D$6,Vectors!A344,MATCH(LiabLoanIndex2,lstInterestRates,0))+LiabMarg2)</f>
        <v>0.04</v>
      </c>
      <c r="BO344" s="122">
        <f t="shared" ca="1" si="389"/>
        <v>21623.345279735404</v>
      </c>
      <c r="BP344" s="124">
        <f t="shared" ca="1" si="390"/>
        <v>21623.345279735404</v>
      </c>
      <c r="BQ344" s="123">
        <f t="shared" ca="1" si="391"/>
        <v>0</v>
      </c>
      <c r="BR344" s="123">
        <f t="shared" ca="1" si="392"/>
        <v>135072.5294348998</v>
      </c>
      <c r="BS344" s="121"/>
      <c r="BT344" s="123">
        <f t="shared" ca="1" si="358"/>
        <v>14404.483204071093</v>
      </c>
      <c r="BU344" s="123">
        <f t="shared" ca="1" si="393"/>
        <v>14404.483204071093</v>
      </c>
      <c r="BV344" s="123">
        <f t="shared" ca="1" si="394"/>
        <v>0</v>
      </c>
      <c r="BW344" s="123">
        <f t="shared" ca="1" si="395"/>
        <v>120668.04623082871</v>
      </c>
      <c r="BX344" s="121"/>
      <c r="BY344" s="123">
        <f t="shared" si="396"/>
        <v>0</v>
      </c>
      <c r="BZ344" s="123">
        <f t="shared" ca="1" si="397"/>
        <v>120668.04623082871</v>
      </c>
      <c r="CA344" s="121"/>
      <c r="CB344" s="122">
        <f t="shared" ca="1" si="345"/>
        <v>0</v>
      </c>
      <c r="CC344" s="122">
        <f t="shared" ca="1" si="398"/>
        <v>0</v>
      </c>
      <c r="CD344" s="124">
        <f t="shared" ca="1" si="399"/>
        <v>0</v>
      </c>
      <c r="CE344" s="121"/>
      <c r="CF344" s="122">
        <f t="shared" ca="1" si="346"/>
        <v>6472599.1007165499</v>
      </c>
      <c r="CG344" s="124">
        <f t="shared" ca="1" si="400"/>
        <v>21623.345279735404</v>
      </c>
      <c r="CH344" s="123">
        <f t="shared" ca="1" si="401"/>
        <v>14404.483204071093</v>
      </c>
      <c r="CI344" s="121"/>
      <c r="CJ344" s="123">
        <f t="shared" ca="1" si="402"/>
        <v>161807.80065323561</v>
      </c>
      <c r="CK344" s="123">
        <f t="shared" ca="1" si="403"/>
        <v>161807.80065323564</v>
      </c>
      <c r="CL344" s="123">
        <f t="shared" ca="1" si="404"/>
        <v>0</v>
      </c>
      <c r="CM344" s="121"/>
      <c r="CN344" s="62">
        <f t="shared" ca="1" si="405"/>
        <v>140491.63392953374</v>
      </c>
      <c r="CO344" s="62" t="b">
        <f t="shared" si="406"/>
        <v>1</v>
      </c>
      <c r="CP344" s="126">
        <f t="shared" ca="1" si="407"/>
        <v>9.3888888888888477E-3</v>
      </c>
      <c r="CQ344" s="120"/>
      <c r="CR344" s="120"/>
      <c r="CS344" s="120"/>
      <c r="CT344" s="120"/>
      <c r="CU344" s="120"/>
      <c r="CV344" s="120"/>
      <c r="CW344" s="120"/>
      <c r="CX344" s="120"/>
      <c r="CY344" s="120"/>
      <c r="CZ344" s="120"/>
      <c r="DA344" s="120"/>
      <c r="DB344" s="120"/>
      <c r="DC344" s="120"/>
      <c r="DD344" s="120"/>
      <c r="DE344" s="116"/>
      <c r="DF344" s="116"/>
      <c r="DG344" s="116"/>
      <c r="DH344" s="116"/>
      <c r="DI344" s="116"/>
      <c r="DJ344" s="116"/>
      <c r="DK344" s="116"/>
      <c r="DL344" s="116"/>
      <c r="DM344" s="116"/>
      <c r="DN344" s="116"/>
    </row>
    <row r="345" spans="1:118" x14ac:dyDescent="0.2">
      <c r="A345" s="27">
        <v>339</v>
      </c>
      <c r="B345" s="29">
        <f t="shared" si="340"/>
        <v>49430</v>
      </c>
      <c r="C345" s="30">
        <f t="shared" si="341"/>
        <v>8.3333333333333329E-2</v>
      </c>
      <c r="D345" s="55"/>
      <c r="E345" s="62">
        <f t="shared" ca="1" si="359"/>
        <v>16262400.378232637</v>
      </c>
      <c r="F345" s="63">
        <f ca="1">IF(AssetIntType1="Fixed",AssetFxdRate1,IF(A345=1,OFFSET(Vectors!$D$6,A345,MATCH(AssetFltIndx1,lstInterestRates,0)),IF(MOD($A345,AssetRateReset1)=0,MAX(MIN(OFFSET(Vectors!$D$6,A345,MATCH(AssetFltIndx1,lstInterestRates,0)),(F344-AssetMarg1)+AssetPdCapFl1,AssetLifeCap1-AssetMarg1),(F344-AssetMarg1)-AssetPdCapFl1,AssetLifeFloor1-AssetMarg1),F344)))+AssetMarg1</f>
        <v>0.09</v>
      </c>
      <c r="G345" s="62">
        <f t="shared" ca="1" si="347"/>
        <v>804622.61694478267</v>
      </c>
      <c r="H345" s="62">
        <f t="shared" ca="1" si="360"/>
        <v>121968.00283674478</v>
      </c>
      <c r="I345" s="62">
        <f t="shared" ca="1" si="361"/>
        <v>682654.6141080379</v>
      </c>
      <c r="J345" s="62">
        <f t="shared" ca="1" si="342"/>
        <v>15579745.7641246</v>
      </c>
      <c r="K345" s="55"/>
      <c r="L345" s="62">
        <f t="shared" ca="1" si="362"/>
        <v>2926663.9292307142</v>
      </c>
      <c r="M345" s="68">
        <f ca="1">IF(pdrLossTime1="",OFFSET(Vectors!$AE$6,A345+_Age1,MATCH(SDA_Loss,lstSDA,0)),OFFSET(Vectors!$X$6,A345+_Age1,MATCH(pdrLossTime1,lstDefaultCurve,0)))</f>
        <v>2.7777777777777779E-5</v>
      </c>
      <c r="N345" s="62">
        <f t="shared" ca="1" si="348"/>
        <v>2777.7777777777778</v>
      </c>
      <c r="O345" s="67">
        <f t="shared" ca="1" si="363"/>
        <v>0.155797457641246</v>
      </c>
      <c r="P345" s="68">
        <f ca="1">OFFSET(Vectors!$L$6,A345+_Age1,MATCH(pdrPrepay1,lstPrepayCurve,0))*pdrPrepayStress1</f>
        <v>5.1430128318229462E-3</v>
      </c>
      <c r="Q345" s="62">
        <f t="shared" ca="1" si="364"/>
        <v>14420.030539165586</v>
      </c>
      <c r="R345" s="62">
        <f t="shared" ca="1" si="365"/>
        <v>122737.37738542054</v>
      </c>
      <c r="S345" s="69">
        <f t="shared" ca="1" si="366"/>
        <v>0.09</v>
      </c>
      <c r="T345" s="62">
        <f t="shared" ca="1" si="367"/>
        <v>21929.146135897019</v>
      </c>
      <c r="U345" s="62">
        <f t="shared" ca="1" si="349"/>
        <v>1111.1111111111111</v>
      </c>
      <c r="V345" s="62">
        <f t="shared" ca="1" si="343"/>
        <v>2786728.7435283498</v>
      </c>
      <c r="W345" s="55"/>
      <c r="X345" s="62">
        <f t="shared" ca="1" si="368"/>
        <v>160197.66517159427</v>
      </c>
      <c r="Y345" s="55"/>
      <c r="Z345" s="118" t="b">
        <v>0</v>
      </c>
      <c r="AA345" s="120" t="b">
        <f t="shared" si="350"/>
        <v>0</v>
      </c>
      <c r="AB345" s="120" t="b">
        <f t="shared" si="351"/>
        <v>1</v>
      </c>
      <c r="AC345" s="120" t="b">
        <f t="shared" ca="1" si="352"/>
        <v>0</v>
      </c>
      <c r="AD345" s="121"/>
      <c r="AE345" s="129">
        <v>0</v>
      </c>
      <c r="AF345" s="69">
        <f ca="1">IF(Swap_Active="No",0,OFFSET(Vectors!$D$6,Vectors!A345,MATCH(Swap_In,lstInterestRates,0)))</f>
        <v>6.9369000000000056E-2</v>
      </c>
      <c r="AG345" s="62">
        <f t="shared" ca="1" si="369"/>
        <v>0</v>
      </c>
      <c r="AH345" s="69">
        <f ca="1">IF(Swap_Active="No",0,OFFSET(Vectors!$D$6,Vectors!A345,MATCH(Swap_Out,lstInterestRates,0)))</f>
        <v>0.04</v>
      </c>
      <c r="AI345" s="62">
        <f t="shared" ca="1" si="370"/>
        <v>0</v>
      </c>
      <c r="AJ345" s="62">
        <f t="shared" ca="1" si="371"/>
        <v>0</v>
      </c>
      <c r="AK345" s="62">
        <f t="shared" ca="1" si="372"/>
        <v>160197.66517159427</v>
      </c>
      <c r="AL345" s="121"/>
      <c r="AM345" s="123">
        <f t="shared" ca="1" si="353"/>
        <v>4877.7732153845236</v>
      </c>
      <c r="AN345" s="124">
        <f t="shared" ca="1" si="373"/>
        <v>4877.7732153845236</v>
      </c>
      <c r="AO345" s="125">
        <f t="shared" ca="1" si="374"/>
        <v>0</v>
      </c>
      <c r="AP345" s="123">
        <f t="shared" ca="1" si="375"/>
        <v>155319.89195620976</v>
      </c>
      <c r="AQ345" s="121"/>
      <c r="AR345" s="126">
        <f ca="1">IF(LiabIntType1="Fixed",LiabFxdRate1,OFFSET(Vectors!$D$6,Vectors!A345,MATCH(LiabLoanIndex1,lstInterestRates,0))+LiabMarg1)</f>
        <v>7.9369000000000051E-2</v>
      </c>
      <c r="AS345" s="122">
        <f t="shared" ca="1" si="376"/>
        <v>0</v>
      </c>
      <c r="AT345" s="124">
        <f t="shared" ca="1" si="377"/>
        <v>0</v>
      </c>
      <c r="AU345" s="123">
        <f t="shared" ca="1" si="378"/>
        <v>0</v>
      </c>
      <c r="AV345" s="123">
        <f t="shared" ca="1" si="354"/>
        <v>0</v>
      </c>
      <c r="AW345" s="123">
        <f t="shared" ca="1" si="379"/>
        <v>0</v>
      </c>
      <c r="AX345" s="124">
        <f t="shared" ca="1" si="380"/>
        <v>155319.89195620976</v>
      </c>
      <c r="AY345" s="121"/>
      <c r="AZ345" s="122">
        <f t="shared" ca="1" si="355"/>
        <v>0</v>
      </c>
      <c r="BA345" s="124">
        <f t="shared" ca="1" si="381"/>
        <v>0</v>
      </c>
      <c r="BB345" s="123">
        <f t="shared" ca="1" si="382"/>
        <v>0</v>
      </c>
      <c r="BC345" s="123">
        <f t="shared" ca="1" si="356"/>
        <v>0</v>
      </c>
      <c r="BD345" s="123">
        <f t="shared" ca="1" si="383"/>
        <v>0</v>
      </c>
      <c r="BE345" s="124">
        <f t="shared" ca="1" si="384"/>
        <v>155319.89195620976</v>
      </c>
      <c r="BF345" s="121"/>
      <c r="BG345" s="123">
        <f t="shared" si="357"/>
        <v>1000000</v>
      </c>
      <c r="BH345" s="123">
        <f t="shared" ca="1" si="385"/>
        <v>1000000</v>
      </c>
      <c r="BI345" s="123">
        <f t="shared" ca="1" si="386"/>
        <v>0</v>
      </c>
      <c r="BJ345" s="123">
        <f t="shared" ca="1" si="387"/>
        <v>0</v>
      </c>
      <c r="BK345" s="123">
        <f t="shared" ca="1" si="344"/>
        <v>1000000</v>
      </c>
      <c r="BL345" s="123">
        <f t="shared" ca="1" si="388"/>
        <v>155319.89195620976</v>
      </c>
      <c r="BM345" s="121"/>
      <c r="BN345" s="126">
        <f ca="1">IF(LiabIntType2="Fixed",LiabFxdRate2,OFFSET(Vectors!$D$6,Vectors!A345,MATCH(LiabLoanIndex2,lstInterestRates,0))+LiabMarg2)</f>
        <v>0.04</v>
      </c>
      <c r="BO345" s="122">
        <f t="shared" ca="1" si="389"/>
        <v>21575.330335721832</v>
      </c>
      <c r="BP345" s="124">
        <f t="shared" ca="1" si="390"/>
        <v>21575.330335721832</v>
      </c>
      <c r="BQ345" s="123">
        <f t="shared" ca="1" si="391"/>
        <v>0</v>
      </c>
      <c r="BR345" s="123">
        <f t="shared" ca="1" si="392"/>
        <v>133744.56162048792</v>
      </c>
      <c r="BS345" s="121"/>
      <c r="BT345" s="123">
        <f t="shared" ca="1" si="358"/>
        <v>14347.431058558832</v>
      </c>
      <c r="BU345" s="123">
        <f t="shared" ca="1" si="393"/>
        <v>14347.431058558832</v>
      </c>
      <c r="BV345" s="123">
        <f t="shared" ca="1" si="394"/>
        <v>0</v>
      </c>
      <c r="BW345" s="123">
        <f t="shared" ca="1" si="395"/>
        <v>119397.13056192908</v>
      </c>
      <c r="BX345" s="121"/>
      <c r="BY345" s="123">
        <f t="shared" si="396"/>
        <v>0</v>
      </c>
      <c r="BZ345" s="123">
        <f t="shared" ca="1" si="397"/>
        <v>119397.13056192908</v>
      </c>
      <c r="CA345" s="121"/>
      <c r="CB345" s="122">
        <f t="shared" ca="1" si="345"/>
        <v>0</v>
      </c>
      <c r="CC345" s="122">
        <f t="shared" ca="1" si="398"/>
        <v>0</v>
      </c>
      <c r="CD345" s="124">
        <f t="shared" ca="1" si="399"/>
        <v>0</v>
      </c>
      <c r="CE345" s="121"/>
      <c r="CF345" s="122">
        <f t="shared" ca="1" si="346"/>
        <v>6458251.6696579913</v>
      </c>
      <c r="CG345" s="124">
        <f t="shared" ca="1" si="400"/>
        <v>21575.330335721832</v>
      </c>
      <c r="CH345" s="123">
        <f t="shared" ca="1" si="401"/>
        <v>14347.431058558832</v>
      </c>
      <c r="CI345" s="121"/>
      <c r="CJ345" s="123">
        <f t="shared" ca="1" si="402"/>
        <v>160197.66517159427</v>
      </c>
      <c r="CK345" s="123">
        <f t="shared" ca="1" si="403"/>
        <v>160197.66517159427</v>
      </c>
      <c r="CL345" s="123">
        <f t="shared" ca="1" si="404"/>
        <v>0</v>
      </c>
      <c r="CM345" s="121"/>
      <c r="CN345" s="62">
        <f t="shared" ca="1" si="405"/>
        <v>139935.1857023639</v>
      </c>
      <c r="CO345" s="62" t="b">
        <f t="shared" si="406"/>
        <v>1</v>
      </c>
      <c r="CP345" s="126">
        <f t="shared" ca="1" si="407"/>
        <v>9.4166666666666253E-3</v>
      </c>
      <c r="CQ345" s="120"/>
      <c r="CR345" s="120"/>
      <c r="CS345" s="120"/>
      <c r="CT345" s="120"/>
      <c r="CU345" s="120"/>
      <c r="CV345" s="120"/>
      <c r="CW345" s="120"/>
      <c r="CX345" s="120"/>
      <c r="CY345" s="120"/>
      <c r="CZ345" s="120"/>
      <c r="DA345" s="120"/>
      <c r="DB345" s="120"/>
      <c r="DC345" s="120"/>
      <c r="DD345" s="120"/>
      <c r="DE345" s="116"/>
      <c r="DF345" s="116"/>
      <c r="DG345" s="116"/>
      <c r="DH345" s="116"/>
      <c r="DI345" s="116"/>
      <c r="DJ345" s="116"/>
      <c r="DK345" s="116"/>
      <c r="DL345" s="116"/>
      <c r="DM345" s="116"/>
      <c r="DN345" s="116"/>
    </row>
    <row r="346" spans="1:118" x14ac:dyDescent="0.2">
      <c r="A346" s="27">
        <v>340</v>
      </c>
      <c r="B346" s="29">
        <f t="shared" si="340"/>
        <v>49461</v>
      </c>
      <c r="C346" s="30">
        <f t="shared" si="341"/>
        <v>8.3333333333333329E-2</v>
      </c>
      <c r="D346" s="55"/>
      <c r="E346" s="62">
        <f t="shared" ca="1" si="359"/>
        <v>15579745.7641246</v>
      </c>
      <c r="F346" s="63">
        <f ca="1">IF(AssetIntType1="Fixed",AssetFxdRate1,IF(A346=1,OFFSET(Vectors!$D$6,A346,MATCH(AssetFltIndx1,lstInterestRates,0)),IF(MOD($A346,AssetRateReset1)=0,MAX(MIN(OFFSET(Vectors!$D$6,A346,MATCH(AssetFltIndx1,lstInterestRates,0)),(F345-AssetMarg1)+AssetPdCapFl1,AssetLifeCap1-AssetMarg1),(F345-AssetMarg1)-AssetPdCapFl1,AssetLifeFloor1-AssetMarg1),F345)))+AssetMarg1</f>
        <v>0.09</v>
      </c>
      <c r="G346" s="62">
        <f t="shared" ca="1" si="347"/>
        <v>804622.61694478267</v>
      </c>
      <c r="H346" s="62">
        <f t="shared" ca="1" si="360"/>
        <v>116848.09323093449</v>
      </c>
      <c r="I346" s="62">
        <f t="shared" ca="1" si="361"/>
        <v>687774.5237138482</v>
      </c>
      <c r="J346" s="62">
        <f t="shared" ca="1" si="342"/>
        <v>14891971.240410753</v>
      </c>
      <c r="K346" s="55"/>
      <c r="L346" s="62">
        <f t="shared" ca="1" si="362"/>
        <v>2786728.7435283498</v>
      </c>
      <c r="M346" s="68">
        <f ca="1">IF(pdrLossTime1="",OFFSET(Vectors!$AE$6,A346+_Age1,MATCH(SDA_Loss,lstSDA,0)),OFFSET(Vectors!$X$6,A346+_Age1,MATCH(pdrLossTime1,lstDefaultCurve,0)))</f>
        <v>2.7777777777777779E-5</v>
      </c>
      <c r="N346" s="62">
        <f t="shared" ca="1" si="348"/>
        <v>2777.7777777777778</v>
      </c>
      <c r="O346" s="67">
        <f t="shared" ca="1" si="363"/>
        <v>0.14891971240410753</v>
      </c>
      <c r="P346" s="68">
        <f ca="1">OFFSET(Vectors!$L$6,A346+_Age1,MATCH(pdrPrepay1,lstPrepayCurve,0))*pdrPrepayStress1</f>
        <v>5.1430128318229462E-3</v>
      </c>
      <c r="Q346" s="62">
        <f t="shared" ca="1" si="364"/>
        <v>13699.481411518685</v>
      </c>
      <c r="R346" s="62">
        <f t="shared" ca="1" si="365"/>
        <v>122898.70313037101</v>
      </c>
      <c r="S346" s="69">
        <f t="shared" ca="1" si="366"/>
        <v>0.09</v>
      </c>
      <c r="T346" s="62">
        <f t="shared" ca="1" si="367"/>
        <v>20879.632243129287</v>
      </c>
      <c r="U346" s="62">
        <f t="shared" ca="1" si="349"/>
        <v>1111.1111111111111</v>
      </c>
      <c r="V346" s="62">
        <f t="shared" ca="1" si="343"/>
        <v>2647352.7812086823</v>
      </c>
      <c r="W346" s="55"/>
      <c r="X346" s="62">
        <f t="shared" ca="1" si="368"/>
        <v>158588.9278961301</v>
      </c>
      <c r="Y346" s="55"/>
      <c r="Z346" s="118" t="b">
        <v>0</v>
      </c>
      <c r="AA346" s="120" t="b">
        <f t="shared" si="350"/>
        <v>0</v>
      </c>
      <c r="AB346" s="120" t="b">
        <f t="shared" si="351"/>
        <v>1</v>
      </c>
      <c r="AC346" s="120" t="b">
        <f t="shared" ca="1" si="352"/>
        <v>0</v>
      </c>
      <c r="AD346" s="121"/>
      <c r="AE346" s="129">
        <v>0</v>
      </c>
      <c r="AF346" s="69">
        <f ca="1">IF(Swap_Active="No",0,OFFSET(Vectors!$D$6,Vectors!A346,MATCH(Swap_In,lstInterestRates,0)))</f>
        <v>6.9369000000000056E-2</v>
      </c>
      <c r="AG346" s="62">
        <f t="shared" ca="1" si="369"/>
        <v>0</v>
      </c>
      <c r="AH346" s="69">
        <f ca="1">IF(Swap_Active="No",0,OFFSET(Vectors!$D$6,Vectors!A346,MATCH(Swap_Out,lstInterestRates,0)))</f>
        <v>0.04</v>
      </c>
      <c r="AI346" s="62">
        <f t="shared" ca="1" si="370"/>
        <v>0</v>
      </c>
      <c r="AJ346" s="62">
        <f t="shared" ca="1" si="371"/>
        <v>0</v>
      </c>
      <c r="AK346" s="62">
        <f t="shared" ca="1" si="372"/>
        <v>158588.9278961301</v>
      </c>
      <c r="AL346" s="121"/>
      <c r="AM346" s="123">
        <f t="shared" ca="1" si="353"/>
        <v>4644.5479058805831</v>
      </c>
      <c r="AN346" s="124">
        <f t="shared" ca="1" si="373"/>
        <v>4644.5479058805831</v>
      </c>
      <c r="AO346" s="125">
        <f t="shared" ca="1" si="374"/>
        <v>0</v>
      </c>
      <c r="AP346" s="123">
        <f t="shared" ca="1" si="375"/>
        <v>153944.37999024952</v>
      </c>
      <c r="AQ346" s="121"/>
      <c r="AR346" s="126">
        <f ca="1">IF(LiabIntType1="Fixed",LiabFxdRate1,OFFSET(Vectors!$D$6,Vectors!A346,MATCH(LiabLoanIndex1,lstInterestRates,0))+LiabMarg1)</f>
        <v>7.9369000000000051E-2</v>
      </c>
      <c r="AS346" s="122">
        <f t="shared" ca="1" si="376"/>
        <v>0</v>
      </c>
      <c r="AT346" s="124">
        <f t="shared" ca="1" si="377"/>
        <v>0</v>
      </c>
      <c r="AU346" s="123">
        <f t="shared" ca="1" si="378"/>
        <v>0</v>
      </c>
      <c r="AV346" s="123">
        <f t="shared" ca="1" si="354"/>
        <v>0</v>
      </c>
      <c r="AW346" s="123">
        <f t="shared" ca="1" si="379"/>
        <v>0</v>
      </c>
      <c r="AX346" s="124">
        <f t="shared" ca="1" si="380"/>
        <v>153944.37999024952</v>
      </c>
      <c r="AY346" s="121"/>
      <c r="AZ346" s="122">
        <f t="shared" ca="1" si="355"/>
        <v>0</v>
      </c>
      <c r="BA346" s="124">
        <f t="shared" ca="1" si="381"/>
        <v>0</v>
      </c>
      <c r="BB346" s="123">
        <f t="shared" ca="1" si="382"/>
        <v>0</v>
      </c>
      <c r="BC346" s="123">
        <f t="shared" ca="1" si="356"/>
        <v>0</v>
      </c>
      <c r="BD346" s="123">
        <f t="shared" ca="1" si="383"/>
        <v>0</v>
      </c>
      <c r="BE346" s="124">
        <f t="shared" ca="1" si="384"/>
        <v>153944.37999024952</v>
      </c>
      <c r="BF346" s="121"/>
      <c r="BG346" s="123">
        <f t="shared" si="357"/>
        <v>1000000</v>
      </c>
      <c r="BH346" s="123">
        <f t="shared" ca="1" si="385"/>
        <v>1000000</v>
      </c>
      <c r="BI346" s="123">
        <f t="shared" ca="1" si="386"/>
        <v>0</v>
      </c>
      <c r="BJ346" s="123">
        <f t="shared" ca="1" si="387"/>
        <v>0</v>
      </c>
      <c r="BK346" s="123">
        <f t="shared" ca="1" si="344"/>
        <v>1000000</v>
      </c>
      <c r="BL346" s="123">
        <f t="shared" ca="1" si="388"/>
        <v>153944.37999024952</v>
      </c>
      <c r="BM346" s="121"/>
      <c r="BN346" s="126">
        <f ca="1">IF(LiabIntType2="Fixed",LiabFxdRate2,OFFSET(Vectors!$D$6,Vectors!A346,MATCH(LiabLoanIndex2,lstInterestRates,0))+LiabMarg2)</f>
        <v>0.04</v>
      </c>
      <c r="BO346" s="122">
        <f t="shared" ca="1" si="389"/>
        <v>21527.505565526637</v>
      </c>
      <c r="BP346" s="124">
        <f t="shared" ca="1" si="390"/>
        <v>21527.505565526637</v>
      </c>
      <c r="BQ346" s="123">
        <f t="shared" ca="1" si="391"/>
        <v>0</v>
      </c>
      <c r="BR346" s="123">
        <f t="shared" ca="1" si="392"/>
        <v>132416.87442472289</v>
      </c>
      <c r="BS346" s="121"/>
      <c r="BT346" s="123">
        <f t="shared" ca="1" si="358"/>
        <v>14290.094378800273</v>
      </c>
      <c r="BU346" s="123">
        <f t="shared" ca="1" si="393"/>
        <v>14290.094378800273</v>
      </c>
      <c r="BV346" s="123">
        <f t="shared" ca="1" si="394"/>
        <v>0</v>
      </c>
      <c r="BW346" s="123">
        <f t="shared" ca="1" si="395"/>
        <v>118126.78004592261</v>
      </c>
      <c r="BX346" s="121"/>
      <c r="BY346" s="123">
        <f t="shared" si="396"/>
        <v>0</v>
      </c>
      <c r="BZ346" s="123">
        <f t="shared" ca="1" si="397"/>
        <v>118126.78004592261</v>
      </c>
      <c r="CA346" s="121"/>
      <c r="CB346" s="122">
        <f t="shared" ca="1" si="345"/>
        <v>0</v>
      </c>
      <c r="CC346" s="122">
        <f t="shared" ca="1" si="398"/>
        <v>0</v>
      </c>
      <c r="CD346" s="124">
        <f t="shared" ca="1" si="399"/>
        <v>0</v>
      </c>
      <c r="CE346" s="121"/>
      <c r="CF346" s="122">
        <f t="shared" ca="1" si="346"/>
        <v>6443961.5752791911</v>
      </c>
      <c r="CG346" s="124">
        <f t="shared" ca="1" si="400"/>
        <v>21527.505565526637</v>
      </c>
      <c r="CH346" s="123">
        <f t="shared" ca="1" si="401"/>
        <v>14290.094378800273</v>
      </c>
      <c r="CI346" s="121"/>
      <c r="CJ346" s="123">
        <f t="shared" ca="1" si="402"/>
        <v>158588.9278961301</v>
      </c>
      <c r="CK346" s="123">
        <f t="shared" ca="1" si="403"/>
        <v>158588.9278961301</v>
      </c>
      <c r="CL346" s="123">
        <f t="shared" ca="1" si="404"/>
        <v>0</v>
      </c>
      <c r="CM346" s="121"/>
      <c r="CN346" s="62">
        <f t="shared" ca="1" si="405"/>
        <v>139375.96231966748</v>
      </c>
      <c r="CO346" s="62" t="b">
        <f t="shared" si="406"/>
        <v>1</v>
      </c>
      <c r="CP346" s="126">
        <f t="shared" ca="1" si="407"/>
        <v>9.4444444444444029E-3</v>
      </c>
      <c r="CQ346" s="120"/>
      <c r="CR346" s="120"/>
      <c r="CS346" s="120"/>
      <c r="CT346" s="120"/>
      <c r="CU346" s="120"/>
      <c r="CV346" s="120"/>
      <c r="CW346" s="120"/>
      <c r="CX346" s="120"/>
      <c r="CY346" s="120"/>
      <c r="CZ346" s="120"/>
      <c r="DA346" s="120"/>
      <c r="DB346" s="120"/>
      <c r="DC346" s="120"/>
      <c r="DD346" s="120"/>
      <c r="DE346" s="116"/>
      <c r="DF346" s="116"/>
      <c r="DG346" s="116"/>
      <c r="DH346" s="116"/>
      <c r="DI346" s="116"/>
      <c r="DJ346" s="116"/>
      <c r="DK346" s="116"/>
      <c r="DL346" s="116"/>
      <c r="DM346" s="116"/>
      <c r="DN346" s="116"/>
    </row>
    <row r="347" spans="1:118" x14ac:dyDescent="0.2">
      <c r="A347" s="27">
        <v>341</v>
      </c>
      <c r="B347" s="29">
        <f t="shared" si="340"/>
        <v>49491</v>
      </c>
      <c r="C347" s="30">
        <f t="shared" si="341"/>
        <v>8.3333333333333329E-2</v>
      </c>
      <c r="D347" s="55"/>
      <c r="E347" s="62">
        <f t="shared" ca="1" si="359"/>
        <v>14891971.240410753</v>
      </c>
      <c r="F347" s="63">
        <f ca="1">IF(AssetIntType1="Fixed",AssetFxdRate1,IF(A347=1,OFFSET(Vectors!$D$6,A347,MATCH(AssetFltIndx1,lstInterestRates,0)),IF(MOD($A347,AssetRateReset1)=0,MAX(MIN(OFFSET(Vectors!$D$6,A347,MATCH(AssetFltIndx1,lstInterestRates,0)),(F346-AssetMarg1)+AssetPdCapFl1,AssetLifeCap1-AssetMarg1),(F346-AssetMarg1)-AssetPdCapFl1,AssetLifeFloor1-AssetMarg1),F346)))+AssetMarg1</f>
        <v>0.09</v>
      </c>
      <c r="G347" s="62">
        <f t="shared" ca="1" si="347"/>
        <v>804622.61694478267</v>
      </c>
      <c r="H347" s="62">
        <f t="shared" ca="1" si="360"/>
        <v>111689.78430308064</v>
      </c>
      <c r="I347" s="62">
        <f t="shared" ca="1" si="361"/>
        <v>692932.83264170203</v>
      </c>
      <c r="J347" s="62">
        <f t="shared" ca="1" si="342"/>
        <v>14199038.40776905</v>
      </c>
      <c r="K347" s="55"/>
      <c r="L347" s="62">
        <f t="shared" ca="1" si="362"/>
        <v>2647352.7812086823</v>
      </c>
      <c r="M347" s="68">
        <f ca="1">IF(pdrLossTime1="",OFFSET(Vectors!$AE$6,A347+_Age1,MATCH(SDA_Loss,lstSDA,0)),OFFSET(Vectors!$X$6,A347+_Age1,MATCH(pdrLossTime1,lstDefaultCurve,0)))</f>
        <v>2.7777777777777779E-5</v>
      </c>
      <c r="N347" s="62">
        <f t="shared" ca="1" si="348"/>
        <v>2777.7777777777778</v>
      </c>
      <c r="O347" s="67">
        <f t="shared" ca="1" si="363"/>
        <v>0.14199038407769052</v>
      </c>
      <c r="P347" s="68">
        <f ca="1">OFFSET(Vectors!$L$6,A347+_Age1,MATCH(pdrPrepay1,lstPrepayCurve,0))*pdrPrepayStress1</f>
        <v>5.1430128318229462E-3</v>
      </c>
      <c r="Q347" s="62">
        <f t="shared" ca="1" si="364"/>
        <v>12981.837585377019</v>
      </c>
      <c r="R347" s="62">
        <f t="shared" ca="1" si="365"/>
        <v>123053.74612113937</v>
      </c>
      <c r="S347" s="69">
        <f t="shared" ca="1" si="366"/>
        <v>0.09</v>
      </c>
      <c r="T347" s="62">
        <f t="shared" ca="1" si="367"/>
        <v>19834.312525731781</v>
      </c>
      <c r="U347" s="62">
        <f t="shared" ca="1" si="349"/>
        <v>1111.1111111111111</v>
      </c>
      <c r="V347" s="62">
        <f t="shared" ca="1" si="343"/>
        <v>2508539.419724388</v>
      </c>
      <c r="W347" s="55"/>
      <c r="X347" s="62">
        <f t="shared" ca="1" si="368"/>
        <v>156981.00734335929</v>
      </c>
      <c r="Y347" s="55"/>
      <c r="Z347" s="118" t="b">
        <v>0</v>
      </c>
      <c r="AA347" s="120" t="b">
        <f t="shared" si="350"/>
        <v>0</v>
      </c>
      <c r="AB347" s="120" t="b">
        <f t="shared" si="351"/>
        <v>1</v>
      </c>
      <c r="AC347" s="120" t="b">
        <f t="shared" ca="1" si="352"/>
        <v>0</v>
      </c>
      <c r="AD347" s="121"/>
      <c r="AE347" s="129">
        <v>0</v>
      </c>
      <c r="AF347" s="69">
        <f ca="1">IF(Swap_Active="No",0,OFFSET(Vectors!$D$6,Vectors!A347,MATCH(Swap_In,lstInterestRates,0)))</f>
        <v>6.9369000000000056E-2</v>
      </c>
      <c r="AG347" s="62">
        <f t="shared" ca="1" si="369"/>
        <v>0</v>
      </c>
      <c r="AH347" s="69">
        <f ca="1">IF(Swap_Active="No",0,OFFSET(Vectors!$D$6,Vectors!A347,MATCH(Swap_Out,lstInterestRates,0)))</f>
        <v>0.04</v>
      </c>
      <c r="AI347" s="62">
        <f t="shared" ca="1" si="370"/>
        <v>0</v>
      </c>
      <c r="AJ347" s="62">
        <f t="shared" ca="1" si="371"/>
        <v>0</v>
      </c>
      <c r="AK347" s="62">
        <f t="shared" ca="1" si="372"/>
        <v>156981.00734335929</v>
      </c>
      <c r="AL347" s="121"/>
      <c r="AM347" s="123">
        <f t="shared" ca="1" si="353"/>
        <v>4412.2546353478037</v>
      </c>
      <c r="AN347" s="124">
        <f t="shared" ca="1" si="373"/>
        <v>4412.2546353478037</v>
      </c>
      <c r="AO347" s="125">
        <f t="shared" ca="1" si="374"/>
        <v>0</v>
      </c>
      <c r="AP347" s="123">
        <f t="shared" ca="1" si="375"/>
        <v>152568.75270801148</v>
      </c>
      <c r="AQ347" s="121"/>
      <c r="AR347" s="126">
        <f ca="1">IF(LiabIntType1="Fixed",LiabFxdRate1,OFFSET(Vectors!$D$6,Vectors!A347,MATCH(LiabLoanIndex1,lstInterestRates,0))+LiabMarg1)</f>
        <v>7.9369000000000051E-2</v>
      </c>
      <c r="AS347" s="122">
        <f t="shared" ca="1" si="376"/>
        <v>0</v>
      </c>
      <c r="AT347" s="124">
        <f t="shared" ca="1" si="377"/>
        <v>0</v>
      </c>
      <c r="AU347" s="123">
        <f t="shared" ca="1" si="378"/>
        <v>0</v>
      </c>
      <c r="AV347" s="123">
        <f t="shared" ca="1" si="354"/>
        <v>0</v>
      </c>
      <c r="AW347" s="123">
        <f t="shared" ca="1" si="379"/>
        <v>0</v>
      </c>
      <c r="AX347" s="124">
        <f t="shared" ca="1" si="380"/>
        <v>152568.75270801148</v>
      </c>
      <c r="AY347" s="121"/>
      <c r="AZ347" s="122">
        <f t="shared" ca="1" si="355"/>
        <v>0</v>
      </c>
      <c r="BA347" s="124">
        <f t="shared" ca="1" si="381"/>
        <v>0</v>
      </c>
      <c r="BB347" s="123">
        <f t="shared" ca="1" si="382"/>
        <v>0</v>
      </c>
      <c r="BC347" s="123">
        <f t="shared" ca="1" si="356"/>
        <v>0</v>
      </c>
      <c r="BD347" s="123">
        <f t="shared" ca="1" si="383"/>
        <v>0</v>
      </c>
      <c r="BE347" s="124">
        <f t="shared" ca="1" si="384"/>
        <v>152568.75270801148</v>
      </c>
      <c r="BF347" s="121"/>
      <c r="BG347" s="123">
        <f t="shared" si="357"/>
        <v>1000000</v>
      </c>
      <c r="BH347" s="123">
        <f t="shared" ca="1" si="385"/>
        <v>1000000</v>
      </c>
      <c r="BI347" s="123">
        <f t="shared" ca="1" si="386"/>
        <v>0</v>
      </c>
      <c r="BJ347" s="123">
        <f t="shared" ca="1" si="387"/>
        <v>0</v>
      </c>
      <c r="BK347" s="123">
        <f t="shared" ca="1" si="344"/>
        <v>1000000</v>
      </c>
      <c r="BL347" s="123">
        <f t="shared" ca="1" si="388"/>
        <v>152568.75270801148</v>
      </c>
      <c r="BM347" s="121"/>
      <c r="BN347" s="126">
        <f ca="1">IF(LiabIntType2="Fixed",LiabFxdRate2,OFFSET(Vectors!$D$6,Vectors!A347,MATCH(LiabLoanIndex2,lstInterestRates,0))+LiabMarg2)</f>
        <v>0.04</v>
      </c>
      <c r="BO347" s="122">
        <f t="shared" ca="1" si="389"/>
        <v>21479.871917597302</v>
      </c>
      <c r="BP347" s="124">
        <f t="shared" ca="1" si="390"/>
        <v>21479.871917597302</v>
      </c>
      <c r="BQ347" s="123">
        <f t="shared" ca="1" si="391"/>
        <v>0</v>
      </c>
      <c r="BR347" s="123">
        <f t="shared" ca="1" si="392"/>
        <v>131088.88079041417</v>
      </c>
      <c r="BS347" s="121"/>
      <c r="BT347" s="123">
        <f t="shared" ca="1" si="358"/>
        <v>14232.411411800289</v>
      </c>
      <c r="BU347" s="123">
        <f t="shared" ca="1" si="393"/>
        <v>14232.411411800289</v>
      </c>
      <c r="BV347" s="123">
        <f t="shared" ca="1" si="394"/>
        <v>0</v>
      </c>
      <c r="BW347" s="123">
        <f t="shared" ca="1" si="395"/>
        <v>116856.46937861388</v>
      </c>
      <c r="BX347" s="121"/>
      <c r="BY347" s="123">
        <f t="shared" si="396"/>
        <v>0</v>
      </c>
      <c r="BZ347" s="123">
        <f t="shared" ca="1" si="397"/>
        <v>116856.46937861388</v>
      </c>
      <c r="CA347" s="121"/>
      <c r="CB347" s="122">
        <f t="shared" ca="1" si="345"/>
        <v>0</v>
      </c>
      <c r="CC347" s="122">
        <f t="shared" ca="1" si="398"/>
        <v>0</v>
      </c>
      <c r="CD347" s="124">
        <f t="shared" ca="1" si="399"/>
        <v>0</v>
      </c>
      <c r="CE347" s="121"/>
      <c r="CF347" s="122">
        <f t="shared" ca="1" si="346"/>
        <v>6429729.1638673907</v>
      </c>
      <c r="CG347" s="124">
        <f t="shared" ca="1" si="400"/>
        <v>21479.871917597302</v>
      </c>
      <c r="CH347" s="123">
        <f t="shared" ca="1" si="401"/>
        <v>14232.411411800289</v>
      </c>
      <c r="CI347" s="121"/>
      <c r="CJ347" s="123">
        <f t="shared" ca="1" si="402"/>
        <v>156981.00734335929</v>
      </c>
      <c r="CK347" s="123">
        <f t="shared" ca="1" si="403"/>
        <v>156981.00734335929</v>
      </c>
      <c r="CL347" s="123">
        <f t="shared" ca="1" si="404"/>
        <v>0</v>
      </c>
      <c r="CM347" s="121"/>
      <c r="CN347" s="62">
        <f t="shared" ca="1" si="405"/>
        <v>138813.36148429418</v>
      </c>
      <c r="CO347" s="62" t="b">
        <f t="shared" si="406"/>
        <v>1</v>
      </c>
      <c r="CP347" s="126">
        <f t="shared" ca="1" si="407"/>
        <v>9.4722222222221805E-3</v>
      </c>
      <c r="CQ347" s="120"/>
      <c r="CR347" s="120"/>
      <c r="CS347" s="120"/>
      <c r="CT347" s="120"/>
      <c r="CU347" s="120"/>
      <c r="CV347" s="120"/>
      <c r="CW347" s="120"/>
      <c r="CX347" s="120"/>
      <c r="CY347" s="120"/>
      <c r="CZ347" s="120"/>
      <c r="DA347" s="120"/>
      <c r="DB347" s="120"/>
      <c r="DC347" s="120"/>
      <c r="DD347" s="120"/>
      <c r="DE347" s="116"/>
      <c r="DF347" s="116"/>
      <c r="DG347" s="116"/>
      <c r="DH347" s="116"/>
      <c r="DI347" s="116"/>
      <c r="DJ347" s="116"/>
      <c r="DK347" s="116"/>
      <c r="DL347" s="116"/>
      <c r="DM347" s="116"/>
      <c r="DN347" s="116"/>
    </row>
    <row r="348" spans="1:118" x14ac:dyDescent="0.2">
      <c r="A348" s="27">
        <v>342</v>
      </c>
      <c r="B348" s="29">
        <f t="shared" si="340"/>
        <v>49522</v>
      </c>
      <c r="C348" s="30">
        <f t="shared" si="341"/>
        <v>8.3333333333333329E-2</v>
      </c>
      <c r="D348" s="55"/>
      <c r="E348" s="62">
        <f t="shared" ca="1" si="359"/>
        <v>14199038.40776905</v>
      </c>
      <c r="F348" s="63">
        <f ca="1">IF(AssetIntType1="Fixed",AssetFxdRate1,IF(A348=1,OFFSET(Vectors!$D$6,A348,MATCH(AssetFltIndx1,lstInterestRates,0)),IF(MOD($A348,AssetRateReset1)=0,MAX(MIN(OFFSET(Vectors!$D$6,A348,MATCH(AssetFltIndx1,lstInterestRates,0)),(F347-AssetMarg1)+AssetPdCapFl1,AssetLifeCap1-AssetMarg1),(F347-AssetMarg1)-AssetPdCapFl1,AssetLifeFloor1-AssetMarg1),F347)))+AssetMarg1</f>
        <v>0.09</v>
      </c>
      <c r="G348" s="62">
        <f t="shared" ca="1" si="347"/>
        <v>804622.61694478267</v>
      </c>
      <c r="H348" s="62">
        <f t="shared" ca="1" si="360"/>
        <v>106492.78805826788</v>
      </c>
      <c r="I348" s="62">
        <f t="shared" ca="1" si="361"/>
        <v>698129.82888651476</v>
      </c>
      <c r="J348" s="62">
        <f t="shared" ca="1" si="342"/>
        <v>13500908.578882536</v>
      </c>
      <c r="K348" s="55"/>
      <c r="L348" s="62">
        <f t="shared" ca="1" si="362"/>
        <v>2508539.419724388</v>
      </c>
      <c r="M348" s="68">
        <f ca="1">IF(pdrLossTime1="",OFFSET(Vectors!$AE$6,A348+_Age1,MATCH(SDA_Loss,lstSDA,0)),OFFSET(Vectors!$X$6,A348+_Age1,MATCH(pdrLossTime1,lstDefaultCurve,0)))</f>
        <v>2.7777777777777779E-5</v>
      </c>
      <c r="N348" s="62">
        <f t="shared" ca="1" si="348"/>
        <v>2777.7777777777778</v>
      </c>
      <c r="O348" s="67">
        <f t="shared" ca="1" si="363"/>
        <v>0.13500908578882537</v>
      </c>
      <c r="P348" s="68">
        <f ca="1">OFFSET(Vectors!$L$6,A348+_Age1,MATCH(pdrPrepay1,lstPrepayCurve,0))*pdrPrepayStress1</f>
        <v>5.1430128318229462E-3</v>
      </c>
      <c r="Q348" s="62">
        <f t="shared" ca="1" si="364"/>
        <v>12267.119625832202</v>
      </c>
      <c r="R348" s="62">
        <f t="shared" ca="1" si="365"/>
        <v>123201.78987370145</v>
      </c>
      <c r="S348" s="69">
        <f t="shared" ca="1" si="366"/>
        <v>0.09</v>
      </c>
      <c r="T348" s="62">
        <f t="shared" ca="1" si="367"/>
        <v>18793.212314599576</v>
      </c>
      <c r="U348" s="62">
        <f t="shared" ca="1" si="349"/>
        <v>1111.1111111111111</v>
      </c>
      <c r="V348" s="62">
        <f t="shared" ca="1" si="343"/>
        <v>2370292.7324470761</v>
      </c>
      <c r="W348" s="55"/>
      <c r="X348" s="62">
        <f t="shared" ca="1" si="368"/>
        <v>155373.23292524435</v>
      </c>
      <c r="Y348" s="55"/>
      <c r="Z348" s="118" t="b">
        <v>0</v>
      </c>
      <c r="AA348" s="120" t="b">
        <f t="shared" si="350"/>
        <v>0</v>
      </c>
      <c r="AB348" s="120" t="b">
        <f t="shared" si="351"/>
        <v>1</v>
      </c>
      <c r="AC348" s="120" t="b">
        <f t="shared" ca="1" si="352"/>
        <v>0</v>
      </c>
      <c r="AD348" s="121"/>
      <c r="AE348" s="129">
        <v>0</v>
      </c>
      <c r="AF348" s="69">
        <f ca="1">IF(Swap_Active="No",0,OFFSET(Vectors!$D$6,Vectors!A348,MATCH(Swap_In,lstInterestRates,0)))</f>
        <v>6.9369000000000056E-2</v>
      </c>
      <c r="AG348" s="62">
        <f t="shared" ca="1" si="369"/>
        <v>0</v>
      </c>
      <c r="AH348" s="69">
        <f ca="1">IF(Swap_Active="No",0,OFFSET(Vectors!$D$6,Vectors!A348,MATCH(Swap_Out,lstInterestRates,0)))</f>
        <v>0.04</v>
      </c>
      <c r="AI348" s="62">
        <f t="shared" ca="1" si="370"/>
        <v>0</v>
      </c>
      <c r="AJ348" s="62">
        <f t="shared" ca="1" si="371"/>
        <v>0</v>
      </c>
      <c r="AK348" s="62">
        <f t="shared" ca="1" si="372"/>
        <v>155373.23292524435</v>
      </c>
      <c r="AL348" s="121"/>
      <c r="AM348" s="123">
        <f t="shared" ca="1" si="353"/>
        <v>4180.8990328739801</v>
      </c>
      <c r="AN348" s="124">
        <f t="shared" ca="1" si="373"/>
        <v>4180.8990328739801</v>
      </c>
      <c r="AO348" s="125">
        <f t="shared" ca="1" si="374"/>
        <v>0</v>
      </c>
      <c r="AP348" s="123">
        <f t="shared" ca="1" si="375"/>
        <v>151192.33389237037</v>
      </c>
      <c r="AQ348" s="121"/>
      <c r="AR348" s="126">
        <f ca="1">IF(LiabIntType1="Fixed",LiabFxdRate1,OFFSET(Vectors!$D$6,Vectors!A348,MATCH(LiabLoanIndex1,lstInterestRates,0))+LiabMarg1)</f>
        <v>7.9369000000000051E-2</v>
      </c>
      <c r="AS348" s="122">
        <f t="shared" ca="1" si="376"/>
        <v>0</v>
      </c>
      <c r="AT348" s="124">
        <f t="shared" ca="1" si="377"/>
        <v>0</v>
      </c>
      <c r="AU348" s="123">
        <f t="shared" ca="1" si="378"/>
        <v>0</v>
      </c>
      <c r="AV348" s="123">
        <f t="shared" ca="1" si="354"/>
        <v>0</v>
      </c>
      <c r="AW348" s="123">
        <f t="shared" ca="1" si="379"/>
        <v>0</v>
      </c>
      <c r="AX348" s="124">
        <f t="shared" ca="1" si="380"/>
        <v>151192.33389237037</v>
      </c>
      <c r="AY348" s="121"/>
      <c r="AZ348" s="122">
        <f t="shared" ca="1" si="355"/>
        <v>0</v>
      </c>
      <c r="BA348" s="124">
        <f t="shared" ca="1" si="381"/>
        <v>0</v>
      </c>
      <c r="BB348" s="123">
        <f t="shared" ca="1" si="382"/>
        <v>0</v>
      </c>
      <c r="BC348" s="123">
        <f t="shared" ca="1" si="356"/>
        <v>0</v>
      </c>
      <c r="BD348" s="123">
        <f t="shared" ca="1" si="383"/>
        <v>0</v>
      </c>
      <c r="BE348" s="124">
        <f t="shared" ca="1" si="384"/>
        <v>151192.33389237037</v>
      </c>
      <c r="BF348" s="121"/>
      <c r="BG348" s="123">
        <f t="shared" si="357"/>
        <v>1000000</v>
      </c>
      <c r="BH348" s="123">
        <f t="shared" ca="1" si="385"/>
        <v>1000000</v>
      </c>
      <c r="BI348" s="123">
        <f t="shared" ca="1" si="386"/>
        <v>0</v>
      </c>
      <c r="BJ348" s="123">
        <f t="shared" ca="1" si="387"/>
        <v>0</v>
      </c>
      <c r="BK348" s="123">
        <f t="shared" ca="1" si="344"/>
        <v>1000000</v>
      </c>
      <c r="BL348" s="123">
        <f t="shared" ca="1" si="388"/>
        <v>151192.33389237037</v>
      </c>
      <c r="BM348" s="121"/>
      <c r="BN348" s="126">
        <f ca="1">IF(LiabIntType2="Fixed",LiabFxdRate2,OFFSET(Vectors!$D$6,Vectors!A348,MATCH(LiabLoanIndex2,lstInterestRates,0))+LiabMarg2)</f>
        <v>0.04</v>
      </c>
      <c r="BO348" s="122">
        <f t="shared" ca="1" si="389"/>
        <v>21432.430546224634</v>
      </c>
      <c r="BP348" s="124">
        <f t="shared" ca="1" si="390"/>
        <v>21432.430546224634</v>
      </c>
      <c r="BQ348" s="123">
        <f t="shared" ca="1" si="391"/>
        <v>0</v>
      </c>
      <c r="BR348" s="123">
        <f t="shared" ca="1" si="392"/>
        <v>129759.90334614573</v>
      </c>
      <c r="BS348" s="121"/>
      <c r="BT348" s="123">
        <f t="shared" ca="1" si="358"/>
        <v>14174.310805605066</v>
      </c>
      <c r="BU348" s="123">
        <f t="shared" ca="1" si="393"/>
        <v>14174.310805605066</v>
      </c>
      <c r="BV348" s="123">
        <f t="shared" ca="1" si="394"/>
        <v>0</v>
      </c>
      <c r="BW348" s="123">
        <f t="shared" ca="1" si="395"/>
        <v>115585.59254054066</v>
      </c>
      <c r="BX348" s="121"/>
      <c r="BY348" s="123">
        <f t="shared" si="396"/>
        <v>0</v>
      </c>
      <c r="BZ348" s="123">
        <f t="shared" ca="1" si="397"/>
        <v>115585.59254054066</v>
      </c>
      <c r="CA348" s="121"/>
      <c r="CB348" s="122">
        <f t="shared" ca="1" si="345"/>
        <v>0</v>
      </c>
      <c r="CC348" s="122">
        <f t="shared" ca="1" si="398"/>
        <v>0</v>
      </c>
      <c r="CD348" s="124">
        <f t="shared" ca="1" si="399"/>
        <v>0</v>
      </c>
      <c r="CE348" s="121"/>
      <c r="CF348" s="122">
        <f t="shared" ca="1" si="346"/>
        <v>6415554.8530617859</v>
      </c>
      <c r="CG348" s="124">
        <f t="shared" ca="1" si="400"/>
        <v>21432.430546224634</v>
      </c>
      <c r="CH348" s="123">
        <f t="shared" ca="1" si="401"/>
        <v>14174.310805605066</v>
      </c>
      <c r="CI348" s="121"/>
      <c r="CJ348" s="123">
        <f t="shared" ca="1" si="402"/>
        <v>155373.23292524435</v>
      </c>
      <c r="CK348" s="123">
        <f t="shared" ca="1" si="403"/>
        <v>155373.23292524435</v>
      </c>
      <c r="CL348" s="123">
        <f t="shared" ca="1" si="404"/>
        <v>0</v>
      </c>
      <c r="CM348" s="121"/>
      <c r="CN348" s="62">
        <f t="shared" ca="1" si="405"/>
        <v>138246.68727731143</v>
      </c>
      <c r="CO348" s="62" t="b">
        <f t="shared" si="406"/>
        <v>1</v>
      </c>
      <c r="CP348" s="126">
        <f t="shared" ca="1" si="407"/>
        <v>9.4999999999999581E-3</v>
      </c>
      <c r="CQ348" s="120"/>
      <c r="CR348" s="120"/>
      <c r="CS348" s="120"/>
      <c r="CT348" s="120"/>
      <c r="CU348" s="120"/>
      <c r="CV348" s="120"/>
      <c r="CW348" s="120"/>
      <c r="CX348" s="120"/>
      <c r="CY348" s="120"/>
      <c r="CZ348" s="120"/>
      <c r="DA348" s="120"/>
      <c r="DB348" s="120"/>
      <c r="DC348" s="120"/>
      <c r="DD348" s="120"/>
      <c r="DE348" s="116"/>
      <c r="DF348" s="116"/>
      <c r="DG348" s="116"/>
      <c r="DH348" s="116"/>
      <c r="DI348" s="116"/>
      <c r="DJ348" s="116"/>
      <c r="DK348" s="116"/>
      <c r="DL348" s="116"/>
      <c r="DM348" s="116"/>
      <c r="DN348" s="116"/>
    </row>
    <row r="349" spans="1:118" x14ac:dyDescent="0.2">
      <c r="A349" s="27">
        <v>343</v>
      </c>
      <c r="B349" s="29">
        <f t="shared" si="340"/>
        <v>49553</v>
      </c>
      <c r="C349" s="30">
        <f t="shared" si="341"/>
        <v>8.3333333333333329E-2</v>
      </c>
      <c r="D349" s="55"/>
      <c r="E349" s="62">
        <f t="shared" ca="1" si="359"/>
        <v>13500908.578882536</v>
      </c>
      <c r="F349" s="63">
        <f ca="1">IF(AssetIntType1="Fixed",AssetFxdRate1,IF(A349=1,OFFSET(Vectors!$D$6,A349,MATCH(AssetFltIndx1,lstInterestRates,0)),IF(MOD($A349,AssetRateReset1)=0,MAX(MIN(OFFSET(Vectors!$D$6,A349,MATCH(AssetFltIndx1,lstInterestRates,0)),(F348-AssetMarg1)+AssetPdCapFl1,AssetLifeCap1-AssetMarg1),(F348-AssetMarg1)-AssetPdCapFl1,AssetLifeFloor1-AssetMarg1),F348)))+AssetMarg1</f>
        <v>0.09</v>
      </c>
      <c r="G349" s="62">
        <f t="shared" ca="1" si="347"/>
        <v>804622.61694478267</v>
      </c>
      <c r="H349" s="62">
        <f t="shared" ca="1" si="360"/>
        <v>101256.81434161901</v>
      </c>
      <c r="I349" s="62">
        <f t="shared" ca="1" si="361"/>
        <v>703365.80260316364</v>
      </c>
      <c r="J349" s="62">
        <f t="shared" ca="1" si="342"/>
        <v>12797542.776279373</v>
      </c>
      <c r="K349" s="55"/>
      <c r="L349" s="62">
        <f t="shared" ca="1" si="362"/>
        <v>2370292.7324470761</v>
      </c>
      <c r="M349" s="68">
        <f ca="1">IF(pdrLossTime1="",OFFSET(Vectors!$AE$6,A349+_Age1,MATCH(SDA_Loss,lstSDA,0)),OFFSET(Vectors!$X$6,A349+_Age1,MATCH(pdrLossTime1,lstDefaultCurve,0)))</f>
        <v>2.7777777777777779E-5</v>
      </c>
      <c r="N349" s="62">
        <f t="shared" ca="1" si="348"/>
        <v>2777.7777777777778</v>
      </c>
      <c r="O349" s="67">
        <f t="shared" ca="1" si="363"/>
        <v>0.12797542776279372</v>
      </c>
      <c r="P349" s="68">
        <f ca="1">OFFSET(Vectors!$L$6,A349+_Age1,MATCH(pdrPrepay1,lstPrepayCurve,0))*pdrPrepayStress1</f>
        <v>5.1430128318229462E-3</v>
      </c>
      <c r="Q349" s="62">
        <f t="shared" ca="1" si="364"/>
        <v>11555.352178255684</v>
      </c>
      <c r="R349" s="62">
        <f t="shared" ca="1" si="365"/>
        <v>123341.99928371025</v>
      </c>
      <c r="S349" s="69">
        <f t="shared" ca="1" si="366"/>
        <v>0.09</v>
      </c>
      <c r="T349" s="62">
        <f t="shared" ca="1" si="367"/>
        <v>17756.362160019737</v>
      </c>
      <c r="U349" s="62">
        <f t="shared" ca="1" si="349"/>
        <v>1111.1111111111111</v>
      </c>
      <c r="V349" s="62">
        <f t="shared" ca="1" si="343"/>
        <v>2232617.6032073325</v>
      </c>
      <c r="W349" s="55"/>
      <c r="X349" s="62">
        <f t="shared" ca="1" si="368"/>
        <v>153764.82473309682</v>
      </c>
      <c r="Y349" s="55"/>
      <c r="Z349" s="118" t="b">
        <v>0</v>
      </c>
      <c r="AA349" s="120" t="b">
        <f t="shared" si="350"/>
        <v>0</v>
      </c>
      <c r="AB349" s="120" t="b">
        <f t="shared" si="351"/>
        <v>1</v>
      </c>
      <c r="AC349" s="120" t="b">
        <f t="shared" ca="1" si="352"/>
        <v>0</v>
      </c>
      <c r="AD349" s="121"/>
      <c r="AE349" s="129">
        <v>0</v>
      </c>
      <c r="AF349" s="69">
        <f ca="1">IF(Swap_Active="No",0,OFFSET(Vectors!$D$6,Vectors!A349,MATCH(Swap_In,lstInterestRates,0)))</f>
        <v>6.9369000000000056E-2</v>
      </c>
      <c r="AG349" s="62">
        <f t="shared" ca="1" si="369"/>
        <v>0</v>
      </c>
      <c r="AH349" s="69">
        <f ca="1">IF(Swap_Active="No",0,OFFSET(Vectors!$D$6,Vectors!A349,MATCH(Swap_Out,lstInterestRates,0)))</f>
        <v>0.04</v>
      </c>
      <c r="AI349" s="62">
        <f t="shared" ca="1" si="370"/>
        <v>0</v>
      </c>
      <c r="AJ349" s="62">
        <f t="shared" ca="1" si="371"/>
        <v>0</v>
      </c>
      <c r="AK349" s="62">
        <f t="shared" ca="1" si="372"/>
        <v>153764.82473309682</v>
      </c>
      <c r="AL349" s="121"/>
      <c r="AM349" s="123">
        <f t="shared" ca="1" si="353"/>
        <v>3950.4878874117931</v>
      </c>
      <c r="AN349" s="124">
        <f t="shared" ca="1" si="373"/>
        <v>3950.4878874117931</v>
      </c>
      <c r="AO349" s="125">
        <f t="shared" ca="1" si="374"/>
        <v>0</v>
      </c>
      <c r="AP349" s="123">
        <f t="shared" ca="1" si="375"/>
        <v>149814.33684568503</v>
      </c>
      <c r="AQ349" s="121"/>
      <c r="AR349" s="126">
        <f ca="1">IF(LiabIntType1="Fixed",LiabFxdRate1,OFFSET(Vectors!$D$6,Vectors!A349,MATCH(LiabLoanIndex1,lstInterestRates,0))+LiabMarg1)</f>
        <v>7.9369000000000051E-2</v>
      </c>
      <c r="AS349" s="122">
        <f t="shared" ca="1" si="376"/>
        <v>0</v>
      </c>
      <c r="AT349" s="124">
        <f t="shared" ca="1" si="377"/>
        <v>0</v>
      </c>
      <c r="AU349" s="123">
        <f t="shared" ca="1" si="378"/>
        <v>0</v>
      </c>
      <c r="AV349" s="123">
        <f t="shared" ca="1" si="354"/>
        <v>0</v>
      </c>
      <c r="AW349" s="123">
        <f t="shared" ca="1" si="379"/>
        <v>0</v>
      </c>
      <c r="AX349" s="124">
        <f t="shared" ca="1" si="380"/>
        <v>149814.33684568503</v>
      </c>
      <c r="AY349" s="121"/>
      <c r="AZ349" s="122">
        <f t="shared" ca="1" si="355"/>
        <v>0</v>
      </c>
      <c r="BA349" s="124">
        <f t="shared" ca="1" si="381"/>
        <v>0</v>
      </c>
      <c r="BB349" s="123">
        <f t="shared" ca="1" si="382"/>
        <v>0</v>
      </c>
      <c r="BC349" s="123">
        <f t="shared" ca="1" si="356"/>
        <v>0</v>
      </c>
      <c r="BD349" s="123">
        <f t="shared" ca="1" si="383"/>
        <v>0</v>
      </c>
      <c r="BE349" s="124">
        <f t="shared" ca="1" si="384"/>
        <v>149814.33684568503</v>
      </c>
      <c r="BF349" s="121"/>
      <c r="BG349" s="123">
        <f t="shared" si="357"/>
        <v>1000000</v>
      </c>
      <c r="BH349" s="123">
        <f t="shared" ca="1" si="385"/>
        <v>1000000</v>
      </c>
      <c r="BI349" s="123">
        <f t="shared" ca="1" si="386"/>
        <v>0</v>
      </c>
      <c r="BJ349" s="123">
        <f t="shared" ca="1" si="387"/>
        <v>0</v>
      </c>
      <c r="BK349" s="123">
        <f t="shared" ca="1" si="344"/>
        <v>1000000</v>
      </c>
      <c r="BL349" s="123">
        <f t="shared" ca="1" si="388"/>
        <v>149814.33684568503</v>
      </c>
      <c r="BM349" s="121"/>
      <c r="BN349" s="126">
        <f ca="1">IF(LiabIntType2="Fixed",LiabFxdRate2,OFFSET(Vectors!$D$6,Vectors!A349,MATCH(LiabLoanIndex2,lstInterestRates,0))+LiabMarg2)</f>
        <v>0.04</v>
      </c>
      <c r="BO349" s="122">
        <f t="shared" ca="1" si="389"/>
        <v>21385.182843539285</v>
      </c>
      <c r="BP349" s="124">
        <f t="shared" ca="1" si="390"/>
        <v>21385.182843539285</v>
      </c>
      <c r="BQ349" s="123">
        <f t="shared" ca="1" si="391"/>
        <v>0</v>
      </c>
      <c r="BR349" s="123">
        <f t="shared" ca="1" si="392"/>
        <v>128429.15400214575</v>
      </c>
      <c r="BS349" s="121"/>
      <c r="BT349" s="123">
        <f t="shared" ca="1" si="358"/>
        <v>14115.709464571299</v>
      </c>
      <c r="BU349" s="123">
        <f t="shared" ca="1" si="393"/>
        <v>14115.709464571299</v>
      </c>
      <c r="BV349" s="123">
        <f t="shared" ca="1" si="394"/>
        <v>0</v>
      </c>
      <c r="BW349" s="123">
        <f t="shared" ca="1" si="395"/>
        <v>114313.44453757445</v>
      </c>
      <c r="BX349" s="121"/>
      <c r="BY349" s="123">
        <f t="shared" si="396"/>
        <v>0</v>
      </c>
      <c r="BZ349" s="123">
        <f t="shared" ca="1" si="397"/>
        <v>114313.44453757445</v>
      </c>
      <c r="CA349" s="121"/>
      <c r="CB349" s="122">
        <f t="shared" ca="1" si="345"/>
        <v>0</v>
      </c>
      <c r="CC349" s="122">
        <f t="shared" ca="1" si="398"/>
        <v>0</v>
      </c>
      <c r="CD349" s="124">
        <f t="shared" ca="1" si="399"/>
        <v>0</v>
      </c>
      <c r="CE349" s="121"/>
      <c r="CF349" s="122">
        <f t="shared" ca="1" si="346"/>
        <v>6401439.1435972145</v>
      </c>
      <c r="CG349" s="124">
        <f t="shared" ca="1" si="400"/>
        <v>21385.182843539285</v>
      </c>
      <c r="CH349" s="123">
        <f t="shared" ca="1" si="401"/>
        <v>14115.709464571299</v>
      </c>
      <c r="CI349" s="121"/>
      <c r="CJ349" s="123">
        <f t="shared" ca="1" si="402"/>
        <v>153764.82473309682</v>
      </c>
      <c r="CK349" s="123">
        <f t="shared" ca="1" si="403"/>
        <v>153764.82473309682</v>
      </c>
      <c r="CL349" s="123">
        <f t="shared" ca="1" si="404"/>
        <v>0</v>
      </c>
      <c r="CM349" s="121"/>
      <c r="CN349" s="62">
        <f t="shared" ca="1" si="405"/>
        <v>137675.12923974372</v>
      </c>
      <c r="CO349" s="62" t="b">
        <f t="shared" si="406"/>
        <v>1</v>
      </c>
      <c r="CP349" s="126">
        <f t="shared" ca="1" si="407"/>
        <v>9.5277777777777357E-3</v>
      </c>
      <c r="CQ349" s="120"/>
      <c r="CR349" s="120"/>
      <c r="CS349" s="120"/>
      <c r="CT349" s="120"/>
      <c r="CU349" s="120"/>
      <c r="CV349" s="120"/>
      <c r="CW349" s="120"/>
      <c r="CX349" s="120"/>
      <c r="CY349" s="120"/>
      <c r="CZ349" s="120"/>
      <c r="DA349" s="120"/>
      <c r="DB349" s="120"/>
      <c r="DC349" s="120"/>
      <c r="DD349" s="120"/>
      <c r="DE349" s="116"/>
      <c r="DF349" s="116"/>
      <c r="DG349" s="116"/>
      <c r="DH349" s="116"/>
      <c r="DI349" s="116"/>
      <c r="DJ349" s="116"/>
      <c r="DK349" s="116"/>
      <c r="DL349" s="116"/>
      <c r="DM349" s="116"/>
      <c r="DN349" s="116"/>
    </row>
    <row r="350" spans="1:118" x14ac:dyDescent="0.2">
      <c r="A350" s="27">
        <v>344</v>
      </c>
      <c r="B350" s="29">
        <f t="shared" si="340"/>
        <v>49583</v>
      </c>
      <c r="C350" s="30">
        <f t="shared" si="341"/>
        <v>8.3333333333333329E-2</v>
      </c>
      <c r="D350" s="55"/>
      <c r="E350" s="62">
        <f t="shared" ca="1" si="359"/>
        <v>12797542.776279373</v>
      </c>
      <c r="F350" s="63">
        <f ca="1">IF(AssetIntType1="Fixed",AssetFxdRate1,IF(A350=1,OFFSET(Vectors!$D$6,A350,MATCH(AssetFltIndx1,lstInterestRates,0)),IF(MOD($A350,AssetRateReset1)=0,MAX(MIN(OFFSET(Vectors!$D$6,A350,MATCH(AssetFltIndx1,lstInterestRates,0)),(F349-AssetMarg1)+AssetPdCapFl1,AssetLifeCap1-AssetMarg1),(F349-AssetMarg1)-AssetPdCapFl1,AssetLifeFloor1-AssetMarg1),F349)))+AssetMarg1</f>
        <v>0.09</v>
      </c>
      <c r="G350" s="62">
        <f t="shared" ca="1" si="347"/>
        <v>804622.61694478267</v>
      </c>
      <c r="H350" s="62">
        <f t="shared" ca="1" si="360"/>
        <v>95981.570822095295</v>
      </c>
      <c r="I350" s="62">
        <f t="shared" ca="1" si="361"/>
        <v>708641.0461226874</v>
      </c>
      <c r="J350" s="62">
        <f t="shared" ca="1" si="342"/>
        <v>12088901.730156686</v>
      </c>
      <c r="K350" s="55"/>
      <c r="L350" s="62">
        <f t="shared" ca="1" si="362"/>
        <v>2232617.6032073325</v>
      </c>
      <c r="M350" s="68">
        <f ca="1">IF(pdrLossTime1="",OFFSET(Vectors!$AE$6,A350+_Age1,MATCH(SDA_Loss,lstSDA,0)),OFFSET(Vectors!$X$6,A350+_Age1,MATCH(pdrLossTime1,lstDefaultCurve,0)))</f>
        <v>2.7777777777777779E-5</v>
      </c>
      <c r="N350" s="62">
        <f t="shared" ca="1" si="348"/>
        <v>2777.7777777777778</v>
      </c>
      <c r="O350" s="67">
        <f t="shared" ca="1" si="363"/>
        <v>0.12088901730156686</v>
      </c>
      <c r="P350" s="68">
        <f ca="1">OFFSET(Vectors!$L$6,A350+_Age1,MATCH(pdrPrepay1,lstPrepayCurve,0))*pdrPrepayStress1</f>
        <v>5.1430128318229462E-3</v>
      </c>
      <c r="Q350" s="62">
        <f t="shared" ca="1" si="364"/>
        <v>10846.564668264378</v>
      </c>
      <c r="R350" s="62">
        <f t="shared" ca="1" si="365"/>
        <v>123473.39283813871</v>
      </c>
      <c r="S350" s="69">
        <f t="shared" ca="1" si="366"/>
        <v>0.09</v>
      </c>
      <c r="T350" s="62">
        <f t="shared" ca="1" si="367"/>
        <v>16723.798690721658</v>
      </c>
      <c r="U350" s="62">
        <f t="shared" ca="1" si="349"/>
        <v>1111.1111111111111</v>
      </c>
      <c r="V350" s="62">
        <f t="shared" ca="1" si="343"/>
        <v>2095519.8679231517</v>
      </c>
      <c r="W350" s="55"/>
      <c r="X350" s="62">
        <f t="shared" ca="1" si="368"/>
        <v>152154.86730823587</v>
      </c>
      <c r="Y350" s="55"/>
      <c r="Z350" s="118" t="b">
        <v>0</v>
      </c>
      <c r="AA350" s="120" t="b">
        <f t="shared" si="350"/>
        <v>0</v>
      </c>
      <c r="AB350" s="120" t="b">
        <f t="shared" si="351"/>
        <v>1</v>
      </c>
      <c r="AC350" s="120" t="b">
        <f t="shared" ca="1" si="352"/>
        <v>0</v>
      </c>
      <c r="AD350" s="121"/>
      <c r="AE350" s="129">
        <v>0</v>
      </c>
      <c r="AF350" s="69">
        <f ca="1">IF(Swap_Active="No",0,OFFSET(Vectors!$D$6,Vectors!A350,MATCH(Swap_In,lstInterestRates,0)))</f>
        <v>6.9369000000000056E-2</v>
      </c>
      <c r="AG350" s="62">
        <f t="shared" ca="1" si="369"/>
        <v>0</v>
      </c>
      <c r="AH350" s="69">
        <f ca="1">IF(Swap_Active="No",0,OFFSET(Vectors!$D$6,Vectors!A350,MATCH(Swap_Out,lstInterestRates,0)))</f>
        <v>0.04</v>
      </c>
      <c r="AI350" s="62">
        <f t="shared" ca="1" si="370"/>
        <v>0</v>
      </c>
      <c r="AJ350" s="62">
        <f t="shared" ca="1" si="371"/>
        <v>0</v>
      </c>
      <c r="AK350" s="62">
        <f t="shared" ca="1" si="372"/>
        <v>152154.86730823587</v>
      </c>
      <c r="AL350" s="121"/>
      <c r="AM350" s="123">
        <f t="shared" ca="1" si="353"/>
        <v>3721.0293386788871</v>
      </c>
      <c r="AN350" s="124">
        <f t="shared" ca="1" si="373"/>
        <v>3721.0293386788871</v>
      </c>
      <c r="AO350" s="125">
        <f t="shared" ca="1" si="374"/>
        <v>0</v>
      </c>
      <c r="AP350" s="123">
        <f t="shared" ca="1" si="375"/>
        <v>148433.83796955697</v>
      </c>
      <c r="AQ350" s="121"/>
      <c r="AR350" s="126">
        <f ca="1">IF(LiabIntType1="Fixed",LiabFxdRate1,OFFSET(Vectors!$D$6,Vectors!A350,MATCH(LiabLoanIndex1,lstInterestRates,0))+LiabMarg1)</f>
        <v>7.9369000000000051E-2</v>
      </c>
      <c r="AS350" s="122">
        <f t="shared" ca="1" si="376"/>
        <v>0</v>
      </c>
      <c r="AT350" s="124">
        <f t="shared" ca="1" si="377"/>
        <v>0</v>
      </c>
      <c r="AU350" s="123">
        <f t="shared" ca="1" si="378"/>
        <v>0</v>
      </c>
      <c r="AV350" s="123">
        <f t="shared" ca="1" si="354"/>
        <v>0</v>
      </c>
      <c r="AW350" s="123">
        <f t="shared" ca="1" si="379"/>
        <v>0</v>
      </c>
      <c r="AX350" s="124">
        <f t="shared" ca="1" si="380"/>
        <v>148433.83796955697</v>
      </c>
      <c r="AY350" s="121"/>
      <c r="AZ350" s="122">
        <f t="shared" ca="1" si="355"/>
        <v>0</v>
      </c>
      <c r="BA350" s="124">
        <f t="shared" ca="1" si="381"/>
        <v>0</v>
      </c>
      <c r="BB350" s="123">
        <f t="shared" ca="1" si="382"/>
        <v>0</v>
      </c>
      <c r="BC350" s="123">
        <f t="shared" ca="1" si="356"/>
        <v>0</v>
      </c>
      <c r="BD350" s="123">
        <f t="shared" ca="1" si="383"/>
        <v>0</v>
      </c>
      <c r="BE350" s="124">
        <f t="shared" ca="1" si="384"/>
        <v>148433.83796955697</v>
      </c>
      <c r="BF350" s="121"/>
      <c r="BG350" s="123">
        <f t="shared" si="357"/>
        <v>1000000</v>
      </c>
      <c r="BH350" s="123">
        <f t="shared" ca="1" si="385"/>
        <v>1000000</v>
      </c>
      <c r="BI350" s="123">
        <f t="shared" ca="1" si="386"/>
        <v>0</v>
      </c>
      <c r="BJ350" s="123">
        <f t="shared" ca="1" si="387"/>
        <v>0</v>
      </c>
      <c r="BK350" s="123">
        <f t="shared" ca="1" si="344"/>
        <v>1000000</v>
      </c>
      <c r="BL350" s="123">
        <f t="shared" ca="1" si="388"/>
        <v>148433.83796955697</v>
      </c>
      <c r="BM350" s="121"/>
      <c r="BN350" s="126">
        <f ca="1">IF(LiabIntType2="Fixed",LiabFxdRate2,OFFSET(Vectors!$D$6,Vectors!A350,MATCH(LiabLoanIndex2,lstInterestRates,0))+LiabMarg2)</f>
        <v>0.04</v>
      </c>
      <c r="BO350" s="122">
        <f t="shared" ca="1" si="389"/>
        <v>21338.130478657382</v>
      </c>
      <c r="BP350" s="124">
        <f t="shared" ca="1" si="390"/>
        <v>21338.130478657382</v>
      </c>
      <c r="BQ350" s="123">
        <f t="shared" ca="1" si="391"/>
        <v>0</v>
      </c>
      <c r="BR350" s="123">
        <f t="shared" ca="1" si="392"/>
        <v>127095.7074908996</v>
      </c>
      <c r="BS350" s="121"/>
      <c r="BT350" s="123">
        <f t="shared" ca="1" si="358"/>
        <v>14056.5097720173</v>
      </c>
      <c r="BU350" s="123">
        <f t="shared" ca="1" si="393"/>
        <v>14056.5097720173</v>
      </c>
      <c r="BV350" s="123">
        <f t="shared" ca="1" si="394"/>
        <v>0</v>
      </c>
      <c r="BW350" s="123">
        <f t="shared" ca="1" si="395"/>
        <v>113039.19771888229</v>
      </c>
      <c r="BX350" s="121"/>
      <c r="BY350" s="123">
        <f t="shared" si="396"/>
        <v>0</v>
      </c>
      <c r="BZ350" s="123">
        <f t="shared" ca="1" si="397"/>
        <v>113039.19771888229</v>
      </c>
      <c r="CA350" s="121"/>
      <c r="CB350" s="122">
        <f t="shared" ca="1" si="345"/>
        <v>0</v>
      </c>
      <c r="CC350" s="122">
        <f t="shared" ca="1" si="398"/>
        <v>0</v>
      </c>
      <c r="CD350" s="124">
        <f t="shared" ca="1" si="399"/>
        <v>0</v>
      </c>
      <c r="CE350" s="121"/>
      <c r="CF350" s="122">
        <f t="shared" ca="1" si="346"/>
        <v>6387382.6338251969</v>
      </c>
      <c r="CG350" s="124">
        <f t="shared" ca="1" si="400"/>
        <v>21338.130478657382</v>
      </c>
      <c r="CH350" s="123">
        <f t="shared" ca="1" si="401"/>
        <v>14056.5097720173</v>
      </c>
      <c r="CI350" s="121"/>
      <c r="CJ350" s="123">
        <f t="shared" ca="1" si="402"/>
        <v>152154.86730823587</v>
      </c>
      <c r="CK350" s="123">
        <f t="shared" ca="1" si="403"/>
        <v>152154.86730823584</v>
      </c>
      <c r="CL350" s="123">
        <f t="shared" ca="1" si="404"/>
        <v>0</v>
      </c>
      <c r="CM350" s="121"/>
      <c r="CN350" s="62">
        <f t="shared" ca="1" si="405"/>
        <v>137097.73528418088</v>
      </c>
      <c r="CO350" s="62" t="b">
        <f t="shared" si="406"/>
        <v>1</v>
      </c>
      <c r="CP350" s="126">
        <f t="shared" ca="1" si="407"/>
        <v>9.5555555555555134E-3</v>
      </c>
      <c r="CQ350" s="120"/>
      <c r="CR350" s="120"/>
      <c r="CS350" s="120"/>
      <c r="CT350" s="120"/>
      <c r="CU350" s="120"/>
      <c r="CV350" s="120"/>
      <c r="CW350" s="120"/>
      <c r="CX350" s="120"/>
      <c r="CY350" s="120"/>
      <c r="CZ350" s="120"/>
      <c r="DA350" s="120"/>
      <c r="DB350" s="120"/>
      <c r="DC350" s="120"/>
      <c r="DD350" s="120"/>
      <c r="DE350" s="116"/>
      <c r="DF350" s="116"/>
      <c r="DG350" s="116"/>
      <c r="DH350" s="116"/>
      <c r="DI350" s="116"/>
      <c r="DJ350" s="116"/>
      <c r="DK350" s="116"/>
      <c r="DL350" s="116"/>
      <c r="DM350" s="116"/>
      <c r="DN350" s="116"/>
    </row>
    <row r="351" spans="1:118" x14ac:dyDescent="0.2">
      <c r="A351" s="27">
        <v>345</v>
      </c>
      <c r="B351" s="29">
        <f t="shared" si="340"/>
        <v>49614</v>
      </c>
      <c r="C351" s="30">
        <f t="shared" si="341"/>
        <v>8.3333333333333329E-2</v>
      </c>
      <c r="D351" s="55"/>
      <c r="E351" s="62">
        <f t="shared" ca="1" si="359"/>
        <v>12088901.730156686</v>
      </c>
      <c r="F351" s="63">
        <f ca="1">IF(AssetIntType1="Fixed",AssetFxdRate1,IF(A351=1,OFFSET(Vectors!$D$6,A351,MATCH(AssetFltIndx1,lstInterestRates,0)),IF(MOD($A351,AssetRateReset1)=0,MAX(MIN(OFFSET(Vectors!$D$6,A351,MATCH(AssetFltIndx1,lstInterestRates,0)),(F350-AssetMarg1)+AssetPdCapFl1,AssetLifeCap1-AssetMarg1),(F350-AssetMarg1)-AssetPdCapFl1,AssetLifeFloor1-AssetMarg1),F350)))+AssetMarg1</f>
        <v>0.09</v>
      </c>
      <c r="G351" s="62">
        <f t="shared" ca="1" si="347"/>
        <v>804622.61694478267</v>
      </c>
      <c r="H351" s="62">
        <f t="shared" ca="1" si="360"/>
        <v>90666.762976175145</v>
      </c>
      <c r="I351" s="62">
        <f t="shared" ca="1" si="361"/>
        <v>713955.85396860749</v>
      </c>
      <c r="J351" s="62">
        <f t="shared" ca="1" si="342"/>
        <v>11374945.876188079</v>
      </c>
      <c r="K351" s="55"/>
      <c r="L351" s="62">
        <f t="shared" ca="1" si="362"/>
        <v>2095519.8679231517</v>
      </c>
      <c r="M351" s="68">
        <f ca="1">IF(pdrLossTime1="",OFFSET(Vectors!$AE$6,A351+_Age1,MATCH(SDA_Loss,lstSDA,0)),OFFSET(Vectors!$X$6,A351+_Age1,MATCH(pdrLossTime1,lstDefaultCurve,0)))</f>
        <v>2.7777777777777779E-5</v>
      </c>
      <c r="N351" s="62">
        <f t="shared" ca="1" si="348"/>
        <v>2777.7777777777778</v>
      </c>
      <c r="O351" s="67">
        <f t="shared" ca="1" si="363"/>
        <v>0.11374945876188079</v>
      </c>
      <c r="P351" s="68">
        <f ca="1">OFFSET(Vectors!$L$6,A351+_Age1,MATCH(pdrPrepay1,lstPrepayCurve,0))*pdrPrepayStress1</f>
        <v>5.1430128318229462E-3</v>
      </c>
      <c r="Q351" s="62">
        <f t="shared" ca="1" si="364"/>
        <v>10140.792173530663</v>
      </c>
      <c r="R351" s="62">
        <f t="shared" ca="1" si="365"/>
        <v>123594.80616659965</v>
      </c>
      <c r="S351" s="69">
        <f t="shared" ca="1" si="366"/>
        <v>0.09</v>
      </c>
      <c r="T351" s="62">
        <f t="shared" ca="1" si="367"/>
        <v>15695.565676090304</v>
      </c>
      <c r="U351" s="62">
        <f t="shared" ca="1" si="349"/>
        <v>1111.1111111111111</v>
      </c>
      <c r="V351" s="62">
        <f t="shared" ca="1" si="343"/>
        <v>1959006.4918052435</v>
      </c>
      <c r="W351" s="55"/>
      <c r="X351" s="62">
        <f t="shared" ca="1" si="368"/>
        <v>150542.27512733176</v>
      </c>
      <c r="Y351" s="55"/>
      <c r="Z351" s="118" t="b">
        <v>0</v>
      </c>
      <c r="AA351" s="120" t="b">
        <f t="shared" si="350"/>
        <v>0</v>
      </c>
      <c r="AB351" s="120" t="b">
        <f t="shared" si="351"/>
        <v>1</v>
      </c>
      <c r="AC351" s="120" t="b">
        <f t="shared" ca="1" si="352"/>
        <v>0</v>
      </c>
      <c r="AD351" s="121"/>
      <c r="AE351" s="129">
        <v>0</v>
      </c>
      <c r="AF351" s="69">
        <f ca="1">IF(Swap_Active="No",0,OFFSET(Vectors!$D$6,Vectors!A351,MATCH(Swap_In,lstInterestRates,0)))</f>
        <v>6.9369000000000056E-2</v>
      </c>
      <c r="AG351" s="62">
        <f t="shared" ca="1" si="369"/>
        <v>0</v>
      </c>
      <c r="AH351" s="69">
        <f ca="1">IF(Swap_Active="No",0,OFFSET(Vectors!$D$6,Vectors!A351,MATCH(Swap_Out,lstInterestRates,0)))</f>
        <v>0.04</v>
      </c>
      <c r="AI351" s="62">
        <f t="shared" ca="1" si="370"/>
        <v>0</v>
      </c>
      <c r="AJ351" s="62">
        <f t="shared" ca="1" si="371"/>
        <v>0</v>
      </c>
      <c r="AK351" s="62">
        <f t="shared" ca="1" si="372"/>
        <v>150542.27512733176</v>
      </c>
      <c r="AL351" s="121"/>
      <c r="AM351" s="123">
        <f t="shared" ca="1" si="353"/>
        <v>3492.5331132052524</v>
      </c>
      <c r="AN351" s="124">
        <f t="shared" ca="1" si="373"/>
        <v>3492.5331132052524</v>
      </c>
      <c r="AO351" s="125">
        <f t="shared" ca="1" si="374"/>
        <v>0</v>
      </c>
      <c r="AP351" s="123">
        <f t="shared" ca="1" si="375"/>
        <v>147049.7420141265</v>
      </c>
      <c r="AQ351" s="121"/>
      <c r="AR351" s="126">
        <f ca="1">IF(LiabIntType1="Fixed",LiabFxdRate1,OFFSET(Vectors!$D$6,Vectors!A351,MATCH(LiabLoanIndex1,lstInterestRates,0))+LiabMarg1)</f>
        <v>7.9369000000000051E-2</v>
      </c>
      <c r="AS351" s="122">
        <f t="shared" ca="1" si="376"/>
        <v>0</v>
      </c>
      <c r="AT351" s="124">
        <f t="shared" ca="1" si="377"/>
        <v>0</v>
      </c>
      <c r="AU351" s="123">
        <f t="shared" ca="1" si="378"/>
        <v>0</v>
      </c>
      <c r="AV351" s="123">
        <f t="shared" ca="1" si="354"/>
        <v>0</v>
      </c>
      <c r="AW351" s="123">
        <f t="shared" ca="1" si="379"/>
        <v>0</v>
      </c>
      <c r="AX351" s="124">
        <f t="shared" ca="1" si="380"/>
        <v>147049.7420141265</v>
      </c>
      <c r="AY351" s="121"/>
      <c r="AZ351" s="122">
        <f t="shared" ca="1" si="355"/>
        <v>0</v>
      </c>
      <c r="BA351" s="124">
        <f t="shared" ca="1" si="381"/>
        <v>0</v>
      </c>
      <c r="BB351" s="123">
        <f t="shared" ca="1" si="382"/>
        <v>0</v>
      </c>
      <c r="BC351" s="123">
        <f t="shared" ca="1" si="356"/>
        <v>0</v>
      </c>
      <c r="BD351" s="123">
        <f t="shared" ca="1" si="383"/>
        <v>0</v>
      </c>
      <c r="BE351" s="124">
        <f t="shared" ca="1" si="384"/>
        <v>147049.7420141265</v>
      </c>
      <c r="BF351" s="121"/>
      <c r="BG351" s="123">
        <f t="shared" si="357"/>
        <v>1000000</v>
      </c>
      <c r="BH351" s="123">
        <f t="shared" ca="1" si="385"/>
        <v>1000000</v>
      </c>
      <c r="BI351" s="123">
        <f t="shared" ca="1" si="386"/>
        <v>0</v>
      </c>
      <c r="BJ351" s="123">
        <f t="shared" ca="1" si="387"/>
        <v>0</v>
      </c>
      <c r="BK351" s="123">
        <f t="shared" ca="1" si="344"/>
        <v>1000000</v>
      </c>
      <c r="BL351" s="123">
        <f t="shared" ca="1" si="388"/>
        <v>147049.7420141265</v>
      </c>
      <c r="BM351" s="121"/>
      <c r="BN351" s="126">
        <f ca="1">IF(LiabIntType2="Fixed",LiabFxdRate2,OFFSET(Vectors!$D$6,Vectors!A351,MATCH(LiabLoanIndex2,lstInterestRates,0))+LiabMarg2)</f>
        <v>0.04</v>
      </c>
      <c r="BO351" s="122">
        <f t="shared" ca="1" si="389"/>
        <v>21291.27544608399</v>
      </c>
      <c r="BP351" s="124">
        <f t="shared" ca="1" si="390"/>
        <v>21291.27544608399</v>
      </c>
      <c r="BQ351" s="123">
        <f t="shared" ca="1" si="391"/>
        <v>0</v>
      </c>
      <c r="BR351" s="123">
        <f t="shared" ca="1" si="392"/>
        <v>125758.46656804251</v>
      </c>
      <c r="BS351" s="121"/>
      <c r="BT351" s="123">
        <f t="shared" ca="1" si="358"/>
        <v>13996.595942557939</v>
      </c>
      <c r="BU351" s="123">
        <f t="shared" ca="1" si="393"/>
        <v>13996.595942557939</v>
      </c>
      <c r="BV351" s="123">
        <f t="shared" ca="1" si="394"/>
        <v>0</v>
      </c>
      <c r="BW351" s="123">
        <f t="shared" ca="1" si="395"/>
        <v>111761.87062548457</v>
      </c>
      <c r="BX351" s="121"/>
      <c r="BY351" s="123">
        <f t="shared" si="396"/>
        <v>0</v>
      </c>
      <c r="BZ351" s="123">
        <f t="shared" ca="1" si="397"/>
        <v>111761.87062548457</v>
      </c>
      <c r="CA351" s="121"/>
      <c r="CB351" s="122">
        <f t="shared" ca="1" si="345"/>
        <v>0</v>
      </c>
      <c r="CC351" s="122">
        <f t="shared" ca="1" si="398"/>
        <v>0</v>
      </c>
      <c r="CD351" s="124">
        <f t="shared" ca="1" si="399"/>
        <v>0</v>
      </c>
      <c r="CE351" s="121"/>
      <c r="CF351" s="122">
        <f t="shared" ca="1" si="346"/>
        <v>6373386.0378826391</v>
      </c>
      <c r="CG351" s="124">
        <f t="shared" ca="1" si="400"/>
        <v>21291.27544608399</v>
      </c>
      <c r="CH351" s="123">
        <f t="shared" ca="1" si="401"/>
        <v>13996.595942557939</v>
      </c>
      <c r="CI351" s="121"/>
      <c r="CJ351" s="123">
        <f t="shared" ca="1" si="402"/>
        <v>150542.27512733176</v>
      </c>
      <c r="CK351" s="123">
        <f t="shared" ca="1" si="403"/>
        <v>150542.27512733176</v>
      </c>
      <c r="CL351" s="123">
        <f t="shared" ca="1" si="404"/>
        <v>0</v>
      </c>
      <c r="CM351" s="121"/>
      <c r="CN351" s="62">
        <f t="shared" ca="1" si="405"/>
        <v>136513.3761179081</v>
      </c>
      <c r="CO351" s="62" t="b">
        <f t="shared" si="406"/>
        <v>1</v>
      </c>
      <c r="CP351" s="126">
        <f t="shared" ca="1" si="407"/>
        <v>9.583333333333291E-3</v>
      </c>
      <c r="CQ351" s="120"/>
      <c r="CR351" s="120"/>
      <c r="CS351" s="120"/>
      <c r="CT351" s="120"/>
      <c r="CU351" s="120"/>
      <c r="CV351" s="120"/>
      <c r="CW351" s="120"/>
      <c r="CX351" s="120"/>
      <c r="CY351" s="120"/>
      <c r="CZ351" s="120"/>
      <c r="DA351" s="120"/>
      <c r="DB351" s="120"/>
      <c r="DC351" s="120"/>
      <c r="DD351" s="120"/>
      <c r="DE351" s="116"/>
      <c r="DF351" s="116"/>
      <c r="DG351" s="116"/>
      <c r="DH351" s="116"/>
      <c r="DI351" s="116"/>
      <c r="DJ351" s="116"/>
      <c r="DK351" s="116"/>
      <c r="DL351" s="116"/>
      <c r="DM351" s="116"/>
      <c r="DN351" s="116"/>
    </row>
    <row r="352" spans="1:118" x14ac:dyDescent="0.2">
      <c r="A352" s="27">
        <v>346</v>
      </c>
      <c r="B352" s="29">
        <f t="shared" si="340"/>
        <v>49644</v>
      </c>
      <c r="C352" s="30">
        <f t="shared" si="341"/>
        <v>8.3333333333333329E-2</v>
      </c>
      <c r="D352" s="55"/>
      <c r="E352" s="62">
        <f t="shared" ca="1" si="359"/>
        <v>11374945.876188079</v>
      </c>
      <c r="F352" s="63">
        <f ca="1">IF(AssetIntType1="Fixed",AssetFxdRate1,IF(A352=1,OFFSET(Vectors!$D$6,A352,MATCH(AssetFltIndx1,lstInterestRates,0)),IF(MOD($A352,AssetRateReset1)=0,MAX(MIN(OFFSET(Vectors!$D$6,A352,MATCH(AssetFltIndx1,lstInterestRates,0)),(F351-AssetMarg1)+AssetPdCapFl1,AssetLifeCap1-AssetMarg1),(F351-AssetMarg1)-AssetPdCapFl1,AssetLifeFloor1-AssetMarg1),F351)))+AssetMarg1</f>
        <v>0.09</v>
      </c>
      <c r="G352" s="62">
        <f t="shared" ca="1" si="347"/>
        <v>804622.61694478267</v>
      </c>
      <c r="H352" s="62">
        <f t="shared" ca="1" si="360"/>
        <v>85312.094071410582</v>
      </c>
      <c r="I352" s="62">
        <f t="shared" ca="1" si="361"/>
        <v>719310.52287337207</v>
      </c>
      <c r="J352" s="62">
        <f t="shared" ca="1" si="342"/>
        <v>10655635.353314707</v>
      </c>
      <c r="K352" s="55"/>
      <c r="L352" s="62">
        <f t="shared" ca="1" si="362"/>
        <v>1959006.4918052435</v>
      </c>
      <c r="M352" s="68">
        <f ca="1">IF(pdrLossTime1="",OFFSET(Vectors!$AE$6,A352+_Age1,MATCH(SDA_Loss,lstSDA,0)),OFFSET(Vectors!$X$6,A352+_Age1,MATCH(pdrLossTime1,lstDefaultCurve,0)))</f>
        <v>2.7777777777777779E-5</v>
      </c>
      <c r="N352" s="62">
        <f t="shared" ca="1" si="348"/>
        <v>2777.7777777777778</v>
      </c>
      <c r="O352" s="67">
        <f t="shared" ca="1" si="363"/>
        <v>0.10655635353314707</v>
      </c>
      <c r="P352" s="68">
        <f ca="1">OFFSET(Vectors!$L$6,A352+_Age1,MATCH(pdrPrepay1,lstPrepayCurve,0))*pdrPrepayStress1</f>
        <v>5.1430128318229462E-3</v>
      </c>
      <c r="Q352" s="62">
        <f t="shared" ca="1" si="364"/>
        <v>9438.0765232704252</v>
      </c>
      <c r="R352" s="62">
        <f t="shared" ca="1" si="365"/>
        <v>123704.84347469734</v>
      </c>
      <c r="S352" s="69">
        <f t="shared" ca="1" si="366"/>
        <v>0.09</v>
      </c>
      <c r="T352" s="62">
        <f t="shared" ca="1" si="367"/>
        <v>14671.715355205994</v>
      </c>
      <c r="U352" s="62">
        <f t="shared" ca="1" si="349"/>
        <v>1111.1111111111111</v>
      </c>
      <c r="V352" s="62">
        <f t="shared" ca="1" si="343"/>
        <v>1823085.794029498</v>
      </c>
      <c r="W352" s="55"/>
      <c r="X352" s="62">
        <f t="shared" ca="1" si="368"/>
        <v>148925.74646428486</v>
      </c>
      <c r="Y352" s="55"/>
      <c r="Z352" s="118" t="b">
        <v>0</v>
      </c>
      <c r="AA352" s="120" t="b">
        <f t="shared" si="350"/>
        <v>0</v>
      </c>
      <c r="AB352" s="120" t="b">
        <f t="shared" si="351"/>
        <v>1</v>
      </c>
      <c r="AC352" s="120" t="b">
        <f t="shared" ca="1" si="352"/>
        <v>0</v>
      </c>
      <c r="AD352" s="121"/>
      <c r="AE352" s="129">
        <v>0</v>
      </c>
      <c r="AF352" s="69">
        <f ca="1">IF(Swap_Active="No",0,OFFSET(Vectors!$D$6,Vectors!A352,MATCH(Swap_In,lstInterestRates,0)))</f>
        <v>6.9369000000000056E-2</v>
      </c>
      <c r="AG352" s="62">
        <f t="shared" ca="1" si="369"/>
        <v>0</v>
      </c>
      <c r="AH352" s="69">
        <f ca="1">IF(Swap_Active="No",0,OFFSET(Vectors!$D$6,Vectors!A352,MATCH(Swap_Out,lstInterestRates,0)))</f>
        <v>0.04</v>
      </c>
      <c r="AI352" s="62">
        <f t="shared" ca="1" si="370"/>
        <v>0</v>
      </c>
      <c r="AJ352" s="62">
        <f t="shared" ca="1" si="371"/>
        <v>0</v>
      </c>
      <c r="AK352" s="62">
        <f t="shared" ca="1" si="372"/>
        <v>148925.74646428486</v>
      </c>
      <c r="AL352" s="121"/>
      <c r="AM352" s="123">
        <f t="shared" ca="1" si="353"/>
        <v>3265.0108196754059</v>
      </c>
      <c r="AN352" s="124">
        <f t="shared" ca="1" si="373"/>
        <v>3265.0108196754059</v>
      </c>
      <c r="AO352" s="125">
        <f t="shared" ca="1" si="374"/>
        <v>0</v>
      </c>
      <c r="AP352" s="123">
        <f t="shared" ca="1" si="375"/>
        <v>145660.73564460946</v>
      </c>
      <c r="AQ352" s="121"/>
      <c r="AR352" s="126">
        <f ca="1">IF(LiabIntType1="Fixed",LiabFxdRate1,OFFSET(Vectors!$D$6,Vectors!A352,MATCH(LiabLoanIndex1,lstInterestRates,0))+LiabMarg1)</f>
        <v>7.9369000000000051E-2</v>
      </c>
      <c r="AS352" s="122">
        <f t="shared" ca="1" si="376"/>
        <v>0</v>
      </c>
      <c r="AT352" s="124">
        <f t="shared" ca="1" si="377"/>
        <v>0</v>
      </c>
      <c r="AU352" s="123">
        <f t="shared" ca="1" si="378"/>
        <v>0</v>
      </c>
      <c r="AV352" s="123">
        <f t="shared" ca="1" si="354"/>
        <v>0</v>
      </c>
      <c r="AW352" s="123">
        <f t="shared" ca="1" si="379"/>
        <v>0</v>
      </c>
      <c r="AX352" s="124">
        <f t="shared" ca="1" si="380"/>
        <v>145660.73564460946</v>
      </c>
      <c r="AY352" s="121"/>
      <c r="AZ352" s="122">
        <f t="shared" ca="1" si="355"/>
        <v>0</v>
      </c>
      <c r="BA352" s="124">
        <f t="shared" ca="1" si="381"/>
        <v>0</v>
      </c>
      <c r="BB352" s="123">
        <f t="shared" ca="1" si="382"/>
        <v>0</v>
      </c>
      <c r="BC352" s="123">
        <f t="shared" ca="1" si="356"/>
        <v>0</v>
      </c>
      <c r="BD352" s="123">
        <f t="shared" ca="1" si="383"/>
        <v>0</v>
      </c>
      <c r="BE352" s="124">
        <f t="shared" ca="1" si="384"/>
        <v>145660.73564460946</v>
      </c>
      <c r="BF352" s="121"/>
      <c r="BG352" s="123">
        <f t="shared" si="357"/>
        <v>1000000</v>
      </c>
      <c r="BH352" s="123">
        <f t="shared" ca="1" si="385"/>
        <v>1000000</v>
      </c>
      <c r="BI352" s="123">
        <f t="shared" ca="1" si="386"/>
        <v>0</v>
      </c>
      <c r="BJ352" s="123">
        <f t="shared" ca="1" si="387"/>
        <v>0</v>
      </c>
      <c r="BK352" s="123">
        <f t="shared" ca="1" si="344"/>
        <v>1000000</v>
      </c>
      <c r="BL352" s="123">
        <f t="shared" ca="1" si="388"/>
        <v>145660.73564460946</v>
      </c>
      <c r="BM352" s="121"/>
      <c r="BN352" s="126">
        <f ca="1">IF(LiabIntType2="Fixed",LiabFxdRate2,OFFSET(Vectors!$D$6,Vectors!A352,MATCH(LiabLoanIndex2,lstInterestRates,0))+LiabMarg2)</f>
        <v>0.04</v>
      </c>
      <c r="BO352" s="122">
        <f t="shared" ca="1" si="389"/>
        <v>21244.620126275462</v>
      </c>
      <c r="BP352" s="124">
        <f t="shared" ca="1" si="390"/>
        <v>21244.620126275462</v>
      </c>
      <c r="BQ352" s="123">
        <f t="shared" ca="1" si="391"/>
        <v>0</v>
      </c>
      <c r="BR352" s="123">
        <f t="shared" ca="1" si="392"/>
        <v>124416.115518334</v>
      </c>
      <c r="BS352" s="121"/>
      <c r="BT352" s="123">
        <f t="shared" ca="1" si="358"/>
        <v>13935.82915533857</v>
      </c>
      <c r="BU352" s="123">
        <f t="shared" ca="1" si="393"/>
        <v>13935.82915533857</v>
      </c>
      <c r="BV352" s="123">
        <f t="shared" ca="1" si="394"/>
        <v>0</v>
      </c>
      <c r="BW352" s="123">
        <f t="shared" ca="1" si="395"/>
        <v>110480.28636299544</v>
      </c>
      <c r="BX352" s="121"/>
      <c r="BY352" s="123">
        <f t="shared" si="396"/>
        <v>0</v>
      </c>
      <c r="BZ352" s="123">
        <f t="shared" ca="1" si="397"/>
        <v>110480.28636299544</v>
      </c>
      <c r="CA352" s="121"/>
      <c r="CB352" s="122">
        <f t="shared" ca="1" si="345"/>
        <v>0</v>
      </c>
      <c r="CC352" s="122">
        <f t="shared" ca="1" si="398"/>
        <v>0</v>
      </c>
      <c r="CD352" s="124">
        <f t="shared" ca="1" si="399"/>
        <v>0</v>
      </c>
      <c r="CE352" s="121"/>
      <c r="CF352" s="122">
        <f t="shared" ca="1" si="346"/>
        <v>6359450.2087273002</v>
      </c>
      <c r="CG352" s="124">
        <f t="shared" ca="1" si="400"/>
        <v>21244.620126275462</v>
      </c>
      <c r="CH352" s="123">
        <f t="shared" ca="1" si="401"/>
        <v>13935.82915533857</v>
      </c>
      <c r="CI352" s="121"/>
      <c r="CJ352" s="123">
        <f t="shared" ca="1" si="402"/>
        <v>148925.74646428486</v>
      </c>
      <c r="CK352" s="123">
        <f t="shared" ca="1" si="403"/>
        <v>148925.74646428486</v>
      </c>
      <c r="CL352" s="123">
        <f t="shared" ca="1" si="404"/>
        <v>0</v>
      </c>
      <c r="CM352" s="121"/>
      <c r="CN352" s="62">
        <f t="shared" ca="1" si="405"/>
        <v>135920.69777574553</v>
      </c>
      <c r="CO352" s="62" t="b">
        <f t="shared" si="406"/>
        <v>1</v>
      </c>
      <c r="CP352" s="126">
        <f t="shared" ca="1" si="407"/>
        <v>9.6111111111110686E-3</v>
      </c>
      <c r="CQ352" s="120"/>
      <c r="CR352" s="120"/>
      <c r="CS352" s="120"/>
      <c r="CT352" s="120"/>
      <c r="CU352" s="120"/>
      <c r="CV352" s="120"/>
      <c r="CW352" s="120"/>
      <c r="CX352" s="120"/>
      <c r="CY352" s="120"/>
      <c r="CZ352" s="120"/>
      <c r="DA352" s="120"/>
      <c r="DB352" s="120"/>
      <c r="DC352" s="120"/>
      <c r="DD352" s="120"/>
      <c r="DE352" s="116"/>
      <c r="DF352" s="116"/>
      <c r="DG352" s="116"/>
      <c r="DH352" s="116"/>
      <c r="DI352" s="116"/>
      <c r="DJ352" s="116"/>
      <c r="DK352" s="116"/>
      <c r="DL352" s="116"/>
      <c r="DM352" s="116"/>
      <c r="DN352" s="116"/>
    </row>
    <row r="353" spans="1:118" x14ac:dyDescent="0.2">
      <c r="A353" s="27">
        <v>347</v>
      </c>
      <c r="B353" s="29">
        <f t="shared" si="340"/>
        <v>49675</v>
      </c>
      <c r="C353" s="30">
        <f t="shared" si="341"/>
        <v>8.3333333333333329E-2</v>
      </c>
      <c r="D353" s="55"/>
      <c r="E353" s="62">
        <f t="shared" ca="1" si="359"/>
        <v>10655635.353314707</v>
      </c>
      <c r="F353" s="63">
        <f ca="1">IF(AssetIntType1="Fixed",AssetFxdRate1,IF(A353=1,OFFSET(Vectors!$D$6,A353,MATCH(AssetFltIndx1,lstInterestRates,0)),IF(MOD($A353,AssetRateReset1)=0,MAX(MIN(OFFSET(Vectors!$D$6,A353,MATCH(AssetFltIndx1,lstInterestRates,0)),(F352-AssetMarg1)+AssetPdCapFl1,AssetLifeCap1-AssetMarg1),(F352-AssetMarg1)-AssetPdCapFl1,AssetLifeFloor1-AssetMarg1),F352)))+AssetMarg1</f>
        <v>0.09</v>
      </c>
      <c r="G353" s="62">
        <f t="shared" ca="1" si="347"/>
        <v>804622.61694478267</v>
      </c>
      <c r="H353" s="62">
        <f t="shared" ca="1" si="360"/>
        <v>79917.265149860294</v>
      </c>
      <c r="I353" s="62">
        <f t="shared" ca="1" si="361"/>
        <v>724705.35179492238</v>
      </c>
      <c r="J353" s="62">
        <f t="shared" ca="1" si="342"/>
        <v>9930930.0015197843</v>
      </c>
      <c r="K353" s="55"/>
      <c r="L353" s="62">
        <f t="shared" ca="1" si="362"/>
        <v>1823085.794029498</v>
      </c>
      <c r="M353" s="68">
        <f ca="1">IF(pdrLossTime1="",OFFSET(Vectors!$AE$6,A353+_Age1,MATCH(SDA_Loss,lstSDA,0)),OFFSET(Vectors!$X$6,A353+_Age1,MATCH(pdrLossTime1,lstDefaultCurve,0)))</f>
        <v>2.7777777777777779E-5</v>
      </c>
      <c r="N353" s="62">
        <f t="shared" ca="1" si="348"/>
        <v>2777.7777777777778</v>
      </c>
      <c r="O353" s="67">
        <f t="shared" ca="1" si="363"/>
        <v>9.9309300015197846E-2</v>
      </c>
      <c r="P353" s="68">
        <f ca="1">OFFSET(Vectors!$L$6,A353+_Age1,MATCH(pdrPrepay1,lstPrepayCurve,0))*pdrPrepayStress1</f>
        <v>5.1430128318229462E-3</v>
      </c>
      <c r="Q353" s="62">
        <f t="shared" ca="1" si="364"/>
        <v>8738.4677044138916</v>
      </c>
      <c r="R353" s="62">
        <f t="shared" ca="1" si="365"/>
        <v>123801.81167540177</v>
      </c>
      <c r="S353" s="69">
        <f t="shared" ca="1" si="366"/>
        <v>0.09</v>
      </c>
      <c r="T353" s="62">
        <f t="shared" ca="1" si="367"/>
        <v>13652.310121887902</v>
      </c>
      <c r="U353" s="62">
        <f t="shared" ca="1" si="349"/>
        <v>1111.1111111111111</v>
      </c>
      <c r="V353" s="62">
        <f t="shared" ca="1" si="343"/>
        <v>1687767.7368719045</v>
      </c>
      <c r="W353" s="55"/>
      <c r="X353" s="62">
        <f t="shared" ca="1" si="368"/>
        <v>147303.70061281469</v>
      </c>
      <c r="Y353" s="55"/>
      <c r="Z353" s="118" t="b">
        <v>0</v>
      </c>
      <c r="AA353" s="120" t="b">
        <f t="shared" si="350"/>
        <v>0</v>
      </c>
      <c r="AB353" s="120" t="b">
        <f t="shared" si="351"/>
        <v>1</v>
      </c>
      <c r="AC353" s="120" t="b">
        <f t="shared" ca="1" si="352"/>
        <v>0</v>
      </c>
      <c r="AD353" s="121"/>
      <c r="AE353" s="129">
        <v>0</v>
      </c>
      <c r="AF353" s="69">
        <f ca="1">IF(Swap_Active="No",0,OFFSET(Vectors!$D$6,Vectors!A353,MATCH(Swap_In,lstInterestRates,0)))</f>
        <v>6.9369000000000056E-2</v>
      </c>
      <c r="AG353" s="62">
        <f t="shared" ca="1" si="369"/>
        <v>0</v>
      </c>
      <c r="AH353" s="69">
        <f ca="1">IF(Swap_Active="No",0,OFFSET(Vectors!$D$6,Vectors!A353,MATCH(Swap_Out,lstInterestRates,0)))</f>
        <v>0.04</v>
      </c>
      <c r="AI353" s="62">
        <f t="shared" ca="1" si="370"/>
        <v>0</v>
      </c>
      <c r="AJ353" s="62">
        <f t="shared" ca="1" si="371"/>
        <v>0</v>
      </c>
      <c r="AK353" s="62">
        <f t="shared" ca="1" si="372"/>
        <v>147303.70061281469</v>
      </c>
      <c r="AL353" s="121"/>
      <c r="AM353" s="123">
        <f t="shared" ca="1" si="353"/>
        <v>3038.4763233824965</v>
      </c>
      <c r="AN353" s="124">
        <f t="shared" ca="1" si="373"/>
        <v>3038.4763233824965</v>
      </c>
      <c r="AO353" s="125">
        <f t="shared" ca="1" si="374"/>
        <v>0</v>
      </c>
      <c r="AP353" s="123">
        <f t="shared" ca="1" si="375"/>
        <v>144265.2242894322</v>
      </c>
      <c r="AQ353" s="121"/>
      <c r="AR353" s="126">
        <f ca="1">IF(LiabIntType1="Fixed",LiabFxdRate1,OFFSET(Vectors!$D$6,Vectors!A353,MATCH(LiabLoanIndex1,lstInterestRates,0))+LiabMarg1)</f>
        <v>7.9369000000000051E-2</v>
      </c>
      <c r="AS353" s="122">
        <f t="shared" ca="1" si="376"/>
        <v>0</v>
      </c>
      <c r="AT353" s="124">
        <f t="shared" ca="1" si="377"/>
        <v>0</v>
      </c>
      <c r="AU353" s="123">
        <f t="shared" ca="1" si="378"/>
        <v>0</v>
      </c>
      <c r="AV353" s="123">
        <f t="shared" ca="1" si="354"/>
        <v>0</v>
      </c>
      <c r="AW353" s="123">
        <f t="shared" ca="1" si="379"/>
        <v>0</v>
      </c>
      <c r="AX353" s="124">
        <f t="shared" ca="1" si="380"/>
        <v>144265.2242894322</v>
      </c>
      <c r="AY353" s="121"/>
      <c r="AZ353" s="122">
        <f t="shared" ca="1" si="355"/>
        <v>0</v>
      </c>
      <c r="BA353" s="124">
        <f t="shared" ca="1" si="381"/>
        <v>0</v>
      </c>
      <c r="BB353" s="123">
        <f t="shared" ca="1" si="382"/>
        <v>0</v>
      </c>
      <c r="BC353" s="123">
        <f t="shared" ca="1" si="356"/>
        <v>0</v>
      </c>
      <c r="BD353" s="123">
        <f t="shared" ca="1" si="383"/>
        <v>0</v>
      </c>
      <c r="BE353" s="124">
        <f t="shared" ca="1" si="384"/>
        <v>144265.2242894322</v>
      </c>
      <c r="BF353" s="121"/>
      <c r="BG353" s="123">
        <f t="shared" si="357"/>
        <v>1000000</v>
      </c>
      <c r="BH353" s="123">
        <f t="shared" ca="1" si="385"/>
        <v>1000000</v>
      </c>
      <c r="BI353" s="123">
        <f t="shared" ca="1" si="386"/>
        <v>0</v>
      </c>
      <c r="BJ353" s="123">
        <f t="shared" ca="1" si="387"/>
        <v>0</v>
      </c>
      <c r="BK353" s="123">
        <f t="shared" ca="1" si="344"/>
        <v>1000000</v>
      </c>
      <c r="BL353" s="123">
        <f t="shared" ca="1" si="388"/>
        <v>144265.2242894322</v>
      </c>
      <c r="BM353" s="121"/>
      <c r="BN353" s="126">
        <f ca="1">IF(LiabIntType2="Fixed",LiabFxdRate2,OFFSET(Vectors!$D$6,Vectors!A353,MATCH(LiabLoanIndex2,lstInterestRates,0))+LiabMarg2)</f>
        <v>0.04</v>
      </c>
      <c r="BO353" s="122">
        <f t="shared" ca="1" si="389"/>
        <v>21198.167362424334</v>
      </c>
      <c r="BP353" s="124">
        <f t="shared" ca="1" si="390"/>
        <v>21198.167362424334</v>
      </c>
      <c r="BQ353" s="123">
        <f t="shared" ca="1" si="391"/>
        <v>0</v>
      </c>
      <c r="BR353" s="123">
        <f t="shared" ca="1" si="392"/>
        <v>123067.05692700786</v>
      </c>
      <c r="BS353" s="121"/>
      <c r="BT353" s="123">
        <f t="shared" ca="1" si="358"/>
        <v>13874.040944756458</v>
      </c>
      <c r="BU353" s="123">
        <f t="shared" ca="1" si="393"/>
        <v>13874.040944756458</v>
      </c>
      <c r="BV353" s="123">
        <f t="shared" ca="1" si="394"/>
        <v>0</v>
      </c>
      <c r="BW353" s="123">
        <f t="shared" ca="1" si="395"/>
        <v>109193.0159822514</v>
      </c>
      <c r="BX353" s="121"/>
      <c r="BY353" s="123">
        <f t="shared" si="396"/>
        <v>0</v>
      </c>
      <c r="BZ353" s="123">
        <f t="shared" ca="1" si="397"/>
        <v>109193.0159822514</v>
      </c>
      <c r="CA353" s="121"/>
      <c r="CB353" s="122">
        <f t="shared" ca="1" si="345"/>
        <v>0</v>
      </c>
      <c r="CC353" s="122">
        <f t="shared" ca="1" si="398"/>
        <v>0</v>
      </c>
      <c r="CD353" s="124">
        <f t="shared" ca="1" si="399"/>
        <v>0</v>
      </c>
      <c r="CE353" s="121"/>
      <c r="CF353" s="122">
        <f t="shared" ca="1" si="346"/>
        <v>6345576.1677825442</v>
      </c>
      <c r="CG353" s="124">
        <f t="shared" ca="1" si="400"/>
        <v>21198.167362424334</v>
      </c>
      <c r="CH353" s="123">
        <f t="shared" ca="1" si="401"/>
        <v>13874.040944756458</v>
      </c>
      <c r="CI353" s="121"/>
      <c r="CJ353" s="123">
        <f t="shared" ca="1" si="402"/>
        <v>147303.70061281469</v>
      </c>
      <c r="CK353" s="123">
        <f t="shared" ca="1" si="403"/>
        <v>147303.70061281469</v>
      </c>
      <c r="CL353" s="123">
        <f t="shared" ca="1" si="404"/>
        <v>0</v>
      </c>
      <c r="CM353" s="121"/>
      <c r="CN353" s="62">
        <f t="shared" ca="1" si="405"/>
        <v>135318.05715759343</v>
      </c>
      <c r="CO353" s="62" t="b">
        <f t="shared" si="406"/>
        <v>1</v>
      </c>
      <c r="CP353" s="126">
        <f t="shared" ca="1" si="407"/>
        <v>9.6388888888888462E-3</v>
      </c>
      <c r="CQ353" s="120"/>
      <c r="CR353" s="120"/>
      <c r="CS353" s="120"/>
      <c r="CT353" s="120"/>
      <c r="CU353" s="120"/>
      <c r="CV353" s="120"/>
      <c r="CW353" s="120"/>
      <c r="CX353" s="120"/>
      <c r="CY353" s="120"/>
      <c r="CZ353" s="120"/>
      <c r="DA353" s="120"/>
      <c r="DB353" s="120"/>
      <c r="DC353" s="120"/>
      <c r="DD353" s="120"/>
      <c r="DE353" s="116"/>
      <c r="DF353" s="116"/>
      <c r="DG353" s="116"/>
      <c r="DH353" s="116"/>
      <c r="DI353" s="116"/>
      <c r="DJ353" s="116"/>
      <c r="DK353" s="116"/>
      <c r="DL353" s="116"/>
      <c r="DM353" s="116"/>
      <c r="DN353" s="116"/>
    </row>
    <row r="354" spans="1:118" x14ac:dyDescent="0.2">
      <c r="A354" s="27">
        <v>348</v>
      </c>
      <c r="B354" s="29">
        <f t="shared" si="340"/>
        <v>49706</v>
      </c>
      <c r="C354" s="30">
        <f t="shared" si="341"/>
        <v>8.3333333333333329E-2</v>
      </c>
      <c r="D354" s="55"/>
      <c r="E354" s="62">
        <f t="shared" ca="1" si="359"/>
        <v>9930930.0015197843</v>
      </c>
      <c r="F354" s="63">
        <f ca="1">IF(AssetIntType1="Fixed",AssetFxdRate1,IF(A354=1,OFFSET(Vectors!$D$6,A354,MATCH(AssetFltIndx1,lstInterestRates,0)),IF(MOD($A354,AssetRateReset1)=0,MAX(MIN(OFFSET(Vectors!$D$6,A354,MATCH(AssetFltIndx1,lstInterestRates,0)),(F353-AssetMarg1)+AssetPdCapFl1,AssetLifeCap1-AssetMarg1),(F353-AssetMarg1)-AssetPdCapFl1,AssetLifeFloor1-AssetMarg1),F353)))+AssetMarg1</f>
        <v>0.09</v>
      </c>
      <c r="G354" s="62">
        <f t="shared" ca="1" si="347"/>
        <v>804622.61694478267</v>
      </c>
      <c r="H354" s="62">
        <f t="shared" ca="1" si="360"/>
        <v>74481.975011398375</v>
      </c>
      <c r="I354" s="62">
        <f t="shared" ca="1" si="361"/>
        <v>730140.64193338435</v>
      </c>
      <c r="J354" s="62">
        <f t="shared" ca="1" si="342"/>
        <v>9200789.359586399</v>
      </c>
      <c r="K354" s="55"/>
      <c r="L354" s="62">
        <f t="shared" ca="1" si="362"/>
        <v>1687767.7368719045</v>
      </c>
      <c r="M354" s="68">
        <f ca="1">IF(pdrLossTime1="",OFFSET(Vectors!$AE$6,A354+_Age1,MATCH(SDA_Loss,lstSDA,0)),OFFSET(Vectors!$X$6,A354+_Age1,MATCH(pdrLossTime1,lstDefaultCurve,0)))</f>
        <v>2.7777777777777779E-5</v>
      </c>
      <c r="N354" s="62">
        <f t="shared" ca="1" si="348"/>
        <v>2777.7777777777778</v>
      </c>
      <c r="O354" s="67">
        <f t="shared" ca="1" si="363"/>
        <v>9.200789359586399E-2</v>
      </c>
      <c r="P354" s="68">
        <f ca="1">OFFSET(Vectors!$L$6,A354+_Age1,MATCH(pdrPrepay1,lstPrepayCurve,0))*pdrPrepayStress1</f>
        <v>5.1430128318229462E-3</v>
      </c>
      <c r="Q354" s="62">
        <f t="shared" ca="1" si="364"/>
        <v>8042.0256886352245</v>
      </c>
      <c r="R354" s="62">
        <f t="shared" ca="1" si="365"/>
        <v>123883.62924680961</v>
      </c>
      <c r="S354" s="69">
        <f t="shared" ca="1" si="366"/>
        <v>0.09</v>
      </c>
      <c r="T354" s="62">
        <f t="shared" ca="1" si="367"/>
        <v>12637.42469320595</v>
      </c>
      <c r="U354" s="62">
        <f t="shared" ca="1" si="349"/>
        <v>1111.1111111111111</v>
      </c>
      <c r="V354" s="62">
        <f t="shared" ca="1" si="343"/>
        <v>1553064.304158682</v>
      </c>
      <c r="W354" s="55"/>
      <c r="X354" s="62">
        <f t="shared" ca="1" si="368"/>
        <v>145674.19073976189</v>
      </c>
      <c r="Y354" s="55"/>
      <c r="Z354" s="118" t="b">
        <v>0</v>
      </c>
      <c r="AA354" s="120" t="b">
        <f t="shared" si="350"/>
        <v>0</v>
      </c>
      <c r="AB354" s="120" t="b">
        <f t="shared" si="351"/>
        <v>1</v>
      </c>
      <c r="AC354" s="120" t="b">
        <f t="shared" ca="1" si="352"/>
        <v>0</v>
      </c>
      <c r="AD354" s="121"/>
      <c r="AE354" s="129">
        <v>0</v>
      </c>
      <c r="AF354" s="69">
        <f ca="1">IF(Swap_Active="No",0,OFFSET(Vectors!$D$6,Vectors!A354,MATCH(Swap_In,lstInterestRates,0)))</f>
        <v>6.9369000000000056E-2</v>
      </c>
      <c r="AG354" s="62">
        <f t="shared" ca="1" si="369"/>
        <v>0</v>
      </c>
      <c r="AH354" s="69">
        <f ca="1">IF(Swap_Active="No",0,OFFSET(Vectors!$D$6,Vectors!A354,MATCH(Swap_Out,lstInterestRates,0)))</f>
        <v>0.04</v>
      </c>
      <c r="AI354" s="62">
        <f t="shared" ca="1" si="370"/>
        <v>0</v>
      </c>
      <c r="AJ354" s="62">
        <f t="shared" ca="1" si="371"/>
        <v>0</v>
      </c>
      <c r="AK354" s="62">
        <f t="shared" ca="1" si="372"/>
        <v>145674.19073976189</v>
      </c>
      <c r="AL354" s="121"/>
      <c r="AM354" s="123">
        <f t="shared" ca="1" si="353"/>
        <v>2812.9462281198407</v>
      </c>
      <c r="AN354" s="124">
        <f t="shared" ca="1" si="373"/>
        <v>2812.9462281198407</v>
      </c>
      <c r="AO354" s="125">
        <f t="shared" ca="1" si="374"/>
        <v>0</v>
      </c>
      <c r="AP354" s="123">
        <f t="shared" ca="1" si="375"/>
        <v>142861.24451164206</v>
      </c>
      <c r="AQ354" s="121"/>
      <c r="AR354" s="126">
        <f ca="1">IF(LiabIntType1="Fixed",LiabFxdRate1,OFFSET(Vectors!$D$6,Vectors!A354,MATCH(LiabLoanIndex1,lstInterestRates,0))+LiabMarg1)</f>
        <v>7.9369000000000051E-2</v>
      </c>
      <c r="AS354" s="122">
        <f t="shared" ca="1" si="376"/>
        <v>0</v>
      </c>
      <c r="AT354" s="124">
        <f t="shared" ca="1" si="377"/>
        <v>0</v>
      </c>
      <c r="AU354" s="123">
        <f t="shared" ca="1" si="378"/>
        <v>0</v>
      </c>
      <c r="AV354" s="123">
        <f t="shared" ca="1" si="354"/>
        <v>0</v>
      </c>
      <c r="AW354" s="123">
        <f t="shared" ca="1" si="379"/>
        <v>0</v>
      </c>
      <c r="AX354" s="124">
        <f t="shared" ca="1" si="380"/>
        <v>142861.24451164206</v>
      </c>
      <c r="AY354" s="121"/>
      <c r="AZ354" s="122">
        <f t="shared" ca="1" si="355"/>
        <v>0</v>
      </c>
      <c r="BA354" s="124">
        <f t="shared" ca="1" si="381"/>
        <v>0</v>
      </c>
      <c r="BB354" s="123">
        <f t="shared" ca="1" si="382"/>
        <v>0</v>
      </c>
      <c r="BC354" s="123">
        <f t="shared" ca="1" si="356"/>
        <v>0</v>
      </c>
      <c r="BD354" s="123">
        <f t="shared" ca="1" si="383"/>
        <v>0</v>
      </c>
      <c r="BE354" s="124">
        <f t="shared" ca="1" si="384"/>
        <v>142861.24451164206</v>
      </c>
      <c r="BF354" s="121"/>
      <c r="BG354" s="123">
        <f t="shared" si="357"/>
        <v>1000000</v>
      </c>
      <c r="BH354" s="123">
        <f t="shared" ca="1" si="385"/>
        <v>1000000</v>
      </c>
      <c r="BI354" s="123">
        <f t="shared" ca="1" si="386"/>
        <v>0</v>
      </c>
      <c r="BJ354" s="123">
        <f t="shared" ca="1" si="387"/>
        <v>0</v>
      </c>
      <c r="BK354" s="123">
        <f t="shared" ca="1" si="344"/>
        <v>1000000</v>
      </c>
      <c r="BL354" s="123">
        <f t="shared" ca="1" si="388"/>
        <v>142861.24451164206</v>
      </c>
      <c r="BM354" s="121"/>
      <c r="BN354" s="126">
        <f ca="1">IF(LiabIntType2="Fixed",LiabFxdRate2,OFFSET(Vectors!$D$6,Vectors!A354,MATCH(LiabLoanIndex2,lstInterestRates,0))+LiabMarg2)</f>
        <v>0.04</v>
      </c>
      <c r="BO354" s="122">
        <f t="shared" ca="1" si="389"/>
        <v>21151.920559275146</v>
      </c>
      <c r="BP354" s="124">
        <f t="shared" ca="1" si="390"/>
        <v>21151.920559275146</v>
      </c>
      <c r="BQ354" s="123">
        <f t="shared" ca="1" si="391"/>
        <v>0</v>
      </c>
      <c r="BR354" s="123">
        <f t="shared" ca="1" si="392"/>
        <v>121709.32395236692</v>
      </c>
      <c r="BS354" s="121"/>
      <c r="BT354" s="123">
        <f t="shared" ca="1" si="358"/>
        <v>13811.024043051182</v>
      </c>
      <c r="BU354" s="123">
        <f t="shared" ca="1" si="393"/>
        <v>13811.024043051182</v>
      </c>
      <c r="BV354" s="123">
        <f t="shared" ca="1" si="394"/>
        <v>0</v>
      </c>
      <c r="BW354" s="123">
        <f t="shared" ca="1" si="395"/>
        <v>107898.29990931574</v>
      </c>
      <c r="BX354" s="121"/>
      <c r="BY354" s="123">
        <f t="shared" si="396"/>
        <v>0</v>
      </c>
      <c r="BZ354" s="123">
        <f t="shared" ca="1" si="397"/>
        <v>107898.29990931574</v>
      </c>
      <c r="CA354" s="121"/>
      <c r="CB354" s="122">
        <f t="shared" ca="1" si="345"/>
        <v>0</v>
      </c>
      <c r="CC354" s="122">
        <f t="shared" ca="1" si="398"/>
        <v>0</v>
      </c>
      <c r="CD354" s="124">
        <f t="shared" ca="1" si="399"/>
        <v>0</v>
      </c>
      <c r="CE354" s="121"/>
      <c r="CF354" s="122">
        <f t="shared" ca="1" si="346"/>
        <v>6331765.1437394926</v>
      </c>
      <c r="CG354" s="124">
        <f t="shared" ca="1" si="400"/>
        <v>21151.920559275146</v>
      </c>
      <c r="CH354" s="123">
        <f t="shared" ca="1" si="401"/>
        <v>13811.024043051182</v>
      </c>
      <c r="CI354" s="121"/>
      <c r="CJ354" s="123">
        <f t="shared" ca="1" si="402"/>
        <v>145674.19073976189</v>
      </c>
      <c r="CK354" s="123">
        <f t="shared" ca="1" si="403"/>
        <v>145674.19073976192</v>
      </c>
      <c r="CL354" s="123">
        <f t="shared" ca="1" si="404"/>
        <v>0</v>
      </c>
      <c r="CM354" s="121"/>
      <c r="CN354" s="62">
        <f t="shared" ca="1" si="405"/>
        <v>134703.4327132226</v>
      </c>
      <c r="CO354" s="62" t="b">
        <f t="shared" si="406"/>
        <v>1</v>
      </c>
      <c r="CP354" s="126">
        <f t="shared" ca="1" si="407"/>
        <v>9.6666666666666238E-3</v>
      </c>
      <c r="CQ354" s="120"/>
      <c r="CR354" s="120"/>
      <c r="CS354" s="120"/>
      <c r="CT354" s="120"/>
      <c r="CU354" s="120"/>
      <c r="CV354" s="120"/>
      <c r="CW354" s="120"/>
      <c r="CX354" s="120"/>
      <c r="CY354" s="120"/>
      <c r="CZ354" s="120"/>
      <c r="DA354" s="120"/>
      <c r="DB354" s="120"/>
      <c r="DC354" s="120"/>
      <c r="DD354" s="120"/>
      <c r="DE354" s="116"/>
      <c r="DF354" s="116"/>
      <c r="DG354" s="116"/>
      <c r="DH354" s="116"/>
      <c r="DI354" s="116"/>
      <c r="DJ354" s="116"/>
      <c r="DK354" s="116"/>
      <c r="DL354" s="116"/>
      <c r="DM354" s="116"/>
      <c r="DN354" s="116"/>
    </row>
    <row r="355" spans="1:118" x14ac:dyDescent="0.2">
      <c r="A355" s="27">
        <v>349</v>
      </c>
      <c r="B355" s="29">
        <f t="shared" si="340"/>
        <v>49735</v>
      </c>
      <c r="C355" s="30">
        <f t="shared" si="341"/>
        <v>8.3333333333333329E-2</v>
      </c>
      <c r="D355" s="55"/>
      <c r="E355" s="62">
        <f t="shared" ca="1" si="359"/>
        <v>9200789.359586399</v>
      </c>
      <c r="F355" s="63">
        <f ca="1">IF(AssetIntType1="Fixed",AssetFxdRate1,IF(A355=1,OFFSET(Vectors!$D$6,A355,MATCH(AssetFltIndx1,lstInterestRates,0)),IF(MOD($A355,AssetRateReset1)=0,MAX(MIN(OFFSET(Vectors!$D$6,A355,MATCH(AssetFltIndx1,lstInterestRates,0)),(F354-AssetMarg1)+AssetPdCapFl1,AssetLifeCap1-AssetMarg1),(F354-AssetMarg1)-AssetPdCapFl1,AssetLifeFloor1-AssetMarg1),F354)))+AssetMarg1</f>
        <v>0.09</v>
      </c>
      <c r="G355" s="62">
        <f t="shared" ca="1" si="347"/>
        <v>804622.61694478267</v>
      </c>
      <c r="H355" s="62">
        <f t="shared" ca="1" si="360"/>
        <v>69005.920196897991</v>
      </c>
      <c r="I355" s="62">
        <f t="shared" ca="1" si="361"/>
        <v>735616.69674788462</v>
      </c>
      <c r="J355" s="62">
        <f t="shared" ca="1" si="342"/>
        <v>8465172.6628385149</v>
      </c>
      <c r="K355" s="55"/>
      <c r="L355" s="62">
        <f t="shared" ca="1" si="362"/>
        <v>1553064.304158682</v>
      </c>
      <c r="M355" s="68">
        <f ca="1">IF(pdrLossTime1="",OFFSET(Vectors!$AE$6,A355+_Age1,MATCH(SDA_Loss,lstSDA,0)),OFFSET(Vectors!$X$6,A355+_Age1,MATCH(pdrLossTime1,lstDefaultCurve,0)))</f>
        <v>2.7777777777777779E-5</v>
      </c>
      <c r="N355" s="62">
        <f t="shared" ca="1" si="348"/>
        <v>2777.7777777777778</v>
      </c>
      <c r="O355" s="67">
        <f t="shared" ca="1" si="363"/>
        <v>8.4651726628385146E-2</v>
      </c>
      <c r="P355" s="68">
        <f ca="1">OFFSET(Vectors!$L$6,A355+_Age1,MATCH(pdrPrepay1,lstPrepayCurve,0))*pdrPrepayStress1</f>
        <v>5.1430128318229462E-3</v>
      </c>
      <c r="Q355" s="62">
        <f t="shared" ca="1" si="364"/>
        <v>7348.8228492259568</v>
      </c>
      <c r="R355" s="62">
        <f t="shared" ca="1" si="365"/>
        <v>123947.6972006604</v>
      </c>
      <c r="S355" s="69">
        <f t="shared" ca="1" si="366"/>
        <v>0.09</v>
      </c>
      <c r="T355" s="62">
        <f t="shared" ca="1" si="367"/>
        <v>11627.148947856782</v>
      </c>
      <c r="U355" s="62">
        <f t="shared" ca="1" si="349"/>
        <v>1111.1111111111111</v>
      </c>
      <c r="V355" s="62">
        <f t="shared" ca="1" si="343"/>
        <v>1418990.0063310179</v>
      </c>
      <c r="W355" s="55"/>
      <c r="X355" s="62">
        <f t="shared" ca="1" si="368"/>
        <v>144034.78010885429</v>
      </c>
      <c r="Y355" s="55"/>
      <c r="Z355" s="118" t="b">
        <v>0</v>
      </c>
      <c r="AA355" s="120" t="b">
        <f t="shared" si="350"/>
        <v>0</v>
      </c>
      <c r="AB355" s="120" t="b">
        <f t="shared" si="351"/>
        <v>1</v>
      </c>
      <c r="AC355" s="120" t="b">
        <f t="shared" ca="1" si="352"/>
        <v>0</v>
      </c>
      <c r="AD355" s="121"/>
      <c r="AE355" s="129">
        <v>0</v>
      </c>
      <c r="AF355" s="69">
        <f ca="1">IF(Swap_Active="No",0,OFFSET(Vectors!$D$6,Vectors!A355,MATCH(Swap_In,lstInterestRates,0)))</f>
        <v>6.9369000000000056E-2</v>
      </c>
      <c r="AG355" s="62">
        <f t="shared" ca="1" si="369"/>
        <v>0</v>
      </c>
      <c r="AH355" s="69">
        <f ca="1">IF(Swap_Active="No",0,OFFSET(Vectors!$D$6,Vectors!A355,MATCH(Swap_Out,lstInterestRates,0)))</f>
        <v>0.04</v>
      </c>
      <c r="AI355" s="62">
        <f t="shared" ca="1" si="370"/>
        <v>0</v>
      </c>
      <c r="AJ355" s="62">
        <f t="shared" ca="1" si="371"/>
        <v>0</v>
      </c>
      <c r="AK355" s="62">
        <f t="shared" ca="1" si="372"/>
        <v>144034.78010885429</v>
      </c>
      <c r="AL355" s="121"/>
      <c r="AM355" s="123">
        <f t="shared" ca="1" si="353"/>
        <v>2588.4405069311365</v>
      </c>
      <c r="AN355" s="124">
        <f t="shared" ca="1" si="373"/>
        <v>2588.4405069311365</v>
      </c>
      <c r="AO355" s="125">
        <f t="shared" ca="1" si="374"/>
        <v>0</v>
      </c>
      <c r="AP355" s="123">
        <f t="shared" ca="1" si="375"/>
        <v>141446.33960192316</v>
      </c>
      <c r="AQ355" s="121"/>
      <c r="AR355" s="126">
        <f ca="1">IF(LiabIntType1="Fixed",LiabFxdRate1,OFFSET(Vectors!$D$6,Vectors!A355,MATCH(LiabLoanIndex1,lstInterestRates,0))+LiabMarg1)</f>
        <v>7.9369000000000051E-2</v>
      </c>
      <c r="AS355" s="122">
        <f t="shared" ca="1" si="376"/>
        <v>0</v>
      </c>
      <c r="AT355" s="124">
        <f t="shared" ca="1" si="377"/>
        <v>0</v>
      </c>
      <c r="AU355" s="123">
        <f t="shared" ca="1" si="378"/>
        <v>0</v>
      </c>
      <c r="AV355" s="123">
        <f t="shared" ca="1" si="354"/>
        <v>0</v>
      </c>
      <c r="AW355" s="123">
        <f t="shared" ca="1" si="379"/>
        <v>0</v>
      </c>
      <c r="AX355" s="124">
        <f t="shared" ca="1" si="380"/>
        <v>141446.33960192316</v>
      </c>
      <c r="AY355" s="121"/>
      <c r="AZ355" s="122">
        <f t="shared" ca="1" si="355"/>
        <v>0</v>
      </c>
      <c r="BA355" s="124">
        <f t="shared" ca="1" si="381"/>
        <v>0</v>
      </c>
      <c r="BB355" s="123">
        <f t="shared" ca="1" si="382"/>
        <v>0</v>
      </c>
      <c r="BC355" s="123">
        <f t="shared" ca="1" si="356"/>
        <v>0</v>
      </c>
      <c r="BD355" s="123">
        <f t="shared" ca="1" si="383"/>
        <v>0</v>
      </c>
      <c r="BE355" s="124">
        <f t="shared" ca="1" si="384"/>
        <v>141446.33960192316</v>
      </c>
      <c r="BF355" s="121"/>
      <c r="BG355" s="123">
        <f t="shared" si="357"/>
        <v>1000000</v>
      </c>
      <c r="BH355" s="123">
        <f t="shared" ca="1" si="385"/>
        <v>1000000</v>
      </c>
      <c r="BI355" s="123">
        <f t="shared" ca="1" si="386"/>
        <v>0</v>
      </c>
      <c r="BJ355" s="123">
        <f t="shared" ca="1" si="387"/>
        <v>0</v>
      </c>
      <c r="BK355" s="123">
        <f t="shared" ca="1" si="344"/>
        <v>1000000</v>
      </c>
      <c r="BL355" s="123">
        <f t="shared" ca="1" si="388"/>
        <v>141446.33960192316</v>
      </c>
      <c r="BM355" s="121"/>
      <c r="BN355" s="126">
        <f ca="1">IF(LiabIntType2="Fixed",LiabFxdRate2,OFFSET(Vectors!$D$6,Vectors!A355,MATCH(LiabLoanIndex2,lstInterestRates,0))+LiabMarg2)</f>
        <v>0.04</v>
      </c>
      <c r="BO355" s="122">
        <f t="shared" ca="1" si="389"/>
        <v>21105.883812464974</v>
      </c>
      <c r="BP355" s="124">
        <f t="shared" ca="1" si="390"/>
        <v>21105.883812464974</v>
      </c>
      <c r="BQ355" s="123">
        <f t="shared" ca="1" si="391"/>
        <v>0</v>
      </c>
      <c r="BR355" s="123">
        <f t="shared" ca="1" si="392"/>
        <v>120340.45578945818</v>
      </c>
      <c r="BS355" s="121"/>
      <c r="BT355" s="123">
        <f t="shared" ca="1" si="358"/>
        <v>13746.519398620416</v>
      </c>
      <c r="BU355" s="123">
        <f t="shared" ca="1" si="393"/>
        <v>13746.519398620416</v>
      </c>
      <c r="BV355" s="123">
        <f t="shared" ca="1" si="394"/>
        <v>0</v>
      </c>
      <c r="BW355" s="123">
        <f t="shared" ca="1" si="395"/>
        <v>106593.93639083777</v>
      </c>
      <c r="BX355" s="121"/>
      <c r="BY355" s="123">
        <f t="shared" si="396"/>
        <v>0</v>
      </c>
      <c r="BZ355" s="123">
        <f t="shared" ca="1" si="397"/>
        <v>106593.93639083777</v>
      </c>
      <c r="CA355" s="121"/>
      <c r="CB355" s="122">
        <f t="shared" ca="1" si="345"/>
        <v>0</v>
      </c>
      <c r="CC355" s="122">
        <f t="shared" ca="1" si="398"/>
        <v>0</v>
      </c>
      <c r="CD355" s="124">
        <f t="shared" ca="1" si="399"/>
        <v>0</v>
      </c>
      <c r="CE355" s="121"/>
      <c r="CF355" s="122">
        <f t="shared" ca="1" si="346"/>
        <v>6318018.6243408723</v>
      </c>
      <c r="CG355" s="124">
        <f t="shared" ca="1" si="400"/>
        <v>21105.883812464974</v>
      </c>
      <c r="CH355" s="123">
        <f t="shared" ca="1" si="401"/>
        <v>13746.519398620416</v>
      </c>
      <c r="CI355" s="121"/>
      <c r="CJ355" s="123">
        <f t="shared" ca="1" si="402"/>
        <v>144034.78010885429</v>
      </c>
      <c r="CK355" s="123">
        <f t="shared" ca="1" si="403"/>
        <v>144034.78010885429</v>
      </c>
      <c r="CL355" s="123">
        <f t="shared" ca="1" si="404"/>
        <v>0</v>
      </c>
      <c r="CM355" s="121"/>
      <c r="CN355" s="62">
        <f t="shared" ca="1" si="405"/>
        <v>134074.29782766415</v>
      </c>
      <c r="CO355" s="62" t="b">
        <f t="shared" si="406"/>
        <v>1</v>
      </c>
      <c r="CP355" s="126">
        <f t="shared" ca="1" si="407"/>
        <v>9.6944444444444014E-3</v>
      </c>
      <c r="CQ355" s="120"/>
      <c r="CR355" s="120"/>
      <c r="CS355" s="120"/>
      <c r="CT355" s="120"/>
      <c r="CU355" s="120"/>
      <c r="CV355" s="120"/>
      <c r="CW355" s="120"/>
      <c r="CX355" s="120"/>
      <c r="CY355" s="120"/>
      <c r="CZ355" s="120"/>
      <c r="DA355" s="120"/>
      <c r="DB355" s="120"/>
      <c r="DC355" s="120"/>
      <c r="DD355" s="120"/>
      <c r="DE355" s="116"/>
      <c r="DF355" s="116"/>
      <c r="DG355" s="116"/>
      <c r="DH355" s="116"/>
      <c r="DI355" s="116"/>
      <c r="DJ355" s="116"/>
      <c r="DK355" s="116"/>
      <c r="DL355" s="116"/>
      <c r="DM355" s="116"/>
      <c r="DN355" s="116"/>
    </row>
    <row r="356" spans="1:118" x14ac:dyDescent="0.2">
      <c r="A356" s="27">
        <v>350</v>
      </c>
      <c r="B356" s="29">
        <f t="shared" si="340"/>
        <v>49766</v>
      </c>
      <c r="C356" s="30">
        <f t="shared" si="341"/>
        <v>8.3333333333333329E-2</v>
      </c>
      <c r="D356" s="55"/>
      <c r="E356" s="62">
        <f t="shared" ca="1" si="359"/>
        <v>8465172.6628385149</v>
      </c>
      <c r="F356" s="63">
        <f ca="1">IF(AssetIntType1="Fixed",AssetFxdRate1,IF(A356=1,OFFSET(Vectors!$D$6,A356,MATCH(AssetFltIndx1,lstInterestRates,0)),IF(MOD($A356,AssetRateReset1)=0,MAX(MIN(OFFSET(Vectors!$D$6,A356,MATCH(AssetFltIndx1,lstInterestRates,0)),(F355-AssetMarg1)+AssetPdCapFl1,AssetLifeCap1-AssetMarg1),(F355-AssetMarg1)-AssetPdCapFl1,AssetLifeFloor1-AssetMarg1),F355)))+AssetMarg1</f>
        <v>0.09</v>
      </c>
      <c r="G356" s="62">
        <f t="shared" ca="1" si="347"/>
        <v>804622.61694478267</v>
      </c>
      <c r="H356" s="62">
        <f t="shared" ca="1" si="360"/>
        <v>63488.794971288859</v>
      </c>
      <c r="I356" s="62">
        <f t="shared" ca="1" si="361"/>
        <v>741133.82197349379</v>
      </c>
      <c r="J356" s="62">
        <f t="shared" ca="1" si="342"/>
        <v>7724038.8408650216</v>
      </c>
      <c r="K356" s="55"/>
      <c r="L356" s="62">
        <f t="shared" ca="1" si="362"/>
        <v>1418990.0063310179</v>
      </c>
      <c r="M356" s="68">
        <f ca="1">IF(pdrLossTime1="",OFFSET(Vectors!$AE$6,A356+_Age1,MATCH(SDA_Loss,lstSDA,0)),OFFSET(Vectors!$X$6,A356+_Age1,MATCH(pdrLossTime1,lstDefaultCurve,0)))</f>
        <v>2.7777777777777779E-5</v>
      </c>
      <c r="N356" s="62">
        <f t="shared" ca="1" si="348"/>
        <v>2777.7777777777778</v>
      </c>
      <c r="O356" s="67">
        <f t="shared" ca="1" si="363"/>
        <v>7.7240388408650218E-2</v>
      </c>
      <c r="P356" s="68">
        <f ca="1">OFFSET(Vectors!$L$6,A356+_Age1,MATCH(pdrPrepay1,lstPrepayCurve,0))*pdrPrepayStress1</f>
        <v>5.1430128318229462E-3</v>
      </c>
      <c r="Q356" s="62">
        <f t="shared" ca="1" si="364"/>
        <v>6658.9472247991171</v>
      </c>
      <c r="R356" s="62">
        <f t="shared" ca="1" si="365"/>
        <v>123990.71152806372</v>
      </c>
      <c r="S356" s="69">
        <f t="shared" ca="1" si="366"/>
        <v>0.09</v>
      </c>
      <c r="T356" s="62">
        <f t="shared" ca="1" si="367"/>
        <v>10621.591714149301</v>
      </c>
      <c r="U356" s="62">
        <f t="shared" ca="1" si="349"/>
        <v>1111.1111111111111</v>
      </c>
      <c r="V356" s="62">
        <f t="shared" ca="1" si="343"/>
        <v>1285562.5698003774</v>
      </c>
      <c r="W356" s="55"/>
      <c r="X356" s="62">
        <f t="shared" ca="1" si="368"/>
        <v>142382.36157812327</v>
      </c>
      <c r="Y356" s="55"/>
      <c r="Z356" s="118" t="b">
        <v>0</v>
      </c>
      <c r="AA356" s="120" t="b">
        <f t="shared" si="350"/>
        <v>0</v>
      </c>
      <c r="AB356" s="120" t="b">
        <f t="shared" si="351"/>
        <v>1</v>
      </c>
      <c r="AC356" s="120" t="b">
        <f t="shared" ca="1" si="352"/>
        <v>0</v>
      </c>
      <c r="AD356" s="121"/>
      <c r="AE356" s="129">
        <v>0</v>
      </c>
      <c r="AF356" s="69">
        <f ca="1">IF(Swap_Active="No",0,OFFSET(Vectors!$D$6,Vectors!A356,MATCH(Swap_In,lstInterestRates,0)))</f>
        <v>6.9369000000000056E-2</v>
      </c>
      <c r="AG356" s="62">
        <f t="shared" ca="1" si="369"/>
        <v>0</v>
      </c>
      <c r="AH356" s="69">
        <f ca="1">IF(Swap_Active="No",0,OFFSET(Vectors!$D$6,Vectors!A356,MATCH(Swap_Out,lstInterestRates,0)))</f>
        <v>0.04</v>
      </c>
      <c r="AI356" s="62">
        <f t="shared" ca="1" si="370"/>
        <v>0</v>
      </c>
      <c r="AJ356" s="62">
        <f t="shared" ca="1" si="371"/>
        <v>0</v>
      </c>
      <c r="AK356" s="62">
        <f t="shared" ca="1" si="372"/>
        <v>142382.36157812327</v>
      </c>
      <c r="AL356" s="121"/>
      <c r="AM356" s="123">
        <f t="shared" ca="1" si="353"/>
        <v>2364.9833438850296</v>
      </c>
      <c r="AN356" s="124">
        <f t="shared" ca="1" si="373"/>
        <v>2364.9833438850296</v>
      </c>
      <c r="AO356" s="125">
        <f t="shared" ca="1" si="374"/>
        <v>0</v>
      </c>
      <c r="AP356" s="123">
        <f t="shared" ca="1" si="375"/>
        <v>140017.37823423825</v>
      </c>
      <c r="AQ356" s="121"/>
      <c r="AR356" s="126">
        <f ca="1">IF(LiabIntType1="Fixed",LiabFxdRate1,OFFSET(Vectors!$D$6,Vectors!A356,MATCH(LiabLoanIndex1,lstInterestRates,0))+LiabMarg1)</f>
        <v>7.9369000000000051E-2</v>
      </c>
      <c r="AS356" s="122">
        <f t="shared" ca="1" si="376"/>
        <v>0</v>
      </c>
      <c r="AT356" s="124">
        <f t="shared" ca="1" si="377"/>
        <v>0</v>
      </c>
      <c r="AU356" s="123">
        <f t="shared" ca="1" si="378"/>
        <v>0</v>
      </c>
      <c r="AV356" s="123">
        <f t="shared" ca="1" si="354"/>
        <v>0</v>
      </c>
      <c r="AW356" s="123">
        <f t="shared" ca="1" si="379"/>
        <v>0</v>
      </c>
      <c r="AX356" s="124">
        <f t="shared" ca="1" si="380"/>
        <v>140017.37823423825</v>
      </c>
      <c r="AY356" s="121"/>
      <c r="AZ356" s="122">
        <f t="shared" ca="1" si="355"/>
        <v>0</v>
      </c>
      <c r="BA356" s="124">
        <f t="shared" ca="1" si="381"/>
        <v>0</v>
      </c>
      <c r="BB356" s="123">
        <f t="shared" ca="1" si="382"/>
        <v>0</v>
      </c>
      <c r="BC356" s="123">
        <f t="shared" ca="1" si="356"/>
        <v>0</v>
      </c>
      <c r="BD356" s="123">
        <f t="shared" ca="1" si="383"/>
        <v>0</v>
      </c>
      <c r="BE356" s="124">
        <f t="shared" ca="1" si="384"/>
        <v>140017.37823423825</v>
      </c>
      <c r="BF356" s="121"/>
      <c r="BG356" s="123">
        <f t="shared" si="357"/>
        <v>1000000</v>
      </c>
      <c r="BH356" s="123">
        <f t="shared" ca="1" si="385"/>
        <v>1000000</v>
      </c>
      <c r="BI356" s="123">
        <f t="shared" ca="1" si="386"/>
        <v>0</v>
      </c>
      <c r="BJ356" s="123">
        <f t="shared" ca="1" si="387"/>
        <v>0</v>
      </c>
      <c r="BK356" s="123">
        <f t="shared" ca="1" si="344"/>
        <v>1000000</v>
      </c>
      <c r="BL356" s="123">
        <f t="shared" ca="1" si="388"/>
        <v>140017.37823423825</v>
      </c>
      <c r="BM356" s="121"/>
      <c r="BN356" s="126">
        <f ca="1">IF(LiabIntType2="Fixed",LiabFxdRate2,OFFSET(Vectors!$D$6,Vectors!A356,MATCH(LiabLoanIndex2,lstInterestRates,0))+LiabMarg2)</f>
        <v>0.04</v>
      </c>
      <c r="BO356" s="122">
        <f t="shared" ca="1" si="389"/>
        <v>21060.062081136239</v>
      </c>
      <c r="BP356" s="124">
        <f t="shared" ca="1" si="390"/>
        <v>21060.062081136239</v>
      </c>
      <c r="BQ356" s="123">
        <f t="shared" ca="1" si="391"/>
        <v>0</v>
      </c>
      <c r="BR356" s="123">
        <f t="shared" ca="1" si="392"/>
        <v>118957.316153102</v>
      </c>
      <c r="BS356" s="121"/>
      <c r="BT356" s="123">
        <f t="shared" ca="1" si="358"/>
        <v>13680.197280870596</v>
      </c>
      <c r="BU356" s="123">
        <f t="shared" ca="1" si="393"/>
        <v>13680.197280870596</v>
      </c>
      <c r="BV356" s="123">
        <f t="shared" ca="1" si="394"/>
        <v>0</v>
      </c>
      <c r="BW356" s="123">
        <f t="shared" ca="1" si="395"/>
        <v>105277.11887223141</v>
      </c>
      <c r="BX356" s="121"/>
      <c r="BY356" s="123">
        <f t="shared" si="396"/>
        <v>0</v>
      </c>
      <c r="BZ356" s="123">
        <f t="shared" ca="1" si="397"/>
        <v>105277.11887223141</v>
      </c>
      <c r="CA356" s="121"/>
      <c r="CB356" s="122">
        <f t="shared" ca="1" si="345"/>
        <v>0</v>
      </c>
      <c r="CC356" s="122">
        <f t="shared" ca="1" si="398"/>
        <v>0</v>
      </c>
      <c r="CD356" s="124">
        <f t="shared" ca="1" si="399"/>
        <v>0</v>
      </c>
      <c r="CE356" s="121"/>
      <c r="CF356" s="122">
        <f t="shared" ca="1" si="346"/>
        <v>6304338.4270600015</v>
      </c>
      <c r="CG356" s="124">
        <f t="shared" ca="1" si="400"/>
        <v>21060.062081136239</v>
      </c>
      <c r="CH356" s="123">
        <f t="shared" ca="1" si="401"/>
        <v>13680.197280870596</v>
      </c>
      <c r="CI356" s="121"/>
      <c r="CJ356" s="123">
        <f t="shared" ca="1" si="402"/>
        <v>142382.36157812327</v>
      </c>
      <c r="CK356" s="123">
        <f t="shared" ca="1" si="403"/>
        <v>142382.36157812327</v>
      </c>
      <c r="CL356" s="123">
        <f t="shared" ca="1" si="404"/>
        <v>0</v>
      </c>
      <c r="CM356" s="121"/>
      <c r="CN356" s="62">
        <f t="shared" ca="1" si="405"/>
        <v>133427.43653064061</v>
      </c>
      <c r="CO356" s="62" t="b">
        <f t="shared" si="406"/>
        <v>1</v>
      </c>
      <c r="CP356" s="126">
        <f t="shared" ca="1" si="407"/>
        <v>9.722222222222179E-3</v>
      </c>
      <c r="CQ356" s="120"/>
      <c r="CR356" s="120"/>
      <c r="CS356" s="120"/>
      <c r="CT356" s="120"/>
      <c r="CU356" s="120"/>
      <c r="CV356" s="120"/>
      <c r="CW356" s="120"/>
      <c r="CX356" s="120"/>
      <c r="CY356" s="120"/>
      <c r="CZ356" s="120"/>
      <c r="DA356" s="120"/>
      <c r="DB356" s="120"/>
      <c r="DC356" s="120"/>
      <c r="DD356" s="120"/>
      <c r="DE356" s="116"/>
      <c r="DF356" s="116"/>
      <c r="DG356" s="116"/>
      <c r="DH356" s="116"/>
      <c r="DI356" s="116"/>
      <c r="DJ356" s="116"/>
      <c r="DK356" s="116"/>
      <c r="DL356" s="116"/>
      <c r="DM356" s="116"/>
      <c r="DN356" s="116"/>
    </row>
    <row r="357" spans="1:118" x14ac:dyDescent="0.2">
      <c r="A357" s="27">
        <v>351</v>
      </c>
      <c r="B357" s="29">
        <f t="shared" si="340"/>
        <v>49796</v>
      </c>
      <c r="C357" s="30">
        <f t="shared" si="341"/>
        <v>8.3333333333333329E-2</v>
      </c>
      <c r="D357" s="55"/>
      <c r="E357" s="62">
        <f t="shared" ca="1" si="359"/>
        <v>7724038.8408650216</v>
      </c>
      <c r="F357" s="63">
        <f ca="1">IF(AssetIntType1="Fixed",AssetFxdRate1,IF(A357=1,OFFSET(Vectors!$D$6,A357,MATCH(AssetFltIndx1,lstInterestRates,0)),IF(MOD($A357,AssetRateReset1)=0,MAX(MIN(OFFSET(Vectors!$D$6,A357,MATCH(AssetFltIndx1,lstInterestRates,0)),(F356-AssetMarg1)+AssetPdCapFl1,AssetLifeCap1-AssetMarg1),(F356-AssetMarg1)-AssetPdCapFl1,AssetLifeFloor1-AssetMarg1),F356)))+AssetMarg1</f>
        <v>0.09</v>
      </c>
      <c r="G357" s="62">
        <f t="shared" ca="1" si="347"/>
        <v>804622.61694478267</v>
      </c>
      <c r="H357" s="62">
        <f t="shared" ca="1" si="360"/>
        <v>57930.291306487663</v>
      </c>
      <c r="I357" s="62">
        <f t="shared" ca="1" si="361"/>
        <v>746692.32563829503</v>
      </c>
      <c r="J357" s="62">
        <f t="shared" ca="1" si="342"/>
        <v>6977346.5152267264</v>
      </c>
      <c r="K357" s="55"/>
      <c r="L357" s="62">
        <f t="shared" ca="1" si="362"/>
        <v>1285562.5698003774</v>
      </c>
      <c r="M357" s="68">
        <f ca="1">IF(pdrLossTime1="",OFFSET(Vectors!$AE$6,A357+_Age1,MATCH(SDA_Loss,lstSDA,0)),OFFSET(Vectors!$X$6,A357+_Age1,MATCH(pdrLossTime1,lstDefaultCurve,0)))</f>
        <v>2.7777777777777779E-5</v>
      </c>
      <c r="N357" s="62">
        <f t="shared" ca="1" si="348"/>
        <v>2777.7777777777778</v>
      </c>
      <c r="O357" s="67">
        <f t="shared" ca="1" si="363"/>
        <v>6.9773465152267261E-2</v>
      </c>
      <c r="P357" s="68">
        <f ca="1">OFFSET(Vectors!$L$6,A357+_Age1,MATCH(pdrPrepay1,lstPrepayCurve,0))*pdrPrepayStress1</f>
        <v>5.1430128318229462E-3</v>
      </c>
      <c r="Q357" s="62">
        <f t="shared" ca="1" si="364"/>
        <v>5972.5070330292347</v>
      </c>
      <c r="R357" s="62">
        <f t="shared" ca="1" si="365"/>
        <v>124008.38206317488</v>
      </c>
      <c r="S357" s="69">
        <f t="shared" ca="1" si="366"/>
        <v>0.09</v>
      </c>
      <c r="T357" s="62">
        <f t="shared" ca="1" si="367"/>
        <v>9620.8859401694972</v>
      </c>
      <c r="U357" s="62">
        <f t="shared" ca="1" si="349"/>
        <v>1111.1111111111111</v>
      </c>
      <c r="V357" s="62">
        <f t="shared" ca="1" si="343"/>
        <v>1152803.9029263954</v>
      </c>
      <c r="W357" s="55"/>
      <c r="X357" s="62">
        <f t="shared" ca="1" si="368"/>
        <v>140712.88614748474</v>
      </c>
      <c r="Y357" s="55"/>
      <c r="Z357" s="118" t="b">
        <v>0</v>
      </c>
      <c r="AA357" s="120" t="b">
        <f t="shared" si="350"/>
        <v>0</v>
      </c>
      <c r="AB357" s="120" t="b">
        <f t="shared" si="351"/>
        <v>1</v>
      </c>
      <c r="AC357" s="120" t="b">
        <f t="shared" ca="1" si="352"/>
        <v>0</v>
      </c>
      <c r="AD357" s="121"/>
      <c r="AE357" s="129">
        <v>0</v>
      </c>
      <c r="AF357" s="69">
        <f ca="1">IF(Swap_Active="No",0,OFFSET(Vectors!$D$6,Vectors!A357,MATCH(Swap_In,lstInterestRates,0)))</f>
        <v>6.9369000000000056E-2</v>
      </c>
      <c r="AG357" s="62">
        <f t="shared" ca="1" si="369"/>
        <v>0</v>
      </c>
      <c r="AH357" s="69">
        <f ca="1">IF(Swap_Active="No",0,OFFSET(Vectors!$D$6,Vectors!A357,MATCH(Swap_Out,lstInterestRates,0)))</f>
        <v>0.04</v>
      </c>
      <c r="AI357" s="62">
        <f t="shared" ca="1" si="370"/>
        <v>0</v>
      </c>
      <c r="AJ357" s="62">
        <f t="shared" ca="1" si="371"/>
        <v>0</v>
      </c>
      <c r="AK357" s="62">
        <f t="shared" ca="1" si="372"/>
        <v>140712.88614748474</v>
      </c>
      <c r="AL357" s="121"/>
      <c r="AM357" s="123">
        <f t="shared" ca="1" si="353"/>
        <v>2142.6042830006286</v>
      </c>
      <c r="AN357" s="124">
        <f t="shared" ca="1" si="373"/>
        <v>2142.6042830006286</v>
      </c>
      <c r="AO357" s="125">
        <f t="shared" ca="1" si="374"/>
        <v>0</v>
      </c>
      <c r="AP357" s="123">
        <f t="shared" ca="1" si="375"/>
        <v>138570.2818644841</v>
      </c>
      <c r="AQ357" s="121"/>
      <c r="AR357" s="126">
        <f ca="1">IF(LiabIntType1="Fixed",LiabFxdRate1,OFFSET(Vectors!$D$6,Vectors!A357,MATCH(LiabLoanIndex1,lstInterestRates,0))+LiabMarg1)</f>
        <v>7.9369000000000051E-2</v>
      </c>
      <c r="AS357" s="122">
        <f t="shared" ca="1" si="376"/>
        <v>0</v>
      </c>
      <c r="AT357" s="124">
        <f t="shared" ca="1" si="377"/>
        <v>0</v>
      </c>
      <c r="AU357" s="123">
        <f t="shared" ca="1" si="378"/>
        <v>0</v>
      </c>
      <c r="AV357" s="123">
        <f t="shared" ca="1" si="354"/>
        <v>0</v>
      </c>
      <c r="AW357" s="123">
        <f t="shared" ca="1" si="379"/>
        <v>0</v>
      </c>
      <c r="AX357" s="124">
        <f t="shared" ca="1" si="380"/>
        <v>138570.2818644841</v>
      </c>
      <c r="AY357" s="121"/>
      <c r="AZ357" s="122">
        <f t="shared" ca="1" si="355"/>
        <v>0</v>
      </c>
      <c r="BA357" s="124">
        <f t="shared" ca="1" si="381"/>
        <v>0</v>
      </c>
      <c r="BB357" s="123">
        <f t="shared" ca="1" si="382"/>
        <v>0</v>
      </c>
      <c r="BC357" s="123">
        <f t="shared" ca="1" si="356"/>
        <v>0</v>
      </c>
      <c r="BD357" s="123">
        <f t="shared" ca="1" si="383"/>
        <v>0</v>
      </c>
      <c r="BE357" s="124">
        <f t="shared" ca="1" si="384"/>
        <v>138570.2818644841</v>
      </c>
      <c r="BF357" s="121"/>
      <c r="BG357" s="123">
        <f t="shared" si="357"/>
        <v>1000000</v>
      </c>
      <c r="BH357" s="123">
        <f t="shared" ca="1" si="385"/>
        <v>1000000</v>
      </c>
      <c r="BI357" s="123">
        <f t="shared" ca="1" si="386"/>
        <v>0</v>
      </c>
      <c r="BJ357" s="123">
        <f t="shared" ca="1" si="387"/>
        <v>0</v>
      </c>
      <c r="BK357" s="123">
        <f t="shared" ca="1" si="344"/>
        <v>1000000</v>
      </c>
      <c r="BL357" s="123">
        <f t="shared" ca="1" si="388"/>
        <v>138570.2818644841</v>
      </c>
      <c r="BM357" s="121"/>
      <c r="BN357" s="126">
        <f ca="1">IF(LiabIntType2="Fixed",LiabFxdRate2,OFFSET(Vectors!$D$6,Vectors!A357,MATCH(LiabLoanIndex2,lstInterestRates,0))+LiabMarg2)</f>
        <v>0.04</v>
      </c>
      <c r="BO357" s="122">
        <f t="shared" ca="1" si="389"/>
        <v>21014.461423533336</v>
      </c>
      <c r="BP357" s="124">
        <f t="shared" ca="1" si="390"/>
        <v>21014.461423533336</v>
      </c>
      <c r="BQ357" s="123">
        <f t="shared" ca="1" si="391"/>
        <v>0</v>
      </c>
      <c r="BR357" s="123">
        <f t="shared" ca="1" si="392"/>
        <v>117555.82044095077</v>
      </c>
      <c r="BS357" s="121"/>
      <c r="BT357" s="123">
        <f t="shared" ca="1" si="358"/>
        <v>13611.628918347566</v>
      </c>
      <c r="BU357" s="123">
        <f t="shared" ca="1" si="393"/>
        <v>13611.628918347566</v>
      </c>
      <c r="BV357" s="123">
        <f t="shared" ca="1" si="394"/>
        <v>0</v>
      </c>
      <c r="BW357" s="123">
        <f t="shared" ca="1" si="395"/>
        <v>103944.19152260321</v>
      </c>
      <c r="BX357" s="121"/>
      <c r="BY357" s="123">
        <f t="shared" si="396"/>
        <v>0</v>
      </c>
      <c r="BZ357" s="123">
        <f t="shared" ca="1" si="397"/>
        <v>103944.19152260321</v>
      </c>
      <c r="CA357" s="121"/>
      <c r="CB357" s="122">
        <f t="shared" ca="1" si="345"/>
        <v>0</v>
      </c>
      <c r="CC357" s="122">
        <f t="shared" ca="1" si="398"/>
        <v>0</v>
      </c>
      <c r="CD357" s="124">
        <f t="shared" ca="1" si="399"/>
        <v>0</v>
      </c>
      <c r="CE357" s="121"/>
      <c r="CF357" s="122">
        <f t="shared" ca="1" si="346"/>
        <v>6290726.7981416536</v>
      </c>
      <c r="CG357" s="124">
        <f t="shared" ca="1" si="400"/>
        <v>21014.461423533336</v>
      </c>
      <c r="CH357" s="123">
        <f t="shared" ca="1" si="401"/>
        <v>13611.628918347566</v>
      </c>
      <c r="CI357" s="121"/>
      <c r="CJ357" s="123">
        <f t="shared" ca="1" si="402"/>
        <v>140712.88614748474</v>
      </c>
      <c r="CK357" s="123">
        <f t="shared" ca="1" si="403"/>
        <v>140712.88614748474</v>
      </c>
      <c r="CL357" s="123">
        <f t="shared" ca="1" si="404"/>
        <v>0</v>
      </c>
      <c r="CM357" s="121"/>
      <c r="CN357" s="62">
        <f t="shared" ca="1" si="405"/>
        <v>132758.66687398189</v>
      </c>
      <c r="CO357" s="62" t="b">
        <f t="shared" si="406"/>
        <v>1</v>
      </c>
      <c r="CP357" s="126">
        <f t="shared" ca="1" si="407"/>
        <v>9.7499999999999566E-3</v>
      </c>
      <c r="CQ357" s="120"/>
      <c r="CR357" s="120"/>
      <c r="CS357" s="120"/>
      <c r="CT357" s="120"/>
      <c r="CU357" s="120"/>
      <c r="CV357" s="120"/>
      <c r="CW357" s="120"/>
      <c r="CX357" s="120"/>
      <c r="CY357" s="120"/>
      <c r="CZ357" s="120"/>
      <c r="DA357" s="120"/>
      <c r="DB357" s="120"/>
      <c r="DC357" s="120"/>
      <c r="DD357" s="120"/>
      <c r="DE357" s="116"/>
      <c r="DF357" s="116"/>
      <c r="DG357" s="116"/>
      <c r="DH357" s="116"/>
      <c r="DI357" s="116"/>
      <c r="DJ357" s="116"/>
      <c r="DK357" s="116"/>
      <c r="DL357" s="116"/>
      <c r="DM357" s="116"/>
      <c r="DN357" s="116"/>
    </row>
    <row r="358" spans="1:118" x14ac:dyDescent="0.2">
      <c r="A358" s="27">
        <v>352</v>
      </c>
      <c r="B358" s="29">
        <f t="shared" si="340"/>
        <v>49827</v>
      </c>
      <c r="C358" s="30">
        <f t="shared" si="341"/>
        <v>8.3333333333333329E-2</v>
      </c>
      <c r="D358" s="55"/>
      <c r="E358" s="62">
        <f t="shared" ca="1" si="359"/>
        <v>6977346.5152267264</v>
      </c>
      <c r="F358" s="63">
        <f ca="1">IF(AssetIntType1="Fixed",AssetFxdRate1,IF(A358=1,OFFSET(Vectors!$D$6,A358,MATCH(AssetFltIndx1,lstInterestRates,0)),IF(MOD($A358,AssetRateReset1)=0,MAX(MIN(OFFSET(Vectors!$D$6,A358,MATCH(AssetFltIndx1,lstInterestRates,0)),(F357-AssetMarg1)+AssetPdCapFl1,AssetLifeCap1-AssetMarg1),(F357-AssetMarg1)-AssetPdCapFl1,AssetLifeFloor1-AssetMarg1),F357)))+AssetMarg1</f>
        <v>0.09</v>
      </c>
      <c r="G358" s="62">
        <f t="shared" ca="1" si="347"/>
        <v>804622.61694478267</v>
      </c>
      <c r="H358" s="62">
        <f t="shared" ca="1" si="360"/>
        <v>52330.098864200445</v>
      </c>
      <c r="I358" s="62">
        <f t="shared" ca="1" si="361"/>
        <v>752292.51808058226</v>
      </c>
      <c r="J358" s="62">
        <f t="shared" ca="1" si="342"/>
        <v>6225053.9971461445</v>
      </c>
      <c r="K358" s="55"/>
      <c r="L358" s="62">
        <f t="shared" ca="1" si="362"/>
        <v>1152803.9029263954</v>
      </c>
      <c r="M358" s="68">
        <f ca="1">IF(pdrLossTime1="",OFFSET(Vectors!$AE$6,A358+_Age1,MATCH(SDA_Loss,lstSDA,0)),OFFSET(Vectors!$X$6,A358+_Age1,MATCH(pdrLossTime1,lstDefaultCurve,0)))</f>
        <v>2.7777777777777779E-5</v>
      </c>
      <c r="N358" s="62">
        <f t="shared" ca="1" si="348"/>
        <v>2777.7777777777778</v>
      </c>
      <c r="O358" s="67">
        <f t="shared" ca="1" si="363"/>
        <v>6.2250539971461447E-2</v>
      </c>
      <c r="P358" s="68">
        <f ca="1">OFFSET(Vectors!$L$6,A358+_Age1,MATCH(pdrPrepay1,lstPrepayCurve,0))*pdrPrepayStress1</f>
        <v>5.1430128318229462E-3</v>
      </c>
      <c r="Q358" s="62">
        <f t="shared" ca="1" si="364"/>
        <v>5289.6370904031783</v>
      </c>
      <c r="R358" s="62">
        <f t="shared" ca="1" si="365"/>
        <v>123994.99546976338</v>
      </c>
      <c r="S358" s="69">
        <f t="shared" ca="1" si="366"/>
        <v>0.09</v>
      </c>
      <c r="T358" s="62">
        <f t="shared" ca="1" si="367"/>
        <v>8625.1959386146318</v>
      </c>
      <c r="U358" s="62">
        <f t="shared" ca="1" si="349"/>
        <v>1111.1111111111111</v>
      </c>
      <c r="V358" s="62">
        <f t="shared" ca="1" si="343"/>
        <v>1020741.4925884511</v>
      </c>
      <c r="W358" s="55"/>
      <c r="X358" s="62">
        <f t="shared" ca="1" si="368"/>
        <v>139020.93960989232</v>
      </c>
      <c r="Y358" s="55"/>
      <c r="Z358" s="118" t="b">
        <v>0</v>
      </c>
      <c r="AA358" s="120" t="b">
        <f t="shared" si="350"/>
        <v>0</v>
      </c>
      <c r="AB358" s="120" t="b">
        <f t="shared" si="351"/>
        <v>1</v>
      </c>
      <c r="AC358" s="120" t="b">
        <f t="shared" ca="1" si="352"/>
        <v>0</v>
      </c>
      <c r="AD358" s="121"/>
      <c r="AE358" s="129">
        <v>0</v>
      </c>
      <c r="AF358" s="69">
        <f ca="1">IF(Swap_Active="No",0,OFFSET(Vectors!$D$6,Vectors!A358,MATCH(Swap_In,lstInterestRates,0)))</f>
        <v>6.9369000000000056E-2</v>
      </c>
      <c r="AG358" s="62">
        <f t="shared" ca="1" si="369"/>
        <v>0</v>
      </c>
      <c r="AH358" s="69">
        <f ca="1">IF(Swap_Active="No",0,OFFSET(Vectors!$D$6,Vectors!A358,MATCH(Swap_Out,lstInterestRates,0)))</f>
        <v>0.04</v>
      </c>
      <c r="AI358" s="62">
        <f t="shared" ca="1" si="370"/>
        <v>0</v>
      </c>
      <c r="AJ358" s="62">
        <f t="shared" ca="1" si="371"/>
        <v>0</v>
      </c>
      <c r="AK358" s="62">
        <f t="shared" ca="1" si="372"/>
        <v>139020.93960989232</v>
      </c>
      <c r="AL358" s="121"/>
      <c r="AM358" s="123">
        <f t="shared" ca="1" si="353"/>
        <v>1921.3398382106589</v>
      </c>
      <c r="AN358" s="124">
        <f t="shared" ca="1" si="373"/>
        <v>1921.3398382106589</v>
      </c>
      <c r="AO358" s="125">
        <f t="shared" ca="1" si="374"/>
        <v>0</v>
      </c>
      <c r="AP358" s="123">
        <f t="shared" ca="1" si="375"/>
        <v>137099.59977168165</v>
      </c>
      <c r="AQ358" s="121"/>
      <c r="AR358" s="126">
        <f ca="1">IF(LiabIntType1="Fixed",LiabFxdRate1,OFFSET(Vectors!$D$6,Vectors!A358,MATCH(LiabLoanIndex1,lstInterestRates,0))+LiabMarg1)</f>
        <v>7.9369000000000051E-2</v>
      </c>
      <c r="AS358" s="122">
        <f t="shared" ca="1" si="376"/>
        <v>0</v>
      </c>
      <c r="AT358" s="124">
        <f t="shared" ca="1" si="377"/>
        <v>0</v>
      </c>
      <c r="AU358" s="123">
        <f t="shared" ca="1" si="378"/>
        <v>0</v>
      </c>
      <c r="AV358" s="123">
        <f t="shared" ca="1" si="354"/>
        <v>0</v>
      </c>
      <c r="AW358" s="123">
        <f t="shared" ca="1" si="379"/>
        <v>0</v>
      </c>
      <c r="AX358" s="124">
        <f t="shared" ca="1" si="380"/>
        <v>137099.59977168165</v>
      </c>
      <c r="AY358" s="121"/>
      <c r="AZ358" s="122">
        <f t="shared" ca="1" si="355"/>
        <v>0</v>
      </c>
      <c r="BA358" s="124">
        <f t="shared" ca="1" si="381"/>
        <v>0</v>
      </c>
      <c r="BB358" s="123">
        <f t="shared" ca="1" si="382"/>
        <v>0</v>
      </c>
      <c r="BC358" s="123">
        <f t="shared" ca="1" si="356"/>
        <v>0</v>
      </c>
      <c r="BD358" s="123">
        <f t="shared" ca="1" si="383"/>
        <v>0</v>
      </c>
      <c r="BE358" s="124">
        <f t="shared" ca="1" si="384"/>
        <v>137099.59977168165</v>
      </c>
      <c r="BF358" s="121"/>
      <c r="BG358" s="123">
        <f t="shared" si="357"/>
        <v>1000000</v>
      </c>
      <c r="BH358" s="123">
        <f t="shared" ca="1" si="385"/>
        <v>1000000</v>
      </c>
      <c r="BI358" s="123">
        <f t="shared" ca="1" si="386"/>
        <v>0</v>
      </c>
      <c r="BJ358" s="123">
        <f t="shared" ca="1" si="387"/>
        <v>0</v>
      </c>
      <c r="BK358" s="123">
        <f t="shared" ca="1" si="344"/>
        <v>1000000</v>
      </c>
      <c r="BL358" s="123">
        <f t="shared" ca="1" si="388"/>
        <v>137099.59977168165</v>
      </c>
      <c r="BM358" s="121"/>
      <c r="BN358" s="126">
        <f ca="1">IF(LiabIntType2="Fixed",LiabFxdRate2,OFFSET(Vectors!$D$6,Vectors!A358,MATCH(LiabLoanIndex2,lstInterestRates,0))+LiabMarg2)</f>
        <v>0.04</v>
      </c>
      <c r="BO358" s="122">
        <f t="shared" ca="1" si="389"/>
        <v>20969.089327138845</v>
      </c>
      <c r="BP358" s="124">
        <f t="shared" ca="1" si="390"/>
        <v>20969.089327138845</v>
      </c>
      <c r="BQ358" s="123">
        <f t="shared" ca="1" si="391"/>
        <v>0</v>
      </c>
      <c r="BR358" s="123">
        <f t="shared" ca="1" si="392"/>
        <v>116130.5104445428</v>
      </c>
      <c r="BS358" s="121"/>
      <c r="BT358" s="123">
        <f t="shared" ca="1" si="358"/>
        <v>13540.2423503466</v>
      </c>
      <c r="BU358" s="123">
        <f t="shared" ca="1" si="393"/>
        <v>13540.2423503466</v>
      </c>
      <c r="BV358" s="123">
        <f t="shared" ca="1" si="394"/>
        <v>0</v>
      </c>
      <c r="BW358" s="123">
        <f t="shared" ca="1" si="395"/>
        <v>102590.2680941962</v>
      </c>
      <c r="BX358" s="121"/>
      <c r="BY358" s="123">
        <f t="shared" si="396"/>
        <v>0</v>
      </c>
      <c r="BZ358" s="123">
        <f t="shared" ca="1" si="397"/>
        <v>102590.2680941962</v>
      </c>
      <c r="CA358" s="121"/>
      <c r="CB358" s="122">
        <f t="shared" ca="1" si="345"/>
        <v>0</v>
      </c>
      <c r="CC358" s="122">
        <f t="shared" ca="1" si="398"/>
        <v>0</v>
      </c>
      <c r="CD358" s="124">
        <f t="shared" ca="1" si="399"/>
        <v>0</v>
      </c>
      <c r="CE358" s="121"/>
      <c r="CF358" s="122">
        <f t="shared" ca="1" si="346"/>
        <v>6277186.5557913072</v>
      </c>
      <c r="CG358" s="124">
        <f t="shared" ca="1" si="400"/>
        <v>20969.089327138845</v>
      </c>
      <c r="CH358" s="123">
        <f t="shared" ca="1" si="401"/>
        <v>13540.2423503466</v>
      </c>
      <c r="CI358" s="121"/>
      <c r="CJ358" s="123">
        <f t="shared" ca="1" si="402"/>
        <v>139020.93960989232</v>
      </c>
      <c r="CK358" s="123">
        <f t="shared" ca="1" si="403"/>
        <v>139020.93960989232</v>
      </c>
      <c r="CL358" s="123">
        <f t="shared" ca="1" si="404"/>
        <v>0</v>
      </c>
      <c r="CM358" s="121"/>
      <c r="CN358" s="62">
        <f t="shared" ca="1" si="405"/>
        <v>132062.41033794434</v>
      </c>
      <c r="CO358" s="62" t="b">
        <f t="shared" si="406"/>
        <v>1</v>
      </c>
      <c r="CP358" s="126">
        <f t="shared" ca="1" si="407"/>
        <v>9.7777777777777342E-3</v>
      </c>
      <c r="CQ358" s="120"/>
      <c r="CR358" s="120"/>
      <c r="CS358" s="120"/>
      <c r="CT358" s="120"/>
      <c r="CU358" s="120"/>
      <c r="CV358" s="120"/>
      <c r="CW358" s="120"/>
      <c r="CX358" s="120"/>
      <c r="CY358" s="120"/>
      <c r="CZ358" s="120"/>
      <c r="DA358" s="120"/>
      <c r="DB358" s="120"/>
      <c r="DC358" s="120"/>
      <c r="DD358" s="120"/>
      <c r="DE358" s="116"/>
      <c r="DF358" s="116"/>
      <c r="DG358" s="116"/>
      <c r="DH358" s="116"/>
      <c r="DI358" s="116"/>
      <c r="DJ358" s="116"/>
      <c r="DK358" s="116"/>
      <c r="DL358" s="116"/>
      <c r="DM358" s="116"/>
      <c r="DN358" s="116"/>
    </row>
    <row r="359" spans="1:118" x14ac:dyDescent="0.2">
      <c r="A359" s="27">
        <v>353</v>
      </c>
      <c r="B359" s="29">
        <f t="shared" si="340"/>
        <v>49857</v>
      </c>
      <c r="C359" s="30">
        <f t="shared" si="341"/>
        <v>8.3333333333333329E-2</v>
      </c>
      <c r="D359" s="55"/>
      <c r="E359" s="62">
        <f t="shared" ca="1" si="359"/>
        <v>6225053.9971461445</v>
      </c>
      <c r="F359" s="63">
        <f ca="1">IF(AssetIntType1="Fixed",AssetFxdRate1,IF(A359=1,OFFSET(Vectors!$D$6,A359,MATCH(AssetFltIndx1,lstInterestRates,0)),IF(MOD($A359,AssetRateReset1)=0,MAX(MIN(OFFSET(Vectors!$D$6,A359,MATCH(AssetFltIndx1,lstInterestRates,0)),(F358-AssetMarg1)+AssetPdCapFl1,AssetLifeCap1-AssetMarg1),(F358-AssetMarg1)-AssetPdCapFl1,AssetLifeFloor1-AssetMarg1),F358)))+AssetMarg1</f>
        <v>0.09</v>
      </c>
      <c r="G359" s="62">
        <f t="shared" ca="1" si="347"/>
        <v>804622.61694478267</v>
      </c>
      <c r="H359" s="62">
        <f t="shared" ca="1" si="360"/>
        <v>46687.904978596081</v>
      </c>
      <c r="I359" s="62">
        <f t="shared" ca="1" si="361"/>
        <v>757934.71196618653</v>
      </c>
      <c r="J359" s="62">
        <f t="shared" ca="1" si="342"/>
        <v>5467119.2851799577</v>
      </c>
      <c r="K359" s="55"/>
      <c r="L359" s="62">
        <f t="shared" ca="1" si="362"/>
        <v>1020741.4925884511</v>
      </c>
      <c r="M359" s="68">
        <f ca="1">IF(pdrLossTime1="",OFFSET(Vectors!$AE$6,A359+_Age1,MATCH(SDA_Loss,lstSDA,0)),OFFSET(Vectors!$X$6,A359+_Age1,MATCH(pdrLossTime1,lstDefaultCurve,0)))</f>
        <v>2.7777777777777779E-5</v>
      </c>
      <c r="N359" s="62">
        <f t="shared" ca="1" si="348"/>
        <v>2777.7777777777778</v>
      </c>
      <c r="O359" s="67">
        <f t="shared" ca="1" si="363"/>
        <v>5.4671192851799576E-2</v>
      </c>
      <c r="P359" s="68">
        <f ca="1">OFFSET(Vectors!$L$6,A359+_Age1,MATCH(pdrPrepay1,lstPrepayCurve,0))*pdrPrepayStress1</f>
        <v>5.1430128318229462E-3</v>
      </c>
      <c r="Q359" s="62">
        <f t="shared" ca="1" si="364"/>
        <v>4610.5082517059127</v>
      </c>
      <c r="R359" s="62">
        <f t="shared" ca="1" si="365"/>
        <v>123942.70561038857</v>
      </c>
      <c r="S359" s="69">
        <f t="shared" ca="1" si="366"/>
        <v>0.09</v>
      </c>
      <c r="T359" s="62">
        <f t="shared" ca="1" si="367"/>
        <v>7634.7278610800504</v>
      </c>
      <c r="U359" s="62">
        <f t="shared" ca="1" si="349"/>
        <v>1111.1111111111111</v>
      </c>
      <c r="V359" s="62">
        <f t="shared" ca="1" si="343"/>
        <v>889410.50094857893</v>
      </c>
      <c r="W359" s="55"/>
      <c r="X359" s="62">
        <f t="shared" ca="1" si="368"/>
        <v>137299.05283428566</v>
      </c>
      <c r="Y359" s="55"/>
      <c r="Z359" s="118" t="b">
        <v>0</v>
      </c>
      <c r="AA359" s="120" t="b">
        <f t="shared" si="350"/>
        <v>0</v>
      </c>
      <c r="AB359" s="120" t="b">
        <f t="shared" si="351"/>
        <v>1</v>
      </c>
      <c r="AC359" s="120" t="b">
        <f t="shared" ca="1" si="352"/>
        <v>0</v>
      </c>
      <c r="AD359" s="121"/>
      <c r="AE359" s="129">
        <v>0</v>
      </c>
      <c r="AF359" s="69">
        <f ca="1">IF(Swap_Active="No",0,OFFSET(Vectors!$D$6,Vectors!A359,MATCH(Swap_In,lstInterestRates,0)))</f>
        <v>6.9369000000000056E-2</v>
      </c>
      <c r="AG359" s="62">
        <f t="shared" ca="1" si="369"/>
        <v>0</v>
      </c>
      <c r="AH359" s="69">
        <f ca="1">IF(Swap_Active="No",0,OFFSET(Vectors!$D$6,Vectors!A359,MATCH(Swap_Out,lstInterestRates,0)))</f>
        <v>0.04</v>
      </c>
      <c r="AI359" s="62">
        <f t="shared" ca="1" si="370"/>
        <v>0</v>
      </c>
      <c r="AJ359" s="62">
        <f t="shared" ca="1" si="371"/>
        <v>0</v>
      </c>
      <c r="AK359" s="62">
        <f t="shared" ca="1" si="372"/>
        <v>137299.05283428566</v>
      </c>
      <c r="AL359" s="121"/>
      <c r="AM359" s="123">
        <f t="shared" ca="1" si="353"/>
        <v>1701.2358209807517</v>
      </c>
      <c r="AN359" s="124">
        <f t="shared" ca="1" si="373"/>
        <v>1701.2358209807517</v>
      </c>
      <c r="AO359" s="125">
        <f t="shared" ca="1" si="374"/>
        <v>0</v>
      </c>
      <c r="AP359" s="123">
        <f t="shared" ca="1" si="375"/>
        <v>135597.81701330491</v>
      </c>
      <c r="AQ359" s="121"/>
      <c r="AR359" s="126">
        <f ca="1">IF(LiabIntType1="Fixed",LiabFxdRate1,OFFSET(Vectors!$D$6,Vectors!A359,MATCH(LiabLoanIndex1,lstInterestRates,0))+LiabMarg1)</f>
        <v>7.9369000000000051E-2</v>
      </c>
      <c r="AS359" s="122">
        <f t="shared" ca="1" si="376"/>
        <v>0</v>
      </c>
      <c r="AT359" s="124">
        <f t="shared" ca="1" si="377"/>
        <v>0</v>
      </c>
      <c r="AU359" s="123">
        <f t="shared" ca="1" si="378"/>
        <v>0</v>
      </c>
      <c r="AV359" s="123">
        <f t="shared" ca="1" si="354"/>
        <v>0</v>
      </c>
      <c r="AW359" s="123">
        <f t="shared" ca="1" si="379"/>
        <v>0</v>
      </c>
      <c r="AX359" s="124">
        <f t="shared" ca="1" si="380"/>
        <v>135597.81701330491</v>
      </c>
      <c r="AY359" s="121"/>
      <c r="AZ359" s="122">
        <f t="shared" ca="1" si="355"/>
        <v>0</v>
      </c>
      <c r="BA359" s="124">
        <f t="shared" ca="1" si="381"/>
        <v>0</v>
      </c>
      <c r="BB359" s="123">
        <f t="shared" ca="1" si="382"/>
        <v>0</v>
      </c>
      <c r="BC359" s="123">
        <f t="shared" ca="1" si="356"/>
        <v>0</v>
      </c>
      <c r="BD359" s="123">
        <f t="shared" ca="1" si="383"/>
        <v>0</v>
      </c>
      <c r="BE359" s="124">
        <f t="shared" ca="1" si="384"/>
        <v>135597.81701330491</v>
      </c>
      <c r="BF359" s="121"/>
      <c r="BG359" s="123">
        <f t="shared" si="357"/>
        <v>1000000</v>
      </c>
      <c r="BH359" s="123">
        <f t="shared" ca="1" si="385"/>
        <v>1000000</v>
      </c>
      <c r="BI359" s="123">
        <f t="shared" ca="1" si="386"/>
        <v>0</v>
      </c>
      <c r="BJ359" s="123">
        <f t="shared" ca="1" si="387"/>
        <v>0</v>
      </c>
      <c r="BK359" s="123">
        <f t="shared" ca="1" si="344"/>
        <v>1000000</v>
      </c>
      <c r="BL359" s="123">
        <f t="shared" ca="1" si="388"/>
        <v>135597.81701330491</v>
      </c>
      <c r="BM359" s="121"/>
      <c r="BN359" s="126">
        <f ca="1">IF(LiabIntType2="Fixed",LiabFxdRate2,OFFSET(Vectors!$D$6,Vectors!A359,MATCH(LiabLoanIndex2,lstInterestRates,0))+LiabMarg2)</f>
        <v>0.04</v>
      </c>
      <c r="BO359" s="122">
        <f t="shared" ca="1" si="389"/>
        <v>20923.955185971023</v>
      </c>
      <c r="BP359" s="124">
        <f t="shared" ca="1" si="390"/>
        <v>20923.955185971023</v>
      </c>
      <c r="BQ359" s="123">
        <f t="shared" ca="1" si="391"/>
        <v>0</v>
      </c>
      <c r="BR359" s="123">
        <f t="shared" ca="1" si="392"/>
        <v>114673.86182733389</v>
      </c>
      <c r="BS359" s="121"/>
      <c r="BT359" s="123">
        <f t="shared" ca="1" si="358"/>
        <v>13465.250636912566</v>
      </c>
      <c r="BU359" s="123">
        <f t="shared" ca="1" si="393"/>
        <v>13465.250636912566</v>
      </c>
      <c r="BV359" s="123">
        <f t="shared" ca="1" si="394"/>
        <v>0</v>
      </c>
      <c r="BW359" s="123">
        <f t="shared" ca="1" si="395"/>
        <v>101208.61119042133</v>
      </c>
      <c r="BX359" s="121"/>
      <c r="BY359" s="123">
        <f t="shared" si="396"/>
        <v>0</v>
      </c>
      <c r="BZ359" s="123">
        <f t="shared" ca="1" si="397"/>
        <v>101208.61119042133</v>
      </c>
      <c r="CA359" s="121"/>
      <c r="CB359" s="122">
        <f t="shared" ca="1" si="345"/>
        <v>0</v>
      </c>
      <c r="CC359" s="122">
        <f t="shared" ca="1" si="398"/>
        <v>0</v>
      </c>
      <c r="CD359" s="124">
        <f t="shared" ca="1" si="399"/>
        <v>0</v>
      </c>
      <c r="CE359" s="121"/>
      <c r="CF359" s="122">
        <f t="shared" ca="1" si="346"/>
        <v>6263721.3051543944</v>
      </c>
      <c r="CG359" s="124">
        <f t="shared" ca="1" si="400"/>
        <v>20923.955185971023</v>
      </c>
      <c r="CH359" s="123">
        <f t="shared" ca="1" si="401"/>
        <v>13465.250636912566</v>
      </c>
      <c r="CI359" s="121"/>
      <c r="CJ359" s="123">
        <f t="shared" ca="1" si="402"/>
        <v>137299.05283428566</v>
      </c>
      <c r="CK359" s="123">
        <f t="shared" ca="1" si="403"/>
        <v>137299.05283428566</v>
      </c>
      <c r="CL359" s="123">
        <f t="shared" ca="1" si="404"/>
        <v>0</v>
      </c>
      <c r="CM359" s="121"/>
      <c r="CN359" s="62">
        <f t="shared" ca="1" si="405"/>
        <v>131330.99163987226</v>
      </c>
      <c r="CO359" s="62" t="b">
        <f t="shared" si="406"/>
        <v>1</v>
      </c>
      <c r="CP359" s="126">
        <f t="shared" ca="1" si="407"/>
        <v>9.8055555555555118E-3</v>
      </c>
      <c r="CQ359" s="120"/>
      <c r="CR359" s="120"/>
      <c r="CS359" s="120"/>
      <c r="CT359" s="120"/>
      <c r="CU359" s="120"/>
      <c r="CV359" s="120"/>
      <c r="CW359" s="120"/>
      <c r="CX359" s="120"/>
      <c r="CY359" s="120"/>
      <c r="CZ359" s="120"/>
      <c r="DA359" s="120"/>
      <c r="DB359" s="120"/>
      <c r="DC359" s="120"/>
      <c r="DD359" s="120"/>
      <c r="DE359" s="116"/>
      <c r="DF359" s="116"/>
      <c r="DG359" s="116"/>
      <c r="DH359" s="116"/>
      <c r="DI359" s="116"/>
      <c r="DJ359" s="116"/>
      <c r="DK359" s="116"/>
      <c r="DL359" s="116"/>
      <c r="DM359" s="116"/>
      <c r="DN359" s="116"/>
    </row>
    <row r="360" spans="1:118" x14ac:dyDescent="0.2">
      <c r="A360" s="27">
        <v>354</v>
      </c>
      <c r="B360" s="29">
        <f t="shared" si="340"/>
        <v>49888</v>
      </c>
      <c r="C360" s="30">
        <f t="shared" si="341"/>
        <v>8.3333333333333329E-2</v>
      </c>
      <c r="D360" s="55"/>
      <c r="E360" s="62">
        <f t="shared" ca="1" si="359"/>
        <v>5467119.2851799577</v>
      </c>
      <c r="F360" s="63">
        <f ca="1">IF(AssetIntType1="Fixed",AssetFxdRate1,IF(A360=1,OFFSET(Vectors!$D$6,A360,MATCH(AssetFltIndx1,lstInterestRates,0)),IF(MOD($A360,AssetRateReset1)=0,MAX(MIN(OFFSET(Vectors!$D$6,A360,MATCH(AssetFltIndx1,lstInterestRates,0)),(F359-AssetMarg1)+AssetPdCapFl1,AssetLifeCap1-AssetMarg1),(F359-AssetMarg1)-AssetPdCapFl1,AssetLifeFloor1-AssetMarg1),F359)))+AssetMarg1</f>
        <v>0.09</v>
      </c>
      <c r="G360" s="62">
        <f t="shared" ca="1" si="347"/>
        <v>804622.61694478267</v>
      </c>
      <c r="H360" s="62">
        <f t="shared" ca="1" si="360"/>
        <v>41003.394638849684</v>
      </c>
      <c r="I360" s="62">
        <f t="shared" ca="1" si="361"/>
        <v>763619.22230593301</v>
      </c>
      <c r="J360" s="62">
        <f t="shared" ca="1" si="342"/>
        <v>4703500.0628740247</v>
      </c>
      <c r="K360" s="55"/>
      <c r="L360" s="62">
        <f t="shared" ca="1" si="362"/>
        <v>889410.50094857893</v>
      </c>
      <c r="M360" s="68">
        <f ca="1">IF(pdrLossTime1="",OFFSET(Vectors!$AE$6,A360+_Age1,MATCH(SDA_Loss,lstSDA,0)),OFFSET(Vectors!$X$6,A360+_Age1,MATCH(pdrLossTime1,lstDefaultCurve,0)))</f>
        <v>2.7777777777777779E-5</v>
      </c>
      <c r="N360" s="62">
        <f t="shared" ca="1" si="348"/>
        <v>2777.7777777777778</v>
      </c>
      <c r="O360" s="67">
        <f t="shared" ca="1" si="363"/>
        <v>4.7035000628740248E-2</v>
      </c>
      <c r="P360" s="68">
        <f ca="1">OFFSET(Vectors!$L$6,A360+_Age1,MATCH(pdrPrepay1,lstPrepayCurve,0))*pdrPrepayStress1</f>
        <v>5.1430128318229462E-3</v>
      </c>
      <c r="Q360" s="62">
        <f t="shared" ca="1" si="364"/>
        <v>3935.341859017507</v>
      </c>
      <c r="R360" s="62">
        <f t="shared" ca="1" si="365"/>
        <v>123840.31794842985</v>
      </c>
      <c r="S360" s="69">
        <f t="shared" ca="1" si="366"/>
        <v>0.09</v>
      </c>
      <c r="T360" s="62">
        <f t="shared" ca="1" si="367"/>
        <v>6649.7454237810089</v>
      </c>
      <c r="U360" s="62">
        <f t="shared" ca="1" si="349"/>
        <v>1111.1111111111111</v>
      </c>
      <c r="V360" s="62">
        <f t="shared" ca="1" si="343"/>
        <v>758857.06336335384</v>
      </c>
      <c r="W360" s="55"/>
      <c r="X360" s="62">
        <f t="shared" ca="1" si="368"/>
        <v>135536.51634233948</v>
      </c>
      <c r="Y360" s="55"/>
      <c r="Z360" s="118" t="b">
        <v>0</v>
      </c>
      <c r="AA360" s="120" t="b">
        <f t="shared" si="350"/>
        <v>0</v>
      </c>
      <c r="AB360" s="120" t="b">
        <f t="shared" si="351"/>
        <v>1</v>
      </c>
      <c r="AC360" s="120" t="b">
        <f t="shared" ca="1" si="352"/>
        <v>0</v>
      </c>
      <c r="AD360" s="121"/>
      <c r="AE360" s="129">
        <v>0</v>
      </c>
      <c r="AF360" s="69">
        <f ca="1">IF(Swap_Active="No",0,OFFSET(Vectors!$D$6,Vectors!A360,MATCH(Swap_In,lstInterestRates,0)))</f>
        <v>6.9369000000000056E-2</v>
      </c>
      <c r="AG360" s="62">
        <f t="shared" ca="1" si="369"/>
        <v>0</v>
      </c>
      <c r="AH360" s="69">
        <f ca="1">IF(Swap_Active="No",0,OFFSET(Vectors!$D$6,Vectors!A360,MATCH(Swap_Out,lstInterestRates,0)))</f>
        <v>0.04</v>
      </c>
      <c r="AI360" s="62">
        <f t="shared" ca="1" si="370"/>
        <v>0</v>
      </c>
      <c r="AJ360" s="62">
        <f t="shared" ca="1" si="371"/>
        <v>0</v>
      </c>
      <c r="AK360" s="62">
        <f t="shared" ca="1" si="372"/>
        <v>135536.51634233948</v>
      </c>
      <c r="AL360" s="121"/>
      <c r="AM360" s="123">
        <f t="shared" ca="1" si="353"/>
        <v>1482.350834914298</v>
      </c>
      <c r="AN360" s="124">
        <f t="shared" ca="1" si="373"/>
        <v>1482.350834914298</v>
      </c>
      <c r="AO360" s="125">
        <f t="shared" ca="1" si="374"/>
        <v>0</v>
      </c>
      <c r="AP360" s="123">
        <f t="shared" ca="1" si="375"/>
        <v>134054.16550742518</v>
      </c>
      <c r="AQ360" s="121"/>
      <c r="AR360" s="126">
        <f ca="1">IF(LiabIntType1="Fixed",LiabFxdRate1,OFFSET(Vectors!$D$6,Vectors!A360,MATCH(LiabLoanIndex1,lstInterestRates,0))+LiabMarg1)</f>
        <v>7.9369000000000051E-2</v>
      </c>
      <c r="AS360" s="122">
        <f t="shared" ca="1" si="376"/>
        <v>0</v>
      </c>
      <c r="AT360" s="124">
        <f t="shared" ca="1" si="377"/>
        <v>0</v>
      </c>
      <c r="AU360" s="123">
        <f t="shared" ca="1" si="378"/>
        <v>0</v>
      </c>
      <c r="AV360" s="123">
        <f t="shared" ca="1" si="354"/>
        <v>0</v>
      </c>
      <c r="AW360" s="123">
        <f t="shared" ca="1" si="379"/>
        <v>0</v>
      </c>
      <c r="AX360" s="124">
        <f t="shared" ca="1" si="380"/>
        <v>134054.16550742518</v>
      </c>
      <c r="AY360" s="121"/>
      <c r="AZ360" s="122">
        <f t="shared" ca="1" si="355"/>
        <v>0</v>
      </c>
      <c r="BA360" s="124">
        <f t="shared" ca="1" si="381"/>
        <v>0</v>
      </c>
      <c r="BB360" s="123">
        <f t="shared" ca="1" si="382"/>
        <v>0</v>
      </c>
      <c r="BC360" s="123">
        <f t="shared" ca="1" si="356"/>
        <v>0</v>
      </c>
      <c r="BD360" s="123">
        <f t="shared" ca="1" si="383"/>
        <v>0</v>
      </c>
      <c r="BE360" s="124">
        <f t="shared" ca="1" si="384"/>
        <v>134054.16550742518</v>
      </c>
      <c r="BF360" s="121"/>
      <c r="BG360" s="123">
        <f t="shared" si="357"/>
        <v>1000000</v>
      </c>
      <c r="BH360" s="123">
        <f t="shared" ca="1" si="385"/>
        <v>1000000</v>
      </c>
      <c r="BI360" s="123">
        <f t="shared" ca="1" si="386"/>
        <v>0</v>
      </c>
      <c r="BJ360" s="123">
        <f t="shared" ca="1" si="387"/>
        <v>0</v>
      </c>
      <c r="BK360" s="123">
        <f t="shared" ca="1" si="344"/>
        <v>1000000</v>
      </c>
      <c r="BL360" s="123">
        <f t="shared" ca="1" si="388"/>
        <v>134054.16550742518</v>
      </c>
      <c r="BM360" s="121"/>
      <c r="BN360" s="126">
        <f ca="1">IF(LiabIntType2="Fixed",LiabFxdRate2,OFFSET(Vectors!$D$6,Vectors!A360,MATCH(LiabLoanIndex2,lstInterestRates,0))+LiabMarg2)</f>
        <v>0.04</v>
      </c>
      <c r="BO360" s="122">
        <f t="shared" ca="1" si="389"/>
        <v>20879.071017181312</v>
      </c>
      <c r="BP360" s="124">
        <f t="shared" ca="1" si="390"/>
        <v>20879.071017181312</v>
      </c>
      <c r="BQ360" s="123">
        <f t="shared" ca="1" si="391"/>
        <v>0</v>
      </c>
      <c r="BR360" s="123">
        <f t="shared" ca="1" si="392"/>
        <v>113175.09449024386</v>
      </c>
      <c r="BS360" s="121"/>
      <c r="BT360" s="123">
        <f t="shared" ca="1" si="358"/>
        <v>13385.528706096104</v>
      </c>
      <c r="BU360" s="123">
        <f t="shared" ca="1" si="393"/>
        <v>13385.528706096104</v>
      </c>
      <c r="BV360" s="123">
        <f t="shared" ca="1" si="394"/>
        <v>0</v>
      </c>
      <c r="BW360" s="123">
        <f t="shared" ca="1" si="395"/>
        <v>99789.565784147766</v>
      </c>
      <c r="BX360" s="121"/>
      <c r="BY360" s="123">
        <f t="shared" si="396"/>
        <v>0</v>
      </c>
      <c r="BZ360" s="123">
        <f t="shared" ca="1" si="397"/>
        <v>99789.565784147766</v>
      </c>
      <c r="CA360" s="121"/>
      <c r="CB360" s="122">
        <f t="shared" ca="1" si="345"/>
        <v>0</v>
      </c>
      <c r="CC360" s="122">
        <f t="shared" ca="1" si="398"/>
        <v>0</v>
      </c>
      <c r="CD360" s="124">
        <f t="shared" ca="1" si="399"/>
        <v>0</v>
      </c>
      <c r="CE360" s="121"/>
      <c r="CF360" s="122">
        <f t="shared" ca="1" si="346"/>
        <v>6250335.7764482982</v>
      </c>
      <c r="CG360" s="124">
        <f t="shared" ca="1" si="400"/>
        <v>20879.071017181312</v>
      </c>
      <c r="CH360" s="123">
        <f t="shared" ca="1" si="401"/>
        <v>13385.528706096104</v>
      </c>
      <c r="CI360" s="121"/>
      <c r="CJ360" s="123">
        <f t="shared" ca="1" si="402"/>
        <v>135536.51634233948</v>
      </c>
      <c r="CK360" s="123">
        <f t="shared" ca="1" si="403"/>
        <v>135536.51634233948</v>
      </c>
      <c r="CL360" s="123">
        <f t="shared" ca="1" si="404"/>
        <v>0</v>
      </c>
      <c r="CM360" s="121"/>
      <c r="CN360" s="62">
        <f t="shared" ca="1" si="405"/>
        <v>130553.43758522513</v>
      </c>
      <c r="CO360" s="62" t="b">
        <f t="shared" si="406"/>
        <v>1</v>
      </c>
      <c r="CP360" s="126">
        <f t="shared" ca="1" si="407"/>
        <v>9.8333333333332894E-3</v>
      </c>
      <c r="CQ360" s="120"/>
      <c r="CR360" s="120"/>
      <c r="CS360" s="120"/>
      <c r="CT360" s="120"/>
      <c r="CU360" s="120"/>
      <c r="CV360" s="120"/>
      <c r="CW360" s="120"/>
      <c r="CX360" s="120"/>
      <c r="CY360" s="120"/>
      <c r="CZ360" s="120"/>
      <c r="DA360" s="120"/>
      <c r="DB360" s="120"/>
      <c r="DC360" s="120"/>
      <c r="DD360" s="120"/>
      <c r="DE360" s="116"/>
      <c r="DF360" s="116"/>
      <c r="DG360" s="116"/>
      <c r="DH360" s="116"/>
      <c r="DI360" s="116"/>
      <c r="DJ360" s="116"/>
      <c r="DK360" s="116"/>
      <c r="DL360" s="116"/>
      <c r="DM360" s="116"/>
      <c r="DN360" s="116"/>
    </row>
    <row r="361" spans="1:118" x14ac:dyDescent="0.2">
      <c r="A361" s="27">
        <v>355</v>
      </c>
      <c r="B361" s="29">
        <f t="shared" si="340"/>
        <v>49919</v>
      </c>
      <c r="C361" s="30">
        <f t="shared" si="341"/>
        <v>8.3333333333333329E-2</v>
      </c>
      <c r="D361" s="55"/>
      <c r="E361" s="62">
        <f t="shared" ca="1" si="359"/>
        <v>4703500.0628740247</v>
      </c>
      <c r="F361" s="63">
        <f ca="1">IF(AssetIntType1="Fixed",AssetFxdRate1,IF(A361=1,OFFSET(Vectors!$D$6,A361,MATCH(AssetFltIndx1,lstInterestRates,0)),IF(MOD($A361,AssetRateReset1)=0,MAX(MIN(OFFSET(Vectors!$D$6,A361,MATCH(AssetFltIndx1,lstInterestRates,0)),(F360-AssetMarg1)+AssetPdCapFl1,AssetLifeCap1-AssetMarg1),(F360-AssetMarg1)-AssetPdCapFl1,AssetLifeFloor1-AssetMarg1),F360)))+AssetMarg1</f>
        <v>0.09</v>
      </c>
      <c r="G361" s="62">
        <f t="shared" ca="1" si="347"/>
        <v>804622.61694478267</v>
      </c>
      <c r="H361" s="62">
        <f t="shared" ca="1" si="360"/>
        <v>35276.250471555184</v>
      </c>
      <c r="I361" s="62">
        <f t="shared" ca="1" si="361"/>
        <v>769346.36647322751</v>
      </c>
      <c r="J361" s="62">
        <f t="shared" ca="1" si="342"/>
        <v>3934153.696400797</v>
      </c>
      <c r="K361" s="55"/>
      <c r="L361" s="62">
        <f t="shared" ca="1" si="362"/>
        <v>758857.06336335384</v>
      </c>
      <c r="M361" s="68">
        <f ca="1">IF(pdrLossTime1="",OFFSET(Vectors!$AE$6,A361+_Age1,MATCH(SDA_Loss,lstSDA,0)),OFFSET(Vectors!$X$6,A361+_Age1,MATCH(pdrLossTime1,lstDefaultCurve,0)))</f>
        <v>2.7777777777777779E-5</v>
      </c>
      <c r="N361" s="62">
        <f t="shared" ca="1" si="348"/>
        <v>2777.7777777777778</v>
      </c>
      <c r="O361" s="67">
        <f t="shared" ca="1" si="363"/>
        <v>3.9341536964007967E-2</v>
      </c>
      <c r="P361" s="68">
        <f ca="1">OFFSET(Vectors!$L$6,A361+_Age1,MATCH(pdrPrepay1,lstPrepayCurve,0))*pdrPrepayStress1</f>
        <v>5.1430128318229462E-3</v>
      </c>
      <c r="Q361" s="62">
        <f t="shared" ca="1" si="364"/>
        <v>3264.4329826488133</v>
      </c>
      <c r="R361" s="62">
        <f t="shared" ca="1" si="365"/>
        <v>123671.06268847443</v>
      </c>
      <c r="S361" s="69">
        <f t="shared" ca="1" si="366"/>
        <v>0.09</v>
      </c>
      <c r="T361" s="62">
        <f t="shared" ca="1" si="367"/>
        <v>5670.5946418918202</v>
      </c>
      <c r="U361" s="62">
        <f t="shared" ca="1" si="349"/>
        <v>1111.1111111111111</v>
      </c>
      <c r="V361" s="62">
        <f t="shared" ca="1" si="343"/>
        <v>629143.78991445282</v>
      </c>
      <c r="W361" s="55"/>
      <c r="X361" s="62">
        <f t="shared" ca="1" si="368"/>
        <v>133717.20142412619</v>
      </c>
      <c r="Y361" s="55"/>
      <c r="Z361" s="118" t="b">
        <v>0</v>
      </c>
      <c r="AA361" s="120" t="b">
        <f t="shared" si="350"/>
        <v>0</v>
      </c>
      <c r="AB361" s="120" t="b">
        <f t="shared" si="351"/>
        <v>1</v>
      </c>
      <c r="AC361" s="120" t="b">
        <f t="shared" ca="1" si="352"/>
        <v>0</v>
      </c>
      <c r="AD361" s="121"/>
      <c r="AE361" s="129">
        <v>0</v>
      </c>
      <c r="AF361" s="69">
        <f ca="1">IF(Swap_Active="No",0,OFFSET(Vectors!$D$6,Vectors!A361,MATCH(Swap_In,lstInterestRates,0)))</f>
        <v>6.9369000000000056E-2</v>
      </c>
      <c r="AG361" s="62">
        <f t="shared" ca="1" si="369"/>
        <v>0</v>
      </c>
      <c r="AH361" s="69">
        <f ca="1">IF(Swap_Active="No",0,OFFSET(Vectors!$D$6,Vectors!A361,MATCH(Swap_Out,lstInterestRates,0)))</f>
        <v>0.04</v>
      </c>
      <c r="AI361" s="62">
        <f t="shared" ca="1" si="370"/>
        <v>0</v>
      </c>
      <c r="AJ361" s="62">
        <f t="shared" ca="1" si="371"/>
        <v>0</v>
      </c>
      <c r="AK361" s="62">
        <f t="shared" ca="1" si="372"/>
        <v>133717.20142412619</v>
      </c>
      <c r="AL361" s="121"/>
      <c r="AM361" s="123">
        <f t="shared" ca="1" si="353"/>
        <v>1264.7617722722564</v>
      </c>
      <c r="AN361" s="124">
        <f t="shared" ca="1" si="373"/>
        <v>1264.7617722722564</v>
      </c>
      <c r="AO361" s="125">
        <f t="shared" ca="1" si="374"/>
        <v>0</v>
      </c>
      <c r="AP361" s="123">
        <f t="shared" ca="1" si="375"/>
        <v>132452.43965185393</v>
      </c>
      <c r="AQ361" s="121"/>
      <c r="AR361" s="126">
        <f ca="1">IF(LiabIntType1="Fixed",LiabFxdRate1,OFFSET(Vectors!$D$6,Vectors!A361,MATCH(LiabLoanIndex1,lstInterestRates,0))+LiabMarg1)</f>
        <v>7.9369000000000051E-2</v>
      </c>
      <c r="AS361" s="122">
        <f t="shared" ca="1" si="376"/>
        <v>0</v>
      </c>
      <c r="AT361" s="124">
        <f t="shared" ca="1" si="377"/>
        <v>0</v>
      </c>
      <c r="AU361" s="123">
        <f t="shared" ca="1" si="378"/>
        <v>0</v>
      </c>
      <c r="AV361" s="123">
        <f t="shared" ca="1" si="354"/>
        <v>0</v>
      </c>
      <c r="AW361" s="123">
        <f t="shared" ca="1" si="379"/>
        <v>0</v>
      </c>
      <c r="AX361" s="124">
        <f t="shared" ca="1" si="380"/>
        <v>132452.43965185393</v>
      </c>
      <c r="AY361" s="121"/>
      <c r="AZ361" s="122">
        <f t="shared" ca="1" si="355"/>
        <v>0</v>
      </c>
      <c r="BA361" s="124">
        <f t="shared" ca="1" si="381"/>
        <v>0</v>
      </c>
      <c r="BB361" s="123">
        <f t="shared" ca="1" si="382"/>
        <v>0</v>
      </c>
      <c r="BC361" s="123">
        <f t="shared" ca="1" si="356"/>
        <v>0</v>
      </c>
      <c r="BD361" s="123">
        <f t="shared" ca="1" si="383"/>
        <v>0</v>
      </c>
      <c r="BE361" s="124">
        <f t="shared" ca="1" si="384"/>
        <v>132452.43965185393</v>
      </c>
      <c r="BF361" s="121"/>
      <c r="BG361" s="123">
        <f t="shared" si="357"/>
        <v>1000000</v>
      </c>
      <c r="BH361" s="123">
        <f t="shared" ca="1" si="385"/>
        <v>1000000</v>
      </c>
      <c r="BI361" s="123">
        <f t="shared" ca="1" si="386"/>
        <v>0</v>
      </c>
      <c r="BJ361" s="123">
        <f t="shared" ca="1" si="387"/>
        <v>0</v>
      </c>
      <c r="BK361" s="123">
        <f t="shared" ca="1" si="344"/>
        <v>1000000</v>
      </c>
      <c r="BL361" s="123">
        <f t="shared" ca="1" si="388"/>
        <v>132452.43965185393</v>
      </c>
      <c r="BM361" s="121"/>
      <c r="BN361" s="126">
        <f ca="1">IF(LiabIntType2="Fixed",LiabFxdRate2,OFFSET(Vectors!$D$6,Vectors!A361,MATCH(LiabLoanIndex2,lstInterestRates,0))+LiabMarg2)</f>
        <v>0.04</v>
      </c>
      <c r="BO361" s="122">
        <f t="shared" ca="1" si="389"/>
        <v>20834.452588160992</v>
      </c>
      <c r="BP361" s="124">
        <f t="shared" ca="1" si="390"/>
        <v>20834.452588160992</v>
      </c>
      <c r="BQ361" s="123">
        <f t="shared" ca="1" si="391"/>
        <v>0</v>
      </c>
      <c r="BR361" s="123">
        <f t="shared" ca="1" si="392"/>
        <v>111617.98706369294</v>
      </c>
      <c r="BS361" s="121"/>
      <c r="BT361" s="123">
        <f t="shared" ca="1" si="358"/>
        <v>13299.387418876015</v>
      </c>
      <c r="BU361" s="123">
        <f t="shared" ca="1" si="393"/>
        <v>13299.387418876015</v>
      </c>
      <c r="BV361" s="123">
        <f t="shared" ca="1" si="394"/>
        <v>0</v>
      </c>
      <c r="BW361" s="123">
        <f t="shared" ca="1" si="395"/>
        <v>98318.599644816932</v>
      </c>
      <c r="BX361" s="121"/>
      <c r="BY361" s="123">
        <f t="shared" si="396"/>
        <v>0</v>
      </c>
      <c r="BZ361" s="123">
        <f t="shared" ca="1" si="397"/>
        <v>98318.599644816932</v>
      </c>
      <c r="CA361" s="121"/>
      <c r="CB361" s="122">
        <f t="shared" ca="1" si="345"/>
        <v>0</v>
      </c>
      <c r="CC361" s="122">
        <f t="shared" ca="1" si="398"/>
        <v>0</v>
      </c>
      <c r="CD361" s="124">
        <f t="shared" ca="1" si="399"/>
        <v>0</v>
      </c>
      <c r="CE361" s="121"/>
      <c r="CF361" s="122">
        <f t="shared" ca="1" si="346"/>
        <v>6237036.3890294218</v>
      </c>
      <c r="CG361" s="124">
        <f t="shared" ca="1" si="400"/>
        <v>20834.452588160992</v>
      </c>
      <c r="CH361" s="123">
        <f t="shared" ca="1" si="401"/>
        <v>13299.387418876015</v>
      </c>
      <c r="CI361" s="121"/>
      <c r="CJ361" s="123">
        <f t="shared" ca="1" si="402"/>
        <v>133717.20142412619</v>
      </c>
      <c r="CK361" s="123">
        <f t="shared" ca="1" si="403"/>
        <v>133717.20142412619</v>
      </c>
      <c r="CL361" s="123">
        <f t="shared" ca="1" si="404"/>
        <v>0</v>
      </c>
      <c r="CM361" s="121"/>
      <c r="CN361" s="62">
        <f t="shared" ca="1" si="405"/>
        <v>129713.27344890102</v>
      </c>
      <c r="CO361" s="62" t="b">
        <f t="shared" si="406"/>
        <v>1</v>
      </c>
      <c r="CP361" s="126">
        <f t="shared" ca="1" si="407"/>
        <v>9.8611111111110671E-3</v>
      </c>
      <c r="CQ361" s="120"/>
      <c r="CR361" s="120"/>
      <c r="CS361" s="120"/>
      <c r="CT361" s="120"/>
      <c r="CU361" s="120"/>
      <c r="CV361" s="120"/>
      <c r="CW361" s="120"/>
      <c r="CX361" s="120"/>
      <c r="CY361" s="120"/>
      <c r="CZ361" s="120"/>
      <c r="DA361" s="120"/>
      <c r="DB361" s="120"/>
      <c r="DC361" s="120"/>
      <c r="DD361" s="120"/>
      <c r="DE361" s="116"/>
      <c r="DF361" s="116"/>
      <c r="DG361" s="116"/>
      <c r="DH361" s="116"/>
      <c r="DI361" s="116"/>
      <c r="DJ361" s="116"/>
      <c r="DK361" s="116"/>
      <c r="DL361" s="116"/>
      <c r="DM361" s="116"/>
      <c r="DN361" s="116"/>
    </row>
    <row r="362" spans="1:118" x14ac:dyDescent="0.2">
      <c r="A362" s="27">
        <v>356</v>
      </c>
      <c r="B362" s="29">
        <f t="shared" si="340"/>
        <v>49949</v>
      </c>
      <c r="C362" s="30">
        <f t="shared" si="341"/>
        <v>8.3333333333333329E-2</v>
      </c>
      <c r="D362" s="55"/>
      <c r="E362" s="62">
        <f t="shared" ca="1" si="359"/>
        <v>3934153.696400797</v>
      </c>
      <c r="F362" s="63">
        <f ca="1">IF(AssetIntType1="Fixed",AssetFxdRate1,IF(A362=1,OFFSET(Vectors!$D$6,A362,MATCH(AssetFltIndx1,lstInterestRates,0)),IF(MOD($A362,AssetRateReset1)=0,MAX(MIN(OFFSET(Vectors!$D$6,A362,MATCH(AssetFltIndx1,lstInterestRates,0)),(F361-AssetMarg1)+AssetPdCapFl1,AssetLifeCap1-AssetMarg1),(F361-AssetMarg1)-AssetPdCapFl1,AssetLifeFloor1-AssetMarg1),F361)))+AssetMarg1</f>
        <v>0.09</v>
      </c>
      <c r="G362" s="62">
        <f t="shared" ca="1" si="347"/>
        <v>804622.61694478267</v>
      </c>
      <c r="H362" s="62">
        <f t="shared" ca="1" si="360"/>
        <v>29506.152723005976</v>
      </c>
      <c r="I362" s="62">
        <f t="shared" ca="1" si="361"/>
        <v>775116.4642217767</v>
      </c>
      <c r="J362" s="62">
        <f t="shared" ca="1" si="342"/>
        <v>3159037.2321790205</v>
      </c>
      <c r="K362" s="55"/>
      <c r="L362" s="62">
        <f t="shared" ca="1" si="362"/>
        <v>629143.78991445282</v>
      </c>
      <c r="M362" s="68">
        <f ca="1">IF(pdrLossTime1="",OFFSET(Vectors!$AE$6,A362+_Age1,MATCH(SDA_Loss,lstSDA,0)),OFFSET(Vectors!$X$6,A362+_Age1,MATCH(pdrLossTime1,lstDefaultCurve,0)))</f>
        <v>2.7777777777777779E-5</v>
      </c>
      <c r="N362" s="62">
        <f t="shared" ca="1" si="348"/>
        <v>2777.7777777777778</v>
      </c>
      <c r="O362" s="67">
        <f t="shared" ca="1" si="363"/>
        <v>3.1590372321790204E-2</v>
      </c>
      <c r="P362" s="68">
        <f ca="1">OFFSET(Vectors!$L$6,A362+_Age1,MATCH(pdrPrepay1,lstPrepayCurve,0))*pdrPrepayStress1</f>
        <v>5.1430128318229462E-3</v>
      </c>
      <c r="Q362" s="62">
        <f t="shared" ca="1" si="364"/>
        <v>2598.190221708111</v>
      </c>
      <c r="R362" s="62">
        <f t="shared" ca="1" si="365"/>
        <v>123408.14469964527</v>
      </c>
      <c r="S362" s="69">
        <f t="shared" ca="1" si="366"/>
        <v>0.09</v>
      </c>
      <c r="T362" s="62">
        <f t="shared" ca="1" si="367"/>
        <v>4697.7450910250627</v>
      </c>
      <c r="U362" s="62">
        <f t="shared" ca="1" si="349"/>
        <v>1111.1111111111111</v>
      </c>
      <c r="V362" s="62">
        <f t="shared" ca="1" si="343"/>
        <v>500359.67721532163</v>
      </c>
      <c r="W362" s="55"/>
      <c r="X362" s="62">
        <f t="shared" ca="1" si="368"/>
        <v>131815.19112348955</v>
      </c>
      <c r="Y362" s="55"/>
      <c r="Z362" s="118" t="b">
        <v>0</v>
      </c>
      <c r="AA362" s="120" t="b">
        <f t="shared" si="350"/>
        <v>0</v>
      </c>
      <c r="AB362" s="120" t="b">
        <f t="shared" si="351"/>
        <v>1</v>
      </c>
      <c r="AC362" s="120" t="b">
        <f t="shared" ca="1" si="352"/>
        <v>0</v>
      </c>
      <c r="AD362" s="121"/>
      <c r="AE362" s="129">
        <v>0</v>
      </c>
      <c r="AF362" s="69">
        <f ca="1">IF(Swap_Active="No",0,OFFSET(Vectors!$D$6,Vectors!A362,MATCH(Swap_In,lstInterestRates,0)))</f>
        <v>6.9369000000000056E-2</v>
      </c>
      <c r="AG362" s="62">
        <f t="shared" ca="1" si="369"/>
        <v>0</v>
      </c>
      <c r="AH362" s="69">
        <f ca="1">IF(Swap_Active="No",0,OFFSET(Vectors!$D$6,Vectors!A362,MATCH(Swap_Out,lstInterestRates,0)))</f>
        <v>0.04</v>
      </c>
      <c r="AI362" s="62">
        <f t="shared" ca="1" si="370"/>
        <v>0</v>
      </c>
      <c r="AJ362" s="62">
        <f t="shared" ca="1" si="371"/>
        <v>0</v>
      </c>
      <c r="AK362" s="62">
        <f t="shared" ca="1" si="372"/>
        <v>131815.19112348955</v>
      </c>
      <c r="AL362" s="121"/>
      <c r="AM362" s="123">
        <f t="shared" ca="1" si="353"/>
        <v>1048.5729831907547</v>
      </c>
      <c r="AN362" s="124">
        <f t="shared" ca="1" si="373"/>
        <v>1048.5729831907547</v>
      </c>
      <c r="AO362" s="125">
        <f t="shared" ca="1" si="374"/>
        <v>0</v>
      </c>
      <c r="AP362" s="123">
        <f t="shared" ca="1" si="375"/>
        <v>130766.6181402988</v>
      </c>
      <c r="AQ362" s="121"/>
      <c r="AR362" s="126">
        <f ca="1">IF(LiabIntType1="Fixed",LiabFxdRate1,OFFSET(Vectors!$D$6,Vectors!A362,MATCH(LiabLoanIndex1,lstInterestRates,0))+LiabMarg1)</f>
        <v>7.9369000000000051E-2</v>
      </c>
      <c r="AS362" s="122">
        <f t="shared" ca="1" si="376"/>
        <v>0</v>
      </c>
      <c r="AT362" s="124">
        <f t="shared" ca="1" si="377"/>
        <v>0</v>
      </c>
      <c r="AU362" s="123">
        <f t="shared" ca="1" si="378"/>
        <v>0</v>
      </c>
      <c r="AV362" s="123">
        <f t="shared" ca="1" si="354"/>
        <v>0</v>
      </c>
      <c r="AW362" s="123">
        <f t="shared" ca="1" si="379"/>
        <v>0</v>
      </c>
      <c r="AX362" s="124">
        <f t="shared" ca="1" si="380"/>
        <v>130766.6181402988</v>
      </c>
      <c r="AY362" s="121"/>
      <c r="AZ362" s="122">
        <f t="shared" ca="1" si="355"/>
        <v>0</v>
      </c>
      <c r="BA362" s="124">
        <f t="shared" ca="1" si="381"/>
        <v>0</v>
      </c>
      <c r="BB362" s="123">
        <f t="shared" ca="1" si="382"/>
        <v>0</v>
      </c>
      <c r="BC362" s="123">
        <f t="shared" ca="1" si="356"/>
        <v>0</v>
      </c>
      <c r="BD362" s="123">
        <f t="shared" ca="1" si="383"/>
        <v>0</v>
      </c>
      <c r="BE362" s="124">
        <f t="shared" ca="1" si="384"/>
        <v>130766.6181402988</v>
      </c>
      <c r="BF362" s="121"/>
      <c r="BG362" s="123">
        <f t="shared" si="357"/>
        <v>1000000</v>
      </c>
      <c r="BH362" s="123">
        <f t="shared" ca="1" si="385"/>
        <v>1000000</v>
      </c>
      <c r="BI362" s="123">
        <f t="shared" ca="1" si="386"/>
        <v>0</v>
      </c>
      <c r="BJ362" s="123">
        <f t="shared" ca="1" si="387"/>
        <v>0</v>
      </c>
      <c r="BK362" s="123">
        <f t="shared" ca="1" si="344"/>
        <v>1000000</v>
      </c>
      <c r="BL362" s="123">
        <f t="shared" ca="1" si="388"/>
        <v>130766.6181402988</v>
      </c>
      <c r="BM362" s="121"/>
      <c r="BN362" s="126">
        <f ca="1">IF(LiabIntType2="Fixed",LiabFxdRate2,OFFSET(Vectors!$D$6,Vectors!A362,MATCH(LiabLoanIndex2,lstInterestRates,0))+LiabMarg2)</f>
        <v>0.04</v>
      </c>
      <c r="BO362" s="122">
        <f t="shared" ca="1" si="389"/>
        <v>20790.121296764737</v>
      </c>
      <c r="BP362" s="124">
        <f t="shared" ca="1" si="390"/>
        <v>20790.121296764737</v>
      </c>
      <c r="BQ362" s="123">
        <f t="shared" ca="1" si="391"/>
        <v>0</v>
      </c>
      <c r="BR362" s="123">
        <f t="shared" ca="1" si="392"/>
        <v>109976.49684353406</v>
      </c>
      <c r="BS362" s="121"/>
      <c r="BT362" s="123">
        <f t="shared" ca="1" si="358"/>
        <v>13204.12138744346</v>
      </c>
      <c r="BU362" s="123">
        <f t="shared" ca="1" si="393"/>
        <v>13204.12138744346</v>
      </c>
      <c r="BV362" s="123">
        <f t="shared" ca="1" si="394"/>
        <v>0</v>
      </c>
      <c r="BW362" s="123">
        <f t="shared" ca="1" si="395"/>
        <v>96772.375456090595</v>
      </c>
      <c r="BX362" s="121"/>
      <c r="BY362" s="123">
        <f t="shared" si="396"/>
        <v>0</v>
      </c>
      <c r="BZ362" s="123">
        <f t="shared" ca="1" si="397"/>
        <v>96772.375456090595</v>
      </c>
      <c r="CA362" s="121"/>
      <c r="CB362" s="122">
        <f t="shared" ca="1" si="345"/>
        <v>0</v>
      </c>
      <c r="CC362" s="122">
        <f t="shared" ca="1" si="398"/>
        <v>0</v>
      </c>
      <c r="CD362" s="124">
        <f t="shared" ca="1" si="399"/>
        <v>0</v>
      </c>
      <c r="CE362" s="121"/>
      <c r="CF362" s="122">
        <f t="shared" ca="1" si="346"/>
        <v>6223832.2676419783</v>
      </c>
      <c r="CG362" s="124">
        <f t="shared" ca="1" si="400"/>
        <v>20790.121296764737</v>
      </c>
      <c r="CH362" s="123">
        <f t="shared" ca="1" si="401"/>
        <v>13204.12138744346</v>
      </c>
      <c r="CI362" s="121"/>
      <c r="CJ362" s="123">
        <f t="shared" ca="1" si="402"/>
        <v>131815.19112348955</v>
      </c>
      <c r="CK362" s="123">
        <f t="shared" ca="1" si="403"/>
        <v>131815.19112348955</v>
      </c>
      <c r="CL362" s="123">
        <f t="shared" ca="1" si="404"/>
        <v>0</v>
      </c>
      <c r="CM362" s="121"/>
      <c r="CN362" s="62">
        <f t="shared" ca="1" si="405"/>
        <v>128784.11269913116</v>
      </c>
      <c r="CO362" s="62" t="b">
        <f t="shared" si="406"/>
        <v>1</v>
      </c>
      <c r="CP362" s="126">
        <f t="shared" ca="1" si="407"/>
        <v>9.8888888888888447E-3</v>
      </c>
      <c r="CQ362" s="120"/>
      <c r="CR362" s="120"/>
      <c r="CS362" s="120"/>
      <c r="CT362" s="120"/>
      <c r="CU362" s="120"/>
      <c r="CV362" s="120"/>
      <c r="CW362" s="120"/>
      <c r="CX362" s="120"/>
      <c r="CY362" s="120"/>
      <c r="CZ362" s="120"/>
      <c r="DA362" s="120"/>
      <c r="DB362" s="120"/>
      <c r="DC362" s="120"/>
      <c r="DD362" s="120"/>
      <c r="DE362" s="116"/>
      <c r="DF362" s="116"/>
      <c r="DG362" s="116"/>
      <c r="DH362" s="116"/>
      <c r="DI362" s="116"/>
      <c r="DJ362" s="116"/>
      <c r="DK362" s="116"/>
      <c r="DL362" s="116"/>
      <c r="DM362" s="116"/>
      <c r="DN362" s="116"/>
    </row>
    <row r="363" spans="1:118" x14ac:dyDescent="0.2">
      <c r="A363" s="27">
        <v>357</v>
      </c>
      <c r="B363" s="29">
        <f t="shared" si="340"/>
        <v>49980</v>
      </c>
      <c r="C363" s="30">
        <f t="shared" si="341"/>
        <v>8.3333333333333329E-2</v>
      </c>
      <c r="D363" s="55"/>
      <c r="E363" s="62">
        <f t="shared" ca="1" si="359"/>
        <v>3159037.2321790205</v>
      </c>
      <c r="F363" s="63">
        <f ca="1">IF(AssetIntType1="Fixed",AssetFxdRate1,IF(A363=1,OFFSET(Vectors!$D$6,A363,MATCH(AssetFltIndx1,lstInterestRates,0)),IF(MOD($A363,AssetRateReset1)=0,MAX(MIN(OFFSET(Vectors!$D$6,A363,MATCH(AssetFltIndx1,lstInterestRates,0)),(F362-AssetMarg1)+AssetPdCapFl1,AssetLifeCap1-AssetMarg1),(F362-AssetMarg1)-AssetPdCapFl1,AssetLifeFloor1-AssetMarg1),F362)))+AssetMarg1</f>
        <v>0.09</v>
      </c>
      <c r="G363" s="62">
        <f t="shared" ca="1" si="347"/>
        <v>804622.61694478267</v>
      </c>
      <c r="H363" s="62">
        <f t="shared" ca="1" si="360"/>
        <v>23692.779241342654</v>
      </c>
      <c r="I363" s="62">
        <f t="shared" ca="1" si="361"/>
        <v>780929.83770343999</v>
      </c>
      <c r="J363" s="62">
        <f t="shared" ca="1" si="342"/>
        <v>2378107.3944755807</v>
      </c>
      <c r="K363" s="55"/>
      <c r="L363" s="62">
        <f t="shared" ca="1" si="362"/>
        <v>500359.67721532163</v>
      </c>
      <c r="M363" s="68">
        <f ca="1">IF(pdrLossTime1="",OFFSET(Vectors!$AE$6,A363+_Age1,MATCH(SDA_Loss,lstSDA,0)),OFFSET(Vectors!$X$6,A363+_Age1,MATCH(pdrLossTime1,lstDefaultCurve,0)))</f>
        <v>2.7777777777777779E-5</v>
      </c>
      <c r="N363" s="62">
        <f t="shared" ca="1" si="348"/>
        <v>2777.7777777777778</v>
      </c>
      <c r="O363" s="67">
        <f t="shared" ca="1" si="363"/>
        <v>2.3781073944755808E-2</v>
      </c>
      <c r="P363" s="68">
        <f ca="1">OFFSET(Vectors!$L$6,A363+_Age1,MATCH(pdrPrepay1,lstPrepayCurve,0))*pdrPrepayStress1</f>
        <v>5.1430128318229462E-3</v>
      </c>
      <c r="Q363" s="62">
        <f t="shared" ca="1" si="364"/>
        <v>1937.2096794824286</v>
      </c>
      <c r="R363" s="62">
        <f t="shared" ca="1" si="365"/>
        <v>123004.73954968253</v>
      </c>
      <c r="S363" s="69">
        <f t="shared" ca="1" si="366"/>
        <v>0.09</v>
      </c>
      <c r="T363" s="62">
        <f t="shared" ca="1" si="367"/>
        <v>3731.864245781579</v>
      </c>
      <c r="U363" s="62">
        <f t="shared" ca="1" si="349"/>
        <v>1111.1111111111111</v>
      </c>
      <c r="V363" s="62">
        <f t="shared" ca="1" si="343"/>
        <v>372639.9502083789</v>
      </c>
      <c r="W363" s="55"/>
      <c r="X363" s="62">
        <f t="shared" ca="1" si="368"/>
        <v>129784.92458605765</v>
      </c>
      <c r="Y363" s="55"/>
      <c r="Z363" s="118" t="b">
        <v>0</v>
      </c>
      <c r="AA363" s="120" t="b">
        <f t="shared" si="350"/>
        <v>0</v>
      </c>
      <c r="AB363" s="120" t="b">
        <f t="shared" si="351"/>
        <v>1</v>
      </c>
      <c r="AC363" s="120" t="b">
        <f t="shared" ca="1" si="352"/>
        <v>0</v>
      </c>
      <c r="AD363" s="121"/>
      <c r="AE363" s="129">
        <v>0</v>
      </c>
      <c r="AF363" s="69">
        <f ca="1">IF(Swap_Active="No",0,OFFSET(Vectors!$D$6,Vectors!A363,MATCH(Swap_In,lstInterestRates,0)))</f>
        <v>6.9369000000000056E-2</v>
      </c>
      <c r="AG363" s="62">
        <f t="shared" ca="1" si="369"/>
        <v>0</v>
      </c>
      <c r="AH363" s="69">
        <f ca="1">IF(Swap_Active="No",0,OFFSET(Vectors!$D$6,Vectors!A363,MATCH(Swap_Out,lstInterestRates,0)))</f>
        <v>0.04</v>
      </c>
      <c r="AI363" s="62">
        <f t="shared" ca="1" si="370"/>
        <v>0</v>
      </c>
      <c r="AJ363" s="62">
        <f t="shared" ca="1" si="371"/>
        <v>0</v>
      </c>
      <c r="AK363" s="62">
        <f t="shared" ca="1" si="372"/>
        <v>129784.92458605765</v>
      </c>
      <c r="AL363" s="121"/>
      <c r="AM363" s="123">
        <f t="shared" ca="1" si="353"/>
        <v>833.93279535886938</v>
      </c>
      <c r="AN363" s="124">
        <f t="shared" ca="1" si="373"/>
        <v>833.93279535886938</v>
      </c>
      <c r="AO363" s="125">
        <f t="shared" ca="1" si="374"/>
        <v>0</v>
      </c>
      <c r="AP363" s="123">
        <f t="shared" ca="1" si="375"/>
        <v>128950.99179069878</v>
      </c>
      <c r="AQ363" s="121"/>
      <c r="AR363" s="126">
        <f ca="1">IF(LiabIntType1="Fixed",LiabFxdRate1,OFFSET(Vectors!$D$6,Vectors!A363,MATCH(LiabLoanIndex1,lstInterestRates,0))+LiabMarg1)</f>
        <v>7.9369000000000051E-2</v>
      </c>
      <c r="AS363" s="122">
        <f t="shared" ca="1" si="376"/>
        <v>0</v>
      </c>
      <c r="AT363" s="124">
        <f t="shared" ca="1" si="377"/>
        <v>0</v>
      </c>
      <c r="AU363" s="123">
        <f t="shared" ca="1" si="378"/>
        <v>0</v>
      </c>
      <c r="AV363" s="123">
        <f t="shared" ca="1" si="354"/>
        <v>0</v>
      </c>
      <c r="AW363" s="123">
        <f t="shared" ca="1" si="379"/>
        <v>0</v>
      </c>
      <c r="AX363" s="124">
        <f t="shared" ca="1" si="380"/>
        <v>128950.99179069878</v>
      </c>
      <c r="AY363" s="121"/>
      <c r="AZ363" s="122">
        <f t="shared" ca="1" si="355"/>
        <v>0</v>
      </c>
      <c r="BA363" s="124">
        <f t="shared" ca="1" si="381"/>
        <v>0</v>
      </c>
      <c r="BB363" s="123">
        <f t="shared" ca="1" si="382"/>
        <v>0</v>
      </c>
      <c r="BC363" s="123">
        <f t="shared" ca="1" si="356"/>
        <v>0</v>
      </c>
      <c r="BD363" s="123">
        <f t="shared" ca="1" si="383"/>
        <v>0</v>
      </c>
      <c r="BE363" s="124">
        <f t="shared" ca="1" si="384"/>
        <v>128950.99179069878</v>
      </c>
      <c r="BF363" s="121"/>
      <c r="BG363" s="123">
        <f t="shared" si="357"/>
        <v>1000000</v>
      </c>
      <c r="BH363" s="123">
        <f t="shared" ca="1" si="385"/>
        <v>1000000</v>
      </c>
      <c r="BI363" s="123">
        <f t="shared" ca="1" si="386"/>
        <v>0</v>
      </c>
      <c r="BJ363" s="123">
        <f t="shared" ca="1" si="387"/>
        <v>0</v>
      </c>
      <c r="BK363" s="123">
        <f t="shared" ca="1" si="344"/>
        <v>1000000</v>
      </c>
      <c r="BL363" s="123">
        <f t="shared" ca="1" si="388"/>
        <v>128950.99179069878</v>
      </c>
      <c r="BM363" s="121"/>
      <c r="BN363" s="126">
        <f ca="1">IF(LiabIntType2="Fixed",LiabFxdRate2,OFFSET(Vectors!$D$6,Vectors!A363,MATCH(LiabLoanIndex2,lstInterestRates,0))+LiabMarg2)</f>
        <v>0.04</v>
      </c>
      <c r="BO363" s="122">
        <f t="shared" ca="1" si="389"/>
        <v>20746.107558806594</v>
      </c>
      <c r="BP363" s="124">
        <f t="shared" ca="1" si="390"/>
        <v>20746.107558806594</v>
      </c>
      <c r="BQ363" s="123">
        <f t="shared" ca="1" si="391"/>
        <v>0</v>
      </c>
      <c r="BR363" s="123">
        <f t="shared" ca="1" si="392"/>
        <v>108204.88423189218</v>
      </c>
      <c r="BS363" s="121"/>
      <c r="BT363" s="123">
        <f t="shared" ca="1" si="358"/>
        <v>13094.990862038141</v>
      </c>
      <c r="BU363" s="123">
        <f t="shared" ca="1" si="393"/>
        <v>13094.990862038141</v>
      </c>
      <c r="BV363" s="123">
        <f t="shared" ca="1" si="394"/>
        <v>0</v>
      </c>
      <c r="BW363" s="123">
        <f t="shared" ca="1" si="395"/>
        <v>95109.893369854035</v>
      </c>
      <c r="BX363" s="121"/>
      <c r="BY363" s="123">
        <f t="shared" si="396"/>
        <v>0</v>
      </c>
      <c r="BZ363" s="123">
        <f t="shared" ca="1" si="397"/>
        <v>95109.893369854035</v>
      </c>
      <c r="CA363" s="121"/>
      <c r="CB363" s="122">
        <f t="shared" ca="1" si="345"/>
        <v>0</v>
      </c>
      <c r="CC363" s="122">
        <f t="shared" ca="1" si="398"/>
        <v>0</v>
      </c>
      <c r="CD363" s="124">
        <f t="shared" ca="1" si="399"/>
        <v>0</v>
      </c>
      <c r="CE363" s="121"/>
      <c r="CF363" s="122">
        <f t="shared" ca="1" si="346"/>
        <v>6210737.2767799404</v>
      </c>
      <c r="CG363" s="124">
        <f t="shared" ca="1" si="400"/>
        <v>20746.107558806594</v>
      </c>
      <c r="CH363" s="123">
        <f t="shared" ca="1" si="401"/>
        <v>13094.990862038141</v>
      </c>
      <c r="CI363" s="121"/>
      <c r="CJ363" s="123">
        <f t="shared" ca="1" si="402"/>
        <v>129784.92458605765</v>
      </c>
      <c r="CK363" s="123">
        <f t="shared" ca="1" si="403"/>
        <v>129784.92458605763</v>
      </c>
      <c r="CL363" s="123">
        <f t="shared" ca="1" si="404"/>
        <v>0</v>
      </c>
      <c r="CM363" s="121"/>
      <c r="CN363" s="62">
        <f t="shared" ca="1" si="405"/>
        <v>127719.72700694275</v>
      </c>
      <c r="CO363" s="62" t="b">
        <f t="shared" si="406"/>
        <v>1</v>
      </c>
      <c r="CP363" s="126">
        <f t="shared" ca="1" si="407"/>
        <v>9.9166666666666223E-3</v>
      </c>
      <c r="CQ363" s="120"/>
      <c r="CR363" s="120"/>
      <c r="CS363" s="120"/>
      <c r="CT363" s="120"/>
      <c r="CU363" s="120"/>
      <c r="CV363" s="120"/>
      <c r="CW363" s="120"/>
      <c r="CX363" s="120"/>
      <c r="CY363" s="120"/>
      <c r="CZ363" s="120"/>
      <c r="DA363" s="120"/>
      <c r="DB363" s="120"/>
      <c r="DC363" s="120"/>
      <c r="DD363" s="120"/>
      <c r="DE363" s="116"/>
      <c r="DF363" s="116"/>
      <c r="DG363" s="116"/>
      <c r="DH363" s="116"/>
      <c r="DI363" s="116"/>
      <c r="DJ363" s="116"/>
      <c r="DK363" s="116"/>
      <c r="DL363" s="116"/>
      <c r="DM363" s="116"/>
      <c r="DN363" s="116"/>
    </row>
    <row r="364" spans="1:118" x14ac:dyDescent="0.2">
      <c r="A364" s="27">
        <v>358</v>
      </c>
      <c r="B364" s="29">
        <f t="shared" si="340"/>
        <v>50010</v>
      </c>
      <c r="C364" s="30">
        <f t="shared" si="341"/>
        <v>8.3333333333333329E-2</v>
      </c>
      <c r="D364" s="55"/>
      <c r="E364" s="62">
        <f t="shared" ca="1" si="359"/>
        <v>2378107.3944755807</v>
      </c>
      <c r="F364" s="63">
        <f ca="1">IF(AssetIntType1="Fixed",AssetFxdRate1,IF(A364=1,OFFSET(Vectors!$D$6,A364,MATCH(AssetFltIndx1,lstInterestRates,0)),IF(MOD($A364,AssetRateReset1)=0,MAX(MIN(OFFSET(Vectors!$D$6,A364,MATCH(AssetFltIndx1,lstInterestRates,0)),(F363-AssetMarg1)+AssetPdCapFl1,AssetLifeCap1-AssetMarg1),(F363-AssetMarg1)-AssetPdCapFl1,AssetLifeFloor1-AssetMarg1),F363)))+AssetMarg1</f>
        <v>0.09</v>
      </c>
      <c r="G364" s="62">
        <f t="shared" ca="1" si="347"/>
        <v>804622.61694478267</v>
      </c>
      <c r="H364" s="62">
        <f t="shared" ca="1" si="360"/>
        <v>17835.805458566854</v>
      </c>
      <c r="I364" s="62">
        <f t="shared" ca="1" si="361"/>
        <v>786786.8114862158</v>
      </c>
      <c r="J364" s="62">
        <f t="shared" ca="1" si="342"/>
        <v>1591320.5829893649</v>
      </c>
      <c r="K364" s="55"/>
      <c r="L364" s="62">
        <f t="shared" ca="1" si="362"/>
        <v>372639.9502083789</v>
      </c>
      <c r="M364" s="68">
        <f ca="1">IF(pdrLossTime1="",OFFSET(Vectors!$AE$6,A364+_Age1,MATCH(SDA_Loss,lstSDA,0)),OFFSET(Vectors!$X$6,A364+_Age1,MATCH(pdrLossTime1,lstDefaultCurve,0)))</f>
        <v>2.7777777777777779E-5</v>
      </c>
      <c r="N364" s="62">
        <f t="shared" ca="1" si="348"/>
        <v>2777.7777777777778</v>
      </c>
      <c r="O364" s="67">
        <f t="shared" ca="1" si="363"/>
        <v>1.591320582989365E-2</v>
      </c>
      <c r="P364" s="68">
        <f ca="1">OFFSET(Vectors!$L$6,A364+_Age1,MATCH(pdrPrepay1,lstPrepayCurve,0))*pdrPrepayStress1</f>
        <v>5.1430128318229462E-3</v>
      </c>
      <c r="Q364" s="62">
        <f t="shared" ca="1" si="364"/>
        <v>1282.4287272888027</v>
      </c>
      <c r="R364" s="62">
        <f t="shared" ca="1" si="365"/>
        <v>122367.34136231449</v>
      </c>
      <c r="S364" s="69">
        <f t="shared" ca="1" si="366"/>
        <v>0.09</v>
      </c>
      <c r="T364" s="62">
        <f t="shared" ca="1" si="367"/>
        <v>2773.9662932295087</v>
      </c>
      <c r="U364" s="62">
        <f t="shared" ca="1" si="349"/>
        <v>1111.1111111111111</v>
      </c>
      <c r="V364" s="62">
        <f t="shared" ca="1" si="343"/>
        <v>246212.40234099788</v>
      </c>
      <c r="W364" s="55"/>
      <c r="X364" s="62">
        <f t="shared" ca="1" si="368"/>
        <v>127534.8474939439</v>
      </c>
      <c r="Y364" s="55"/>
      <c r="Z364" s="118" t="b">
        <v>0</v>
      </c>
      <c r="AA364" s="120" t="b">
        <f t="shared" si="350"/>
        <v>0</v>
      </c>
      <c r="AB364" s="120" t="b">
        <f t="shared" si="351"/>
        <v>1</v>
      </c>
      <c r="AC364" s="120" t="b">
        <f t="shared" ca="1" si="352"/>
        <v>0</v>
      </c>
      <c r="AD364" s="121"/>
      <c r="AE364" s="129">
        <v>0</v>
      </c>
      <c r="AF364" s="69">
        <f ca="1">IF(Swap_Active="No",0,OFFSET(Vectors!$D$6,Vectors!A364,MATCH(Swap_In,lstInterestRates,0)))</f>
        <v>6.9369000000000056E-2</v>
      </c>
      <c r="AG364" s="62">
        <f t="shared" ca="1" si="369"/>
        <v>0</v>
      </c>
      <c r="AH364" s="69">
        <f ca="1">IF(Swap_Active="No",0,OFFSET(Vectors!$D$6,Vectors!A364,MATCH(Swap_Out,lstInterestRates,0)))</f>
        <v>0.04</v>
      </c>
      <c r="AI364" s="62">
        <f t="shared" ca="1" si="370"/>
        <v>0</v>
      </c>
      <c r="AJ364" s="62">
        <f t="shared" ca="1" si="371"/>
        <v>0</v>
      </c>
      <c r="AK364" s="62">
        <f t="shared" ca="1" si="372"/>
        <v>127534.8474939439</v>
      </c>
      <c r="AL364" s="121"/>
      <c r="AM364" s="123">
        <f t="shared" ca="1" si="353"/>
        <v>621.06658368063142</v>
      </c>
      <c r="AN364" s="124">
        <f t="shared" ca="1" si="373"/>
        <v>621.06658368063142</v>
      </c>
      <c r="AO364" s="125">
        <f t="shared" ca="1" si="374"/>
        <v>0</v>
      </c>
      <c r="AP364" s="123">
        <f t="shared" ca="1" si="375"/>
        <v>126913.78091026327</v>
      </c>
      <c r="AQ364" s="121"/>
      <c r="AR364" s="126">
        <f ca="1">IF(LiabIntType1="Fixed",LiabFxdRate1,OFFSET(Vectors!$D$6,Vectors!A364,MATCH(LiabLoanIndex1,lstInterestRates,0))+LiabMarg1)</f>
        <v>7.9369000000000051E-2</v>
      </c>
      <c r="AS364" s="122">
        <f t="shared" ca="1" si="376"/>
        <v>0</v>
      </c>
      <c r="AT364" s="124">
        <f t="shared" ca="1" si="377"/>
        <v>0</v>
      </c>
      <c r="AU364" s="123">
        <f t="shared" ca="1" si="378"/>
        <v>0</v>
      </c>
      <c r="AV364" s="123">
        <f t="shared" ca="1" si="354"/>
        <v>0</v>
      </c>
      <c r="AW364" s="123">
        <f t="shared" ca="1" si="379"/>
        <v>0</v>
      </c>
      <c r="AX364" s="124">
        <f t="shared" ca="1" si="380"/>
        <v>126913.78091026327</v>
      </c>
      <c r="AY364" s="121"/>
      <c r="AZ364" s="122">
        <f t="shared" ca="1" si="355"/>
        <v>0</v>
      </c>
      <c r="BA364" s="124">
        <f t="shared" ca="1" si="381"/>
        <v>0</v>
      </c>
      <c r="BB364" s="123">
        <f t="shared" ca="1" si="382"/>
        <v>0</v>
      </c>
      <c r="BC364" s="123">
        <f t="shared" ca="1" si="356"/>
        <v>0</v>
      </c>
      <c r="BD364" s="123">
        <f t="shared" ca="1" si="383"/>
        <v>0</v>
      </c>
      <c r="BE364" s="124">
        <f t="shared" ca="1" si="384"/>
        <v>126913.78091026327</v>
      </c>
      <c r="BF364" s="121"/>
      <c r="BG364" s="123">
        <f t="shared" si="357"/>
        <v>1000000</v>
      </c>
      <c r="BH364" s="123">
        <f t="shared" ca="1" si="385"/>
        <v>1000000</v>
      </c>
      <c r="BI364" s="123">
        <f t="shared" ca="1" si="386"/>
        <v>0</v>
      </c>
      <c r="BJ364" s="123">
        <f t="shared" ca="1" si="387"/>
        <v>0</v>
      </c>
      <c r="BK364" s="123">
        <f t="shared" ca="1" si="344"/>
        <v>1000000</v>
      </c>
      <c r="BL364" s="123">
        <f t="shared" ca="1" si="388"/>
        <v>126913.78091026327</v>
      </c>
      <c r="BM364" s="121"/>
      <c r="BN364" s="126">
        <f ca="1">IF(LiabIntType2="Fixed",LiabFxdRate2,OFFSET(Vectors!$D$6,Vectors!A364,MATCH(LiabLoanIndex2,lstInterestRates,0))+LiabMarg2)</f>
        <v>0.04</v>
      </c>
      <c r="BO364" s="122">
        <f t="shared" ca="1" si="389"/>
        <v>20702.457589266465</v>
      </c>
      <c r="BP364" s="124">
        <f t="shared" ca="1" si="390"/>
        <v>20702.457589266465</v>
      </c>
      <c r="BQ364" s="123">
        <f t="shared" ca="1" si="391"/>
        <v>0</v>
      </c>
      <c r="BR364" s="123">
        <f t="shared" ca="1" si="392"/>
        <v>106211.3233209968</v>
      </c>
      <c r="BS364" s="121"/>
      <c r="BT364" s="123">
        <f t="shared" ca="1" si="358"/>
        <v>12962.504875564364</v>
      </c>
      <c r="BU364" s="123">
        <f t="shared" ca="1" si="393"/>
        <v>12962.504875564364</v>
      </c>
      <c r="BV364" s="123">
        <f t="shared" ca="1" si="394"/>
        <v>0</v>
      </c>
      <c r="BW364" s="123">
        <f t="shared" ca="1" si="395"/>
        <v>93248.818445432436</v>
      </c>
      <c r="BX364" s="121"/>
      <c r="BY364" s="123">
        <f t="shared" si="396"/>
        <v>0</v>
      </c>
      <c r="BZ364" s="123">
        <f t="shared" ca="1" si="397"/>
        <v>93248.818445432436</v>
      </c>
      <c r="CA364" s="121"/>
      <c r="CB364" s="122">
        <f t="shared" ca="1" si="345"/>
        <v>0</v>
      </c>
      <c r="CC364" s="122">
        <f t="shared" ca="1" si="398"/>
        <v>0</v>
      </c>
      <c r="CD364" s="124">
        <f t="shared" ca="1" si="399"/>
        <v>0</v>
      </c>
      <c r="CE364" s="121"/>
      <c r="CF364" s="122">
        <f t="shared" ca="1" si="346"/>
        <v>6197774.7719043763</v>
      </c>
      <c r="CG364" s="124">
        <f t="shared" ca="1" si="400"/>
        <v>20702.457589266465</v>
      </c>
      <c r="CH364" s="123">
        <f t="shared" ca="1" si="401"/>
        <v>12962.504875564364</v>
      </c>
      <c r="CI364" s="121"/>
      <c r="CJ364" s="123">
        <f t="shared" ca="1" si="402"/>
        <v>127534.8474939439</v>
      </c>
      <c r="CK364" s="123">
        <f t="shared" ca="1" si="403"/>
        <v>127534.8474939439</v>
      </c>
      <c r="CL364" s="123">
        <f t="shared" ca="1" si="404"/>
        <v>0</v>
      </c>
      <c r="CM364" s="121"/>
      <c r="CN364" s="62">
        <f t="shared" ca="1" si="405"/>
        <v>126427.54786738107</v>
      </c>
      <c r="CO364" s="62" t="b">
        <f t="shared" si="406"/>
        <v>1</v>
      </c>
      <c r="CP364" s="126">
        <f t="shared" ca="1" si="407"/>
        <v>9.9444444444443999E-3</v>
      </c>
      <c r="CQ364" s="120"/>
      <c r="CR364" s="120"/>
      <c r="CS364" s="120"/>
      <c r="CT364" s="120"/>
      <c r="CU364" s="120"/>
      <c r="CV364" s="120"/>
      <c r="CW364" s="120"/>
      <c r="CX364" s="120"/>
      <c r="CY364" s="120"/>
      <c r="CZ364" s="120"/>
      <c r="DA364" s="120"/>
      <c r="DB364" s="120"/>
      <c r="DC364" s="120"/>
      <c r="DD364" s="120"/>
      <c r="DE364" s="116"/>
      <c r="DF364" s="116"/>
      <c r="DG364" s="116"/>
      <c r="DH364" s="116"/>
      <c r="DI364" s="116"/>
      <c r="DJ364" s="116"/>
      <c r="DK364" s="116"/>
      <c r="DL364" s="116"/>
      <c r="DM364" s="116"/>
      <c r="DN364" s="116"/>
    </row>
    <row r="365" spans="1:118" x14ac:dyDescent="0.2">
      <c r="A365" s="27">
        <v>359</v>
      </c>
      <c r="B365" s="29">
        <f t="shared" si="340"/>
        <v>50041</v>
      </c>
      <c r="C365" s="30">
        <f t="shared" si="341"/>
        <v>8.3333333333333329E-2</v>
      </c>
      <c r="D365" s="55"/>
      <c r="E365" s="62">
        <f t="shared" ca="1" si="359"/>
        <v>1591320.5829893649</v>
      </c>
      <c r="F365" s="63">
        <f ca="1">IF(AssetIntType1="Fixed",AssetFxdRate1,IF(A365=1,OFFSET(Vectors!$D$6,A365,MATCH(AssetFltIndx1,lstInterestRates,0)),IF(MOD($A365,AssetRateReset1)=0,MAX(MIN(OFFSET(Vectors!$D$6,A365,MATCH(AssetFltIndx1,lstInterestRates,0)),(F364-AssetMarg1)+AssetPdCapFl1,AssetLifeCap1-AssetMarg1),(F364-AssetMarg1)-AssetPdCapFl1,AssetLifeFloor1-AssetMarg1),F364)))+AssetMarg1</f>
        <v>0.09</v>
      </c>
      <c r="G365" s="62">
        <f t="shared" ca="1" si="347"/>
        <v>804622.61694478267</v>
      </c>
      <c r="H365" s="62">
        <f t="shared" ca="1" si="360"/>
        <v>11934.904372420237</v>
      </c>
      <c r="I365" s="62">
        <f t="shared" ca="1" si="361"/>
        <v>792687.71257236239</v>
      </c>
      <c r="J365" s="62">
        <f t="shared" ca="1" si="342"/>
        <v>798632.87041700247</v>
      </c>
      <c r="K365" s="55"/>
      <c r="L365" s="62">
        <f t="shared" ca="1" si="362"/>
        <v>246212.40234099788</v>
      </c>
      <c r="M365" s="68">
        <f ca="1">IF(pdrLossTime1="",OFFSET(Vectors!$AE$6,A365+_Age1,MATCH(SDA_Loss,lstSDA,0)),OFFSET(Vectors!$X$6,A365+_Age1,MATCH(pdrLossTime1,lstDefaultCurve,0)))</f>
        <v>2.7777777777777779E-5</v>
      </c>
      <c r="N365" s="62">
        <f t="shared" ca="1" si="348"/>
        <v>2777.7777777777778</v>
      </c>
      <c r="O365" s="67">
        <f t="shared" ca="1" si="363"/>
        <v>7.9863287041700252E-3</v>
      </c>
      <c r="P365" s="68">
        <f ca="1">OFFSET(Vectors!$L$6,A365+_Age1,MATCH(pdrPrepay1,lstPrepayCurve,0))*pdrPrepayStress1</f>
        <v>5.1430128318229462E-3</v>
      </c>
      <c r="Q365" s="62">
        <f t="shared" ca="1" si="364"/>
        <v>635.50216497057795</v>
      </c>
      <c r="R365" s="62">
        <f t="shared" ca="1" si="365"/>
        <v>121262.57761552527</v>
      </c>
      <c r="S365" s="69">
        <f t="shared" ca="1" si="366"/>
        <v>0.09</v>
      </c>
      <c r="T365" s="62">
        <f t="shared" ca="1" si="367"/>
        <v>1825.7596842241508</v>
      </c>
      <c r="U365" s="62">
        <f t="shared" ca="1" si="349"/>
        <v>1111.1111111111111</v>
      </c>
      <c r="V365" s="62">
        <f t="shared" ca="1" si="343"/>
        <v>121536.54478272425</v>
      </c>
      <c r="W365" s="55"/>
      <c r="X365" s="62">
        <f t="shared" ca="1" si="368"/>
        <v>124834.9505758311</v>
      </c>
      <c r="Y365" s="55"/>
      <c r="Z365" s="118" t="b">
        <v>0</v>
      </c>
      <c r="AA365" s="120" t="b">
        <f t="shared" si="350"/>
        <v>0</v>
      </c>
      <c r="AB365" s="120" t="b">
        <f t="shared" si="351"/>
        <v>1</v>
      </c>
      <c r="AC365" s="120" t="b">
        <f t="shared" ca="1" si="352"/>
        <v>0</v>
      </c>
      <c r="AD365" s="121"/>
      <c r="AE365" s="129">
        <v>0</v>
      </c>
      <c r="AF365" s="69">
        <f ca="1">IF(Swap_Active="No",0,OFFSET(Vectors!$D$6,Vectors!A365,MATCH(Swap_In,lstInterestRates,0)))</f>
        <v>6.9369000000000056E-2</v>
      </c>
      <c r="AG365" s="62">
        <f t="shared" ca="1" si="369"/>
        <v>0</v>
      </c>
      <c r="AH365" s="69">
        <f ca="1">IF(Swap_Active="No",0,OFFSET(Vectors!$D$6,Vectors!A365,MATCH(Swap_Out,lstInterestRates,0)))</f>
        <v>0.04</v>
      </c>
      <c r="AI365" s="62">
        <f t="shared" ca="1" si="370"/>
        <v>0</v>
      </c>
      <c r="AJ365" s="62">
        <f t="shared" ca="1" si="371"/>
        <v>0</v>
      </c>
      <c r="AK365" s="62">
        <f t="shared" ca="1" si="372"/>
        <v>124834.9505758311</v>
      </c>
      <c r="AL365" s="121"/>
      <c r="AM365" s="123">
        <f t="shared" ca="1" si="353"/>
        <v>410.35400390166313</v>
      </c>
      <c r="AN365" s="124">
        <f t="shared" ca="1" si="373"/>
        <v>410.35400390166313</v>
      </c>
      <c r="AO365" s="125">
        <f t="shared" ca="1" si="374"/>
        <v>0</v>
      </c>
      <c r="AP365" s="123">
        <f t="shared" ca="1" si="375"/>
        <v>124424.59657192943</v>
      </c>
      <c r="AQ365" s="121"/>
      <c r="AR365" s="126">
        <f ca="1">IF(LiabIntType1="Fixed",LiabFxdRate1,OFFSET(Vectors!$D$6,Vectors!A365,MATCH(LiabLoanIndex1,lstInterestRates,0))+LiabMarg1)</f>
        <v>7.9369000000000051E-2</v>
      </c>
      <c r="AS365" s="122">
        <f t="shared" ca="1" si="376"/>
        <v>0</v>
      </c>
      <c r="AT365" s="124">
        <f t="shared" ca="1" si="377"/>
        <v>0</v>
      </c>
      <c r="AU365" s="123">
        <f t="shared" ca="1" si="378"/>
        <v>0</v>
      </c>
      <c r="AV365" s="123">
        <f t="shared" ca="1" si="354"/>
        <v>0</v>
      </c>
      <c r="AW365" s="123">
        <f t="shared" ca="1" si="379"/>
        <v>0</v>
      </c>
      <c r="AX365" s="124">
        <f t="shared" ca="1" si="380"/>
        <v>124424.59657192943</v>
      </c>
      <c r="AY365" s="121"/>
      <c r="AZ365" s="122">
        <f t="shared" ca="1" si="355"/>
        <v>0</v>
      </c>
      <c r="BA365" s="124">
        <f t="shared" ca="1" si="381"/>
        <v>0</v>
      </c>
      <c r="BB365" s="123">
        <f t="shared" ca="1" si="382"/>
        <v>0</v>
      </c>
      <c r="BC365" s="123">
        <f t="shared" ca="1" si="356"/>
        <v>0</v>
      </c>
      <c r="BD365" s="123">
        <f t="shared" ca="1" si="383"/>
        <v>0</v>
      </c>
      <c r="BE365" s="124">
        <f t="shared" ca="1" si="384"/>
        <v>124424.59657192943</v>
      </c>
      <c r="BF365" s="121"/>
      <c r="BG365" s="123">
        <f t="shared" si="357"/>
        <v>1000000</v>
      </c>
      <c r="BH365" s="123">
        <f t="shared" ca="1" si="385"/>
        <v>1000000</v>
      </c>
      <c r="BI365" s="123">
        <f t="shared" ca="1" si="386"/>
        <v>0</v>
      </c>
      <c r="BJ365" s="123">
        <f t="shared" ca="1" si="387"/>
        <v>0</v>
      </c>
      <c r="BK365" s="123">
        <f t="shared" ca="1" si="344"/>
        <v>1000000</v>
      </c>
      <c r="BL365" s="123">
        <f t="shared" ca="1" si="388"/>
        <v>124424.59657192943</v>
      </c>
      <c r="BM365" s="121"/>
      <c r="BN365" s="126">
        <f ca="1">IF(LiabIntType2="Fixed",LiabFxdRate2,OFFSET(Vectors!$D$6,Vectors!A365,MATCH(LiabLoanIndex2,lstInterestRates,0))+LiabMarg2)</f>
        <v>0.04</v>
      </c>
      <c r="BO365" s="122">
        <f t="shared" ca="1" si="389"/>
        <v>20659.249239681252</v>
      </c>
      <c r="BP365" s="124">
        <f t="shared" ca="1" si="390"/>
        <v>20659.249239681252</v>
      </c>
      <c r="BQ365" s="123">
        <f t="shared" ca="1" si="391"/>
        <v>0</v>
      </c>
      <c r="BR365" s="123">
        <f t="shared" ca="1" si="392"/>
        <v>103765.34733224817</v>
      </c>
      <c r="BS365" s="121"/>
      <c r="BT365" s="123">
        <f t="shared" ca="1" si="358"/>
        <v>12782.905614522755</v>
      </c>
      <c r="BU365" s="123">
        <f t="shared" ca="1" si="393"/>
        <v>12782.905614522755</v>
      </c>
      <c r="BV365" s="123">
        <f t="shared" ca="1" si="394"/>
        <v>0</v>
      </c>
      <c r="BW365" s="123">
        <f t="shared" ca="1" si="395"/>
        <v>90982.441717725422</v>
      </c>
      <c r="BX365" s="121"/>
      <c r="BY365" s="123">
        <f t="shared" si="396"/>
        <v>0</v>
      </c>
      <c r="BZ365" s="123">
        <f t="shared" ca="1" si="397"/>
        <v>90982.441717725422</v>
      </c>
      <c r="CA365" s="121"/>
      <c r="CB365" s="122">
        <f t="shared" ca="1" si="345"/>
        <v>0</v>
      </c>
      <c r="CC365" s="122">
        <f t="shared" ca="1" si="398"/>
        <v>0</v>
      </c>
      <c r="CD365" s="124">
        <f t="shared" ca="1" si="399"/>
        <v>0</v>
      </c>
      <c r="CE365" s="121"/>
      <c r="CF365" s="122">
        <f t="shared" ca="1" si="346"/>
        <v>6184991.8662898531</v>
      </c>
      <c r="CG365" s="124">
        <f t="shared" ca="1" si="400"/>
        <v>20659.249239681252</v>
      </c>
      <c r="CH365" s="123">
        <f t="shared" ca="1" si="401"/>
        <v>12782.905614522755</v>
      </c>
      <c r="CI365" s="121"/>
      <c r="CJ365" s="123">
        <f t="shared" ca="1" si="402"/>
        <v>124834.9505758311</v>
      </c>
      <c r="CK365" s="123">
        <f t="shared" ca="1" si="403"/>
        <v>124834.95057583108</v>
      </c>
      <c r="CL365" s="123">
        <f t="shared" ca="1" si="404"/>
        <v>0</v>
      </c>
      <c r="CM365" s="121"/>
      <c r="CN365" s="62">
        <f t="shared" ca="1" si="405"/>
        <v>124675.85755827362</v>
      </c>
      <c r="CO365" s="62" t="b">
        <f t="shared" si="406"/>
        <v>1</v>
      </c>
      <c r="CP365" s="126">
        <f t="shared" ca="1" si="407"/>
        <v>9.9722222222221775E-3</v>
      </c>
      <c r="CQ365" s="120"/>
      <c r="CR365" s="120"/>
      <c r="CS365" s="120"/>
      <c r="CT365" s="120"/>
      <c r="CU365" s="120"/>
      <c r="CV365" s="120"/>
      <c r="CW365" s="120"/>
      <c r="CX365" s="120"/>
      <c r="CY365" s="120"/>
      <c r="CZ365" s="120"/>
      <c r="DA365" s="120"/>
      <c r="DB365" s="120"/>
      <c r="DC365" s="120"/>
      <c r="DD365" s="120"/>
      <c r="DE365" s="116"/>
      <c r="DF365" s="116"/>
      <c r="DG365" s="116"/>
      <c r="DH365" s="116"/>
      <c r="DI365" s="116"/>
      <c r="DJ365" s="116"/>
      <c r="DK365" s="116"/>
      <c r="DL365" s="116"/>
      <c r="DM365" s="116"/>
      <c r="DN365" s="116"/>
    </row>
    <row r="366" spans="1:118" ht="13.5" thickBot="1" x14ac:dyDescent="0.25">
      <c r="A366" s="27">
        <v>360</v>
      </c>
      <c r="B366" s="29">
        <f t="shared" si="340"/>
        <v>50072</v>
      </c>
      <c r="C366" s="30">
        <f t="shared" si="341"/>
        <v>8.3333333333333329E-2</v>
      </c>
      <c r="D366" s="59"/>
      <c r="E366" s="62">
        <f t="shared" ca="1" si="359"/>
        <v>798632.87041700247</v>
      </c>
      <c r="F366" s="63">
        <f ca="1">IF(AssetIntType1="Fixed",AssetFxdRate1,IF(A366=1,OFFSET(Vectors!$D$6,A366,MATCH(AssetFltIndx1,lstInterestRates,0)),IF(MOD($A366,AssetRateReset1)=0,MAX(MIN(OFFSET(Vectors!$D$6,A366,MATCH(AssetFltIndx1,lstInterestRates,0)),(F365-AssetMarg1)+AssetPdCapFl1,AssetLifeCap1-AssetMarg1),(F365-AssetMarg1)-AssetPdCapFl1,AssetLifeFloor1-AssetMarg1),F365)))+AssetMarg1</f>
        <v>0.09</v>
      </c>
      <c r="G366" s="62">
        <f t="shared" ca="1" si="347"/>
        <v>804622.61694512994</v>
      </c>
      <c r="H366" s="62">
        <f t="shared" ca="1" si="360"/>
        <v>5989.7465281275181</v>
      </c>
      <c r="I366" s="62">
        <f t="shared" ca="1" si="361"/>
        <v>798632.87041700247</v>
      </c>
      <c r="J366" s="62">
        <f t="shared" ca="1" si="342"/>
        <v>0</v>
      </c>
      <c r="K366" s="59"/>
      <c r="L366" s="62">
        <f t="shared" ca="1" si="362"/>
        <v>121536.54478272425</v>
      </c>
      <c r="M366" s="68">
        <f ca="1">IF(pdrLossTime1="",OFFSET(Vectors!$AE$6,A366+_Age1,MATCH(SDA_Loss,lstSDA,0)),OFFSET(Vectors!$X$6,A366+_Age1,MATCH(pdrLossTime1,lstDefaultCurve,0)))</f>
        <v>2.7777777777777779E-5</v>
      </c>
      <c r="N366" s="62">
        <f t="shared" ca="1" si="348"/>
        <v>2777.7777777777778</v>
      </c>
      <c r="O366" s="67">
        <f t="shared" ca="1" si="363"/>
        <v>0</v>
      </c>
      <c r="P366" s="68">
        <f ca="1">OFFSET(Vectors!$L$6,A366+_Age1,MATCH(pdrPrepay1,lstPrepayCurve,0))*pdrPrepayStress1</f>
        <v>5.1430128318229462E-3</v>
      </c>
      <c r="Q366" s="62">
        <f t="shared" ca="1" si="364"/>
        <v>0</v>
      </c>
      <c r="R366" s="62">
        <f t="shared" ca="1" si="365"/>
        <v>118758.76700494647</v>
      </c>
      <c r="S366" s="69">
        <f t="shared" ca="1" si="366"/>
        <v>0.09</v>
      </c>
      <c r="T366" s="62">
        <f t="shared" ca="1" si="367"/>
        <v>890.69075253709843</v>
      </c>
      <c r="U366" s="62">
        <f t="shared" ca="1" si="349"/>
        <v>1111.1111111111111</v>
      </c>
      <c r="V366" s="62">
        <f t="shared" ca="1" si="343"/>
        <v>0</v>
      </c>
      <c r="W366" s="59"/>
      <c r="X366" s="62">
        <f t="shared" ca="1" si="368"/>
        <v>120760.56886859467</v>
      </c>
      <c r="Y366" s="59"/>
      <c r="Z366" s="118" t="b">
        <v>0</v>
      </c>
      <c r="AA366" s="120" t="b">
        <f t="shared" si="350"/>
        <v>0</v>
      </c>
      <c r="AB366" s="120" t="b">
        <f t="shared" si="351"/>
        <v>1</v>
      </c>
      <c r="AC366" s="120" t="b">
        <f t="shared" ca="1" si="352"/>
        <v>0</v>
      </c>
      <c r="AD366" s="127"/>
      <c r="AE366" s="129">
        <v>0</v>
      </c>
      <c r="AF366" s="69">
        <f ca="1">IF(Swap_Active="No",0,OFFSET(Vectors!$D$6,Vectors!A366,MATCH(Swap_In,lstInterestRates,0)))</f>
        <v>6.9369000000000056E-2</v>
      </c>
      <c r="AG366" s="62">
        <f t="shared" ca="1" si="369"/>
        <v>0</v>
      </c>
      <c r="AH366" s="69">
        <f ca="1">IF(Swap_Active="No",0,OFFSET(Vectors!$D$6,Vectors!A366,MATCH(Swap_Out,lstInterestRates,0)))</f>
        <v>0.04</v>
      </c>
      <c r="AI366" s="62">
        <f t="shared" ca="1" si="370"/>
        <v>0</v>
      </c>
      <c r="AJ366" s="62">
        <f t="shared" ca="1" si="371"/>
        <v>0</v>
      </c>
      <c r="AK366" s="62">
        <f t="shared" ca="1" si="372"/>
        <v>120760.56886859467</v>
      </c>
      <c r="AL366" s="127"/>
      <c r="AM366" s="123">
        <f t="shared" ca="1" si="353"/>
        <v>202.56090797120706</v>
      </c>
      <c r="AN366" s="124">
        <f t="shared" ca="1" si="373"/>
        <v>202.56090797120706</v>
      </c>
      <c r="AO366" s="125">
        <f t="shared" ca="1" si="374"/>
        <v>0</v>
      </c>
      <c r="AP366" s="123">
        <f t="shared" ca="1" si="375"/>
        <v>120558.00796062346</v>
      </c>
      <c r="AQ366" s="127"/>
      <c r="AR366" s="126">
        <f ca="1">IF(LiabIntType1="Fixed",LiabFxdRate1,OFFSET(Vectors!$D$6,Vectors!A366,MATCH(LiabLoanIndex1,lstInterestRates,0))+LiabMarg1)</f>
        <v>7.9369000000000051E-2</v>
      </c>
      <c r="AS366" s="122">
        <f t="shared" ca="1" si="376"/>
        <v>0</v>
      </c>
      <c r="AT366" s="124">
        <f t="shared" ca="1" si="377"/>
        <v>0</v>
      </c>
      <c r="AU366" s="123">
        <f t="shared" ca="1" si="378"/>
        <v>0</v>
      </c>
      <c r="AV366" s="123">
        <f t="shared" ca="1" si="354"/>
        <v>0</v>
      </c>
      <c r="AW366" s="123">
        <f t="shared" ca="1" si="379"/>
        <v>0</v>
      </c>
      <c r="AX366" s="124">
        <f t="shared" ca="1" si="380"/>
        <v>120558.00796062346</v>
      </c>
      <c r="AY366" s="127"/>
      <c r="AZ366" s="122">
        <f t="shared" ca="1" si="355"/>
        <v>0</v>
      </c>
      <c r="BA366" s="124">
        <f t="shared" ca="1" si="381"/>
        <v>0</v>
      </c>
      <c r="BB366" s="123">
        <f t="shared" ca="1" si="382"/>
        <v>0</v>
      </c>
      <c r="BC366" s="123">
        <f t="shared" ca="1" si="356"/>
        <v>0</v>
      </c>
      <c r="BD366" s="123">
        <f t="shared" ca="1" si="383"/>
        <v>0</v>
      </c>
      <c r="BE366" s="124">
        <f t="shared" ca="1" si="384"/>
        <v>120558.00796062346</v>
      </c>
      <c r="BF366" s="127"/>
      <c r="BG366" s="123">
        <f t="shared" si="357"/>
        <v>1000000</v>
      </c>
      <c r="BH366" s="123">
        <f t="shared" ca="1" si="385"/>
        <v>1000000</v>
      </c>
      <c r="BI366" s="123">
        <f t="shared" ca="1" si="386"/>
        <v>0</v>
      </c>
      <c r="BJ366" s="123">
        <f t="shared" ca="1" si="387"/>
        <v>0</v>
      </c>
      <c r="BK366" s="123">
        <f t="shared" ca="1" si="344"/>
        <v>1000000</v>
      </c>
      <c r="BL366" s="123">
        <f t="shared" ca="1" si="388"/>
        <v>120558.00796062346</v>
      </c>
      <c r="BM366" s="127"/>
      <c r="BN366" s="126">
        <f ca="1">IF(LiabIntType2="Fixed",LiabFxdRate2,OFFSET(Vectors!$D$6,Vectors!A366,MATCH(LiabLoanIndex2,lstInterestRates,0))+LiabMarg2)</f>
        <v>0.04</v>
      </c>
      <c r="BO366" s="122">
        <f t="shared" ca="1" si="389"/>
        <v>20616.639554299509</v>
      </c>
      <c r="BP366" s="124">
        <f t="shared" ca="1" si="390"/>
        <v>20616.639554299509</v>
      </c>
      <c r="BQ366" s="123">
        <f t="shared" ca="1" si="391"/>
        <v>0</v>
      </c>
      <c r="BR366" s="123">
        <f t="shared" ca="1" si="392"/>
        <v>99941.368406323949</v>
      </c>
      <c r="BS366" s="127"/>
      <c r="BT366" s="123">
        <f t="shared" ca="1" si="358"/>
        <v>12461.034646957471</v>
      </c>
      <c r="BU366" s="123">
        <f t="shared" ca="1" si="393"/>
        <v>12461.034646957471</v>
      </c>
      <c r="BV366" s="123">
        <f t="shared" ca="1" si="394"/>
        <v>0</v>
      </c>
      <c r="BW366" s="123">
        <f t="shared" ca="1" si="395"/>
        <v>87480.333759366476</v>
      </c>
      <c r="BX366" s="127"/>
      <c r="BY366" s="123">
        <f t="shared" si="396"/>
        <v>0</v>
      </c>
      <c r="BZ366" s="123">
        <f t="shared" ca="1" si="397"/>
        <v>87480.333759366476</v>
      </c>
      <c r="CA366" s="127"/>
      <c r="CB366" s="122">
        <f t="shared" ca="1" si="345"/>
        <v>0</v>
      </c>
      <c r="CC366" s="122">
        <f t="shared" ca="1" si="398"/>
        <v>0</v>
      </c>
      <c r="CD366" s="124">
        <f t="shared" ca="1" si="399"/>
        <v>0</v>
      </c>
      <c r="CE366" s="127"/>
      <c r="CF366" s="122">
        <f t="shared" ca="1" si="346"/>
        <v>6172530.8316428959</v>
      </c>
      <c r="CG366" s="124">
        <f t="shared" ca="1" si="400"/>
        <v>20616.639554299509</v>
      </c>
      <c r="CH366" s="123">
        <f t="shared" ca="1" si="401"/>
        <v>12461.034646957471</v>
      </c>
      <c r="CI366" s="127"/>
      <c r="CJ366" s="123">
        <f t="shared" ca="1" si="402"/>
        <v>120760.56886859467</v>
      </c>
      <c r="CK366" s="123">
        <f t="shared" ca="1" si="403"/>
        <v>120760.56886859467</v>
      </c>
      <c r="CL366" s="123">
        <f t="shared" ca="1" si="404"/>
        <v>0</v>
      </c>
      <c r="CM366" s="127"/>
      <c r="CN366" s="62">
        <f t="shared" ca="1" si="405"/>
        <v>121536.54478272425</v>
      </c>
      <c r="CO366" s="62" t="b">
        <f t="shared" si="406"/>
        <v>1</v>
      </c>
      <c r="CP366" s="126">
        <f t="shared" ca="1" si="407"/>
        <v>9.9999999999999551E-3</v>
      </c>
      <c r="CQ366" s="120"/>
      <c r="CR366" s="120"/>
      <c r="CS366" s="120"/>
      <c r="CT366" s="120"/>
      <c r="CU366" s="120"/>
      <c r="CV366" s="120"/>
      <c r="CW366" s="120"/>
      <c r="CX366" s="120"/>
      <c r="CY366" s="120"/>
      <c r="CZ366" s="120"/>
      <c r="DA366" s="120"/>
      <c r="DB366" s="120"/>
      <c r="DC366" s="120"/>
      <c r="DD366" s="120"/>
      <c r="DE366" s="116"/>
      <c r="DF366" s="116"/>
      <c r="DG366" s="116"/>
      <c r="DH366" s="116"/>
      <c r="DI366" s="116"/>
      <c r="DJ366" s="116"/>
      <c r="DK366" s="116"/>
      <c r="DL366" s="116"/>
      <c r="DM366" s="116"/>
      <c r="DN366" s="116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7"/>
  <sheetViews>
    <sheetView workbookViewId="0"/>
  </sheetViews>
  <sheetFormatPr defaultRowHeight="12.75" x14ac:dyDescent="0.2"/>
  <cols>
    <col min="1" max="1" width="13.7109375" customWidth="1"/>
  </cols>
  <sheetData>
    <row r="1" spans="1:8" ht="19.5" thickBot="1" x14ac:dyDescent="0.35">
      <c r="A1" s="5" t="s">
        <v>96</v>
      </c>
      <c r="B1" s="31"/>
      <c r="C1" s="31"/>
      <c r="D1" s="31"/>
      <c r="E1" s="31"/>
      <c r="F1" s="31"/>
      <c r="G1" s="31"/>
      <c r="H1" s="31"/>
    </row>
    <row r="3" spans="1:8" ht="13.5" thickBot="1" x14ac:dyDescent="0.25">
      <c r="H3" s="63"/>
    </row>
    <row r="4" spans="1:8" x14ac:dyDescent="0.2">
      <c r="A4" s="82" t="s">
        <v>97</v>
      </c>
      <c r="B4" s="83"/>
      <c r="C4" s="84"/>
      <c r="D4" s="84"/>
      <c r="E4" s="85"/>
      <c r="F4" s="85"/>
      <c r="G4" s="85"/>
      <c r="H4" s="86"/>
    </row>
    <row r="5" spans="1:8" x14ac:dyDescent="0.2">
      <c r="A5" s="87"/>
      <c r="B5" s="88"/>
      <c r="C5" s="89"/>
      <c r="D5" s="89"/>
      <c r="E5" s="2"/>
      <c r="F5" s="2"/>
      <c r="G5" s="2"/>
      <c r="H5" s="90"/>
    </row>
    <row r="6" spans="1:8" x14ac:dyDescent="0.2">
      <c r="A6" s="289" t="s">
        <v>98</v>
      </c>
      <c r="B6" s="290"/>
      <c r="C6" s="2"/>
      <c r="D6" s="12">
        <v>1</v>
      </c>
      <c r="E6" s="12">
        <v>2</v>
      </c>
      <c r="F6" s="12">
        <v>3</v>
      </c>
      <c r="G6" s="12">
        <v>4</v>
      </c>
      <c r="H6" s="91">
        <v>5</v>
      </c>
    </row>
    <row r="7" spans="1:8" x14ac:dyDescent="0.2">
      <c r="A7" s="92">
        <v>1</v>
      </c>
      <c r="B7" s="93">
        <v>12</v>
      </c>
      <c r="C7" s="102"/>
      <c r="D7" s="94">
        <v>3.3333333333333333E-2</v>
      </c>
      <c r="E7" s="94">
        <v>0.05</v>
      </c>
      <c r="F7" s="94">
        <v>0.2</v>
      </c>
      <c r="G7" s="94">
        <v>0.01</v>
      </c>
      <c r="H7" s="95">
        <v>0</v>
      </c>
    </row>
    <row r="8" spans="1:8" x14ac:dyDescent="0.2">
      <c r="A8" s="96">
        <v>13</v>
      </c>
      <c r="B8" s="93">
        <v>24</v>
      </c>
      <c r="C8" s="102"/>
      <c r="D8" s="94">
        <v>3.3333333333333333E-2</v>
      </c>
      <c r="E8" s="94">
        <v>0.05</v>
      </c>
      <c r="F8" s="94">
        <v>0.2</v>
      </c>
      <c r="G8" s="94">
        <v>0.01</v>
      </c>
      <c r="H8" s="95">
        <v>0</v>
      </c>
    </row>
    <row r="9" spans="1:8" x14ac:dyDescent="0.2">
      <c r="A9" s="96">
        <v>25</v>
      </c>
      <c r="B9" s="93">
        <v>36</v>
      </c>
      <c r="C9" s="102"/>
      <c r="D9" s="94">
        <v>3.3333333333333333E-2</v>
      </c>
      <c r="E9" s="94">
        <v>0.05</v>
      </c>
      <c r="F9" s="94">
        <v>0.2</v>
      </c>
      <c r="G9" s="94">
        <v>0.01</v>
      </c>
      <c r="H9" s="95">
        <v>0</v>
      </c>
    </row>
    <row r="10" spans="1:8" x14ac:dyDescent="0.2">
      <c r="A10" s="96">
        <v>37</v>
      </c>
      <c r="B10" s="93">
        <v>48</v>
      </c>
      <c r="C10" s="102"/>
      <c r="D10" s="94">
        <v>3.3333333333333333E-2</v>
      </c>
      <c r="E10" s="94">
        <v>0.05</v>
      </c>
      <c r="F10" s="94">
        <v>0.2</v>
      </c>
      <c r="G10" s="94">
        <v>0.01</v>
      </c>
      <c r="H10" s="95">
        <v>0</v>
      </c>
    </row>
    <row r="11" spans="1:8" x14ac:dyDescent="0.2">
      <c r="A11" s="96">
        <v>49</v>
      </c>
      <c r="B11" s="93">
        <v>60</v>
      </c>
      <c r="C11" s="102"/>
      <c r="D11" s="94">
        <v>3.3333333333333333E-2</v>
      </c>
      <c r="E11" s="94">
        <v>0.05</v>
      </c>
      <c r="F11" s="94">
        <v>0.2</v>
      </c>
      <c r="G11" s="94">
        <v>0.01</v>
      </c>
      <c r="H11" s="95">
        <v>0</v>
      </c>
    </row>
    <row r="12" spans="1:8" x14ac:dyDescent="0.2">
      <c r="A12" s="96">
        <v>61</v>
      </c>
      <c r="B12" s="93">
        <v>72</v>
      </c>
      <c r="C12" s="102"/>
      <c r="D12" s="94">
        <v>3.3333333333333333E-2</v>
      </c>
      <c r="E12" s="94">
        <v>7.4999999999999997E-2</v>
      </c>
      <c r="F12" s="94">
        <v>0</v>
      </c>
      <c r="G12" s="94">
        <v>2.5000000000000001E-2</v>
      </c>
      <c r="H12" s="95">
        <v>0</v>
      </c>
    </row>
    <row r="13" spans="1:8" x14ac:dyDescent="0.2">
      <c r="A13" s="96">
        <v>73</v>
      </c>
      <c r="B13" s="93">
        <v>84</v>
      </c>
      <c r="C13" s="102"/>
      <c r="D13" s="94">
        <v>3.3333333333333333E-2</v>
      </c>
      <c r="E13" s="94">
        <v>7.4999999999999997E-2</v>
      </c>
      <c r="F13" s="94">
        <v>0</v>
      </c>
      <c r="G13" s="94">
        <v>2.5000000000000001E-2</v>
      </c>
      <c r="H13" s="95">
        <v>0</v>
      </c>
    </row>
    <row r="14" spans="1:8" x14ac:dyDescent="0.2">
      <c r="A14" s="96">
        <v>85</v>
      </c>
      <c r="B14" s="93">
        <v>96</v>
      </c>
      <c r="C14" s="102"/>
      <c r="D14" s="94">
        <v>3.3333333333333333E-2</v>
      </c>
      <c r="E14" s="94">
        <v>7.4999999999999997E-2</v>
      </c>
      <c r="F14" s="94">
        <v>0</v>
      </c>
      <c r="G14" s="94">
        <v>2.5000000000000001E-2</v>
      </c>
      <c r="H14" s="95">
        <v>0</v>
      </c>
    </row>
    <row r="15" spans="1:8" x14ac:dyDescent="0.2">
      <c r="A15" s="96">
        <v>97</v>
      </c>
      <c r="B15" s="93">
        <v>108</v>
      </c>
      <c r="C15" s="102"/>
      <c r="D15" s="94">
        <v>3.3333333333333333E-2</v>
      </c>
      <c r="E15" s="94">
        <v>7.4999999999999997E-2</v>
      </c>
      <c r="F15" s="94">
        <v>0</v>
      </c>
      <c r="G15" s="94">
        <v>2.5000000000000001E-2</v>
      </c>
      <c r="H15" s="95">
        <v>0</v>
      </c>
    </row>
    <row r="16" spans="1:8" x14ac:dyDescent="0.2">
      <c r="A16" s="96">
        <v>109</v>
      </c>
      <c r="B16" s="93">
        <v>120</v>
      </c>
      <c r="C16" s="102"/>
      <c r="D16" s="94">
        <v>3.3333333333333333E-2</v>
      </c>
      <c r="E16" s="94">
        <v>0.1</v>
      </c>
      <c r="F16" s="94">
        <v>0</v>
      </c>
      <c r="G16" s="94">
        <v>0.05</v>
      </c>
      <c r="H16" s="95">
        <v>0</v>
      </c>
    </row>
    <row r="17" spans="1:8" x14ac:dyDescent="0.2">
      <c r="A17" s="96">
        <v>121</v>
      </c>
      <c r="B17" s="93">
        <v>132</v>
      </c>
      <c r="C17" s="103"/>
      <c r="D17" s="94">
        <v>3.3333333333333333E-2</v>
      </c>
      <c r="E17" s="94">
        <v>0.1</v>
      </c>
      <c r="F17" s="94">
        <v>0</v>
      </c>
      <c r="G17" s="94">
        <v>0.05</v>
      </c>
      <c r="H17" s="95">
        <v>0</v>
      </c>
    </row>
    <row r="18" spans="1:8" x14ac:dyDescent="0.2">
      <c r="A18" s="96">
        <v>133</v>
      </c>
      <c r="B18" s="93">
        <v>144</v>
      </c>
      <c r="C18" s="102"/>
      <c r="D18" s="94">
        <v>3.3333333333333333E-2</v>
      </c>
      <c r="E18" s="94">
        <v>0.1</v>
      </c>
      <c r="F18" s="94">
        <v>0</v>
      </c>
      <c r="G18" s="94">
        <v>0.05</v>
      </c>
      <c r="H18" s="95">
        <v>0</v>
      </c>
    </row>
    <row r="19" spans="1:8" x14ac:dyDescent="0.2">
      <c r="A19" s="96">
        <v>145</v>
      </c>
      <c r="B19" s="93">
        <v>156</v>
      </c>
      <c r="C19" s="102"/>
      <c r="D19" s="94">
        <v>3.3333333333333333E-2</v>
      </c>
      <c r="E19" s="94">
        <v>0.1</v>
      </c>
      <c r="F19" s="94">
        <v>0</v>
      </c>
      <c r="G19" s="94">
        <v>0.05</v>
      </c>
      <c r="H19" s="95">
        <v>0</v>
      </c>
    </row>
    <row r="20" spans="1:8" x14ac:dyDescent="0.2">
      <c r="A20" s="96">
        <v>157</v>
      </c>
      <c r="B20" s="93">
        <v>168</v>
      </c>
      <c r="C20" s="102"/>
      <c r="D20" s="94">
        <v>3.3333333333333333E-2</v>
      </c>
      <c r="E20" s="94">
        <v>2.5000000000000001E-2</v>
      </c>
      <c r="F20" s="94">
        <v>0</v>
      </c>
      <c r="G20" s="94">
        <v>7.4999999999999997E-2</v>
      </c>
      <c r="H20" s="95">
        <v>0</v>
      </c>
    </row>
    <row r="21" spans="1:8" x14ac:dyDescent="0.2">
      <c r="A21" s="96">
        <v>169</v>
      </c>
      <c r="B21" s="93">
        <v>180</v>
      </c>
      <c r="C21" s="102"/>
      <c r="D21" s="94">
        <v>3.3333333333333333E-2</v>
      </c>
      <c r="E21" s="94">
        <v>2.5000000000000001E-2</v>
      </c>
      <c r="F21" s="94">
        <v>0</v>
      </c>
      <c r="G21" s="94">
        <v>7.4999999999999997E-2</v>
      </c>
      <c r="H21" s="95">
        <v>2.5000000000000001E-2</v>
      </c>
    </row>
    <row r="22" spans="1:8" x14ac:dyDescent="0.2">
      <c r="A22" s="96">
        <v>181</v>
      </c>
      <c r="B22" s="93">
        <v>192</v>
      </c>
      <c r="C22" s="102"/>
      <c r="D22" s="94">
        <v>3.3333333333333333E-2</v>
      </c>
      <c r="E22" s="94">
        <v>0</v>
      </c>
      <c r="F22" s="94">
        <v>0</v>
      </c>
      <c r="G22" s="94">
        <v>7.4999999999999997E-2</v>
      </c>
      <c r="H22" s="95">
        <v>2.5000000000000001E-2</v>
      </c>
    </row>
    <row r="23" spans="1:8" x14ac:dyDescent="0.2">
      <c r="A23" s="96">
        <v>193</v>
      </c>
      <c r="B23" s="93">
        <v>204</v>
      </c>
      <c r="C23" s="102"/>
      <c r="D23" s="94">
        <v>3.3333333333333333E-2</v>
      </c>
      <c r="E23" s="94">
        <v>0</v>
      </c>
      <c r="F23" s="94">
        <v>0</v>
      </c>
      <c r="G23" s="94">
        <v>7.4999999999999997E-2</v>
      </c>
      <c r="H23" s="95">
        <v>2.5000000000000001E-2</v>
      </c>
    </row>
    <row r="24" spans="1:8" x14ac:dyDescent="0.2">
      <c r="A24" s="96">
        <v>205</v>
      </c>
      <c r="B24" s="93">
        <v>216</v>
      </c>
      <c r="C24" s="2"/>
      <c r="D24" s="94">
        <v>3.3333333333333333E-2</v>
      </c>
      <c r="E24" s="94">
        <v>0</v>
      </c>
      <c r="F24" s="94">
        <v>0</v>
      </c>
      <c r="G24" s="94">
        <v>7.4999999999999997E-2</v>
      </c>
      <c r="H24" s="95">
        <v>2.5000000000000001E-2</v>
      </c>
    </row>
    <row r="25" spans="1:8" x14ac:dyDescent="0.2">
      <c r="A25" s="96">
        <v>217</v>
      </c>
      <c r="B25" s="93">
        <v>228</v>
      </c>
      <c r="C25" s="2"/>
      <c r="D25" s="94">
        <v>3.3333333333333333E-2</v>
      </c>
      <c r="E25" s="94">
        <v>0</v>
      </c>
      <c r="F25" s="94">
        <v>0</v>
      </c>
      <c r="G25" s="94">
        <v>7.4999999999999997E-2</v>
      </c>
      <c r="H25" s="95">
        <v>0.05</v>
      </c>
    </row>
    <row r="26" spans="1:8" x14ac:dyDescent="0.2">
      <c r="A26" s="96">
        <v>229</v>
      </c>
      <c r="B26" s="93">
        <v>240</v>
      </c>
      <c r="C26" s="2"/>
      <c r="D26" s="94">
        <v>3.3333333333333333E-2</v>
      </c>
      <c r="E26" s="94">
        <v>0</v>
      </c>
      <c r="F26" s="94">
        <v>0</v>
      </c>
      <c r="G26" s="94">
        <v>7.4999999999999997E-2</v>
      </c>
      <c r="H26" s="95">
        <v>0.05</v>
      </c>
    </row>
    <row r="27" spans="1:8" x14ac:dyDescent="0.2">
      <c r="A27" s="96">
        <v>241</v>
      </c>
      <c r="B27" s="93">
        <v>252</v>
      </c>
      <c r="C27" s="2"/>
      <c r="D27" s="94">
        <v>3.3333333333333333E-2</v>
      </c>
      <c r="E27" s="94">
        <v>0</v>
      </c>
      <c r="F27" s="94">
        <v>0</v>
      </c>
      <c r="G27" s="94">
        <v>7.4999999999999997E-2</v>
      </c>
      <c r="H27" s="95">
        <v>0.05</v>
      </c>
    </row>
    <row r="28" spans="1:8" x14ac:dyDescent="0.2">
      <c r="A28" s="96">
        <v>253</v>
      </c>
      <c r="B28" s="93">
        <v>264</v>
      </c>
      <c r="C28" s="2"/>
      <c r="D28" s="94">
        <v>3.3333333333333333E-2</v>
      </c>
      <c r="E28" s="94">
        <v>0</v>
      </c>
      <c r="F28" s="94">
        <v>0</v>
      </c>
      <c r="G28" s="94">
        <v>0.05</v>
      </c>
      <c r="H28" s="95">
        <v>0.05</v>
      </c>
    </row>
    <row r="29" spans="1:8" x14ac:dyDescent="0.2">
      <c r="A29" s="96">
        <v>265</v>
      </c>
      <c r="B29" s="93">
        <v>276</v>
      </c>
      <c r="C29" s="2"/>
      <c r="D29" s="94">
        <v>3.3333333333333333E-2</v>
      </c>
      <c r="E29" s="94">
        <v>0</v>
      </c>
      <c r="F29" s="94">
        <v>0</v>
      </c>
      <c r="G29" s="94">
        <v>0</v>
      </c>
      <c r="H29" s="95">
        <v>7.4999999999999997E-2</v>
      </c>
    </row>
    <row r="30" spans="1:8" x14ac:dyDescent="0.2">
      <c r="A30" s="96">
        <v>277</v>
      </c>
      <c r="B30" s="93">
        <v>288</v>
      </c>
      <c r="C30" s="2"/>
      <c r="D30" s="94">
        <v>3.3333333333333333E-2</v>
      </c>
      <c r="E30" s="94">
        <v>0</v>
      </c>
      <c r="F30" s="94">
        <v>0</v>
      </c>
      <c r="G30" s="94">
        <v>0</v>
      </c>
      <c r="H30" s="95">
        <v>7.4999999999999997E-2</v>
      </c>
    </row>
    <row r="31" spans="1:8" x14ac:dyDescent="0.2">
      <c r="A31" s="96">
        <v>289</v>
      </c>
      <c r="B31" s="93">
        <v>300</v>
      </c>
      <c r="C31" s="2"/>
      <c r="D31" s="94">
        <v>3.3333333333333333E-2</v>
      </c>
      <c r="E31" s="94">
        <v>0</v>
      </c>
      <c r="F31" s="94">
        <v>0</v>
      </c>
      <c r="G31" s="94">
        <v>0</v>
      </c>
      <c r="H31" s="95">
        <v>7.4999999999999997E-2</v>
      </c>
    </row>
    <row r="32" spans="1:8" x14ac:dyDescent="0.2">
      <c r="A32" s="96">
        <v>301</v>
      </c>
      <c r="B32" s="93">
        <v>312</v>
      </c>
      <c r="C32" s="2"/>
      <c r="D32" s="94">
        <v>3.3333333333333333E-2</v>
      </c>
      <c r="E32" s="94">
        <v>0</v>
      </c>
      <c r="F32" s="94">
        <v>0</v>
      </c>
      <c r="G32" s="94">
        <v>0</v>
      </c>
      <c r="H32" s="95">
        <v>7.4999999999999997E-2</v>
      </c>
    </row>
    <row r="33" spans="1:8" x14ac:dyDescent="0.2">
      <c r="A33" s="96">
        <v>313</v>
      </c>
      <c r="B33" s="93">
        <v>324</v>
      </c>
      <c r="C33" s="2"/>
      <c r="D33" s="94">
        <v>3.3333333333333333E-2</v>
      </c>
      <c r="E33" s="94">
        <v>0</v>
      </c>
      <c r="F33" s="94">
        <v>0</v>
      </c>
      <c r="G33" s="94">
        <v>0</v>
      </c>
      <c r="H33" s="95">
        <v>0.1</v>
      </c>
    </row>
    <row r="34" spans="1:8" x14ac:dyDescent="0.2">
      <c r="A34" s="96">
        <v>325</v>
      </c>
      <c r="B34" s="93">
        <v>336</v>
      </c>
      <c r="C34" s="2"/>
      <c r="D34" s="94">
        <v>3.3333333333333333E-2</v>
      </c>
      <c r="E34" s="94">
        <v>0</v>
      </c>
      <c r="F34" s="94">
        <v>0</v>
      </c>
      <c r="G34" s="94">
        <v>0</v>
      </c>
      <c r="H34" s="95">
        <v>0.1</v>
      </c>
    </row>
    <row r="35" spans="1:8" x14ac:dyDescent="0.2">
      <c r="A35" s="96">
        <v>337</v>
      </c>
      <c r="B35" s="93">
        <v>348</v>
      </c>
      <c r="C35" s="2"/>
      <c r="D35" s="94">
        <v>3.3333333333333333E-2</v>
      </c>
      <c r="E35" s="94">
        <v>0</v>
      </c>
      <c r="F35" s="94">
        <v>0</v>
      </c>
      <c r="G35" s="94">
        <v>0</v>
      </c>
      <c r="H35" s="95">
        <v>0.1</v>
      </c>
    </row>
    <row r="36" spans="1:8" x14ac:dyDescent="0.2">
      <c r="A36" s="96">
        <v>349</v>
      </c>
      <c r="B36" s="93">
        <v>360</v>
      </c>
      <c r="C36" s="2"/>
      <c r="D36" s="97">
        <v>3.3333333333333333E-2</v>
      </c>
      <c r="E36" s="97">
        <v>0</v>
      </c>
      <c r="F36" s="97">
        <v>0</v>
      </c>
      <c r="G36" s="97">
        <v>0</v>
      </c>
      <c r="H36" s="98">
        <v>0.1</v>
      </c>
    </row>
    <row r="37" spans="1:8" ht="13.5" thickBot="1" x14ac:dyDescent="0.25">
      <c r="A37" s="99"/>
      <c r="B37" s="31"/>
      <c r="C37" s="31"/>
      <c r="D37" s="100">
        <f>SUM(D7:D36)</f>
        <v>0.99999999999999989</v>
      </c>
      <c r="E37" s="100">
        <f>SUM(E7:E36)</f>
        <v>1</v>
      </c>
      <c r="F37" s="100">
        <f>SUM(F7:F36)</f>
        <v>1</v>
      </c>
      <c r="G37" s="100">
        <f>SUM(G7:G36)</f>
        <v>0.99999999999999978</v>
      </c>
      <c r="H37" s="101">
        <f>SUM(H7:H36)</f>
        <v>0.99999999999999989</v>
      </c>
    </row>
  </sheetData>
  <mergeCells count="1">
    <mergeCell ref="A6:B6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75"/>
  <sheetViews>
    <sheetView workbookViewId="0"/>
  </sheetViews>
  <sheetFormatPr defaultRowHeight="12.75" x14ac:dyDescent="0.2"/>
  <cols>
    <col min="4" max="4" width="1.7109375" customWidth="1"/>
    <col min="5" max="5" width="12.5703125" bestFit="1" customWidth="1"/>
    <col min="6" max="6" width="13.7109375" bestFit="1" customWidth="1"/>
    <col min="7" max="7" width="11.85546875" bestFit="1" customWidth="1"/>
  </cols>
  <sheetData>
    <row r="1" spans="1:7" s="31" customFormat="1" ht="19.5" thickBot="1" x14ac:dyDescent="0.35">
      <c r="A1" s="5" t="s">
        <v>179</v>
      </c>
    </row>
    <row r="3" spans="1:7" x14ac:dyDescent="0.2">
      <c r="E3" s="52" t="str">
        <f>AssetDes1</f>
        <v>Asset Pool 1</v>
      </c>
      <c r="F3" s="52" t="str">
        <f>LiabDes1</f>
        <v>Senior Debt 1</v>
      </c>
      <c r="G3" s="52" t="str">
        <f>LiabDes2</f>
        <v>Sub Loan</v>
      </c>
    </row>
    <row r="4" spans="1:7" x14ac:dyDescent="0.2">
      <c r="B4" s="139" t="s">
        <v>180</v>
      </c>
      <c r="E4" s="62">
        <f>AssetCurBal1</f>
        <v>100000000</v>
      </c>
      <c r="F4" s="62">
        <f>'Cash Flow'!CB6</f>
        <v>89747088.277657911</v>
      </c>
      <c r="G4" s="62">
        <f>'Cash Flow'!CF6</f>
        <v>10252911.722342083</v>
      </c>
    </row>
    <row r="5" spans="1:7" x14ac:dyDescent="0.2">
      <c r="B5" s="139" t="s">
        <v>181</v>
      </c>
      <c r="E5" s="63">
        <v>6.4351046276259335E-3</v>
      </c>
      <c r="F5" s="63">
        <v>7.5793915380318816E-3</v>
      </c>
      <c r="G5" s="63">
        <v>0</v>
      </c>
    </row>
    <row r="6" spans="1:7" x14ac:dyDescent="0.2">
      <c r="B6" s="139" t="s">
        <v>182</v>
      </c>
      <c r="E6" s="62">
        <f ca="1">SUM(E16:E375)-E4</f>
        <v>8560972.7017385811</v>
      </c>
      <c r="F6" s="62">
        <f ca="1">SUM(F16:F375)-F4</f>
        <v>-11062517.958176956</v>
      </c>
      <c r="G6" s="62">
        <f ca="1">SUM(G16:G375)-G4</f>
        <v>-757942.34204185382</v>
      </c>
    </row>
    <row r="7" spans="1:7" x14ac:dyDescent="0.2">
      <c r="B7" s="139" t="s">
        <v>183</v>
      </c>
      <c r="E7" s="68">
        <f>2*((1+E5)^6-1)</f>
        <v>7.8474283510621134E-2</v>
      </c>
      <c r="F7" s="68">
        <f>2*((1+F5)^6-1)</f>
        <v>9.2693629630478114E-2</v>
      </c>
      <c r="G7" s="68">
        <f>2*((1+G5)^6-1)</f>
        <v>0</v>
      </c>
    </row>
    <row r="8" spans="1:7" x14ac:dyDescent="0.2">
      <c r="B8" s="139" t="s">
        <v>184</v>
      </c>
      <c r="E8" s="67">
        <f ca="1">1/((1+E5/12))*(SUMPRODUCT(E16:E375,$A$16:$A$375)/(12*E4))</f>
        <v>7.4314025047034722</v>
      </c>
      <c r="F8" s="67">
        <f ca="1">1/((1+F5/12))*(SUMPRODUCT(F16:F375,$A$16:$A$375)/(12*F4))</f>
        <v>4.4325517505060201</v>
      </c>
      <c r="G8" s="67">
        <f ca="1">1/((1+G5/12))*(SUMPRODUCT(G16:G375,$A$16:$A$375)/(12*G4))</f>
        <v>19.027101904360482</v>
      </c>
    </row>
    <row r="12" spans="1:7" ht="13.5" thickBot="1" x14ac:dyDescent="0.25"/>
    <row r="13" spans="1:7" ht="26.25" thickBot="1" x14ac:dyDescent="0.25">
      <c r="A13" s="25" t="str">
        <f>'Cash Flow'!A4</f>
        <v xml:space="preserve">Period </v>
      </c>
      <c r="B13" s="25" t="str">
        <f>'Cash Flow'!B4</f>
        <v>Date</v>
      </c>
      <c r="C13" s="25" t="str">
        <f>'Cash Flow'!C4</f>
        <v>Day Factor</v>
      </c>
      <c r="D13" s="28"/>
      <c r="E13" s="137" t="str">
        <f>AssetDes1</f>
        <v>Asset Pool 1</v>
      </c>
      <c r="F13" s="65" t="str">
        <f>LiabDes1</f>
        <v>Senior Debt 1</v>
      </c>
      <c r="G13" s="138" t="str">
        <f>LiabDes2</f>
        <v>Sub Loan</v>
      </c>
    </row>
    <row r="14" spans="1:7" x14ac:dyDescent="0.2">
      <c r="A14" s="27"/>
      <c r="B14" s="27"/>
      <c r="C14" s="27"/>
      <c r="D14" s="58"/>
    </row>
    <row r="15" spans="1:7" x14ac:dyDescent="0.2">
      <c r="A15" s="27"/>
      <c r="B15" s="27"/>
      <c r="C15" s="27"/>
      <c r="D15" s="55"/>
    </row>
    <row r="16" spans="1:7" x14ac:dyDescent="0.2">
      <c r="A16" s="27">
        <f>'Cash Flow'!A7</f>
        <v>1</v>
      </c>
      <c r="B16" s="135">
        <f>'Cash Flow'!B7</f>
        <v>39142</v>
      </c>
      <c r="C16" s="136">
        <f>'Cash Flow'!C7</f>
        <v>8.3333333333333329E-2</v>
      </c>
      <c r="D16" s="55"/>
      <c r="E16" s="140">
        <f ca="1">('Cash Flow'!Q7+'Cash Flow'!R7+'Cash Flow'!T7+'Cash Flow'!U7)/(1+$E$5)^$A16</f>
        <v>816021.93167702726</v>
      </c>
      <c r="F16" s="140">
        <f ca="1">('Cash Flow'!CC7+'Cash Flow'!CD7)/(1+$F$5)^$A16</f>
        <v>333193.08427041612</v>
      </c>
      <c r="G16" s="140">
        <f ca="1">('Cash Flow'!CG7+'Cash Flow'!CH7)/(1+$G$5)^$A16</f>
        <v>41770.881423832092</v>
      </c>
    </row>
    <row r="17" spans="1:7" x14ac:dyDescent="0.2">
      <c r="A17" s="27">
        <f>'Cash Flow'!A8</f>
        <v>2</v>
      </c>
      <c r="B17" s="135">
        <f>'Cash Flow'!B8</f>
        <v>39173</v>
      </c>
      <c r="C17" s="136">
        <f>'Cash Flow'!C8</f>
        <v>8.3333333333333329E-2</v>
      </c>
      <c r="D17" s="55"/>
      <c r="E17" s="140">
        <f ca="1">('Cash Flow'!Q8+'Cash Flow'!R8+'Cash Flow'!T8+'Cash Flow'!U8)/(1+$E$5)^$A17</f>
        <v>827115.76320996322</v>
      </c>
      <c r="F17" s="140">
        <f ca="1">('Cash Flow'!CC8+'Cash Flow'!CD8)/(1+$F$5)^$A17</f>
        <v>361185.9041406418</v>
      </c>
      <c r="G17" s="140">
        <f ca="1">('Cash Flow'!CG8+'Cash Flow'!CH8)/(1+$G$5)^$A17</f>
        <v>43496.516342028204</v>
      </c>
    </row>
    <row r="18" spans="1:7" x14ac:dyDescent="0.2">
      <c r="A18" s="27">
        <f>'Cash Flow'!A9</f>
        <v>3</v>
      </c>
      <c r="B18" s="135">
        <f>'Cash Flow'!B9</f>
        <v>39203</v>
      </c>
      <c r="C18" s="136">
        <f>'Cash Flow'!C9</f>
        <v>8.3333333333333329E-2</v>
      </c>
      <c r="D18" s="55"/>
      <c r="E18" s="140">
        <f ca="1">('Cash Flow'!Q9+'Cash Flow'!R9+'Cash Flow'!T9+'Cash Flow'!U9)/(1+$E$5)^$A18</f>
        <v>837899.82434418309</v>
      </c>
      <c r="F18" s="140">
        <f ca="1">('Cash Flow'!CC9+'Cash Flow'!CD9)/(1+$F$5)^$A18</f>
        <v>551456.16005433409</v>
      </c>
      <c r="G18" s="140">
        <f ca="1">('Cash Flow'!CG9+'Cash Flow'!CH9)/(1+$G$5)^$A18</f>
        <v>0</v>
      </c>
    </row>
    <row r="19" spans="1:7" x14ac:dyDescent="0.2">
      <c r="A19" s="27">
        <f>'Cash Flow'!A10</f>
        <v>4</v>
      </c>
      <c r="B19" s="135">
        <f>'Cash Flow'!B10</f>
        <v>39234</v>
      </c>
      <c r="C19" s="136">
        <f>'Cash Flow'!C10</f>
        <v>8.3333333333333329E-2</v>
      </c>
      <c r="D19" s="55"/>
      <c r="E19" s="140">
        <f ca="1">('Cash Flow'!Q10+'Cash Flow'!R10+'Cash Flow'!T10+'Cash Flow'!U10)/(1+$E$5)^$A19</f>
        <v>848370.03970503341</v>
      </c>
      <c r="F19" s="140">
        <f ca="1">('Cash Flow'!CC10+'Cash Flow'!CD10)/(1+$F$5)^$A19</f>
        <v>568890.54307012365</v>
      </c>
      <c r="G19" s="140">
        <f ca="1">('Cash Flow'!CG10+'Cash Flow'!CH10)/(1+$G$5)^$A19</f>
        <v>0</v>
      </c>
    </row>
    <row r="20" spans="1:7" x14ac:dyDescent="0.2">
      <c r="A20" s="27">
        <f>'Cash Flow'!A11</f>
        <v>5</v>
      </c>
      <c r="B20" s="135">
        <f>'Cash Flow'!B11</f>
        <v>39264</v>
      </c>
      <c r="C20" s="136">
        <f>'Cash Flow'!C11</f>
        <v>8.3333333333333329E-2</v>
      </c>
      <c r="D20" s="55"/>
      <c r="E20" s="140">
        <f ca="1">('Cash Flow'!Q11+'Cash Flow'!R11+'Cash Flow'!T11+'Cash Flow'!U11)/(1+$E$5)^$A20</f>
        <v>858522.54864795809</v>
      </c>
      <c r="F20" s="140">
        <f ca="1">('Cash Flow'!CC11+'Cash Flow'!CD11)/(1+$F$5)^$A20</f>
        <v>585805.48964840383</v>
      </c>
      <c r="G20" s="140">
        <f ca="1">('Cash Flow'!CG11+'Cash Flow'!CH11)/(1+$G$5)^$A20</f>
        <v>0</v>
      </c>
    </row>
    <row r="21" spans="1:7" x14ac:dyDescent="0.2">
      <c r="A21" s="27">
        <f>'Cash Flow'!A12</f>
        <v>6</v>
      </c>
      <c r="B21" s="135">
        <f>'Cash Flow'!B12</f>
        <v>39295</v>
      </c>
      <c r="C21" s="136">
        <f>'Cash Flow'!C12</f>
        <v>8.3333333333333329E-2</v>
      </c>
      <c r="D21" s="55"/>
      <c r="E21" s="140">
        <f ca="1">('Cash Flow'!Q12+'Cash Flow'!R12+'Cash Flow'!T12+'Cash Flow'!U12)/(1+$E$5)^$A21</f>
        <v>869422.86826937832</v>
      </c>
      <c r="F21" s="140">
        <f ca="1">('Cash Flow'!CC12+'Cash Flow'!CD12)/(1+$F$5)^$A21</f>
        <v>603264.78660450538</v>
      </c>
      <c r="G21" s="140">
        <f ca="1">('Cash Flow'!CG12+'Cash Flow'!CH12)/(1+$G$5)^$A21</f>
        <v>0</v>
      </c>
    </row>
    <row r="22" spans="1:7" x14ac:dyDescent="0.2">
      <c r="A22" s="27">
        <f>'Cash Flow'!A13</f>
        <v>7</v>
      </c>
      <c r="B22" s="135">
        <f>'Cash Flow'!B13</f>
        <v>39326</v>
      </c>
      <c r="C22" s="136">
        <f>'Cash Flow'!C13</f>
        <v>8.3333333333333329E-2</v>
      </c>
      <c r="D22" s="55"/>
      <c r="E22" s="140">
        <f ca="1">('Cash Flow'!Q13+'Cash Flow'!R13+'Cash Flow'!T13+'Cash Flow'!U13)/(1+$E$5)^$A22</f>
        <v>878922.41845555592</v>
      </c>
      <c r="F22" s="140">
        <f ca="1">('Cash Flow'!CC13+'Cash Flow'!CD13)/(1+$F$5)^$A22</f>
        <v>619139.09655095206</v>
      </c>
      <c r="G22" s="140">
        <f ca="1">('Cash Flow'!CG13+'Cash Flow'!CH13)/(1+$G$5)^$A22</f>
        <v>0</v>
      </c>
    </row>
    <row r="23" spans="1:7" x14ac:dyDescent="0.2">
      <c r="A23" s="27">
        <f>'Cash Flow'!A14</f>
        <v>8</v>
      </c>
      <c r="B23" s="135">
        <f>'Cash Flow'!B14</f>
        <v>39356</v>
      </c>
      <c r="C23" s="136">
        <f>'Cash Flow'!C14</f>
        <v>8.3333333333333329E-2</v>
      </c>
      <c r="D23" s="55"/>
      <c r="E23" s="140">
        <f ca="1">('Cash Flow'!Q14+'Cash Flow'!R14+'Cash Flow'!T14+'Cash Flow'!U14)/(1+$E$5)^$A23</f>
        <v>888094.03825558245</v>
      </c>
      <c r="F23" s="140">
        <f ca="1">('Cash Flow'!CC14+'Cash Flow'!CD14)/(1+$F$5)^$A23</f>
        <v>634500.03731028282</v>
      </c>
      <c r="G23" s="140">
        <f ca="1">('Cash Flow'!CG14+'Cash Flow'!CH14)/(1+$G$5)^$A23</f>
        <v>0</v>
      </c>
    </row>
    <row r="24" spans="1:7" x14ac:dyDescent="0.2">
      <c r="A24" s="27">
        <f>'Cash Flow'!A15</f>
        <v>9</v>
      </c>
      <c r="B24" s="135">
        <f>'Cash Flow'!B15</f>
        <v>39387</v>
      </c>
      <c r="C24" s="136">
        <f>'Cash Flow'!C15</f>
        <v>8.3333333333333329E-2</v>
      </c>
      <c r="D24" s="55"/>
      <c r="E24" s="140">
        <f ca="1">('Cash Flow'!Q15+'Cash Flow'!R15+'Cash Flow'!T15+'Cash Flow'!U15)/(1+$E$5)^$A24</f>
        <v>896934.75046061585</v>
      </c>
      <c r="F24" s="140">
        <f ca="1">('Cash Flow'!CC15+'Cash Flow'!CD15)/(1+$F$5)^$A24</f>
        <v>649349.84578896733</v>
      </c>
      <c r="G24" s="140">
        <f ca="1">('Cash Flow'!CG15+'Cash Flow'!CH15)/(1+$G$5)^$A24</f>
        <v>0</v>
      </c>
    </row>
    <row r="25" spans="1:7" x14ac:dyDescent="0.2">
      <c r="A25" s="27">
        <f>'Cash Flow'!A16</f>
        <v>10</v>
      </c>
      <c r="B25" s="135">
        <f>'Cash Flow'!B16</f>
        <v>39417</v>
      </c>
      <c r="C25" s="136">
        <f>'Cash Flow'!C16</f>
        <v>8.3333333333333329E-2</v>
      </c>
      <c r="D25" s="55"/>
      <c r="E25" s="140">
        <f ca="1">('Cash Flow'!Q16+'Cash Flow'!R16+'Cash Flow'!T16+'Cash Flow'!U16)/(1+$E$5)^$A25</f>
        <v>905441.8039025832</v>
      </c>
      <c r="F25" s="140">
        <f ca="1">('Cash Flow'!CC16+'Cash Flow'!CD16)/(1+$F$5)^$A25</f>
        <v>663690.88134541619</v>
      </c>
      <c r="G25" s="140">
        <f ca="1">('Cash Flow'!CG16+'Cash Flow'!CH16)/(1+$G$5)^$A25</f>
        <v>0</v>
      </c>
    </row>
    <row r="26" spans="1:7" x14ac:dyDescent="0.2">
      <c r="A26" s="27">
        <f>'Cash Flow'!A17</f>
        <v>11</v>
      </c>
      <c r="B26" s="135">
        <f>'Cash Flow'!B17</f>
        <v>39448</v>
      </c>
      <c r="C26" s="136">
        <f>'Cash Flow'!C17</f>
        <v>8.3333333333333329E-2</v>
      </c>
      <c r="D26" s="55"/>
      <c r="E26" s="140">
        <f ca="1">('Cash Flow'!Q17+'Cash Flow'!R17+'Cash Flow'!T17+'Cash Flow'!U17)/(1+$E$5)^$A26</f>
        <v>913612.67505482107</v>
      </c>
      <c r="F26" s="140">
        <f ca="1">('Cash Flow'!CC17+'Cash Flow'!CD17)/(1+$F$5)^$A26</f>
        <v>677525.62887196441</v>
      </c>
      <c r="G26" s="140">
        <f ca="1">('Cash Flow'!CG17+'Cash Flow'!CH17)/(1+$G$5)^$A26</f>
        <v>0</v>
      </c>
    </row>
    <row r="27" spans="1:7" x14ac:dyDescent="0.2">
      <c r="A27" s="27">
        <f>'Cash Flow'!A18</f>
        <v>12</v>
      </c>
      <c r="B27" s="135">
        <f>'Cash Flow'!B18</f>
        <v>39479</v>
      </c>
      <c r="C27" s="136">
        <f>'Cash Flow'!C18</f>
        <v>8.3333333333333329E-2</v>
      </c>
      <c r="D27" s="55"/>
      <c r="E27" s="140">
        <f ca="1">('Cash Flow'!Q18+'Cash Flow'!R18+'Cash Flow'!T18+'Cash Flow'!U18)/(1+$E$5)^$A27</f>
        <v>921445.06940805644</v>
      </c>
      <c r="F27" s="140">
        <f ca="1">('Cash Flow'!CC18+'Cash Flow'!CD18)/(1+$F$5)^$A27</f>
        <v>690856.70160083193</v>
      </c>
      <c r="G27" s="140">
        <f ca="1">('Cash Flow'!CG18+'Cash Flow'!CH18)/(1+$G$5)^$A27</f>
        <v>0</v>
      </c>
    </row>
    <row r="28" spans="1:7" x14ac:dyDescent="0.2">
      <c r="A28" s="27">
        <f>'Cash Flow'!A19</f>
        <v>13</v>
      </c>
      <c r="B28" s="135">
        <f>'Cash Flow'!B19</f>
        <v>39508</v>
      </c>
      <c r="C28" s="136">
        <f>'Cash Flow'!C19</f>
        <v>8.3333333333333329E-2</v>
      </c>
      <c r="D28" s="55"/>
      <c r="E28" s="140">
        <f ca="1">('Cash Flow'!Q19+'Cash Flow'!R19+'Cash Flow'!T19+'Cash Flow'!U19)/(1+$E$5)^$A28</f>
        <v>928936.92261998553</v>
      </c>
      <c r="F28" s="140">
        <f ca="1">('Cash Flow'!CC19+'Cash Flow'!CD19)/(1+$F$5)^$A28</f>
        <v>707568.01649248693</v>
      </c>
      <c r="G28" s="140">
        <f ca="1">('Cash Flow'!CG19+'Cash Flow'!CH19)/(1+$G$5)^$A28</f>
        <v>0</v>
      </c>
    </row>
    <row r="29" spans="1:7" x14ac:dyDescent="0.2">
      <c r="A29" s="27">
        <f>'Cash Flow'!A20</f>
        <v>14</v>
      </c>
      <c r="B29" s="135">
        <f>'Cash Flow'!B20</f>
        <v>39539</v>
      </c>
      <c r="C29" s="136">
        <f>'Cash Flow'!C20</f>
        <v>8.3333333333333329E-2</v>
      </c>
      <c r="D29" s="55"/>
      <c r="E29" s="140">
        <f ca="1">('Cash Flow'!Q20+'Cash Flow'!R20+'Cash Flow'!T20+'Cash Flow'!U20)/(1+$E$5)^$A29</f>
        <v>936086.40143780888</v>
      </c>
      <c r="F29" s="140">
        <f ca="1">('Cash Flow'!CC20+'Cash Flow'!CD20)/(1+$F$5)^$A29</f>
        <v>723635.39655863761</v>
      </c>
      <c r="G29" s="140">
        <f ca="1">('Cash Flow'!CG20+'Cash Flow'!CH20)/(1+$G$5)^$A29</f>
        <v>0</v>
      </c>
    </row>
    <row r="30" spans="1:7" x14ac:dyDescent="0.2">
      <c r="A30" s="27">
        <f>'Cash Flow'!A21</f>
        <v>15</v>
      </c>
      <c r="B30" s="135">
        <f>'Cash Flow'!B21</f>
        <v>39569</v>
      </c>
      <c r="C30" s="136">
        <f>'Cash Flow'!C21</f>
        <v>8.3333333333333329E-2</v>
      </c>
      <c r="D30" s="55"/>
      <c r="E30" s="140">
        <f ca="1">('Cash Flow'!Q21+'Cash Flow'!R21+'Cash Flow'!T21+'Cash Flow'!U21)/(1+$E$5)^$A30</f>
        <v>942891.90439273592</v>
      </c>
      <c r="F30" s="140">
        <f ca="1">('Cash Flow'!CC21+'Cash Flow'!CD21)/(1+$F$5)^$A30</f>
        <v>739065.78871870029</v>
      </c>
      <c r="G30" s="140">
        <f ca="1">('Cash Flow'!CG21+'Cash Flow'!CH21)/(1+$G$5)^$A30</f>
        <v>0</v>
      </c>
    </row>
    <row r="31" spans="1:7" x14ac:dyDescent="0.2">
      <c r="A31" s="27">
        <f>'Cash Flow'!A22</f>
        <v>16</v>
      </c>
      <c r="B31" s="135">
        <f>'Cash Flow'!B22</f>
        <v>39600</v>
      </c>
      <c r="C31" s="136">
        <f>'Cash Flow'!C22</f>
        <v>8.3333333333333329E-2</v>
      </c>
      <c r="D31" s="55"/>
      <c r="E31" s="140">
        <f ca="1">('Cash Flow'!Q22+'Cash Flow'!R22+'Cash Flow'!T22+'Cash Flow'!U22)/(1+$E$5)^$A31</f>
        <v>949352.06226597098</v>
      </c>
      <c r="F31" s="140">
        <f ca="1">('Cash Flow'!CC22+'Cash Flow'!CD22)/(1+$F$5)^$A31</f>
        <v>753866.18512548588</v>
      </c>
      <c r="G31" s="140">
        <f ca="1">('Cash Flow'!CG22+'Cash Flow'!CH22)/(1+$G$5)^$A31</f>
        <v>0</v>
      </c>
    </row>
    <row r="32" spans="1:7" x14ac:dyDescent="0.2">
      <c r="A32" s="27">
        <f>'Cash Flow'!A23</f>
        <v>17</v>
      </c>
      <c r="B32" s="135">
        <f>'Cash Flow'!B23</f>
        <v>39630</v>
      </c>
      <c r="C32" s="136">
        <f>'Cash Flow'!C23</f>
        <v>8.3333333333333329E-2</v>
      </c>
      <c r="D32" s="55"/>
      <c r="E32" s="140">
        <f ca="1">('Cash Flow'!Q23+'Cash Flow'!R23+'Cash Flow'!T23+'Cash Flow'!U23)/(1+$E$5)^$A32</f>
        <v>955465.73832619831</v>
      </c>
      <c r="F32" s="140">
        <f ca="1">('Cash Flow'!CC23+'Cash Flow'!CD23)/(1+$F$5)^$A32</f>
        <v>768043.62658240041</v>
      </c>
      <c r="G32" s="140">
        <f ca="1">('Cash Flow'!CG23+'Cash Flow'!CH23)/(1+$G$5)^$A32</f>
        <v>0</v>
      </c>
    </row>
    <row r="33" spans="1:7" x14ac:dyDescent="0.2">
      <c r="A33" s="27">
        <f>'Cash Flow'!A24</f>
        <v>18</v>
      </c>
      <c r="B33" s="135">
        <f>'Cash Flow'!B24</f>
        <v>39661</v>
      </c>
      <c r="C33" s="136">
        <f>'Cash Flow'!C24</f>
        <v>8.3333333333333329E-2</v>
      </c>
      <c r="D33" s="55"/>
      <c r="E33" s="140">
        <f ca="1">('Cash Flow'!Q24+'Cash Flow'!R24+'Cash Flow'!T24+'Cash Flow'!U24)/(1+$E$5)^$A33</f>
        <v>961232.02833847573</v>
      </c>
      <c r="F33" s="140">
        <f ca="1">('Cash Flow'!CC24+'Cash Flow'!CD24)/(1+$F$5)^$A33</f>
        <v>781605.20565377385</v>
      </c>
      <c r="G33" s="140">
        <f ca="1">('Cash Flow'!CG24+'Cash Flow'!CH24)/(1+$G$5)^$A33</f>
        <v>0</v>
      </c>
    </row>
    <row r="34" spans="1:7" x14ac:dyDescent="0.2">
      <c r="A34" s="27">
        <f>'Cash Flow'!A25</f>
        <v>19</v>
      </c>
      <c r="B34" s="135">
        <f>'Cash Flow'!B25</f>
        <v>39692</v>
      </c>
      <c r="C34" s="136">
        <f>'Cash Flow'!C25</f>
        <v>8.3333333333333329E-2</v>
      </c>
      <c r="D34" s="55"/>
      <c r="E34" s="140">
        <f ca="1">('Cash Flow'!Q25+'Cash Flow'!R25+'Cash Flow'!T25+'Cash Flow'!U25)/(1+$E$5)^$A34</f>
        <v>966650.26034522522</v>
      </c>
      <c r="F34" s="140">
        <f ca="1">('Cash Flow'!CC25+'Cash Flow'!CD25)/(1+$F$5)^$A34</f>
        <v>794558.06947199802</v>
      </c>
      <c r="G34" s="140">
        <f ca="1">('Cash Flow'!CG25+'Cash Flow'!CH25)/(1+$G$5)^$A34</f>
        <v>0</v>
      </c>
    </row>
    <row r="35" spans="1:7" x14ac:dyDescent="0.2">
      <c r="A35" s="27">
        <f>'Cash Flow'!A26</f>
        <v>20</v>
      </c>
      <c r="B35" s="135">
        <f>'Cash Flow'!B26</f>
        <v>39722</v>
      </c>
      <c r="C35" s="136">
        <f>'Cash Flow'!C26</f>
        <v>8.3333333333333329E-2</v>
      </c>
      <c r="D35" s="55"/>
      <c r="E35" s="140">
        <f ca="1">('Cash Flow'!Q26+'Cash Flow'!R26+'Cash Flow'!T26+'Cash Flow'!U26)/(1+$E$5)^$A35</f>
        <v>971719.99421976006</v>
      </c>
      <c r="F35" s="140">
        <f ca="1">('Cash Flow'!CC26+'Cash Flow'!CD26)/(1+$F$5)^$A35</f>
        <v>806909.42224487697</v>
      </c>
      <c r="G35" s="140">
        <f ca="1">('Cash Flow'!CG26+'Cash Flow'!CH26)/(1+$G$5)^$A35</f>
        <v>0</v>
      </c>
    </row>
    <row r="36" spans="1:7" x14ac:dyDescent="0.2">
      <c r="A36" s="27">
        <f>'Cash Flow'!A27</f>
        <v>21</v>
      </c>
      <c r="B36" s="135">
        <f>'Cash Flow'!B27</f>
        <v>39753</v>
      </c>
      <c r="C36" s="136">
        <f>'Cash Flow'!C27</f>
        <v>8.3333333333333329E-2</v>
      </c>
      <c r="D36" s="55"/>
      <c r="E36" s="140">
        <f ca="1">('Cash Flow'!Q27+'Cash Flow'!R27+'Cash Flow'!T27+'Cash Flow'!U27)/(1+$E$5)^$A36</f>
        <v>976441.02099369792</v>
      </c>
      <c r="F36" s="140">
        <f ca="1">('Cash Flow'!CC27+'Cash Flow'!CD27)/(1+$F$5)^$A36</f>
        <v>818666.52746744314</v>
      </c>
      <c r="G36" s="140">
        <f ca="1">('Cash Flow'!CG27+'Cash Flow'!CH27)/(1+$G$5)^$A36</f>
        <v>0</v>
      </c>
    </row>
    <row r="37" spans="1:7" x14ac:dyDescent="0.2">
      <c r="A37" s="27">
        <f>'Cash Flow'!A28</f>
        <v>22</v>
      </c>
      <c r="B37" s="135">
        <f>'Cash Flow'!B28</f>
        <v>39783</v>
      </c>
      <c r="C37" s="136">
        <f>'Cash Flow'!C28</f>
        <v>8.3333333333333329E-2</v>
      </c>
      <c r="D37" s="55"/>
      <c r="E37" s="140">
        <f ca="1">('Cash Flow'!Q28+'Cash Flow'!R28+'Cash Flow'!T28+'Cash Flow'!U28)/(1+$E$5)^$A37</f>
        <v>980813.36195909197</v>
      </c>
      <c r="F37" s="140">
        <f ca="1">('Cash Flow'!CC28+'Cash Flow'!CD28)/(1+$F$5)^$A37</f>
        <v>829836.7098419409</v>
      </c>
      <c r="G37" s="140">
        <f ca="1">('Cash Flow'!CG28+'Cash Flow'!CH28)/(1+$G$5)^$A37</f>
        <v>0</v>
      </c>
    </row>
    <row r="38" spans="1:7" x14ac:dyDescent="0.2">
      <c r="A38" s="27">
        <f>'Cash Flow'!A29</f>
        <v>23</v>
      </c>
      <c r="B38" s="135">
        <f>'Cash Flow'!B29</f>
        <v>39814</v>
      </c>
      <c r="C38" s="136">
        <f>'Cash Flow'!C29</f>
        <v>8.3333333333333329E-2</v>
      </c>
      <c r="D38" s="55"/>
      <c r="E38" s="140">
        <f ca="1">('Cash Flow'!Q29+'Cash Flow'!R29+'Cash Flow'!T29+'Cash Flow'!U29)/(1+$E$5)^$A38</f>
        <v>984837.26754769415</v>
      </c>
      <c r="F38" s="140">
        <f ca="1">('Cash Flow'!CC29+'Cash Flow'!CD29)/(1+$F$5)^$A38</f>
        <v>840427.35691117856</v>
      </c>
      <c r="G38" s="140">
        <f ca="1">('Cash Flow'!CG29+'Cash Flow'!CH29)/(1+$G$5)^$A38</f>
        <v>0</v>
      </c>
    </row>
    <row r="39" spans="1:7" x14ac:dyDescent="0.2">
      <c r="A39" s="27">
        <f>'Cash Flow'!A30</f>
        <v>24</v>
      </c>
      <c r="B39" s="135">
        <f>'Cash Flow'!B30</f>
        <v>39845</v>
      </c>
      <c r="C39" s="136">
        <f>'Cash Flow'!C30</f>
        <v>8.3333333333333329E-2</v>
      </c>
      <c r="D39" s="55"/>
      <c r="E39" s="140">
        <f ca="1">('Cash Flow'!Q30+'Cash Flow'!R30+'Cash Flow'!T30+'Cash Flow'!U30)/(1+$E$5)^$A39</f>
        <v>988513.2159882104</v>
      </c>
      <c r="F39" s="140">
        <f ca="1">('Cash Flow'!CC30+'Cash Flow'!CD30)/(1+$F$5)^$A39</f>
        <v>850445.92040889419</v>
      </c>
      <c r="G39" s="140">
        <f ca="1">('Cash Flow'!CG30+'Cash Flow'!CH30)/(1+$G$5)^$A39</f>
        <v>0</v>
      </c>
    </row>
    <row r="40" spans="1:7" x14ac:dyDescent="0.2">
      <c r="A40" s="27">
        <f>'Cash Flow'!A31</f>
        <v>25</v>
      </c>
      <c r="B40" s="135">
        <f>'Cash Flow'!B31</f>
        <v>39873</v>
      </c>
      <c r="C40" s="136">
        <f>'Cash Flow'!C31</f>
        <v>8.3333333333333329E-2</v>
      </c>
      <c r="D40" s="55"/>
      <c r="E40" s="140">
        <f ca="1">('Cash Flow'!Q31+'Cash Flow'!R31+'Cash Flow'!T31+'Cash Flow'!U31)/(1+$E$5)^$A40</f>
        <v>991841.91174468107</v>
      </c>
      <c r="F40" s="140">
        <f ca="1">('Cash Flow'!CC31+'Cash Flow'!CD31)/(1+$F$5)^$A40</f>
        <v>858870.47562911885</v>
      </c>
      <c r="G40" s="140">
        <f ca="1">('Cash Flow'!CG31+'Cash Flow'!CH31)/(1+$G$5)^$A40</f>
        <v>0</v>
      </c>
    </row>
    <row r="41" spans="1:7" x14ac:dyDescent="0.2">
      <c r="A41" s="27">
        <f>'Cash Flow'!A32</f>
        <v>26</v>
      </c>
      <c r="B41" s="135">
        <f>'Cash Flow'!B32</f>
        <v>39904</v>
      </c>
      <c r="C41" s="136">
        <f>'Cash Flow'!C32</f>
        <v>8.3333333333333329E-2</v>
      </c>
      <c r="D41" s="55"/>
      <c r="E41" s="140">
        <f ca="1">('Cash Flow'!Q32+'Cash Flow'!R32+'Cash Flow'!T32+'Cash Flow'!U32)/(1+$E$5)^$A41</f>
        <v>994824.28373784747</v>
      </c>
      <c r="F41" s="140">
        <f ca="1">('Cash Flow'!CC32+'Cash Flow'!CD32)/(1+$F$5)^$A41</f>
        <v>866777.12956406816</v>
      </c>
      <c r="G41" s="140">
        <f ca="1">('Cash Flow'!CG32+'Cash Flow'!CH32)/(1+$G$5)^$A41</f>
        <v>0</v>
      </c>
    </row>
    <row r="42" spans="1:7" x14ac:dyDescent="0.2">
      <c r="A42" s="27">
        <f>'Cash Flow'!A33</f>
        <v>27</v>
      </c>
      <c r="B42" s="135">
        <f>'Cash Flow'!B33</f>
        <v>39934</v>
      </c>
      <c r="C42" s="136">
        <f>'Cash Flow'!C33</f>
        <v>8.3333333333333329E-2</v>
      </c>
      <c r="D42" s="55"/>
      <c r="E42" s="140">
        <f ca="1">('Cash Flow'!Q33+'Cash Flow'!R33+'Cash Flow'!T33+'Cash Flow'!U33)/(1+$E$5)^$A42</f>
        <v>997461.48335254053</v>
      </c>
      <c r="F42" s="140">
        <f ca="1">('Cash Flow'!CC33+'Cash Flow'!CD33)/(1+$F$5)^$A42</f>
        <v>874172.47102713888</v>
      </c>
      <c r="G42" s="140">
        <f ca="1">('Cash Flow'!CG33+'Cash Flow'!CH33)/(1+$G$5)^$A42</f>
        <v>0</v>
      </c>
    </row>
    <row r="43" spans="1:7" x14ac:dyDescent="0.2">
      <c r="A43" s="27">
        <f>'Cash Flow'!A34</f>
        <v>28</v>
      </c>
      <c r="B43" s="135">
        <f>'Cash Flow'!B34</f>
        <v>39965</v>
      </c>
      <c r="C43" s="136">
        <f>'Cash Flow'!C34</f>
        <v>8.3333333333333329E-2</v>
      </c>
      <c r="D43" s="55"/>
      <c r="E43" s="140">
        <f ca="1">('Cash Flow'!Q34+'Cash Flow'!R34+'Cash Flow'!T34+'Cash Flow'!U34)/(1+$E$5)^$A43</f>
        <v>999754.88223403995</v>
      </c>
      <c r="F43" s="140">
        <f ca="1">('Cash Flow'!CC34+'Cash Flow'!CD34)/(1+$F$5)^$A43</f>
        <v>881063.18047539901</v>
      </c>
      <c r="G43" s="140">
        <f ca="1">('Cash Flow'!CG34+'Cash Flow'!CH34)/(1+$G$5)^$A43</f>
        <v>0</v>
      </c>
    </row>
    <row r="44" spans="1:7" x14ac:dyDescent="0.2">
      <c r="A44" s="27">
        <f>'Cash Flow'!A35</f>
        <v>29</v>
      </c>
      <c r="B44" s="135">
        <f>'Cash Flow'!B35</f>
        <v>39995</v>
      </c>
      <c r="C44" s="136">
        <f>'Cash Flow'!C35</f>
        <v>8.3333333333333329E-2</v>
      </c>
      <c r="D44" s="55"/>
      <c r="E44" s="140">
        <f ca="1">('Cash Flow'!Q35+'Cash Flow'!R35+'Cash Flow'!T35+'Cash Flow'!U35)/(1+$E$5)^$A44</f>
        <v>1001706.0698766053</v>
      </c>
      <c r="F44" s="140">
        <f ca="1">('Cash Flow'!CC35+'Cash Flow'!CD35)/(1+$F$5)^$A44</f>
        <v>887456.02949195169</v>
      </c>
      <c r="G44" s="140">
        <f ca="1">('Cash Flow'!CG35+'Cash Flow'!CH35)/(1+$G$5)^$A44</f>
        <v>0</v>
      </c>
    </row>
    <row r="45" spans="1:7" x14ac:dyDescent="0.2">
      <c r="A45" s="27">
        <f>'Cash Flow'!A36</f>
        <v>30</v>
      </c>
      <c r="B45" s="135">
        <f>'Cash Flow'!B36</f>
        <v>40026</v>
      </c>
      <c r="C45" s="136">
        <f>'Cash Flow'!C36</f>
        <v>8.3333333333333329E-2</v>
      </c>
      <c r="D45" s="55"/>
      <c r="E45" s="140">
        <f ca="1">('Cash Flow'!Q36+'Cash Flow'!R36+'Cash Flow'!T36+'Cash Flow'!U36)/(1+$E$5)^$A45</f>
        <v>1003316.8510079192</v>
      </c>
      <c r="F45" s="140">
        <f ca="1">('Cash Flow'!CC36+'Cash Flow'!CD36)/(1+$F$5)^$A45</f>
        <v>893357.88002948416</v>
      </c>
      <c r="G45" s="140">
        <f ca="1">('Cash Flow'!CG36+'Cash Flow'!CH36)/(1+$G$5)^$A45</f>
        <v>0</v>
      </c>
    </row>
    <row r="46" spans="1:7" x14ac:dyDescent="0.2">
      <c r="A46" s="27">
        <f>'Cash Flow'!A37</f>
        <v>31</v>
      </c>
      <c r="B46" s="135">
        <f>'Cash Flow'!B37</f>
        <v>40057</v>
      </c>
      <c r="C46" s="136">
        <f>'Cash Flow'!C37</f>
        <v>8.3333333333333329E-2</v>
      </c>
      <c r="D46" s="55"/>
      <c r="E46" s="140">
        <f ca="1">('Cash Flow'!Q37+'Cash Flow'!R37+'Cash Flow'!T37+'Cash Flow'!U37)/(1+$E$5)^$A46</f>
        <v>991482.85426542303</v>
      </c>
      <c r="F46" s="140">
        <f ca="1">('Cash Flow'!CC37+'Cash Flow'!CD37)/(1+$F$5)^$A46</f>
        <v>886122.94429547188</v>
      </c>
      <c r="G46" s="140">
        <f ca="1">('Cash Flow'!CG37+'Cash Flow'!CH37)/(1+$G$5)^$A46</f>
        <v>0</v>
      </c>
    </row>
    <row r="47" spans="1:7" x14ac:dyDescent="0.2">
      <c r="A47" s="27">
        <f>'Cash Flow'!A38</f>
        <v>32</v>
      </c>
      <c r="B47" s="135">
        <f>'Cash Flow'!B38</f>
        <v>40087</v>
      </c>
      <c r="C47" s="136">
        <f>'Cash Flow'!C38</f>
        <v>8.3333333333333329E-2</v>
      </c>
      <c r="D47" s="55"/>
      <c r="E47" s="140">
        <f ca="1">('Cash Flow'!Q38+'Cash Flow'!R38+'Cash Flow'!T38+'Cash Flow'!U38)/(1+$E$5)^$A47</f>
        <v>979786.2448483035</v>
      </c>
      <c r="F47" s="140">
        <f ca="1">('Cash Flow'!CC38+'Cash Flow'!CD38)/(1+$F$5)^$A47</f>
        <v>878870.21826945245</v>
      </c>
      <c r="G47" s="140">
        <f ca="1">('Cash Flow'!CG38+'Cash Flow'!CH38)/(1+$G$5)^$A47</f>
        <v>0</v>
      </c>
    </row>
    <row r="48" spans="1:7" x14ac:dyDescent="0.2">
      <c r="A48" s="27">
        <f>'Cash Flow'!A39</f>
        <v>33</v>
      </c>
      <c r="B48" s="135">
        <f>'Cash Flow'!B39</f>
        <v>40118</v>
      </c>
      <c r="C48" s="136">
        <f>'Cash Flow'!C39</f>
        <v>8.3333333333333329E-2</v>
      </c>
      <c r="D48" s="55"/>
      <c r="E48" s="140">
        <f ca="1">('Cash Flow'!Q39+'Cash Flow'!R39+'Cash Flow'!T39+'Cash Flow'!U39)/(1+$E$5)^$A48</f>
        <v>968225.4367686552</v>
      </c>
      <c r="F48" s="140">
        <f ca="1">('Cash Flow'!CC39+'Cash Flow'!CD39)/(1+$F$5)^$A48</f>
        <v>871602.35708736477</v>
      </c>
      <c r="G48" s="140">
        <f ca="1">('Cash Flow'!CG39+'Cash Flow'!CH39)/(1+$G$5)^$A48</f>
        <v>0</v>
      </c>
    </row>
    <row r="49" spans="1:7" x14ac:dyDescent="0.2">
      <c r="A49" s="27">
        <f>'Cash Flow'!A40</f>
        <v>34</v>
      </c>
      <c r="B49" s="135">
        <f>'Cash Flow'!B40</f>
        <v>40148</v>
      </c>
      <c r="C49" s="136">
        <f>'Cash Flow'!C40</f>
        <v>8.3333333333333329E-2</v>
      </c>
      <c r="D49" s="55"/>
      <c r="E49" s="140">
        <f ca="1">('Cash Flow'!Q40+'Cash Flow'!R40+'Cash Flow'!T40+'Cash Flow'!U40)/(1+$E$5)^$A49</f>
        <v>956798.86230850371</v>
      </c>
      <c r="F49" s="140">
        <f ca="1">('Cash Flow'!CC40+'Cash Flow'!CD40)/(1+$F$5)^$A49</f>
        <v>864321.93191839836</v>
      </c>
      <c r="G49" s="140">
        <f ca="1">('Cash Flow'!CG40+'Cash Flow'!CH40)/(1+$G$5)^$A49</f>
        <v>0</v>
      </c>
    </row>
    <row r="50" spans="1:7" x14ac:dyDescent="0.2">
      <c r="A50" s="27">
        <f>'Cash Flow'!A41</f>
        <v>35</v>
      </c>
      <c r="B50" s="135">
        <f>'Cash Flow'!B41</f>
        <v>40179</v>
      </c>
      <c r="C50" s="136">
        <f>'Cash Flow'!C41</f>
        <v>8.3333333333333329E-2</v>
      </c>
      <c r="D50" s="55"/>
      <c r="E50" s="140">
        <f ca="1">('Cash Flow'!Q41+'Cash Flow'!R41+'Cash Flow'!T41+'Cash Flow'!U41)/(1+$E$5)^$A50</f>
        <v>945504.97180940281</v>
      </c>
      <c r="F50" s="140">
        <f ca="1">('Cash Flow'!CC41+'Cash Flow'!CD41)/(1+$F$5)^$A50</f>
        <v>857031.43203833234</v>
      </c>
      <c r="G50" s="140">
        <f ca="1">('Cash Flow'!CG41+'Cash Flow'!CH41)/(1+$G$5)^$A50</f>
        <v>0</v>
      </c>
    </row>
    <row r="51" spans="1:7" x14ac:dyDescent="0.2">
      <c r="A51" s="27">
        <f>'Cash Flow'!A42</f>
        <v>36</v>
      </c>
      <c r="B51" s="135">
        <f>'Cash Flow'!B42</f>
        <v>40210</v>
      </c>
      <c r="C51" s="136">
        <f>'Cash Flow'!C42</f>
        <v>8.3333333333333329E-2</v>
      </c>
      <c r="D51" s="55"/>
      <c r="E51" s="140">
        <f ca="1">('Cash Flow'!Q42+'Cash Flow'!R42+'Cash Flow'!T42+'Cash Flow'!U42)/(1+$E$5)^$A51</f>
        <v>934342.233464655</v>
      </c>
      <c r="F51" s="140">
        <f ca="1">('Cash Flow'!CC42+'Cash Flow'!CD42)/(1+$F$5)^$A51</f>
        <v>849733.26685704291</v>
      </c>
      <c r="G51" s="140">
        <f ca="1">('Cash Flow'!CG42+'Cash Flow'!CH42)/(1+$G$5)^$A51</f>
        <v>0</v>
      </c>
    </row>
    <row r="52" spans="1:7" x14ac:dyDescent="0.2">
      <c r="A52" s="27">
        <f>'Cash Flow'!A43</f>
        <v>37</v>
      </c>
      <c r="B52" s="135">
        <f>'Cash Flow'!B43</f>
        <v>40238</v>
      </c>
      <c r="C52" s="136">
        <f>'Cash Flow'!C43</f>
        <v>8.3333333333333329E-2</v>
      </c>
      <c r="D52" s="55"/>
      <c r="E52" s="140">
        <f ca="1">('Cash Flow'!Q43+'Cash Flow'!R43+'Cash Flow'!T43+'Cash Flow'!U43)/(1+$E$5)^$A52</f>
        <v>923309.13311378274</v>
      </c>
      <c r="F52" s="140">
        <f ca="1">('Cash Flow'!CC43+'Cash Flow'!CD43)/(1+$F$5)^$A52</f>
        <v>840795.23027848941</v>
      </c>
      <c r="G52" s="140">
        <f ca="1">('Cash Flow'!CG43+'Cash Flow'!CH43)/(1+$G$5)^$A52</f>
        <v>0</v>
      </c>
    </row>
    <row r="53" spans="1:7" x14ac:dyDescent="0.2">
      <c r="A53" s="27">
        <f>'Cash Flow'!A44</f>
        <v>38</v>
      </c>
      <c r="B53" s="135">
        <f>'Cash Flow'!B44</f>
        <v>40269</v>
      </c>
      <c r="C53" s="136">
        <f>'Cash Flow'!C44</f>
        <v>8.3333333333333329E-2</v>
      </c>
      <c r="D53" s="55"/>
      <c r="E53" s="140">
        <f ca="1">('Cash Flow'!Q44+'Cash Flow'!R44+'Cash Flow'!T44+'Cash Flow'!U44)/(1+$E$5)^$A53</f>
        <v>912404.17403944</v>
      </c>
      <c r="F53" s="140">
        <f ca="1">('Cash Flow'!CC44+'Cash Flow'!CD44)/(1+$F$5)^$A53</f>
        <v>831916.8573599637</v>
      </c>
      <c r="G53" s="140">
        <f ca="1">('Cash Flow'!CG44+'Cash Flow'!CH44)/(1+$G$5)^$A53</f>
        <v>0</v>
      </c>
    </row>
    <row r="54" spans="1:7" x14ac:dyDescent="0.2">
      <c r="A54" s="27">
        <f>'Cash Flow'!A45</f>
        <v>39</v>
      </c>
      <c r="B54" s="135">
        <f>'Cash Flow'!B45</f>
        <v>40299</v>
      </c>
      <c r="C54" s="136">
        <f>'Cash Flow'!C45</f>
        <v>8.3333333333333329E-2</v>
      </c>
      <c r="D54" s="55"/>
      <c r="E54" s="140">
        <f ca="1">('Cash Flow'!Q45+'Cash Flow'!R45+'Cash Flow'!T45+'Cash Flow'!U45)/(1+$E$5)^$A54</f>
        <v>901625.87676655315</v>
      </c>
      <c r="F54" s="140">
        <f ca="1">('Cash Flow'!CC45+'Cash Flow'!CD45)/(1+$F$5)^$A54</f>
        <v>823098.61658951489</v>
      </c>
      <c r="G54" s="140">
        <f ca="1">('Cash Flow'!CG45+'Cash Flow'!CH45)/(1+$G$5)^$A54</f>
        <v>0</v>
      </c>
    </row>
    <row r="55" spans="1:7" x14ac:dyDescent="0.2">
      <c r="A55" s="27">
        <f>'Cash Flow'!A46</f>
        <v>40</v>
      </c>
      <c r="B55" s="135">
        <f>'Cash Flow'!B46</f>
        <v>40330</v>
      </c>
      <c r="C55" s="136">
        <f>'Cash Flow'!C46</f>
        <v>8.3333333333333329E-2</v>
      </c>
      <c r="D55" s="55"/>
      <c r="E55" s="140">
        <f ca="1">('Cash Flow'!Q46+'Cash Flow'!R46+'Cash Flow'!T46+'Cash Flow'!U46)/(1+$E$5)^$A55</f>
        <v>890972.77886396879</v>
      </c>
      <c r="F55" s="140">
        <f ca="1">('Cash Flow'!CC46+'Cash Flow'!CD46)/(1+$F$5)^$A55</f>
        <v>814340.94483725692</v>
      </c>
      <c r="G55" s="140">
        <f ca="1">('Cash Flow'!CG46+'Cash Flow'!CH46)/(1+$G$5)^$A55</f>
        <v>0</v>
      </c>
    </row>
    <row r="56" spans="1:7" x14ac:dyDescent="0.2">
      <c r="A56" s="27">
        <f>'Cash Flow'!A47</f>
        <v>41</v>
      </c>
      <c r="B56" s="135">
        <f>'Cash Flow'!B47</f>
        <v>40360</v>
      </c>
      <c r="C56" s="136">
        <f>'Cash Flow'!C47</f>
        <v>8.3333333333333329E-2</v>
      </c>
      <c r="D56" s="55"/>
      <c r="E56" s="140">
        <f ca="1">('Cash Flow'!Q47+'Cash Flow'!R47+'Cash Flow'!T47+'Cash Flow'!U47)/(1+$E$5)^$A56</f>
        <v>880443.43474815704</v>
      </c>
      <c r="F56" s="140">
        <f ca="1">('Cash Flow'!CC47+'Cash Flow'!CD47)/(1+$F$5)^$A56</f>
        <v>805644.24827590073</v>
      </c>
      <c r="G56" s="140">
        <f ca="1">('Cash Flow'!CG47+'Cash Flow'!CH47)/(1+$G$5)^$A56</f>
        <v>0</v>
      </c>
    </row>
    <row r="57" spans="1:7" x14ac:dyDescent="0.2">
      <c r="A57" s="27">
        <f>'Cash Flow'!A48</f>
        <v>42</v>
      </c>
      <c r="B57" s="135">
        <f>'Cash Flow'!B48</f>
        <v>40391</v>
      </c>
      <c r="C57" s="136">
        <f>'Cash Flow'!C48</f>
        <v>8.3333333333333329E-2</v>
      </c>
      <c r="D57" s="55"/>
      <c r="E57" s="140">
        <f ca="1">('Cash Flow'!Q48+'Cash Flow'!R48+'Cash Flow'!T48+'Cash Flow'!U48)/(1+$E$5)^$A57</f>
        <v>870036.41548933438</v>
      </c>
      <c r="F57" s="140">
        <f ca="1">('Cash Flow'!CC48+'Cash Flow'!CD48)/(1+$F$5)^$A57</f>
        <v>797008.90327951021</v>
      </c>
      <c r="G57" s="140">
        <f ca="1">('Cash Flow'!CG48+'Cash Flow'!CH48)/(1+$G$5)^$A57</f>
        <v>0</v>
      </c>
    </row>
    <row r="58" spans="1:7" x14ac:dyDescent="0.2">
      <c r="A58" s="27">
        <f>'Cash Flow'!A49</f>
        <v>43</v>
      </c>
      <c r="B58" s="135">
        <f>'Cash Flow'!B49</f>
        <v>40422</v>
      </c>
      <c r="C58" s="136">
        <f>'Cash Flow'!C49</f>
        <v>8.3333333333333329E-2</v>
      </c>
      <c r="D58" s="55"/>
      <c r="E58" s="140">
        <f ca="1">('Cash Flow'!Q49+'Cash Flow'!R49+'Cash Flow'!T49+'Cash Flow'!U49)/(1+$E$5)^$A58</f>
        <v>859750.30861980631</v>
      </c>
      <c r="F58" s="140">
        <f ca="1">('Cash Flow'!CC49+'Cash Flow'!CD49)/(1+$F$5)^$A58</f>
        <v>788435.25730078702</v>
      </c>
      <c r="G58" s="140">
        <f ca="1">('Cash Flow'!CG49+'Cash Flow'!CH49)/(1+$G$5)^$A58</f>
        <v>0</v>
      </c>
    </row>
    <row r="59" spans="1:7" x14ac:dyDescent="0.2">
      <c r="A59" s="27">
        <f>'Cash Flow'!A50</f>
        <v>44</v>
      </c>
      <c r="B59" s="135">
        <f>'Cash Flow'!B50</f>
        <v>40452</v>
      </c>
      <c r="C59" s="136">
        <f>'Cash Flow'!C50</f>
        <v>8.3333333333333329E-2</v>
      </c>
      <c r="D59" s="55"/>
      <c r="E59" s="140">
        <f ca="1">('Cash Flow'!Q50+'Cash Flow'!R50+'Cash Flow'!T50+'Cash Flow'!U50)/(1+$E$5)^$A59</f>
        <v>849583.71794437035</v>
      </c>
      <c r="F59" s="140">
        <f ca="1">('Cash Flow'!CC50+'Cash Flow'!CD50)/(1+$F$5)^$A59</f>
        <v>779923.62972722691</v>
      </c>
      <c r="G59" s="140">
        <f ca="1">('Cash Flow'!CG50+'Cash Flow'!CH50)/(1+$G$5)^$A59</f>
        <v>0</v>
      </c>
    </row>
    <row r="60" spans="1:7" x14ac:dyDescent="0.2">
      <c r="A60" s="27">
        <f>'Cash Flow'!A51</f>
        <v>45</v>
      </c>
      <c r="B60" s="135">
        <f>'Cash Flow'!B51</f>
        <v>40483</v>
      </c>
      <c r="C60" s="136">
        <f>'Cash Flow'!C51</f>
        <v>8.3333333333333329E-2</v>
      </c>
      <c r="D60" s="55"/>
      <c r="E60" s="140">
        <f ca="1">('Cash Flow'!Q51+'Cash Flow'!R51+'Cash Flow'!T51+'Cash Flow'!U51)/(1+$E$5)^$A60</f>
        <v>839535.26335306605</v>
      </c>
      <c r="F60" s="140">
        <f ca="1">('Cash Flow'!CC51+'Cash Flow'!CD51)/(1+$F$5)^$A60</f>
        <v>771474.31271690503</v>
      </c>
      <c r="G60" s="140">
        <f ca="1">('Cash Flow'!CG51+'Cash Flow'!CH51)/(1+$G$5)^$A60</f>
        <v>0</v>
      </c>
    </row>
    <row r="61" spans="1:7" x14ac:dyDescent="0.2">
      <c r="A61" s="27">
        <f>'Cash Flow'!A52</f>
        <v>46</v>
      </c>
      <c r="B61" s="135">
        <f>'Cash Flow'!B52</f>
        <v>40513</v>
      </c>
      <c r="C61" s="136">
        <f>'Cash Flow'!C52</f>
        <v>8.3333333333333329E-2</v>
      </c>
      <c r="D61" s="55"/>
      <c r="E61" s="140">
        <f ca="1">('Cash Flow'!Q52+'Cash Flow'!R52+'Cash Flow'!T52+'Cash Flow'!U52)/(1+$E$5)^$A61</f>
        <v>829603.58063605579</v>
      </c>
      <c r="F61" s="140">
        <f ca="1">('Cash Flow'!CC52+'Cash Flow'!CD52)/(1+$F$5)^$A61</f>
        <v>763087.57201415219</v>
      </c>
      <c r="G61" s="140">
        <f ca="1">('Cash Flow'!CG52+'Cash Flow'!CH52)/(1+$G$5)^$A61</f>
        <v>0</v>
      </c>
    </row>
    <row r="62" spans="1:7" x14ac:dyDescent="0.2">
      <c r="A62" s="27">
        <f>'Cash Flow'!A53</f>
        <v>47</v>
      </c>
      <c r="B62" s="135">
        <f>'Cash Flow'!B53</f>
        <v>40544</v>
      </c>
      <c r="C62" s="136">
        <f>'Cash Flow'!C53</f>
        <v>8.3333333333333329E-2</v>
      </c>
      <c r="D62" s="55"/>
      <c r="E62" s="140">
        <f ca="1">('Cash Flow'!Q53+'Cash Flow'!R53+'Cash Flow'!T53+'Cash Flow'!U53)/(1+$E$5)^$A62</f>
        <v>819787.32130050974</v>
      </c>
      <c r="F62" s="140">
        <f ca="1">('Cash Flow'!CC53+'Cash Flow'!CD53)/(1+$F$5)^$A62</f>
        <v>754763.64774546854</v>
      </c>
      <c r="G62" s="140">
        <f ca="1">('Cash Flow'!CG53+'Cash Flow'!CH53)/(1+$G$5)^$A62</f>
        <v>0</v>
      </c>
    </row>
    <row r="63" spans="1:7" x14ac:dyDescent="0.2">
      <c r="A63" s="27">
        <f>'Cash Flow'!A54</f>
        <v>48</v>
      </c>
      <c r="B63" s="135">
        <f>'Cash Flow'!B54</f>
        <v>40575</v>
      </c>
      <c r="C63" s="136">
        <f>'Cash Flow'!C54</f>
        <v>8.3333333333333329E-2</v>
      </c>
      <c r="D63" s="55"/>
      <c r="E63" s="140">
        <f ca="1">('Cash Flow'!Q54+'Cash Flow'!R54+'Cash Flow'!T54+'Cash Flow'!U54)/(1+$E$5)^$A63</f>
        <v>810085.15238977445</v>
      </c>
      <c r="F63" s="140">
        <f ca="1">('Cash Flow'!CC54+'Cash Flow'!CD54)/(1+$F$5)^$A63</f>
        <v>746502.75519638974</v>
      </c>
      <c r="G63" s="140">
        <f ca="1">('Cash Flow'!CG54+'Cash Flow'!CH54)/(1+$G$5)^$A63</f>
        <v>0</v>
      </c>
    </row>
    <row r="64" spans="1:7" x14ac:dyDescent="0.2">
      <c r="A64" s="27">
        <f>'Cash Flow'!A55</f>
        <v>49</v>
      </c>
      <c r="B64" s="135">
        <f>'Cash Flow'!B55</f>
        <v>40603</v>
      </c>
      <c r="C64" s="136">
        <f>'Cash Flow'!C55</f>
        <v>8.3333333333333329E-2</v>
      </c>
      <c r="D64" s="55"/>
      <c r="E64" s="140">
        <f ca="1">('Cash Flow'!Q55+'Cash Flow'!R55+'Cash Flow'!T55+'Cash Flow'!U55)/(1+$E$5)^$A64</f>
        <v>800495.75630443532</v>
      </c>
      <c r="F64" s="140">
        <f ca="1">('Cash Flow'!CC55+'Cash Flow'!CD55)/(1+$F$5)^$A64</f>
        <v>736363.77960838622</v>
      </c>
      <c r="G64" s="140">
        <f ca="1">('Cash Flow'!CG55+'Cash Flow'!CH55)/(1+$G$5)^$A64</f>
        <v>0</v>
      </c>
    </row>
    <row r="65" spans="1:7" x14ac:dyDescent="0.2">
      <c r="A65" s="27">
        <f>'Cash Flow'!A56</f>
        <v>50</v>
      </c>
      <c r="B65" s="135">
        <f>'Cash Flow'!B56</f>
        <v>40634</v>
      </c>
      <c r="C65" s="136">
        <f>'Cash Flow'!C56</f>
        <v>8.3333333333333329E-2</v>
      </c>
      <c r="D65" s="55"/>
      <c r="E65" s="140">
        <f ca="1">('Cash Flow'!Q56+'Cash Flow'!R56+'Cash Flow'!T56+'Cash Flow'!U56)/(1+$E$5)^$A65</f>
        <v>791017.83062566374</v>
      </c>
      <c r="F65" s="140">
        <f ca="1">('Cash Flow'!CC56+'Cash Flow'!CD56)/(1+$F$5)^$A65</f>
        <v>726363.65001975303</v>
      </c>
      <c r="G65" s="140">
        <f ca="1">('Cash Flow'!CG56+'Cash Flow'!CH56)/(1+$G$5)^$A65</f>
        <v>0</v>
      </c>
    </row>
    <row r="66" spans="1:7" x14ac:dyDescent="0.2">
      <c r="A66" s="27">
        <f>'Cash Flow'!A57</f>
        <v>51</v>
      </c>
      <c r="B66" s="135">
        <f>'Cash Flow'!B57</f>
        <v>40664</v>
      </c>
      <c r="C66" s="136">
        <f>'Cash Flow'!C57</f>
        <v>8.3333333333333329E-2</v>
      </c>
      <c r="D66" s="55"/>
      <c r="E66" s="140">
        <f ca="1">('Cash Flow'!Q57+'Cash Flow'!R57+'Cash Flow'!T57+'Cash Flow'!U57)/(1+$E$5)^$A66</f>
        <v>781650.08794032258</v>
      </c>
      <c r="F66" s="140">
        <f ca="1">('Cash Flow'!CC57+'Cash Flow'!CD57)/(1+$F$5)^$A66</f>
        <v>716500.43987149233</v>
      </c>
      <c r="G66" s="140">
        <f ca="1">('Cash Flow'!CG57+'Cash Flow'!CH57)/(1+$G$5)^$A66</f>
        <v>0</v>
      </c>
    </row>
    <row r="67" spans="1:7" x14ac:dyDescent="0.2">
      <c r="A67" s="27">
        <f>'Cash Flow'!A58</f>
        <v>52</v>
      </c>
      <c r="B67" s="135">
        <f>'Cash Flow'!B58</f>
        <v>40695</v>
      </c>
      <c r="C67" s="136">
        <f>'Cash Flow'!C58</f>
        <v>8.3333333333333329E-2</v>
      </c>
      <c r="D67" s="55"/>
      <c r="E67" s="140">
        <f ca="1">('Cash Flow'!Q58+'Cash Flow'!R58+'Cash Flow'!T58+'Cash Flow'!U58)/(1+$E$5)^$A67</f>
        <v>772391.25566839159</v>
      </c>
      <c r="F67" s="140">
        <f ca="1">('Cash Flow'!CC58+'Cash Flow'!CD58)/(1+$F$5)^$A67</f>
        <v>706772.24985166802</v>
      </c>
      <c r="G67" s="140">
        <f ca="1">('Cash Flow'!CG58+'Cash Flow'!CH58)/(1+$G$5)^$A67</f>
        <v>0</v>
      </c>
    </row>
    <row r="68" spans="1:7" x14ac:dyDescent="0.2">
      <c r="A68" s="27">
        <f>'Cash Flow'!A59</f>
        <v>53</v>
      </c>
      <c r="B68" s="135">
        <f>'Cash Flow'!B59</f>
        <v>40725</v>
      </c>
      <c r="C68" s="136">
        <f>'Cash Flow'!C59</f>
        <v>8.3333333333333329E-2</v>
      </c>
      <c r="D68" s="55"/>
      <c r="E68" s="140">
        <f ca="1">('Cash Flow'!Q59+'Cash Flow'!R59+'Cash Flow'!T59+'Cash Flow'!U59)/(1+$E$5)^$A68</f>
        <v>763240.0758920674</v>
      </c>
      <c r="F68" s="140">
        <f ca="1">('Cash Flow'!CC59+'Cash Flow'!CD59)/(1+$F$5)^$A68</f>
        <v>697177.20750098175</v>
      </c>
      <c r="G68" s="140">
        <f ca="1">('Cash Flow'!CG59+'Cash Flow'!CH59)/(1+$G$5)^$A68</f>
        <v>0</v>
      </c>
    </row>
    <row r="69" spans="1:7" x14ac:dyDescent="0.2">
      <c r="A69" s="27">
        <f>'Cash Flow'!A60</f>
        <v>54</v>
      </c>
      <c r="B69" s="135">
        <f>'Cash Flow'!B60</f>
        <v>40756</v>
      </c>
      <c r="C69" s="136">
        <f>'Cash Flow'!C60</f>
        <v>8.3333333333333329E-2</v>
      </c>
      <c r="D69" s="55"/>
      <c r="E69" s="140">
        <f ca="1">('Cash Flow'!Q60+'Cash Flow'!R60+'Cash Flow'!T60+'Cash Flow'!U60)/(1+$E$5)^$A69</f>
        <v>754195.30518707703</v>
      </c>
      <c r="F69" s="140">
        <f ca="1">('Cash Flow'!CC60+'Cash Flow'!CD60)/(1+$F$5)^$A69</f>
        <v>687713.46682443609</v>
      </c>
      <c r="G69" s="140">
        <f ca="1">('Cash Flow'!CG60+'Cash Flow'!CH60)/(1+$G$5)^$A69</f>
        <v>0</v>
      </c>
    </row>
    <row r="70" spans="1:7" x14ac:dyDescent="0.2">
      <c r="A70" s="27">
        <f>'Cash Flow'!A61</f>
        <v>55</v>
      </c>
      <c r="B70" s="135">
        <f>'Cash Flow'!B61</f>
        <v>40787</v>
      </c>
      <c r="C70" s="136">
        <f>'Cash Flow'!C61</f>
        <v>8.3333333333333329E-2</v>
      </c>
      <c r="D70" s="55"/>
      <c r="E70" s="140">
        <f ca="1">('Cash Flow'!Q61+'Cash Flow'!R61+'Cash Flow'!T61+'Cash Flow'!U61)/(1+$E$5)^$A70</f>
        <v>745255.71445582993</v>
      </c>
      <c r="F70" s="140">
        <f ca="1">('Cash Flow'!CC61+'Cash Flow'!CD61)/(1+$F$5)^$A70</f>
        <v>678379.20790865656</v>
      </c>
      <c r="G70" s="140">
        <f ca="1">('Cash Flow'!CG61+'Cash Flow'!CH61)/(1+$G$5)^$A70</f>
        <v>0</v>
      </c>
    </row>
    <row r="71" spans="1:7" x14ac:dyDescent="0.2">
      <c r="A71" s="27">
        <f>'Cash Flow'!A62</f>
        <v>56</v>
      </c>
      <c r="B71" s="135">
        <f>'Cash Flow'!B62</f>
        <v>40817</v>
      </c>
      <c r="C71" s="136">
        <f>'Cash Flow'!C62</f>
        <v>8.3333333333333329E-2</v>
      </c>
      <c r="D71" s="55"/>
      <c r="E71" s="140">
        <f ca="1">('Cash Flow'!Q62+'Cash Flow'!R62+'Cash Flow'!T62+'Cash Flow'!U62)/(1+$E$5)^$A71</f>
        <v>736420.08876243175</v>
      </c>
      <c r="F71" s="140">
        <f ca="1">('Cash Flow'!CC62+'Cash Flow'!CD62)/(1+$F$5)^$A71</f>
        <v>669172.63654483587</v>
      </c>
      <c r="G71" s="140">
        <f ca="1">('Cash Flow'!CG62+'Cash Flow'!CH62)/(1+$G$5)^$A71</f>
        <v>0</v>
      </c>
    </row>
    <row r="72" spans="1:7" x14ac:dyDescent="0.2">
      <c r="A72" s="27">
        <f>'Cash Flow'!A63</f>
        <v>57</v>
      </c>
      <c r="B72" s="135">
        <f>'Cash Flow'!B63</f>
        <v>40848</v>
      </c>
      <c r="C72" s="136">
        <f>'Cash Flow'!C63</f>
        <v>8.3333333333333329E-2</v>
      </c>
      <c r="D72" s="55"/>
      <c r="E72" s="140">
        <f ca="1">('Cash Flow'!Q63+'Cash Flow'!R63+'Cash Flow'!T63+'Cash Flow'!U63)/(1+$E$5)^$A72</f>
        <v>727687.2271697555</v>
      </c>
      <c r="F72" s="140">
        <f ca="1">('Cash Flow'!CC63+'Cash Flow'!CD63)/(1+$F$5)^$A72</f>
        <v>660091.98385741061</v>
      </c>
      <c r="G72" s="140">
        <f ca="1">('Cash Flow'!CG63+'Cash Flow'!CH63)/(1+$G$5)^$A72</f>
        <v>0</v>
      </c>
    </row>
    <row r="73" spans="1:7" x14ac:dyDescent="0.2">
      <c r="A73" s="27">
        <f>'Cash Flow'!A64</f>
        <v>58</v>
      </c>
      <c r="B73" s="135">
        <f>'Cash Flow'!B64</f>
        <v>40878</v>
      </c>
      <c r="C73" s="136">
        <f>'Cash Flow'!C64</f>
        <v>8.3333333333333329E-2</v>
      </c>
      <c r="D73" s="55"/>
      <c r="E73" s="140">
        <f ca="1">('Cash Flow'!Q64+'Cash Flow'!R64+'Cash Flow'!T64+'Cash Flow'!U64)/(1+$E$5)^$A73</f>
        <v>719055.94257820363</v>
      </c>
      <c r="F73" s="140">
        <f ca="1">('Cash Flow'!CC64+'Cash Flow'!CD64)/(1+$F$5)^$A73</f>
        <v>651135.50593807106</v>
      </c>
      <c r="G73" s="140">
        <f ca="1">('Cash Flow'!CG64+'Cash Flow'!CH64)/(1+$G$5)^$A73</f>
        <v>0</v>
      </c>
    </row>
    <row r="74" spans="1:7" x14ac:dyDescent="0.2">
      <c r="A74" s="27">
        <f>'Cash Flow'!A65</f>
        <v>59</v>
      </c>
      <c r="B74" s="135">
        <f>'Cash Flow'!B65</f>
        <v>40909</v>
      </c>
      <c r="C74" s="136">
        <f>'Cash Flow'!C65</f>
        <v>8.3333333333333329E-2</v>
      </c>
      <c r="D74" s="55"/>
      <c r="E74" s="140">
        <f ca="1">('Cash Flow'!Q65+'Cash Flow'!R65+'Cash Flow'!T65+'Cash Flow'!U65)/(1+$E$5)^$A74</f>
        <v>710525.06156646973</v>
      </c>
      <c r="F74" s="140">
        <f ca="1">('Cash Flow'!CC65+'Cash Flow'!CD65)/(1+$F$5)^$A74</f>
        <v>642301.4834853193</v>
      </c>
      <c r="G74" s="140">
        <f ca="1">('Cash Flow'!CG65+'Cash Flow'!CH65)/(1+$G$5)^$A74</f>
        <v>0</v>
      </c>
    </row>
    <row r="75" spans="1:7" x14ac:dyDescent="0.2">
      <c r="A75" s="27">
        <f>'Cash Flow'!A66</f>
        <v>60</v>
      </c>
      <c r="B75" s="135">
        <f>'Cash Flow'!B66</f>
        <v>40940</v>
      </c>
      <c r="C75" s="136">
        <f>'Cash Flow'!C66</f>
        <v>8.3333333333333329E-2</v>
      </c>
      <c r="D75" s="55"/>
      <c r="E75" s="140">
        <f ca="1">('Cash Flow'!Q66+'Cash Flow'!R66+'Cash Flow'!T66+'Cash Flow'!U66)/(1+$E$5)^$A75</f>
        <v>702093.42423408059</v>
      </c>
      <c r="F75" s="140">
        <f ca="1">('Cash Flow'!CC66+'Cash Flow'!CD66)/(1+$F$5)^$A75</f>
        <v>633588.22144932137</v>
      </c>
      <c r="G75" s="140">
        <f ca="1">('Cash Flow'!CG66+'Cash Flow'!CH66)/(1+$G$5)^$A75</f>
        <v>0</v>
      </c>
    </row>
    <row r="76" spans="1:7" x14ac:dyDescent="0.2">
      <c r="A76" s="27">
        <f>'Cash Flow'!A67</f>
        <v>61</v>
      </c>
      <c r="B76" s="135">
        <f>'Cash Flow'!B67</f>
        <v>40969</v>
      </c>
      <c r="C76" s="136">
        <f>'Cash Flow'!C67</f>
        <v>8.3333333333333329E-2</v>
      </c>
      <c r="D76" s="55"/>
      <c r="E76" s="140">
        <f ca="1">('Cash Flow'!Q67+'Cash Flow'!R67+'Cash Flow'!T67+'Cash Flow'!U67)/(1+$E$5)^$A76</f>
        <v>693759.88404571987</v>
      </c>
      <c r="F76" s="140">
        <f ca="1">('Cash Flow'!CC67+'Cash Flow'!CD67)/(1+$F$5)^$A76</f>
        <v>624994.04868197779</v>
      </c>
      <c r="G76" s="140">
        <f ca="1">('Cash Flow'!CG67+'Cash Flow'!CH67)/(1+$G$5)^$A76</f>
        <v>0</v>
      </c>
    </row>
    <row r="77" spans="1:7" x14ac:dyDescent="0.2">
      <c r="A77" s="27">
        <f>'Cash Flow'!A68</f>
        <v>62</v>
      </c>
      <c r="B77" s="135">
        <f>'Cash Flow'!B68</f>
        <v>41000</v>
      </c>
      <c r="C77" s="136">
        <f>'Cash Flow'!C68</f>
        <v>8.3333333333333329E-2</v>
      </c>
      <c r="D77" s="55"/>
      <c r="E77" s="140">
        <f ca="1">('Cash Flow'!Q68+'Cash Flow'!R68+'Cash Flow'!T68+'Cash Flow'!U68)/(1+$E$5)^$A77</f>
        <v>685523.30767737899</v>
      </c>
      <c r="F77" s="140">
        <f ca="1">('Cash Flow'!CC68+'Cash Flow'!CD68)/(1+$F$5)^$A77</f>
        <v>616517.31759220827</v>
      </c>
      <c r="G77" s="140">
        <f ca="1">('Cash Flow'!CG68+'Cash Flow'!CH68)/(1+$G$5)^$A77</f>
        <v>0</v>
      </c>
    </row>
    <row r="78" spans="1:7" x14ac:dyDescent="0.2">
      <c r="A78" s="27">
        <f>'Cash Flow'!A69</f>
        <v>63</v>
      </c>
      <c r="B78" s="135">
        <f>'Cash Flow'!B69</f>
        <v>41030</v>
      </c>
      <c r="C78" s="136">
        <f>'Cash Flow'!C69</f>
        <v>8.3333333333333329E-2</v>
      </c>
      <c r="D78" s="55"/>
      <c r="E78" s="140">
        <f ca="1">('Cash Flow'!Q69+'Cash Flow'!R69+'Cash Flow'!T69+'Cash Flow'!U69)/(1+$E$5)^$A78</f>
        <v>677382.57486428483</v>
      </c>
      <c r="F78" s="140">
        <f ca="1">('Cash Flow'!CC69+'Cash Flow'!CD69)/(1+$F$5)^$A78</f>
        <v>608156.4038063396</v>
      </c>
      <c r="G78" s="140">
        <f ca="1">('Cash Flow'!CG69+'Cash Flow'!CH69)/(1+$G$5)^$A78</f>
        <v>0</v>
      </c>
    </row>
    <row r="79" spans="1:7" x14ac:dyDescent="0.2">
      <c r="A79" s="27">
        <f>'Cash Flow'!A70</f>
        <v>64</v>
      </c>
      <c r="B79" s="135">
        <f>'Cash Flow'!B70</f>
        <v>41061</v>
      </c>
      <c r="C79" s="136">
        <f>'Cash Flow'!C70</f>
        <v>8.3333333333333329E-2</v>
      </c>
      <c r="D79" s="55"/>
      <c r="E79" s="140">
        <f ca="1">('Cash Flow'!Q70+'Cash Flow'!R70+'Cash Flow'!T70+'Cash Flow'!U70)/(1+$E$5)^$A79</f>
        <v>669336.57825054566</v>
      </c>
      <c r="F79" s="140">
        <f ca="1">('Cash Flow'!CC70+'Cash Flow'!CD70)/(1+$F$5)^$A79</f>
        <v>599909.70583347767</v>
      </c>
      <c r="G79" s="140">
        <f ca="1">('Cash Flow'!CG70+'Cash Flow'!CH70)/(1+$G$5)^$A79</f>
        <v>0</v>
      </c>
    </row>
    <row r="80" spans="1:7" x14ac:dyDescent="0.2">
      <c r="A80" s="27">
        <f>'Cash Flow'!A71</f>
        <v>65</v>
      </c>
      <c r="B80" s="135">
        <f>'Cash Flow'!B71</f>
        <v>41091</v>
      </c>
      <c r="C80" s="136">
        <f>'Cash Flow'!C71</f>
        <v>8.3333333333333329E-2</v>
      </c>
      <c r="D80" s="55"/>
      <c r="E80" s="140">
        <f ca="1">('Cash Flow'!Q71+'Cash Flow'!R71+'Cash Flow'!T71+'Cash Flow'!U71)/(1+$E$5)^$A80</f>
        <v>661384.22324057831</v>
      </c>
      <c r="F80" s="140">
        <f ca="1">('Cash Flow'!CC71+'Cash Flow'!CD71)/(1+$F$5)^$A80</f>
        <v>591775.64473587624</v>
      </c>
      <c r="G80" s="140">
        <f ca="1">('Cash Flow'!CG71+'Cash Flow'!CH71)/(1+$G$5)^$A80</f>
        <v>0</v>
      </c>
    </row>
    <row r="81" spans="1:7" x14ac:dyDescent="0.2">
      <c r="A81" s="27">
        <f>'Cash Flow'!A72</f>
        <v>66</v>
      </c>
      <c r="B81" s="135">
        <f>'Cash Flow'!B72</f>
        <v>41122</v>
      </c>
      <c r="C81" s="136">
        <f>'Cash Flow'!C72</f>
        <v>8.3333333333333329E-2</v>
      </c>
      <c r="D81" s="55"/>
      <c r="E81" s="140">
        <f ca="1">('Cash Flow'!Q72+'Cash Flow'!R72+'Cash Flow'!T72+'Cash Flow'!U72)/(1+$E$5)^$A81</f>
        <v>653524.42785213527</v>
      </c>
      <c r="F81" s="140">
        <f ca="1">('Cash Flow'!CC72+'Cash Flow'!CD72)/(1+$F$5)^$A81</f>
        <v>583752.66380406835</v>
      </c>
      <c r="G81" s="140">
        <f ca="1">('Cash Flow'!CG72+'Cash Flow'!CH72)/(1+$G$5)^$A81</f>
        <v>0</v>
      </c>
    </row>
    <row r="82" spans="1:7" x14ac:dyDescent="0.2">
      <c r="A82" s="27">
        <f>'Cash Flow'!A73</f>
        <v>67</v>
      </c>
      <c r="B82" s="135">
        <f>'Cash Flow'!B73</f>
        <v>41153</v>
      </c>
      <c r="C82" s="136">
        <f>'Cash Flow'!C73</f>
        <v>8.3333333333333329E-2</v>
      </c>
      <c r="D82" s="55"/>
      <c r="E82" s="140">
        <f ca="1">('Cash Flow'!Q73+'Cash Flow'!R73+'Cash Flow'!T73+'Cash Flow'!U73)/(1+$E$5)^$A82</f>
        <v>645756.12257119303</v>
      </c>
      <c r="F82" s="140">
        <f ca="1">('Cash Flow'!CC73+'Cash Flow'!CD73)/(1+$F$5)^$A82</f>
        <v>575839.22823695175</v>
      </c>
      <c r="G82" s="140">
        <f ca="1">('Cash Flow'!CG73+'Cash Flow'!CH73)/(1+$G$5)^$A82</f>
        <v>0</v>
      </c>
    </row>
    <row r="83" spans="1:7" x14ac:dyDescent="0.2">
      <c r="A83" s="27">
        <f>'Cash Flow'!A74</f>
        <v>68</v>
      </c>
      <c r="B83" s="135">
        <f>'Cash Flow'!B74</f>
        <v>41183</v>
      </c>
      <c r="C83" s="136">
        <f>'Cash Flow'!C74</f>
        <v>8.3333333333333329E-2</v>
      </c>
      <c r="D83" s="55"/>
      <c r="E83" s="140">
        <f ca="1">('Cash Flow'!Q74+'Cash Flow'!R74+'Cash Flow'!T74+'Cash Flow'!U74)/(1+$E$5)^$A83</f>
        <v>638078.25020837469</v>
      </c>
      <c r="F83" s="140">
        <f ca="1">('Cash Flow'!CC74+'Cash Flow'!CD74)/(1+$F$5)^$A83</f>
        <v>568033.82482646999</v>
      </c>
      <c r="G83" s="140">
        <f ca="1">('Cash Flow'!CG74+'Cash Flow'!CH74)/(1+$G$5)^$A83</f>
        <v>0</v>
      </c>
    </row>
    <row r="84" spans="1:7" x14ac:dyDescent="0.2">
      <c r="A84" s="27">
        <f>'Cash Flow'!A75</f>
        <v>69</v>
      </c>
      <c r="B84" s="135">
        <f>'Cash Flow'!B75</f>
        <v>41214</v>
      </c>
      <c r="C84" s="136">
        <f>'Cash Flow'!C75</f>
        <v>8.3333333333333329E-2</v>
      </c>
      <c r="D84" s="55"/>
      <c r="E84" s="140">
        <f ca="1">('Cash Flow'!Q75+'Cash Flow'!R75+'Cash Flow'!T75+'Cash Flow'!U75)/(1+$E$5)^$A84</f>
        <v>630489.76575701986</v>
      </c>
      <c r="F84" s="140">
        <f ca="1">('Cash Flow'!CC75+'Cash Flow'!CD75)/(1+$F$5)^$A84</f>
        <v>560334.96164693893</v>
      </c>
      <c r="G84" s="140">
        <f ca="1">('Cash Flow'!CG75+'Cash Flow'!CH75)/(1+$G$5)^$A84</f>
        <v>0</v>
      </c>
    </row>
    <row r="85" spans="1:7" x14ac:dyDescent="0.2">
      <c r="A85" s="27">
        <f>'Cash Flow'!A76</f>
        <v>70</v>
      </c>
      <c r="B85" s="135">
        <f>'Cash Flow'!B76</f>
        <v>41244</v>
      </c>
      <c r="C85" s="136">
        <f>'Cash Flow'!C76</f>
        <v>8.3333333333333329E-2</v>
      </c>
      <c r="D85" s="55"/>
      <c r="E85" s="140">
        <f ca="1">('Cash Flow'!Q76+'Cash Flow'!R76+'Cash Flow'!T76+'Cash Flow'!U76)/(1+$E$5)^$A85</f>
        <v>622989.63625302212</v>
      </c>
      <c r="F85" s="140">
        <f ca="1">('Cash Flow'!CC76+'Cash Flow'!CD76)/(1+$F$5)^$A85</f>
        <v>552741.16774907941</v>
      </c>
      <c r="G85" s="140">
        <f ca="1">('Cash Flow'!CG76+'Cash Flow'!CH76)/(1+$G$5)^$A85</f>
        <v>0</v>
      </c>
    </row>
    <row r="86" spans="1:7" x14ac:dyDescent="0.2">
      <c r="A86" s="27">
        <f>'Cash Flow'!A77</f>
        <v>71</v>
      </c>
      <c r="B86" s="135">
        <f>'Cash Flow'!B77</f>
        <v>41275</v>
      </c>
      <c r="C86" s="136">
        <f>'Cash Flow'!C77</f>
        <v>8.3333333333333329E-2</v>
      </c>
      <c r="D86" s="55"/>
      <c r="E86" s="140">
        <f ca="1">('Cash Flow'!Q77+'Cash Flow'!R77+'Cash Flow'!T77+'Cash Flow'!U77)/(1+$E$5)^$A86</f>
        <v>615576.84063613159</v>
      </c>
      <c r="F86" s="140">
        <f ca="1">('Cash Flow'!CC77+'Cash Flow'!CD77)/(1+$F$5)^$A86</f>
        <v>545250.99285842187</v>
      </c>
      <c r="G86" s="140">
        <f ca="1">('Cash Flow'!CG77+'Cash Flow'!CH77)/(1+$G$5)^$A86</f>
        <v>0</v>
      </c>
    </row>
    <row r="87" spans="1:7" x14ac:dyDescent="0.2">
      <c r="A87" s="27">
        <f>'Cash Flow'!A78</f>
        <v>72</v>
      </c>
      <c r="B87" s="135">
        <f>'Cash Flow'!B78</f>
        <v>41306</v>
      </c>
      <c r="C87" s="136">
        <f>'Cash Flow'!C78</f>
        <v>8.3333333333333329E-2</v>
      </c>
      <c r="D87" s="55"/>
      <c r="E87" s="140">
        <f ca="1">('Cash Flow'!Q78+'Cash Flow'!R78+'Cash Flow'!T78+'Cash Flow'!U78)/(1+$E$5)^$A87</f>
        <v>608250.36961293896</v>
      </c>
      <c r="F87" s="140">
        <f ca="1">('Cash Flow'!CC78+'Cash Flow'!CD78)/(1+$F$5)^$A87</f>
        <v>537863.00707823411</v>
      </c>
      <c r="G87" s="140">
        <f ca="1">('Cash Flow'!CG78+'Cash Flow'!CH78)/(1+$G$5)^$A87</f>
        <v>0</v>
      </c>
    </row>
    <row r="88" spans="1:7" x14ac:dyDescent="0.2">
      <c r="A88" s="27">
        <f>'Cash Flow'!A79</f>
        <v>73</v>
      </c>
      <c r="B88" s="135">
        <f>'Cash Flow'!B79</f>
        <v>41334</v>
      </c>
      <c r="C88" s="136">
        <f>'Cash Flow'!C79</f>
        <v>8.3333333333333329E-2</v>
      </c>
      <c r="D88" s="55"/>
      <c r="E88" s="140">
        <f ca="1">('Cash Flow'!Q79+'Cash Flow'!R79+'Cash Flow'!T79+'Cash Flow'!U79)/(1+$E$5)^$A88</f>
        <v>601009.22552138846</v>
      </c>
      <c r="F88" s="140">
        <f ca="1">('Cash Flow'!CC79+'Cash Flow'!CD79)/(1+$F$5)^$A88</f>
        <v>530575.80059677968</v>
      </c>
      <c r="G88" s="140">
        <f ca="1">('Cash Flow'!CG79+'Cash Flow'!CH79)/(1+$G$5)^$A88</f>
        <v>0</v>
      </c>
    </row>
    <row r="89" spans="1:7" x14ac:dyDescent="0.2">
      <c r="A89" s="27">
        <f>'Cash Flow'!A80</f>
        <v>74</v>
      </c>
      <c r="B89" s="135">
        <f>'Cash Flow'!B80</f>
        <v>41365</v>
      </c>
      <c r="C89" s="136">
        <f>'Cash Flow'!C80</f>
        <v>8.3333333333333329E-2</v>
      </c>
      <c r="D89" s="55"/>
      <c r="E89" s="140">
        <f ca="1">('Cash Flow'!Q80+'Cash Flow'!R80+'Cash Flow'!T80+'Cash Flow'!U80)/(1+$E$5)^$A89</f>
        <v>593852.42219688895</v>
      </c>
      <c r="F89" s="140">
        <f ca="1">('Cash Flow'!CC80+'Cash Flow'!CD80)/(1+$F$5)^$A89</f>
        <v>523387.98339892231</v>
      </c>
      <c r="G89" s="140">
        <f ca="1">('Cash Flow'!CG80+'Cash Flow'!CH80)/(1+$G$5)^$A89</f>
        <v>0</v>
      </c>
    </row>
    <row r="90" spans="1:7" x14ac:dyDescent="0.2">
      <c r="A90" s="27">
        <f>'Cash Flow'!A81</f>
        <v>75</v>
      </c>
      <c r="B90" s="135">
        <f>'Cash Flow'!B81</f>
        <v>41395</v>
      </c>
      <c r="C90" s="136">
        <f>'Cash Flow'!C81</f>
        <v>8.3333333333333329E-2</v>
      </c>
      <c r="D90" s="55"/>
      <c r="E90" s="140">
        <f ca="1">('Cash Flow'!Q81+'Cash Flow'!R81+'Cash Flow'!T81+'Cash Flow'!U81)/(1+$E$5)^$A90</f>
        <v>586778.98483994161</v>
      </c>
      <c r="F90" s="140">
        <f ca="1">('Cash Flow'!CC81+'Cash Flow'!CD81)/(1+$F$5)^$A90</f>
        <v>516298.18498195108</v>
      </c>
      <c r="G90" s="140">
        <f ca="1">('Cash Flow'!CG81+'Cash Flow'!CH81)/(1+$G$5)^$A90</f>
        <v>0</v>
      </c>
    </row>
    <row r="91" spans="1:7" x14ac:dyDescent="0.2">
      <c r="A91" s="27">
        <f>'Cash Flow'!A82</f>
        <v>76</v>
      </c>
      <c r="B91" s="135">
        <f>'Cash Flow'!B82</f>
        <v>41426</v>
      </c>
      <c r="C91" s="136">
        <f>'Cash Flow'!C82</f>
        <v>8.3333333333333329E-2</v>
      </c>
      <c r="D91" s="55"/>
      <c r="E91" s="140">
        <f ca="1">('Cash Flow'!Q82+'Cash Flow'!R82+'Cash Flow'!T82+'Cash Flow'!U82)/(1+$E$5)^$A91</f>
        <v>579787.94988531654</v>
      </c>
      <c r="F91" s="140">
        <f ca="1">('Cash Flow'!CC82+'Cash Flow'!CD82)/(1+$F$5)^$A91</f>
        <v>509305.05407561245</v>
      </c>
      <c r="G91" s="140">
        <f ca="1">('Cash Flow'!CG82+'Cash Flow'!CH82)/(1+$G$5)^$A91</f>
        <v>0</v>
      </c>
    </row>
    <row r="92" spans="1:7" x14ac:dyDescent="0.2">
      <c r="A92" s="27">
        <f>'Cash Flow'!A83</f>
        <v>77</v>
      </c>
      <c r="B92" s="135">
        <f>'Cash Flow'!B83</f>
        <v>41456</v>
      </c>
      <c r="C92" s="136">
        <f>'Cash Flow'!C83</f>
        <v>8.3333333333333329E-2</v>
      </c>
      <c r="D92" s="55"/>
      <c r="E92" s="140">
        <f ca="1">('Cash Flow'!Q83+'Cash Flow'!R83+'Cash Flow'!T83+'Cash Flow'!U83)/(1+$E$5)^$A92</f>
        <v>572878.3648726939</v>
      </c>
      <c r="F92" s="140">
        <f ca="1">('Cash Flow'!CC83+'Cash Flow'!CD83)/(1+$F$5)^$A92</f>
        <v>502407.25836621755</v>
      </c>
      <c r="G92" s="140">
        <f ca="1">('Cash Flow'!CG83+'Cash Flow'!CH83)/(1+$G$5)^$A92</f>
        <v>0</v>
      </c>
    </row>
    <row r="93" spans="1:7" x14ac:dyDescent="0.2">
      <c r="A93" s="27">
        <f>'Cash Flow'!A84</f>
        <v>78</v>
      </c>
      <c r="B93" s="135">
        <f>'Cash Flow'!B84</f>
        <v>41487</v>
      </c>
      <c r="C93" s="136">
        <f>'Cash Flow'!C84</f>
        <v>8.3333333333333329E-2</v>
      </c>
      <c r="D93" s="55"/>
      <c r="E93" s="140">
        <f ca="1">('Cash Flow'!Q84+'Cash Flow'!R84+'Cash Flow'!T84+'Cash Flow'!U84)/(1+$E$5)^$A93</f>
        <v>566049.28831881064</v>
      </c>
      <c r="F93" s="140">
        <f ca="1">('Cash Flow'!CC84+'Cash Flow'!CD84)/(1+$F$5)^$A93</f>
        <v>495603.48422482319</v>
      </c>
      <c r="G93" s="140">
        <f ca="1">('Cash Flow'!CG84+'Cash Flow'!CH84)/(1+$G$5)^$A93</f>
        <v>0</v>
      </c>
    </row>
    <row r="94" spans="1:7" x14ac:dyDescent="0.2">
      <c r="A94" s="27">
        <f>'Cash Flow'!A85</f>
        <v>79</v>
      </c>
      <c r="B94" s="135">
        <f>'Cash Flow'!B85</f>
        <v>41518</v>
      </c>
      <c r="C94" s="136">
        <f>'Cash Flow'!C85</f>
        <v>8.3333333333333329E-2</v>
      </c>
      <c r="D94" s="55"/>
      <c r="E94" s="140">
        <f ca="1">('Cash Flow'!Q85+'Cash Flow'!R85+'Cash Flow'!T85+'Cash Flow'!U85)/(1+$E$5)^$A94</f>
        <v>559299.78959111811</v>
      </c>
      <c r="F94" s="140">
        <f ca="1">('Cash Flow'!CC85+'Cash Flow'!CD85)/(1+$F$5)^$A94</f>
        <v>488892.43643944326</v>
      </c>
      <c r="G94" s="140">
        <f ca="1">('Cash Flow'!CG85+'Cash Flow'!CH85)/(1+$G$5)^$A94</f>
        <v>0</v>
      </c>
    </row>
    <row r="95" spans="1:7" x14ac:dyDescent="0.2">
      <c r="A95" s="27">
        <f>'Cash Flow'!A86</f>
        <v>80</v>
      </c>
      <c r="B95" s="135">
        <f>'Cash Flow'!B86</f>
        <v>41548</v>
      </c>
      <c r="C95" s="136">
        <f>'Cash Flow'!C86</f>
        <v>8.3333333333333329E-2</v>
      </c>
      <c r="D95" s="55"/>
      <c r="E95" s="140">
        <f ca="1">('Cash Flow'!Q86+'Cash Flow'!R86+'Cash Flow'!T86+'Cash Flow'!U86)/(1+$E$5)^$A95</f>
        <v>552628.9487828142</v>
      </c>
      <c r="F95" s="140">
        <f ca="1">('Cash Flow'!CC86+'Cash Flow'!CD86)/(1+$F$5)^$A95</f>
        <v>482272.83795111912</v>
      </c>
      <c r="G95" s="140">
        <f ca="1">('Cash Flow'!CG86+'Cash Flow'!CH86)/(1+$G$5)^$A95</f>
        <v>0</v>
      </c>
    </row>
    <row r="96" spans="1:7" x14ac:dyDescent="0.2">
      <c r="A96" s="27">
        <f>'Cash Flow'!A87</f>
        <v>81</v>
      </c>
      <c r="B96" s="135">
        <f>'Cash Flow'!B87</f>
        <v>41579</v>
      </c>
      <c r="C96" s="136">
        <f>'Cash Flow'!C87</f>
        <v>8.3333333333333329E-2</v>
      </c>
      <c r="D96" s="55"/>
      <c r="E96" s="140">
        <f ca="1">('Cash Flow'!Q87+'Cash Flow'!R87+'Cash Flow'!T87+'Cash Flow'!U87)/(1+$E$5)^$A96</f>
        <v>546035.85658940417</v>
      </c>
      <c r="F96" s="140">
        <f ca="1">('Cash Flow'!CC87+'Cash Flow'!CD87)/(1+$F$5)^$A96</f>
        <v>475743.42959394853</v>
      </c>
      <c r="G96" s="140">
        <f ca="1">('Cash Flow'!CG87+'Cash Flow'!CH87)/(1+$G$5)^$A96</f>
        <v>0</v>
      </c>
    </row>
    <row r="97" spans="1:7" x14ac:dyDescent="0.2">
      <c r="A97" s="27">
        <f>'Cash Flow'!A88</f>
        <v>82</v>
      </c>
      <c r="B97" s="135">
        <f>'Cash Flow'!B88</f>
        <v>41609</v>
      </c>
      <c r="C97" s="136">
        <f>'Cash Flow'!C88</f>
        <v>8.3333333333333329E-2</v>
      </c>
      <c r="D97" s="55"/>
      <c r="E97" s="140">
        <f ca="1">('Cash Flow'!Q88+'Cash Flow'!R88+'Cash Flow'!T88+'Cash Flow'!U88)/(1+$E$5)^$A97</f>
        <v>539519.61418660346</v>
      </c>
      <c r="F97" s="140">
        <f ca="1">('Cash Flow'!CC88+'Cash Flow'!CD88)/(1+$F$5)^$A97</f>
        <v>469302.96983885963</v>
      </c>
      <c r="G97" s="140">
        <f ca="1">('Cash Flow'!CG88+'Cash Flow'!CH88)/(1+$G$5)^$A97</f>
        <v>0</v>
      </c>
    </row>
    <row r="98" spans="1:7" x14ac:dyDescent="0.2">
      <c r="A98" s="27">
        <f>'Cash Flow'!A89</f>
        <v>83</v>
      </c>
      <c r="B98" s="135">
        <f>'Cash Flow'!B89</f>
        <v>41640</v>
      </c>
      <c r="C98" s="136">
        <f>'Cash Flow'!C89</f>
        <v>8.3333333333333329E-2</v>
      </c>
      <c r="D98" s="55"/>
      <c r="E98" s="140">
        <f ca="1">('Cash Flow'!Q89+'Cash Flow'!R89+'Cash Flow'!T89+'Cash Flow'!U89)/(1+$E$5)^$A98</f>
        <v>533079.33310967777</v>
      </c>
      <c r="F98" s="140">
        <f ca="1">('Cash Flow'!CC89+'Cash Flow'!CD89)/(1+$F$5)^$A98</f>
        <v>462950.23454117216</v>
      </c>
      <c r="G98" s="140">
        <f ca="1">('Cash Flow'!CG89+'Cash Flow'!CH89)/(1+$G$5)^$A98</f>
        <v>0</v>
      </c>
    </row>
    <row r="99" spans="1:7" x14ac:dyDescent="0.2">
      <c r="A99" s="27">
        <f>'Cash Flow'!A90</f>
        <v>84</v>
      </c>
      <c r="B99" s="135">
        <f>'Cash Flow'!B90</f>
        <v>41671</v>
      </c>
      <c r="C99" s="136">
        <f>'Cash Flow'!C90</f>
        <v>8.3333333333333329E-2</v>
      </c>
      <c r="D99" s="55"/>
      <c r="E99" s="140">
        <f ca="1">('Cash Flow'!Q90+'Cash Flow'!R90+'Cash Flow'!T90+'Cash Flow'!U90)/(1+$E$5)^$A99</f>
        <v>526714.13513420662</v>
      </c>
      <c r="F99" s="140">
        <f ca="1">('Cash Flow'!CC90+'Cash Flow'!CD90)/(1+$F$5)^$A99</f>
        <v>456684.01669189165</v>
      </c>
      <c r="G99" s="140">
        <f ca="1">('Cash Flow'!CG90+'Cash Flow'!CH90)/(1+$G$5)^$A99</f>
        <v>0</v>
      </c>
    </row>
    <row r="100" spans="1:7" x14ac:dyDescent="0.2">
      <c r="A100" s="27">
        <f>'Cash Flow'!A91</f>
        <v>85</v>
      </c>
      <c r="B100" s="135">
        <f>'Cash Flow'!B91</f>
        <v>41699</v>
      </c>
      <c r="C100" s="136">
        <f>'Cash Flow'!C91</f>
        <v>8.3333333333333329E-2</v>
      </c>
      <c r="D100" s="55"/>
      <c r="E100" s="140">
        <f ca="1">('Cash Flow'!Q91+'Cash Flow'!R91+'Cash Flow'!T91+'Cash Flow'!U91)/(1+$E$5)^$A100</f>
        <v>520423.15215815307</v>
      </c>
      <c r="F100" s="140">
        <f ca="1">('Cash Flow'!CC91+'Cash Flow'!CD91)/(1+$F$5)^$A100</f>
        <v>450503.12617259292</v>
      </c>
      <c r="G100" s="140">
        <f ca="1">('Cash Flow'!CG91+'Cash Flow'!CH91)/(1+$G$5)^$A100</f>
        <v>0</v>
      </c>
    </row>
    <row r="101" spans="1:7" x14ac:dyDescent="0.2">
      <c r="A101" s="27">
        <f>'Cash Flow'!A92</f>
        <v>86</v>
      </c>
      <c r="B101" s="135">
        <f>'Cash Flow'!B92</f>
        <v>41730</v>
      </c>
      <c r="C101" s="136">
        <f>'Cash Flow'!C92</f>
        <v>8.3333333333333329E-2</v>
      </c>
      <c r="D101" s="55"/>
      <c r="E101" s="140">
        <f ca="1">('Cash Flow'!Q92+'Cash Flow'!R92+'Cash Flow'!T92+'Cash Flow'!U92)/(1+$E$5)^$A101</f>
        <v>514205.52608531696</v>
      </c>
      <c r="F101" s="140">
        <f ca="1">('Cash Flow'!CC92+'Cash Flow'!CD92)/(1+$F$5)^$A101</f>
        <v>444406.38951391523</v>
      </c>
      <c r="G101" s="140">
        <f ca="1">('Cash Flow'!CG92+'Cash Flow'!CH92)/(1+$G$5)^$A101</f>
        <v>0</v>
      </c>
    </row>
    <row r="102" spans="1:7" x14ac:dyDescent="0.2">
      <c r="A102" s="27">
        <f>'Cash Flow'!A93</f>
        <v>87</v>
      </c>
      <c r="B102" s="135">
        <f>'Cash Flow'!B93</f>
        <v>41760</v>
      </c>
      <c r="C102" s="136">
        <f>'Cash Flow'!C93</f>
        <v>8.3333333333333329E-2</v>
      </c>
      <c r="D102" s="55"/>
      <c r="E102" s="140">
        <f ca="1">('Cash Flow'!Q93+'Cash Flow'!R93+'Cash Flow'!T93+'Cash Flow'!U93)/(1+$E$5)^$A102</f>
        <v>508060.40871016926</v>
      </c>
      <c r="F102" s="140">
        <f ca="1">('Cash Flow'!CC93+'Cash Flow'!CD93)/(1+$F$5)^$A102</f>
        <v>438392.64965763537</v>
      </c>
      <c r="G102" s="140">
        <f ca="1">('Cash Flow'!CG93+'Cash Flow'!CH93)/(1+$G$5)^$A102</f>
        <v>0</v>
      </c>
    </row>
    <row r="103" spans="1:7" x14ac:dyDescent="0.2">
      <c r="A103" s="27">
        <f>'Cash Flow'!A94</f>
        <v>88</v>
      </c>
      <c r="B103" s="135">
        <f>'Cash Flow'!B94</f>
        <v>41791</v>
      </c>
      <c r="C103" s="136">
        <f>'Cash Flow'!C94</f>
        <v>8.3333333333333329E-2</v>
      </c>
      <c r="D103" s="55"/>
      <c r="E103" s="140">
        <f ca="1">('Cash Flow'!Q94+'Cash Flow'!R94+'Cash Flow'!T94+'Cash Flow'!U94)/(1+$E$5)^$A103</f>
        <v>501986.96160393558</v>
      </c>
      <c r="F103" s="140">
        <f ca="1">('Cash Flow'!CC94+'Cash Flow'!CD94)/(1+$F$5)^$A103</f>
        <v>432460.76572215307</v>
      </c>
      <c r="G103" s="140">
        <f ca="1">('Cash Flow'!CG94+'Cash Flow'!CH94)/(1+$G$5)^$A103</f>
        <v>0</v>
      </c>
    </row>
    <row r="104" spans="1:7" x14ac:dyDescent="0.2">
      <c r="A104" s="27">
        <f>'Cash Flow'!A95</f>
        <v>89</v>
      </c>
      <c r="B104" s="135">
        <f>'Cash Flow'!B95</f>
        <v>41821</v>
      </c>
      <c r="C104" s="136">
        <f>'Cash Flow'!C95</f>
        <v>8.3333333333333329E-2</v>
      </c>
      <c r="D104" s="55"/>
      <c r="E104" s="140">
        <f ca="1">('Cash Flow'!Q95+'Cash Flow'!R95+'Cash Flow'!T95+'Cash Flow'!U95)/(1+$E$5)^$A104</f>
        <v>495984.35600206687</v>
      </c>
      <c r="F104" s="140">
        <f ca="1">('Cash Flow'!CC95+'Cash Flow'!CD95)/(1+$F$5)^$A104</f>
        <v>426609.61277147825</v>
      </c>
      <c r="G104" s="140">
        <f ca="1">('Cash Flow'!CG95+'Cash Flow'!CH95)/(1+$G$5)^$A104</f>
        <v>0</v>
      </c>
    </row>
    <row r="105" spans="1:7" x14ac:dyDescent="0.2">
      <c r="A105" s="27">
        <f>'Cash Flow'!A96</f>
        <v>90</v>
      </c>
      <c r="B105" s="135">
        <f>'Cash Flow'!B96</f>
        <v>41852</v>
      </c>
      <c r="C105" s="136">
        <f>'Cash Flow'!C96</f>
        <v>8.3333333333333329E-2</v>
      </c>
      <c r="D105" s="55"/>
      <c r="E105" s="140">
        <f ca="1">('Cash Flow'!Q96+'Cash Flow'!R96+'Cash Flow'!T96+'Cash Flow'!U96)/(1+$E$5)^$A105</f>
        <v>490051.7726929452</v>
      </c>
      <c r="F105" s="140">
        <f ca="1">('Cash Flow'!CC96+'Cash Flow'!CD96)/(1+$F$5)^$A105</f>
        <v>420838.08158754656</v>
      </c>
      <c r="G105" s="140">
        <f ca="1">('Cash Flow'!CG96+'Cash Flow'!CH96)/(1+$G$5)^$A105</f>
        <v>0</v>
      </c>
    </row>
    <row r="106" spans="1:7" x14ac:dyDescent="0.2">
      <c r="A106" s="27">
        <f>'Cash Flow'!A97</f>
        <v>91</v>
      </c>
      <c r="B106" s="135">
        <f>'Cash Flow'!B97</f>
        <v>41883</v>
      </c>
      <c r="C106" s="136">
        <f>'Cash Flow'!C97</f>
        <v>8.3333333333333329E-2</v>
      </c>
      <c r="D106" s="55"/>
      <c r="E106" s="140">
        <f ca="1">('Cash Flow'!Q97+'Cash Flow'!R97+'Cash Flow'!T97+'Cash Flow'!U97)/(1+$E$5)^$A106</f>
        <v>484188.401907911</v>
      </c>
      <c r="F106" s="140">
        <f ca="1">('Cash Flow'!CC97+'Cash Flow'!CD97)/(1+$F$5)^$A106</f>
        <v>415145.07844589866</v>
      </c>
      <c r="G106" s="140">
        <f ca="1">('Cash Flow'!CG97+'Cash Flow'!CH97)/(1+$G$5)^$A106</f>
        <v>0</v>
      </c>
    </row>
    <row r="107" spans="1:7" x14ac:dyDescent="0.2">
      <c r="A107" s="27">
        <f>'Cash Flow'!A98</f>
        <v>92</v>
      </c>
      <c r="B107" s="135">
        <f>'Cash Flow'!B98</f>
        <v>41913</v>
      </c>
      <c r="C107" s="136">
        <f>'Cash Flow'!C98</f>
        <v>8.3333333333333329E-2</v>
      </c>
      <c r="D107" s="55"/>
      <c r="E107" s="140">
        <f ca="1">('Cash Flow'!Q98+'Cash Flow'!R98+'Cash Flow'!T98+'Cash Flow'!U98)/(1+$E$5)^$A107</f>
        <v>478393.44321253709</v>
      </c>
      <c r="F107" s="140">
        <f ca="1">('Cash Flow'!CC98+'Cash Flow'!CD98)/(1+$F$5)^$A107</f>
        <v>409529.52489462466</v>
      </c>
      <c r="G107" s="140">
        <f ca="1">('Cash Flow'!CG98+'Cash Flow'!CH98)/(1+$G$5)^$A107</f>
        <v>0</v>
      </c>
    </row>
    <row r="108" spans="1:7" x14ac:dyDescent="0.2">
      <c r="A108" s="27">
        <f>'Cash Flow'!A99</f>
        <v>93</v>
      </c>
      <c r="B108" s="135">
        <f>'Cash Flow'!B99</f>
        <v>41944</v>
      </c>
      <c r="C108" s="136">
        <f>'Cash Flow'!C99</f>
        <v>8.3333333333333329E-2</v>
      </c>
      <c r="D108" s="55"/>
      <c r="E108" s="140">
        <f ca="1">('Cash Flow'!Q99+'Cash Flow'!R99+'Cash Flow'!T99+'Cash Flow'!U99)/(1+$E$5)^$A108</f>
        <v>472666.10539912613</v>
      </c>
      <c r="F108" s="140">
        <f ca="1">('Cash Flow'!CC99+'Cash Flow'!CD99)/(1+$F$5)^$A108</f>
        <v>403990.35753651301</v>
      </c>
      <c r="G108" s="140">
        <f ca="1">('Cash Flow'!CG99+'Cash Flow'!CH99)/(1+$G$5)^$A108</f>
        <v>0</v>
      </c>
    </row>
    <row r="109" spans="1:7" x14ac:dyDescent="0.2">
      <c r="A109" s="27">
        <f>'Cash Flow'!A100</f>
        <v>94</v>
      </c>
      <c r="B109" s="135">
        <f>'Cash Flow'!B100</f>
        <v>41974</v>
      </c>
      <c r="C109" s="136">
        <f>'Cash Flow'!C100</f>
        <v>8.3333333333333329E-2</v>
      </c>
      <c r="D109" s="55"/>
      <c r="E109" s="140">
        <f ca="1">('Cash Flow'!Q100+'Cash Flow'!R100+'Cash Flow'!T100+'Cash Flow'!U100)/(1+$E$5)^$A109</f>
        <v>467005.6063805357</v>
      </c>
      <c r="F109" s="140">
        <f ca="1">('Cash Flow'!CC100+'Cash Flow'!CD100)/(1+$F$5)^$A109</f>
        <v>398526.52781446389</v>
      </c>
      <c r="G109" s="140">
        <f ca="1">('Cash Flow'!CG100+'Cash Flow'!CH100)/(1+$G$5)^$A109</f>
        <v>0</v>
      </c>
    </row>
    <row r="110" spans="1:7" x14ac:dyDescent="0.2">
      <c r="A110" s="27">
        <f>'Cash Flow'!A101</f>
        <v>95</v>
      </c>
      <c r="B110" s="135">
        <f>'Cash Flow'!B101</f>
        <v>42005</v>
      </c>
      <c r="C110" s="136">
        <f>'Cash Flow'!C101</f>
        <v>8.3333333333333329E-2</v>
      </c>
      <c r="D110" s="55"/>
      <c r="E110" s="140">
        <f ca="1">('Cash Flow'!Q101+'Cash Flow'!R101+'Cash Flow'!T101+'Cash Flow'!U101)/(1+$E$5)^$A110</f>
        <v>461411.17308511474</v>
      </c>
      <c r="F110" s="140">
        <f ca="1">('Cash Flow'!CC101+'Cash Flow'!CD101)/(1+$F$5)^$A110</f>
        <v>393137.00179993734</v>
      </c>
      <c r="G110" s="140">
        <f ca="1">('Cash Flow'!CG101+'Cash Flow'!CH101)/(1+$G$5)^$A110</f>
        <v>0</v>
      </c>
    </row>
    <row r="111" spans="1:7" x14ac:dyDescent="0.2">
      <c r="A111" s="27">
        <f>'Cash Flow'!A102</f>
        <v>96</v>
      </c>
      <c r="B111" s="135">
        <f>'Cash Flow'!B102</f>
        <v>42036</v>
      </c>
      <c r="C111" s="136">
        <f>'Cash Flow'!C102</f>
        <v>8.3333333333333329E-2</v>
      </c>
      <c r="D111" s="55"/>
      <c r="E111" s="140">
        <f ca="1">('Cash Flow'!Q102+'Cash Flow'!R102+'Cash Flow'!T102+'Cash Flow'!U102)/(1+$E$5)^$A111</f>
        <v>455882.04135291616</v>
      </c>
      <c r="F111" s="140">
        <f ca="1">('Cash Flow'!CC102+'Cash Flow'!CD102)/(1+$F$5)^$A111</f>
        <v>387820.7599845496</v>
      </c>
      <c r="G111" s="140">
        <f ca="1">('Cash Flow'!CG102+'Cash Flow'!CH102)/(1+$G$5)^$A111</f>
        <v>0</v>
      </c>
    </row>
    <row r="112" spans="1:7" x14ac:dyDescent="0.2">
      <c r="A112" s="27">
        <f>'Cash Flow'!A103</f>
        <v>97</v>
      </c>
      <c r="B112" s="135">
        <f>'Cash Flow'!B103</f>
        <v>42064</v>
      </c>
      <c r="C112" s="136">
        <f>'Cash Flow'!C103</f>
        <v>8.3333333333333329E-2</v>
      </c>
      <c r="D112" s="55"/>
      <c r="E112" s="140">
        <f ca="1">('Cash Flow'!Q103+'Cash Flow'!R103+'Cash Flow'!T103+'Cash Flow'!U103)/(1+$E$5)^$A112</f>
        <v>450417.45583309093</v>
      </c>
      <c r="F112" s="140">
        <f ca="1">('Cash Flow'!CC103+'Cash Flow'!CD103)/(1+$F$5)^$A112</f>
        <v>382576.79707469884</v>
      </c>
      <c r="G112" s="140">
        <f ca="1">('Cash Flow'!CG103+'Cash Flow'!CH103)/(1+$G$5)^$A112</f>
        <v>0</v>
      </c>
    </row>
    <row r="113" spans="1:7" x14ac:dyDescent="0.2">
      <c r="A113" s="27">
        <f>'Cash Flow'!A104</f>
        <v>98</v>
      </c>
      <c r="B113" s="135">
        <f>'Cash Flow'!B104</f>
        <v>42095</v>
      </c>
      <c r="C113" s="136">
        <f>'Cash Flow'!C104</f>
        <v>8.3333333333333329E-2</v>
      </c>
      <c r="D113" s="55"/>
      <c r="E113" s="140">
        <f ca="1">('Cash Flow'!Q104+'Cash Flow'!R104+'Cash Flow'!T104+'Cash Flow'!U104)/(1+$E$5)^$A113</f>
        <v>445016.66988245415</v>
      </c>
      <c r="F113" s="140">
        <f ca="1">('Cash Flow'!CC104+'Cash Flow'!CD104)/(1+$F$5)^$A113</f>
        <v>377404.12178917904</v>
      </c>
      <c r="G113" s="140">
        <f ca="1">('Cash Flow'!CG104+'Cash Flow'!CH104)/(1+$G$5)^$A113</f>
        <v>0</v>
      </c>
    </row>
    <row r="114" spans="1:7" x14ac:dyDescent="0.2">
      <c r="A114" s="27">
        <f>'Cash Flow'!A105</f>
        <v>99</v>
      </c>
      <c r="B114" s="135">
        <f>'Cash Flow'!B105</f>
        <v>42125</v>
      </c>
      <c r="C114" s="136">
        <f>'Cash Flow'!C105</f>
        <v>8.3333333333333329E-2</v>
      </c>
      <c r="D114" s="55"/>
      <c r="E114" s="140">
        <f ca="1">('Cash Flow'!Q105+'Cash Flow'!R105+'Cash Flow'!T105+'Cash Flow'!U105)/(1+$E$5)^$A114</f>
        <v>439678.94546521071</v>
      </c>
      <c r="F114" s="140">
        <f ca="1">('Cash Flow'!CC105+'Cash Flow'!CD105)/(1+$F$5)^$A114</f>
        <v>372301.75665973884</v>
      </c>
      <c r="G114" s="140">
        <f ca="1">('Cash Flow'!CG105+'Cash Flow'!CH105)/(1+$G$5)^$A114</f>
        <v>0</v>
      </c>
    </row>
    <row r="115" spans="1:7" x14ac:dyDescent="0.2">
      <c r="A115" s="27">
        <f>'Cash Flow'!A106</f>
        <v>100</v>
      </c>
      <c r="B115" s="135">
        <f>'Cash Flow'!B106</f>
        <v>42156</v>
      </c>
      <c r="C115" s="136">
        <f>'Cash Flow'!C106</f>
        <v>8.3333333333333329E-2</v>
      </c>
      <c r="D115" s="55"/>
      <c r="E115" s="140">
        <f ca="1">('Cash Flow'!Q106+'Cash Flow'!R106+'Cash Flow'!T106+'Cash Flow'!U106)/(1+$E$5)^$A115</f>
        <v>434403.55305387842</v>
      </c>
      <c r="F115" s="140">
        <f ca="1">('Cash Flow'!CC106+'Cash Flow'!CD106)/(1+$F$5)^$A115</f>
        <v>367268.73783458507</v>
      </c>
      <c r="G115" s="140">
        <f ca="1">('Cash Flow'!CG106+'Cash Flow'!CH106)/(1+$G$5)^$A115</f>
        <v>0</v>
      </c>
    </row>
    <row r="116" spans="1:7" x14ac:dyDescent="0.2">
      <c r="A116" s="27">
        <f>'Cash Flow'!A107</f>
        <v>101</v>
      </c>
      <c r="B116" s="135">
        <f>'Cash Flow'!B107</f>
        <v>42186</v>
      </c>
      <c r="C116" s="136">
        <f>'Cash Flow'!C107</f>
        <v>8.3333333333333329E-2</v>
      </c>
      <c r="D116" s="55"/>
      <c r="E116" s="140">
        <f ca="1">('Cash Flow'!Q107+'Cash Flow'!R107+'Cash Flow'!T107+'Cash Flow'!U107)/(1+$E$5)^$A116</f>
        <v>429189.77153128776</v>
      </c>
      <c r="F116" s="140">
        <f ca="1">('Cash Flow'!CC107+'Cash Flow'!CD107)/(1+$F$5)^$A116</f>
        <v>362304.11488469347</v>
      </c>
      <c r="G116" s="140">
        <f ca="1">('Cash Flow'!CG107+'Cash Flow'!CH107)/(1+$G$5)^$A116</f>
        <v>0</v>
      </c>
    </row>
    <row r="117" spans="1:7" x14ac:dyDescent="0.2">
      <c r="A117" s="27">
        <f>'Cash Flow'!A108</f>
        <v>102</v>
      </c>
      <c r="B117" s="135">
        <f>'Cash Flow'!B108</f>
        <v>42217</v>
      </c>
      <c r="C117" s="136">
        <f>'Cash Flow'!C108</f>
        <v>8.3333333333333329E-2</v>
      </c>
      <c r="D117" s="55"/>
      <c r="E117" s="140">
        <f ca="1">('Cash Flow'!Q108+'Cash Flow'!R108+'Cash Flow'!T108+'Cash Flow'!U108)/(1+$E$5)^$A117</f>
        <v>424036.88809377409</v>
      </c>
      <c r="F117" s="140">
        <f ca="1">('Cash Flow'!CC108+'Cash Flow'!CD108)/(1+$F$5)^$A117</f>
        <v>357406.95061299764</v>
      </c>
      <c r="G117" s="140">
        <f ca="1">('Cash Flow'!CG108+'Cash Flow'!CH108)/(1+$G$5)^$A117</f>
        <v>0</v>
      </c>
    </row>
    <row r="118" spans="1:7" x14ac:dyDescent="0.2">
      <c r="A118" s="27">
        <f>'Cash Flow'!A109</f>
        <v>103</v>
      </c>
      <c r="B118" s="135">
        <f>'Cash Flow'!B109</f>
        <v>42248</v>
      </c>
      <c r="C118" s="136">
        <f>'Cash Flow'!C109</f>
        <v>8.3333333333333329E-2</v>
      </c>
      <c r="D118" s="55"/>
      <c r="E118" s="140">
        <f ca="1">('Cash Flow'!Q109+'Cash Flow'!R109+'Cash Flow'!T109+'Cash Flow'!U109)/(1+$E$5)^$A118</f>
        <v>418944.19815540034</v>
      </c>
      <c r="F118" s="140">
        <f ca="1">('Cash Flow'!CC109+'Cash Flow'!CD109)/(1+$F$5)^$A118</f>
        <v>352576.32086628175</v>
      </c>
      <c r="G118" s="140">
        <f ca="1">('Cash Flow'!CG109+'Cash Flow'!CH109)/(1+$G$5)^$A118</f>
        <v>0</v>
      </c>
    </row>
    <row r="119" spans="1:7" x14ac:dyDescent="0.2">
      <c r="A119" s="27">
        <f>'Cash Flow'!A110</f>
        <v>104</v>
      </c>
      <c r="B119" s="135">
        <f>'Cash Flow'!B110</f>
        <v>42278</v>
      </c>
      <c r="C119" s="136">
        <f>'Cash Flow'!C110</f>
        <v>8.3333333333333329E-2</v>
      </c>
      <c r="D119" s="55"/>
      <c r="E119" s="140">
        <f ca="1">('Cash Flow'!Q110+'Cash Flow'!R110+'Cash Flow'!T110+'Cash Flow'!U110)/(1+$E$5)^$A119</f>
        <v>413911.00525339285</v>
      </c>
      <c r="F119" s="140">
        <f ca="1">('Cash Flow'!CC110+'Cash Flow'!CD110)/(1+$F$5)^$A119</f>
        <v>347811.31434991106</v>
      </c>
      <c r="G119" s="140">
        <f ca="1">('Cash Flow'!CG110+'Cash Flow'!CH110)/(1+$G$5)^$A119</f>
        <v>0</v>
      </c>
    </row>
    <row r="120" spans="1:7" x14ac:dyDescent="0.2">
      <c r="A120" s="27">
        <f>'Cash Flow'!A111</f>
        <v>105</v>
      </c>
      <c r="B120" s="135">
        <f>'Cash Flow'!B111</f>
        <v>42309</v>
      </c>
      <c r="C120" s="136">
        <f>'Cash Flow'!C111</f>
        <v>8.3333333333333329E-2</v>
      </c>
      <c r="D120" s="55"/>
      <c r="E120" s="140">
        <f ca="1">('Cash Flow'!Q111+'Cash Flow'!R111+'Cash Flow'!T111+'Cash Flow'!U111)/(1+$E$5)^$A120</f>
        <v>408936.62095457281</v>
      </c>
      <c r="F120" s="140">
        <f ca="1">('Cash Flow'!CC111+'Cash Flow'!CD111)/(1+$F$5)^$A120</f>
        <v>343111.03244517231</v>
      </c>
      <c r="G120" s="140">
        <f ca="1">('Cash Flow'!CG111+'Cash Flow'!CH111)/(1+$G$5)^$A120</f>
        <v>0</v>
      </c>
    </row>
    <row r="121" spans="1:7" x14ac:dyDescent="0.2">
      <c r="A121" s="27">
        <f>'Cash Flow'!A112</f>
        <v>106</v>
      </c>
      <c r="B121" s="135">
        <f>'Cash Flow'!B112</f>
        <v>42339</v>
      </c>
      <c r="C121" s="136">
        <f>'Cash Flow'!C112</f>
        <v>8.3333333333333329E-2</v>
      </c>
      <c r="D121" s="55"/>
      <c r="E121" s="140">
        <f ca="1">('Cash Flow'!Q112+'Cash Flow'!R112+'Cash Flow'!T112+'Cash Flow'!U112)/(1+$E$5)^$A121</f>
        <v>404020.36476289114</v>
      </c>
      <c r="F121" s="140">
        <f ca="1">('Cash Flow'!CC112+'Cash Flow'!CD112)/(1+$F$5)^$A121</f>
        <v>338474.58902929776</v>
      </c>
      <c r="G121" s="140">
        <f ca="1">('Cash Flow'!CG112+'Cash Flow'!CH112)/(1+$G$5)^$A121</f>
        <v>0</v>
      </c>
    </row>
    <row r="122" spans="1:7" x14ac:dyDescent="0.2">
      <c r="A122" s="27">
        <f>'Cash Flow'!A113</f>
        <v>107</v>
      </c>
      <c r="B122" s="135">
        <f>'Cash Flow'!B113</f>
        <v>42370</v>
      </c>
      <c r="C122" s="136">
        <f>'Cash Flow'!C113</f>
        <v>8.3333333333333329E-2</v>
      </c>
      <c r="D122" s="55"/>
      <c r="E122" s="140">
        <f ca="1">('Cash Flow'!Q113+'Cash Flow'!R113+'Cash Flow'!T113+'Cash Flow'!U113)/(1+$E$5)^$A122</f>
        <v>399161.56402804691</v>
      </c>
      <c r="F122" s="140">
        <f ca="1">('Cash Flow'!CC113+'Cash Flow'!CD113)/(1+$F$5)^$A122</f>
        <v>333901.11029812018</v>
      </c>
      <c r="G122" s="140">
        <f ca="1">('Cash Flow'!CG113+'Cash Flow'!CH113)/(1+$G$5)^$A122</f>
        <v>0</v>
      </c>
    </row>
    <row r="123" spans="1:7" x14ac:dyDescent="0.2">
      <c r="A123" s="27">
        <f>'Cash Flow'!A114</f>
        <v>108</v>
      </c>
      <c r="B123" s="135">
        <f>'Cash Flow'!B114</f>
        <v>42401</v>
      </c>
      <c r="C123" s="136">
        <f>'Cash Flow'!C114</f>
        <v>8.3333333333333329E-2</v>
      </c>
      <c r="D123" s="55"/>
      <c r="E123" s="140">
        <f ca="1">('Cash Flow'!Q114+'Cash Flow'!R114+'Cash Flow'!T114+'Cash Flow'!U114)/(1+$E$5)^$A123</f>
        <v>394359.55385515181</v>
      </c>
      <c r="F123" s="140">
        <f ca="1">('Cash Flow'!CC114+'Cash Flow'!CD114)/(1+$F$5)^$A123</f>
        <v>329389.73459130182</v>
      </c>
      <c r="G123" s="140">
        <f ca="1">('Cash Flow'!CG114+'Cash Flow'!CH114)/(1+$G$5)^$A123</f>
        <v>0</v>
      </c>
    </row>
    <row r="124" spans="1:7" x14ac:dyDescent="0.2">
      <c r="A124" s="27">
        <f>'Cash Flow'!A115</f>
        <v>109</v>
      </c>
      <c r="B124" s="135">
        <f>'Cash Flow'!B115</f>
        <v>42430</v>
      </c>
      <c r="C124" s="136">
        <f>'Cash Flow'!C115</f>
        <v>8.3333333333333329E-2</v>
      </c>
      <c r="D124" s="55"/>
      <c r="E124" s="140">
        <f ca="1">('Cash Flow'!Q115+'Cash Flow'!R115+'Cash Flow'!T115+'Cash Flow'!U115)/(1+$E$5)^$A124</f>
        <v>389613.6770154101</v>
      </c>
      <c r="F124" s="140">
        <f ca="1">('Cash Flow'!CC115+'Cash Flow'!CD115)/(1+$F$5)^$A124</f>
        <v>324939.61222007935</v>
      </c>
      <c r="G124" s="140">
        <f ca="1">('Cash Flow'!CG115+'Cash Flow'!CH115)/(1+$G$5)^$A124</f>
        <v>0</v>
      </c>
    </row>
    <row r="125" spans="1:7" x14ac:dyDescent="0.2">
      <c r="A125" s="27">
        <f>'Cash Flow'!A116</f>
        <v>110</v>
      </c>
      <c r="B125" s="135">
        <f>'Cash Flow'!B116</f>
        <v>42461</v>
      </c>
      <c r="C125" s="136">
        <f>'Cash Flow'!C116</f>
        <v>8.3333333333333329E-2</v>
      </c>
      <c r="D125" s="55"/>
      <c r="E125" s="140">
        <f ca="1">('Cash Flow'!Q116+'Cash Flow'!R116+'Cash Flow'!T116+'Cash Flow'!U116)/(1+$E$5)^$A125</f>
        <v>384923.28385783703</v>
      </c>
      <c r="F125" s="140">
        <f ca="1">('Cash Flow'!CC116+'Cash Flow'!CD116)/(1+$F$5)^$A125</f>
        <v>320549.90529752121</v>
      </c>
      <c r="G125" s="140">
        <f ca="1">('Cash Flow'!CG116+'Cash Flow'!CH116)/(1+$G$5)^$A125</f>
        <v>0</v>
      </c>
    </row>
    <row r="126" spans="1:7" x14ac:dyDescent="0.2">
      <c r="A126" s="27">
        <f>'Cash Flow'!A117</f>
        <v>111</v>
      </c>
      <c r="B126" s="135">
        <f>'Cash Flow'!B117</f>
        <v>42491</v>
      </c>
      <c r="C126" s="136">
        <f>'Cash Flow'!C117</f>
        <v>8.3333333333333329E-2</v>
      </c>
      <c r="D126" s="55"/>
      <c r="E126" s="140">
        <f ca="1">('Cash Flow'!Q117+'Cash Flow'!R117+'Cash Flow'!T117+'Cash Flow'!U117)/(1+$E$5)^$A126</f>
        <v>380287.73222201981</v>
      </c>
      <c r="F126" s="140">
        <f ca="1">('Cash Flow'!CC117+'Cash Flow'!CD117)/(1+$F$5)^$A126</f>
        <v>316219.78757127066</v>
      </c>
      <c r="G126" s="140">
        <f ca="1">('Cash Flow'!CG117+'Cash Flow'!CH117)/(1+$G$5)^$A126</f>
        <v>0</v>
      </c>
    </row>
    <row r="127" spans="1:7" x14ac:dyDescent="0.2">
      <c r="A127" s="27">
        <f>'Cash Flow'!A118</f>
        <v>112</v>
      </c>
      <c r="B127" s="135">
        <f>'Cash Flow'!B118</f>
        <v>42522</v>
      </c>
      <c r="C127" s="136">
        <f>'Cash Flow'!C118</f>
        <v>8.3333333333333329E-2</v>
      </c>
      <c r="D127" s="55"/>
      <c r="E127" s="140">
        <f ca="1">('Cash Flow'!Q118+'Cash Flow'!R118+'Cash Flow'!T118+'Cash Flow'!U118)/(1+$E$5)^$A127</f>
        <v>375706.38735184621</v>
      </c>
      <c r="F127" s="140">
        <f ca="1">('Cash Flow'!CC118+'Cash Flow'!CD118)/(1+$F$5)^$A127</f>
        <v>311948.44425868441</v>
      </c>
      <c r="G127" s="140">
        <f ca="1">('Cash Flow'!CG118+'Cash Flow'!CH118)/(1+$G$5)^$A127</f>
        <v>0</v>
      </c>
    </row>
    <row r="128" spans="1:7" x14ac:dyDescent="0.2">
      <c r="A128" s="27">
        <f>'Cash Flow'!A119</f>
        <v>113</v>
      </c>
      <c r="B128" s="135">
        <f>'Cash Flow'!B119</f>
        <v>42552</v>
      </c>
      <c r="C128" s="136">
        <f>'Cash Flow'!C119</f>
        <v>8.3333333333333329E-2</v>
      </c>
      <c r="D128" s="55"/>
      <c r="E128" s="140">
        <f ca="1">('Cash Flow'!Q119+'Cash Flow'!R119+'Cash Flow'!T119+'Cash Flow'!U119)/(1+$E$5)^$A128</f>
        <v>371178.6218102462</v>
      </c>
      <c r="F128" s="140">
        <f ca="1">('Cash Flow'!CC119+'Cash Flow'!CD119)/(1+$F$5)^$A128</f>
        <v>307735.07188438054</v>
      </c>
      <c r="G128" s="140">
        <f ca="1">('Cash Flow'!CG119+'Cash Flow'!CH119)/(1+$G$5)^$A128</f>
        <v>0</v>
      </c>
    </row>
    <row r="129" spans="1:7" x14ac:dyDescent="0.2">
      <c r="A129" s="27">
        <f>'Cash Flow'!A120</f>
        <v>114</v>
      </c>
      <c r="B129" s="135">
        <f>'Cash Flow'!B120</f>
        <v>42583</v>
      </c>
      <c r="C129" s="136">
        <f>'Cash Flow'!C120</f>
        <v>8.3333333333333329E-2</v>
      </c>
      <c r="D129" s="55"/>
      <c r="E129" s="140">
        <f ca="1">('Cash Flow'!Q120+'Cash Flow'!R120+'Cash Flow'!T120+'Cash Flow'!U120)/(1+$E$5)^$A129</f>
        <v>366703.8153949072</v>
      </c>
      <c r="F129" s="140">
        <f ca="1">('Cash Flow'!CC120+'Cash Flow'!CD120)/(1+$F$5)^$A129</f>
        <v>303578.87812013522</v>
      </c>
      <c r="G129" s="140">
        <f ca="1">('Cash Flow'!CG120+'Cash Flow'!CH120)/(1+$G$5)^$A129</f>
        <v>0</v>
      </c>
    </row>
    <row r="130" spans="1:7" x14ac:dyDescent="0.2">
      <c r="A130" s="27">
        <f>'Cash Flow'!A121</f>
        <v>115</v>
      </c>
      <c r="B130" s="135">
        <f>'Cash Flow'!B121</f>
        <v>42614</v>
      </c>
      <c r="C130" s="136">
        <f>'Cash Flow'!C121</f>
        <v>8.3333333333333329E-2</v>
      </c>
      <c r="D130" s="55"/>
      <c r="E130" s="140">
        <f ca="1">('Cash Flow'!Q121+'Cash Flow'!R121+'Cash Flow'!T121+'Cash Flow'!U121)/(1+$E$5)^$A130</f>
        <v>362281.35505496268</v>
      </c>
      <c r="F130" s="140">
        <f ca="1">('Cash Flow'!CC121+'Cash Flow'!CD121)/(1+$F$5)^$A130</f>
        <v>299479.08162710204</v>
      </c>
      <c r="G130" s="140">
        <f ca="1">('Cash Flow'!CG121+'Cash Flow'!CH121)/(1+$G$5)^$A130</f>
        <v>0</v>
      </c>
    </row>
    <row r="131" spans="1:7" x14ac:dyDescent="0.2">
      <c r="A131" s="27">
        <f>'Cash Flow'!A122</f>
        <v>116</v>
      </c>
      <c r="B131" s="135">
        <f>'Cash Flow'!B122</f>
        <v>42644</v>
      </c>
      <c r="C131" s="136">
        <f>'Cash Flow'!C122</f>
        <v>8.3333333333333329E-2</v>
      </c>
      <c r="D131" s="55"/>
      <c r="E131" s="140">
        <f ca="1">('Cash Flow'!Q122+'Cash Flow'!R122+'Cash Flow'!T122+'Cash Flow'!U122)/(1+$E$5)^$A131</f>
        <v>357910.63480863161</v>
      </c>
      <c r="F131" s="140">
        <f ca="1">('Cash Flow'!CC122+'Cash Flow'!CD122)/(1+$F$5)^$A131</f>
        <v>295434.91190031148</v>
      </c>
      <c r="G131" s="140">
        <f ca="1">('Cash Flow'!CG122+'Cash Flow'!CH122)/(1+$G$5)^$A131</f>
        <v>0</v>
      </c>
    </row>
    <row r="132" spans="1:7" x14ac:dyDescent="0.2">
      <c r="A132" s="27">
        <f>'Cash Flow'!A123</f>
        <v>117</v>
      </c>
      <c r="B132" s="135">
        <f>'Cash Flow'!B123</f>
        <v>42675</v>
      </c>
      <c r="C132" s="136">
        <f>'Cash Flow'!C123</f>
        <v>8.3333333333333329E-2</v>
      </c>
      <c r="D132" s="55"/>
      <c r="E132" s="140">
        <f ca="1">('Cash Flow'!Q123+'Cash Flow'!R123+'Cash Flow'!T123+'Cash Flow'!U123)/(1+$E$5)^$A132</f>
        <v>353591.05566183059</v>
      </c>
      <c r="F132" s="140">
        <f ca="1">('Cash Flow'!CC123+'Cash Flow'!CD123)/(1+$F$5)^$A132</f>
        <v>291445.60911544302</v>
      </c>
      <c r="G132" s="140">
        <f ca="1">('Cash Flow'!CG123+'Cash Flow'!CH123)/(1+$G$5)^$A132</f>
        <v>0</v>
      </c>
    </row>
    <row r="133" spans="1:7" x14ac:dyDescent="0.2">
      <c r="A133" s="27">
        <f>'Cash Flow'!A124</f>
        <v>118</v>
      </c>
      <c r="B133" s="135">
        <f>'Cash Flow'!B124</f>
        <v>42705</v>
      </c>
      <c r="C133" s="136">
        <f>'Cash Flow'!C124</f>
        <v>8.3333333333333329E-2</v>
      </c>
      <c r="D133" s="55"/>
      <c r="E133" s="140">
        <f ca="1">('Cash Flow'!Q124+'Cash Flow'!R124+'Cash Flow'!T124+'Cash Flow'!U124)/(1+$E$5)^$A133</f>
        <v>349322.02552767063</v>
      </c>
      <c r="F133" s="140">
        <f ca="1">('Cash Flow'!CC124+'Cash Flow'!CD124)/(1+$F$5)^$A133</f>
        <v>287510.42397777195</v>
      </c>
      <c r="G133" s="140">
        <f ca="1">('Cash Flow'!CG124+'Cash Flow'!CH124)/(1+$G$5)^$A133</f>
        <v>0</v>
      </c>
    </row>
    <row r="134" spans="1:7" x14ac:dyDescent="0.2">
      <c r="A134" s="27">
        <f>'Cash Flow'!A125</f>
        <v>119</v>
      </c>
      <c r="B134" s="135">
        <f>'Cash Flow'!B125</f>
        <v>42736</v>
      </c>
      <c r="C134" s="136">
        <f>'Cash Flow'!C125</f>
        <v>8.3333333333333329E-2</v>
      </c>
      <c r="D134" s="55"/>
      <c r="E134" s="140">
        <f ca="1">('Cash Flow'!Q125+'Cash Flow'!R125+'Cash Flow'!T125+'Cash Flow'!U125)/(1+$E$5)^$A134</f>
        <v>345102.95914695523</v>
      </c>
      <c r="F134" s="140">
        <f ca="1">('Cash Flow'!CC125+'Cash Flow'!CD125)/(1+$F$5)^$A134</f>
        <v>283628.6175733651</v>
      </c>
      <c r="G134" s="140">
        <f ca="1">('Cash Flow'!CG125+'Cash Flow'!CH125)/(1+$G$5)^$A134</f>
        <v>0</v>
      </c>
    </row>
    <row r="135" spans="1:7" x14ac:dyDescent="0.2">
      <c r="A135" s="27">
        <f>'Cash Flow'!A126</f>
        <v>120</v>
      </c>
      <c r="B135" s="135">
        <f>'Cash Flow'!B126</f>
        <v>42767</v>
      </c>
      <c r="C135" s="136">
        <f>'Cash Flow'!C126</f>
        <v>8.3333333333333329E-2</v>
      </c>
      <c r="D135" s="55"/>
      <c r="E135" s="140">
        <f ca="1">('Cash Flow'!Q126+'Cash Flow'!R126+'Cash Flow'!T126+'Cash Flow'!U126)/(1+$E$5)^$A135</f>
        <v>340933.27800951363</v>
      </c>
      <c r="F135" s="140">
        <f ca="1">('Cash Flow'!CC126+'Cash Flow'!CD126)/(1+$F$5)^$A135</f>
        <v>279799.46122236236</v>
      </c>
      <c r="G135" s="140">
        <f ca="1">('Cash Flow'!CG126+'Cash Flow'!CH126)/(1+$G$5)^$A135</f>
        <v>0</v>
      </c>
    </row>
    <row r="136" spans="1:7" x14ac:dyDescent="0.2">
      <c r="A136" s="27">
        <f>'Cash Flow'!A127</f>
        <v>121</v>
      </c>
      <c r="B136" s="135">
        <f>'Cash Flow'!B127</f>
        <v>42795</v>
      </c>
      <c r="C136" s="136">
        <f>'Cash Flow'!C127</f>
        <v>8.3333333333333329E-2</v>
      </c>
      <c r="D136" s="55"/>
      <c r="E136" s="140">
        <f ca="1">('Cash Flow'!Q127+'Cash Flow'!R127+'Cash Flow'!T127+'Cash Flow'!U127)/(1+$E$5)^$A136</f>
        <v>336812.41027651163</v>
      </c>
      <c r="F136" s="140">
        <f ca="1">('Cash Flow'!CC127+'Cash Flow'!CD127)/(1+$F$5)^$A136</f>
        <v>276022.23633444059</v>
      </c>
      <c r="G136" s="140">
        <f ca="1">('Cash Flow'!CG127+'Cash Flow'!CH127)/(1+$G$5)^$A136</f>
        <v>0</v>
      </c>
    </row>
    <row r="137" spans="1:7" x14ac:dyDescent="0.2">
      <c r="A137" s="27">
        <f>'Cash Flow'!A128</f>
        <v>122</v>
      </c>
      <c r="B137" s="135">
        <f>'Cash Flow'!B128</f>
        <v>42826</v>
      </c>
      <c r="C137" s="136">
        <f>'Cash Flow'!C128</f>
        <v>8.3333333333333329E-2</v>
      </c>
      <c r="D137" s="55"/>
      <c r="E137" s="140">
        <f ca="1">('Cash Flow'!Q128+'Cash Flow'!R128+'Cash Flow'!T128+'Cash Flow'!U128)/(1+$E$5)^$A137</f>
        <v>332739.79070358851</v>
      </c>
      <c r="F137" s="140">
        <f ca="1">('Cash Flow'!CC128+'Cash Flow'!CD128)/(1+$F$5)^$A137</f>
        <v>272296.23426630936</v>
      </c>
      <c r="G137" s="140">
        <f ca="1">('Cash Flow'!CG128+'Cash Flow'!CH128)/(1+$G$5)^$A137</f>
        <v>0</v>
      </c>
    </row>
    <row r="138" spans="1:7" x14ac:dyDescent="0.2">
      <c r="A138" s="27">
        <f>'Cash Flow'!A129</f>
        <v>123</v>
      </c>
      <c r="B138" s="135">
        <f>'Cash Flow'!B129</f>
        <v>42856</v>
      </c>
      <c r="C138" s="136">
        <f>'Cash Flow'!C129</f>
        <v>8.3333333333333329E-2</v>
      </c>
      <c r="D138" s="55"/>
      <c r="E138" s="140">
        <f ca="1">('Cash Flow'!Q129+'Cash Flow'!R129+'Cash Flow'!T129+'Cash Flow'!U129)/(1+$E$5)^$A138</f>
        <v>328714.86056494457</v>
      </c>
      <c r="F138" s="140">
        <f ca="1">('Cash Flow'!CC129+'Cash Flow'!CD129)/(1+$F$5)^$A138</f>
        <v>268620.75618132227</v>
      </c>
      <c r="G138" s="140">
        <f ca="1">('Cash Flow'!CG129+'Cash Flow'!CH129)/(1+$G$5)^$A138</f>
        <v>0</v>
      </c>
    </row>
    <row r="139" spans="1:7" x14ac:dyDescent="0.2">
      <c r="A139" s="27">
        <f>'Cash Flow'!A130</f>
        <v>124</v>
      </c>
      <c r="B139" s="135">
        <f>'Cash Flow'!B130</f>
        <v>42887</v>
      </c>
      <c r="C139" s="136">
        <f>'Cash Flow'!C130</f>
        <v>8.3333333333333329E-2</v>
      </c>
      <c r="D139" s="55"/>
      <c r="E139" s="140">
        <f ca="1">('Cash Flow'!Q130+'Cash Flow'!R130+'Cash Flow'!T130+'Cash Flow'!U130)/(1+$E$5)^$A139</f>
        <v>324737.06757823337</v>
      </c>
      <c r="F139" s="140">
        <f ca="1">('Cash Flow'!CC130+'Cash Flow'!CD130)/(1+$F$5)^$A139</f>
        <v>264995.11291105766</v>
      </c>
      <c r="G139" s="140">
        <f ca="1">('Cash Flow'!CG130+'Cash Flow'!CH130)/(1+$G$5)^$A139</f>
        <v>0</v>
      </c>
    </row>
    <row r="140" spans="1:7" x14ac:dyDescent="0.2">
      <c r="A140" s="27">
        <f>'Cash Flow'!A131</f>
        <v>125</v>
      </c>
      <c r="B140" s="135">
        <f>'Cash Flow'!B131</f>
        <v>42917</v>
      </c>
      <c r="C140" s="136">
        <f>'Cash Flow'!C131</f>
        <v>8.3333333333333329E-2</v>
      </c>
      <c r="D140" s="55"/>
      <c r="E140" s="140">
        <f ca="1">('Cash Flow'!Q131+'Cash Flow'!R131+'Cash Flow'!T131+'Cash Flow'!U131)/(1+$E$5)^$A140</f>
        <v>320805.86583039892</v>
      </c>
      <c r="F140" s="140">
        <f ca="1">('Cash Flow'!CC131+'Cash Flow'!CD131)/(1+$F$5)^$A140</f>
        <v>261418.62481896553</v>
      </c>
      <c r="G140" s="140">
        <f ca="1">('Cash Flow'!CG131+'Cash Flow'!CH131)/(1+$G$5)^$A140</f>
        <v>0</v>
      </c>
    </row>
    <row r="141" spans="1:7" x14ac:dyDescent="0.2">
      <c r="A141" s="27">
        <f>'Cash Flow'!A132</f>
        <v>126</v>
      </c>
      <c r="B141" s="135">
        <f>'Cash Flow'!B132</f>
        <v>42948</v>
      </c>
      <c r="C141" s="136">
        <f>'Cash Flow'!C132</f>
        <v>8.3333333333333329E-2</v>
      </c>
      <c r="D141" s="55"/>
      <c r="E141" s="140">
        <f ca="1">('Cash Flow'!Q132+'Cash Flow'!R132+'Cash Flow'!T132+'Cash Flow'!U132)/(1+$E$5)^$A141</f>
        <v>316920.71570428135</v>
      </c>
      <c r="F141" s="140">
        <f ca="1">('Cash Flow'!CC132+'Cash Flow'!CD132)/(1+$F$5)^$A141</f>
        <v>257890.62166591224</v>
      </c>
      <c r="G141" s="140">
        <f ca="1">('Cash Flow'!CG132+'Cash Flow'!CH132)/(1+$G$5)^$A141</f>
        <v>0</v>
      </c>
    </row>
    <row r="142" spans="1:7" x14ac:dyDescent="0.2">
      <c r="A142" s="27">
        <f>'Cash Flow'!A133</f>
        <v>127</v>
      </c>
      <c r="B142" s="135">
        <f>'Cash Flow'!B133</f>
        <v>42979</v>
      </c>
      <c r="C142" s="136">
        <f>'Cash Flow'!C133</f>
        <v>8.3333333333333329E-2</v>
      </c>
      <c r="D142" s="55"/>
      <c r="E142" s="140">
        <f ca="1">('Cash Flow'!Q133+'Cash Flow'!R133+'Cash Flow'!T133+'Cash Flow'!U133)/(1+$E$5)^$A142</f>
        <v>313081.08380612027</v>
      </c>
      <c r="F142" s="140">
        <f ca="1">('Cash Flow'!CC133+'Cash Flow'!CD133)/(1+$F$5)^$A142</f>
        <v>254410.44247770854</v>
      </c>
      <c r="G142" s="140">
        <f ca="1">('Cash Flow'!CG133+'Cash Flow'!CH133)/(1+$G$5)^$A142</f>
        <v>0</v>
      </c>
    </row>
    <row r="143" spans="1:7" x14ac:dyDescent="0.2">
      <c r="A143" s="27">
        <f>'Cash Flow'!A134</f>
        <v>128</v>
      </c>
      <c r="B143" s="135">
        <f>'Cash Flow'!B134</f>
        <v>43009</v>
      </c>
      <c r="C143" s="136">
        <f>'Cash Flow'!C134</f>
        <v>8.3333333333333329E-2</v>
      </c>
      <c r="D143" s="55"/>
      <c r="E143" s="140">
        <f ca="1">('Cash Flow'!Q134+'Cash Flow'!R134+'Cash Flow'!T134+'Cash Flow'!U134)/(1+$E$5)^$A143</f>
        <v>309286.44289390586</v>
      </c>
      <c r="F143" s="140">
        <f ca="1">('Cash Flow'!CC134+'Cash Flow'!CD134)/(1+$F$5)^$A143</f>
        <v>250977.43541456098</v>
      </c>
      <c r="G143" s="140">
        <f ca="1">('Cash Flow'!CG134+'Cash Flow'!CH134)/(1+$G$5)^$A143</f>
        <v>0</v>
      </c>
    </row>
    <row r="144" spans="1:7" x14ac:dyDescent="0.2">
      <c r="A144" s="27">
        <f>'Cash Flow'!A135</f>
        <v>129</v>
      </c>
      <c r="B144" s="135">
        <f>'Cash Flow'!B135</f>
        <v>43040</v>
      </c>
      <c r="C144" s="136">
        <f>'Cash Flow'!C135</f>
        <v>8.3333333333333329E-2</v>
      </c>
      <c r="D144" s="55"/>
      <c r="E144" s="140">
        <f ca="1">('Cash Flow'!Q135+'Cash Flow'!R135+'Cash Flow'!T135+'Cash Flow'!U135)/(1+$E$5)^$A144</f>
        <v>305536.27180648525</v>
      </c>
      <c r="F144" s="140">
        <f ca="1">('Cash Flow'!CC135+'Cash Flow'!CD135)/(1+$F$5)^$A144</f>
        <v>247590.95764234572</v>
      </c>
      <c r="G144" s="140">
        <f ca="1">('Cash Flow'!CG135+'Cash Flow'!CH135)/(1+$G$5)^$A144</f>
        <v>0</v>
      </c>
    </row>
    <row r="145" spans="1:7" x14ac:dyDescent="0.2">
      <c r="A145" s="27">
        <f>'Cash Flow'!A136</f>
        <v>130</v>
      </c>
      <c r="B145" s="135">
        <f>'Cash Flow'!B136</f>
        <v>43070</v>
      </c>
      <c r="C145" s="136">
        <f>'Cash Flow'!C136</f>
        <v>8.3333333333333329E-2</v>
      </c>
      <c r="D145" s="55"/>
      <c r="E145" s="140">
        <f ca="1">('Cash Flow'!Q136+'Cash Flow'!R136+'Cash Flow'!T136+'Cash Flow'!U136)/(1+$E$5)^$A145</f>
        <v>301830.0553935612</v>
      </c>
      <c r="F145" s="140">
        <f ca="1">('Cash Flow'!CC136+'Cash Flow'!CD136)/(1+$F$5)^$A145</f>
        <v>244250.37520580326</v>
      </c>
      <c r="G145" s="140">
        <f ca="1">('Cash Flow'!CG136+'Cash Flow'!CH136)/(1+$G$5)^$A145</f>
        <v>0</v>
      </c>
    </row>
    <row r="146" spans="1:7" x14ac:dyDescent="0.2">
      <c r="A146" s="27">
        <f>'Cash Flow'!A137</f>
        <v>131</v>
      </c>
      <c r="B146" s="135">
        <f>'Cash Flow'!B137</f>
        <v>43101</v>
      </c>
      <c r="C146" s="136">
        <f>'Cash Flow'!C137</f>
        <v>8.3333333333333329E-2</v>
      </c>
      <c r="D146" s="55"/>
      <c r="E146" s="140">
        <f ca="1">('Cash Flow'!Q137+'Cash Flow'!R137+'Cash Flow'!T137+'Cash Flow'!U137)/(1+$E$5)^$A146</f>
        <v>298167.28444643313</v>
      </c>
      <c r="F146" s="140">
        <f ca="1">('Cash Flow'!CC137+'Cash Flow'!CD137)/(1+$F$5)^$A146</f>
        <v>240955.06290350616</v>
      </c>
      <c r="G146" s="140">
        <f ca="1">('Cash Flow'!CG137+'Cash Flow'!CH137)/(1+$G$5)^$A146</f>
        <v>0</v>
      </c>
    </row>
    <row r="147" spans="1:7" x14ac:dyDescent="0.2">
      <c r="A147" s="27">
        <f>'Cash Flow'!A138</f>
        <v>132</v>
      </c>
      <c r="B147" s="135">
        <f>'Cash Flow'!B138</f>
        <v>43132</v>
      </c>
      <c r="C147" s="136">
        <f>'Cash Flow'!C138</f>
        <v>8.3333333333333329E-2</v>
      </c>
      <c r="D147" s="55"/>
      <c r="E147" s="140">
        <f ca="1">('Cash Flow'!Q138+'Cash Flow'!R138+'Cash Flow'!T138+'Cash Flow'!U138)/(1+$E$5)^$A147</f>
        <v>294547.45562960504</v>
      </c>
      <c r="F147" s="140">
        <f ca="1">('Cash Flow'!CC138+'Cash Flow'!CD138)/(1+$F$5)^$A147</f>
        <v>237704.40416468721</v>
      </c>
      <c r="G147" s="140">
        <f ca="1">('Cash Flow'!CG138+'Cash Flow'!CH138)/(1+$G$5)^$A147</f>
        <v>0</v>
      </c>
    </row>
    <row r="148" spans="1:7" x14ac:dyDescent="0.2">
      <c r="A148" s="27">
        <f>'Cash Flow'!A139</f>
        <v>133</v>
      </c>
      <c r="B148" s="135">
        <f>'Cash Flow'!B139</f>
        <v>43160</v>
      </c>
      <c r="C148" s="136">
        <f>'Cash Flow'!C139</f>
        <v>8.3333333333333329E-2</v>
      </c>
      <c r="D148" s="55"/>
      <c r="E148" s="140">
        <f ca="1">('Cash Flow'!Q139+'Cash Flow'!R139+'Cash Flow'!T139+'Cash Flow'!U139)/(1+$E$5)^$A148</f>
        <v>290970.07141310442</v>
      </c>
      <c r="F148" s="140">
        <f ca="1">('Cash Flow'!CC139+'Cash Flow'!CD139)/(1+$F$5)^$A148</f>
        <v>234497.79092777579</v>
      </c>
      <c r="G148" s="140">
        <f ca="1">('Cash Flow'!CG139+'Cash Flow'!CH139)/(1+$G$5)^$A148</f>
        <v>0</v>
      </c>
    </row>
    <row r="149" spans="1:7" x14ac:dyDescent="0.2">
      <c r="A149" s="27">
        <f>'Cash Flow'!A140</f>
        <v>134</v>
      </c>
      <c r="B149" s="135">
        <f>'Cash Flow'!B140</f>
        <v>43191</v>
      </c>
      <c r="C149" s="136">
        <f>'Cash Flow'!C140</f>
        <v>8.3333333333333329E-2</v>
      </c>
      <c r="D149" s="55"/>
      <c r="E149" s="140">
        <f ca="1">('Cash Flow'!Q140+'Cash Flow'!R140+'Cash Flow'!T140+'Cash Flow'!U140)/(1+$E$5)^$A149</f>
        <v>287434.64000562008</v>
      </c>
      <c r="F149" s="140">
        <f ca="1">('Cash Flow'!CC140+'Cash Flow'!CD140)/(1+$F$5)^$A149</f>
        <v>231334.62352071572</v>
      </c>
      <c r="G149" s="140">
        <f ca="1">('Cash Flow'!CG140+'Cash Flow'!CH140)/(1+$G$5)^$A149</f>
        <v>0</v>
      </c>
    </row>
    <row r="150" spans="1:7" x14ac:dyDescent="0.2">
      <c r="A150" s="27">
        <f>'Cash Flow'!A141</f>
        <v>135</v>
      </c>
      <c r="B150" s="135">
        <f>'Cash Flow'!B141</f>
        <v>43221</v>
      </c>
      <c r="C150" s="136">
        <f>'Cash Flow'!C141</f>
        <v>8.3333333333333329E-2</v>
      </c>
      <c r="D150" s="55"/>
      <c r="E150" s="140">
        <f ca="1">('Cash Flow'!Q141+'Cash Flow'!R141+'Cash Flow'!T141+'Cash Flow'!U141)/(1+$E$5)^$A150</f>
        <v>283940.675288431</v>
      </c>
      <c r="F150" s="140">
        <f ca="1">('Cash Flow'!CC141+'Cash Flow'!CD141)/(1+$F$5)^$A150</f>
        <v>228214.31054302509</v>
      </c>
      <c r="G150" s="140">
        <f ca="1">('Cash Flow'!CG141+'Cash Flow'!CH141)/(1+$G$5)^$A150</f>
        <v>0</v>
      </c>
    </row>
    <row r="151" spans="1:7" x14ac:dyDescent="0.2">
      <c r="A151" s="27">
        <f>'Cash Flow'!A142</f>
        <v>136</v>
      </c>
      <c r="B151" s="135">
        <f>'Cash Flow'!B142</f>
        <v>43252</v>
      </c>
      <c r="C151" s="136">
        <f>'Cash Flow'!C142</f>
        <v>8.3333333333333329E-2</v>
      </c>
      <c r="D151" s="55"/>
      <c r="E151" s="140">
        <f ca="1">('Cash Flow'!Q142+'Cash Flow'!R142+'Cash Flow'!T142+'Cash Flow'!U142)/(1+$E$5)^$A151</f>
        <v>280487.69675002916</v>
      </c>
      <c r="F151" s="140">
        <f ca="1">('Cash Flow'!CC142+'Cash Flow'!CD142)/(1+$F$5)^$A151</f>
        <v>225136.26874949367</v>
      </c>
      <c r="G151" s="140">
        <f ca="1">('Cash Flow'!CG142+'Cash Flow'!CH142)/(1+$G$5)^$A151</f>
        <v>0</v>
      </c>
    </row>
    <row r="152" spans="1:7" x14ac:dyDescent="0.2">
      <c r="A152" s="27">
        <f>'Cash Flow'!A143</f>
        <v>137</v>
      </c>
      <c r="B152" s="135">
        <f>'Cash Flow'!B143</f>
        <v>43282</v>
      </c>
      <c r="C152" s="136">
        <f>'Cash Flow'!C143</f>
        <v>8.3333333333333329E-2</v>
      </c>
      <c r="D152" s="55"/>
      <c r="E152" s="140">
        <f ca="1">('Cash Flow'!Q143+'Cash Flow'!R143+'Cash Flow'!T143+'Cash Flow'!U143)/(1+$E$5)^$A152</f>
        <v>277075.22942157817</v>
      </c>
      <c r="F152" s="140">
        <f ca="1">('Cash Flow'!CC143+'Cash Flow'!CD143)/(1+$F$5)^$A152</f>
        <v>222099.92293562446</v>
      </c>
      <c r="G152" s="140">
        <f ca="1">('Cash Flow'!CG143+'Cash Flow'!CH143)/(1+$G$5)^$A152</f>
        <v>0</v>
      </c>
    </row>
    <row r="153" spans="1:7" x14ac:dyDescent="0.2">
      <c r="A153" s="27">
        <f>'Cash Flow'!A144</f>
        <v>138</v>
      </c>
      <c r="B153" s="135">
        <f>'Cash Flow'!B144</f>
        <v>43313</v>
      </c>
      <c r="C153" s="136">
        <f>'Cash Flow'!C144</f>
        <v>8.3333333333333329E-2</v>
      </c>
      <c r="D153" s="55"/>
      <c r="E153" s="140">
        <f ca="1">('Cash Flow'!Q144+'Cash Flow'!R144+'Cash Flow'!T144+'Cash Flow'!U144)/(1+$E$5)^$A153</f>
        <v>273702.80381303292</v>
      </c>
      <c r="F153" s="140">
        <f ca="1">('Cash Flow'!CC144+'Cash Flow'!CD144)/(1+$F$5)^$A153</f>
        <v>219104.70582465164</v>
      </c>
      <c r="G153" s="140">
        <f ca="1">('Cash Flow'!CG144+'Cash Flow'!CH144)/(1+$G$5)^$A153</f>
        <v>0</v>
      </c>
    </row>
    <row r="154" spans="1:7" x14ac:dyDescent="0.2">
      <c r="A154" s="27">
        <f>'Cash Flow'!A145</f>
        <v>139</v>
      </c>
      <c r="B154" s="135">
        <f>'Cash Flow'!B145</f>
        <v>43344</v>
      </c>
      <c r="C154" s="136">
        <f>'Cash Flow'!C145</f>
        <v>8.3333333333333329E-2</v>
      </c>
      <c r="D154" s="55"/>
      <c r="E154" s="140">
        <f ca="1">('Cash Flow'!Q145+'Cash Flow'!R145+'Cash Flow'!T145+'Cash Flow'!U145)/(1+$E$5)^$A154</f>
        <v>270369.95585005707</v>
      </c>
      <c r="F154" s="140">
        <f ca="1">('Cash Flow'!CC145+'Cash Flow'!CD145)/(1+$F$5)^$A154</f>
        <v>216150.05795623449</v>
      </c>
      <c r="G154" s="140">
        <f ca="1">('Cash Flow'!CG145+'Cash Flow'!CH145)/(1+$G$5)^$A154</f>
        <v>0</v>
      </c>
    </row>
    <row r="155" spans="1:7" x14ac:dyDescent="0.2">
      <c r="A155" s="27">
        <f>'Cash Flow'!A146</f>
        <v>140</v>
      </c>
      <c r="B155" s="135">
        <f>'Cash Flow'!B146</f>
        <v>43374</v>
      </c>
      <c r="C155" s="136">
        <f>'Cash Flow'!C146</f>
        <v>8.3333333333333329E-2</v>
      </c>
      <c r="D155" s="55"/>
      <c r="E155" s="140">
        <f ca="1">('Cash Flow'!Q146+'Cash Flow'!R146+'Cash Flow'!T146+'Cash Flow'!U146)/(1+$E$5)^$A155</f>
        <v>267076.22681162535</v>
      </c>
      <c r="F155" s="140">
        <f ca="1">('Cash Flow'!CC146+'Cash Flow'!CD146)/(1+$F$5)^$A155</f>
        <v>213235.42757671548</v>
      </c>
      <c r="G155" s="140">
        <f ca="1">('Cash Flow'!CG146+'Cash Flow'!CH146)/(1+$G$5)^$A155</f>
        <v>0</v>
      </c>
    </row>
    <row r="156" spans="1:7" x14ac:dyDescent="0.2">
      <c r="A156" s="27">
        <f>'Cash Flow'!A147</f>
        <v>141</v>
      </c>
      <c r="B156" s="135">
        <f>'Cash Flow'!B147</f>
        <v>43405</v>
      </c>
      <c r="C156" s="136">
        <f>'Cash Flow'!C147</f>
        <v>8.3333333333333329E-2</v>
      </c>
      <c r="D156" s="55"/>
      <c r="E156" s="140">
        <f ca="1">('Cash Flow'!Q147+'Cash Flow'!R147+'Cash Flow'!T147+'Cash Flow'!U147)/(1+$E$5)^$A156</f>
        <v>263821.16326837696</v>
      </c>
      <c r="F156" s="140">
        <f ca="1">('Cash Flow'!CC147+'Cash Flow'!CD147)/(1+$F$5)^$A156</f>
        <v>210360.27053098072</v>
      </c>
      <c r="G156" s="140">
        <f ca="1">('Cash Flow'!CG147+'Cash Flow'!CH147)/(1+$G$5)^$A156</f>
        <v>0</v>
      </c>
    </row>
    <row r="157" spans="1:7" x14ac:dyDescent="0.2">
      <c r="A157" s="27">
        <f>'Cash Flow'!A148</f>
        <v>142</v>
      </c>
      <c r="B157" s="135">
        <f>'Cash Flow'!B148</f>
        <v>43435</v>
      </c>
      <c r="C157" s="136">
        <f>'Cash Flow'!C148</f>
        <v>8.3333333333333329E-2</v>
      </c>
      <c r="D157" s="55"/>
      <c r="E157" s="140">
        <f ca="1">('Cash Flow'!Q148+'Cash Flow'!R148+'Cash Flow'!T148+'Cash Flow'!U148)/(1+$E$5)^$A157</f>
        <v>260604.31702164889</v>
      </c>
      <c r="F157" s="140">
        <f ca="1">('Cash Flow'!CC148+'Cash Flow'!CD148)/(1+$F$5)^$A157</f>
        <v>207524.05015584771</v>
      </c>
      <c r="G157" s="140">
        <f ca="1">('Cash Flow'!CG148+'Cash Flow'!CH148)/(1+$G$5)^$A157</f>
        <v>0</v>
      </c>
    </row>
    <row r="158" spans="1:7" x14ac:dyDescent="0.2">
      <c r="A158" s="27">
        <f>'Cash Flow'!A149</f>
        <v>143</v>
      </c>
      <c r="B158" s="135">
        <f>'Cash Flow'!B149</f>
        <v>43466</v>
      </c>
      <c r="C158" s="136">
        <f>'Cash Flow'!C149</f>
        <v>8.3333333333333329E-2</v>
      </c>
      <c r="D158" s="55"/>
      <c r="E158" s="140">
        <f ca="1">('Cash Flow'!Q149+'Cash Flow'!R149+'Cash Flow'!T149+'Cash Flow'!U149)/(1+$E$5)^$A158</f>
        <v>257425.24504321945</v>
      </c>
      <c r="F158" s="140">
        <f ca="1">('Cash Flow'!CC149+'Cash Flow'!CD149)/(1+$F$5)^$A158</f>
        <v>204726.23717498974</v>
      </c>
      <c r="G158" s="140">
        <f ca="1">('Cash Flow'!CG149+'Cash Flow'!CH149)/(1+$G$5)^$A158</f>
        <v>0</v>
      </c>
    </row>
    <row r="159" spans="1:7" x14ac:dyDescent="0.2">
      <c r="A159" s="27">
        <f>'Cash Flow'!A150</f>
        <v>144</v>
      </c>
      <c r="B159" s="135">
        <f>'Cash Flow'!B150</f>
        <v>43497</v>
      </c>
      <c r="C159" s="136">
        <f>'Cash Flow'!C150</f>
        <v>8.3333333333333329E-2</v>
      </c>
      <c r="D159" s="55"/>
      <c r="E159" s="140">
        <f ca="1">('Cash Flow'!Q150+'Cash Flow'!R150+'Cash Flow'!T150+'Cash Flow'!U150)/(1+$E$5)^$A159</f>
        <v>254283.50941576934</v>
      </c>
      <c r="F159" s="140">
        <f ca="1">('Cash Flow'!CC150+'Cash Flow'!CD150)/(1+$F$5)^$A159</f>
        <v>201966.30959538688</v>
      </c>
      <c r="G159" s="140">
        <f ca="1">('Cash Flow'!CG150+'Cash Flow'!CH150)/(1+$G$5)^$A159</f>
        <v>0</v>
      </c>
    </row>
    <row r="160" spans="1:7" x14ac:dyDescent="0.2">
      <c r="A160" s="27">
        <f>'Cash Flow'!A151</f>
        <v>145</v>
      </c>
      <c r="B160" s="135">
        <f>'Cash Flow'!B151</f>
        <v>43525</v>
      </c>
      <c r="C160" s="136">
        <f>'Cash Flow'!C151</f>
        <v>8.3333333333333329E-2</v>
      </c>
      <c r="D160" s="55"/>
      <c r="E160" s="140">
        <f ca="1">('Cash Flow'!Q151+'Cash Flow'!R151+'Cash Flow'!T151+'Cash Flow'!U151)/(1+$E$5)^$A160</f>
        <v>251178.67727397708</v>
      </c>
      <c r="F160" s="140">
        <f ca="1">('Cash Flow'!CC151+'Cash Flow'!CD151)/(1+$F$5)^$A160</f>
        <v>199243.75260521838</v>
      </c>
      <c r="G160" s="140">
        <f ca="1">('Cash Flow'!CG151+'Cash Flow'!CH151)/(1+$G$5)^$A160</f>
        <v>0</v>
      </c>
    </row>
    <row r="161" spans="1:7" x14ac:dyDescent="0.2">
      <c r="A161" s="27">
        <f>'Cash Flow'!A152</f>
        <v>146</v>
      </c>
      <c r="B161" s="135">
        <f>'Cash Flow'!B152</f>
        <v>43556</v>
      </c>
      <c r="C161" s="136">
        <f>'Cash Flow'!C152</f>
        <v>8.3333333333333329E-2</v>
      </c>
      <c r="D161" s="55"/>
      <c r="E161" s="140">
        <f ca="1">('Cash Flow'!Q152+'Cash Flow'!R152+'Cash Flow'!T152+'Cash Flow'!U152)/(1+$E$5)^$A161</f>
        <v>248110.320746354</v>
      </c>
      <c r="F161" s="140">
        <f ca="1">('Cash Flow'!CC152+'Cash Flow'!CD152)/(1+$F$5)^$A161</f>
        <v>196558.05847327062</v>
      </c>
      <c r="G161" s="140">
        <f ca="1">('Cash Flow'!CG152+'Cash Flow'!CH152)/(1+$G$5)^$A161</f>
        <v>0</v>
      </c>
    </row>
    <row r="162" spans="1:7" x14ac:dyDescent="0.2">
      <c r="A162" s="27">
        <f>'Cash Flow'!A153</f>
        <v>147</v>
      </c>
      <c r="B162" s="135">
        <f>'Cash Flow'!B153</f>
        <v>43586</v>
      </c>
      <c r="C162" s="136">
        <f>'Cash Flow'!C153</f>
        <v>8.3333333333333329E-2</v>
      </c>
      <c r="D162" s="55"/>
      <c r="E162" s="140">
        <f ca="1">('Cash Flow'!Q153+'Cash Flow'!R153+'Cash Flow'!T153+'Cash Flow'!U153)/(1+$E$5)^$A162</f>
        <v>245078.01689769555</v>
      </c>
      <c r="F162" s="140">
        <f ca="1">('Cash Flow'!CC153+'Cash Flow'!CD153)/(1+$F$5)^$A162</f>
        <v>193908.7264497407</v>
      </c>
      <c r="G162" s="140">
        <f ca="1">('Cash Flow'!CG153+'Cash Flow'!CH153)/(1+$G$5)^$A162</f>
        <v>0</v>
      </c>
    </row>
    <row r="163" spans="1:7" x14ac:dyDescent="0.2">
      <c r="A163" s="27">
        <f>'Cash Flow'!A154</f>
        <v>148</v>
      </c>
      <c r="B163" s="135">
        <f>'Cash Flow'!B154</f>
        <v>43617</v>
      </c>
      <c r="C163" s="136">
        <f>'Cash Flow'!C154</f>
        <v>8.3333333333333329E-2</v>
      </c>
      <c r="D163" s="55"/>
      <c r="E163" s="140">
        <f ca="1">('Cash Flow'!Q154+'Cash Flow'!R154+'Cash Flow'!T154+'Cash Flow'!U154)/(1+$E$5)^$A163</f>
        <v>242081.34767222469</v>
      </c>
      <c r="F163" s="140">
        <f ca="1">('Cash Flow'!CC154+'Cash Flow'!CD154)/(1+$F$5)^$A163</f>
        <v>191295.26266848532</v>
      </c>
      <c r="G163" s="140">
        <f ca="1">('Cash Flow'!CG154+'Cash Flow'!CH154)/(1+$G$5)^$A163</f>
        <v>0</v>
      </c>
    </row>
    <row r="164" spans="1:7" x14ac:dyDescent="0.2">
      <c r="A164" s="27">
        <f>'Cash Flow'!A155</f>
        <v>149</v>
      </c>
      <c r="B164" s="135">
        <f>'Cash Flow'!B155</f>
        <v>43647</v>
      </c>
      <c r="C164" s="136">
        <f>'Cash Flow'!C155</f>
        <v>8.3333333333333329E-2</v>
      </c>
      <c r="D164" s="55"/>
      <c r="E164" s="140">
        <f ca="1">('Cash Flow'!Q155+'Cash Flow'!R155+'Cash Flow'!T155+'Cash Flow'!U155)/(1+$E$5)^$A164</f>
        <v>239119.89983736636</v>
      </c>
      <c r="F164" s="140">
        <f ca="1">('Cash Flow'!CC155+'Cash Flow'!CD155)/(1+$F$5)^$A164</f>
        <v>188717.18005064951</v>
      </c>
      <c r="G164" s="140">
        <f ca="1">('Cash Flow'!CG155+'Cash Flow'!CH155)/(1+$G$5)^$A164</f>
        <v>0</v>
      </c>
    </row>
    <row r="165" spans="1:7" x14ac:dyDescent="0.2">
      <c r="A165" s="27">
        <f>'Cash Flow'!A156</f>
        <v>150</v>
      </c>
      <c r="B165" s="135">
        <f>'Cash Flow'!B156</f>
        <v>43678</v>
      </c>
      <c r="C165" s="136">
        <f>'Cash Flow'!C156</f>
        <v>8.3333333333333329E-2</v>
      </c>
      <c r="D165" s="55"/>
      <c r="E165" s="140">
        <f ca="1">('Cash Flow'!Q156+'Cash Flow'!R156+'Cash Flow'!T156+'Cash Flow'!U156)/(1+$E$5)^$A165</f>
        <v>236193.26492820765</v>
      </c>
      <c r="F165" s="140">
        <f ca="1">('Cash Flow'!CC156+'Cash Flow'!CD156)/(1+$F$5)^$A165</f>
        <v>186173.99820970697</v>
      </c>
      <c r="G165" s="140">
        <f ca="1">('Cash Flow'!CG156+'Cash Flow'!CH156)/(1+$G$5)^$A165</f>
        <v>0</v>
      </c>
    </row>
    <row r="166" spans="1:7" x14ac:dyDescent="0.2">
      <c r="A166" s="27">
        <f>'Cash Flow'!A157</f>
        <v>151</v>
      </c>
      <c r="B166" s="135">
        <f>'Cash Flow'!B157</f>
        <v>43709</v>
      </c>
      <c r="C166" s="136">
        <f>'Cash Flow'!C157</f>
        <v>8.3333333333333329E-2</v>
      </c>
      <c r="D166" s="55"/>
      <c r="E166" s="140">
        <f ca="1">('Cash Flow'!Q157+'Cash Flow'!R157+'Cash Flow'!T157+'Cash Flow'!U157)/(1+$E$5)^$A166</f>
        <v>233301.03919255617</v>
      </c>
      <c r="F166" s="140">
        <f ca="1">('Cash Flow'!CC157+'Cash Flow'!CD157)/(1+$F$5)^$A166</f>
        <v>183665.24335782338</v>
      </c>
      <c r="G166" s="140">
        <f ca="1">('Cash Flow'!CG157+'Cash Flow'!CH157)/(1+$G$5)^$A166</f>
        <v>0</v>
      </c>
    </row>
    <row r="167" spans="1:7" x14ac:dyDescent="0.2">
      <c r="A167" s="27">
        <f>'Cash Flow'!A158</f>
        <v>152</v>
      </c>
      <c r="B167" s="135">
        <f>'Cash Flow'!B158</f>
        <v>43739</v>
      </c>
      <c r="C167" s="136">
        <f>'Cash Flow'!C158</f>
        <v>8.3333333333333329E-2</v>
      </c>
      <c r="D167" s="55"/>
      <c r="E167" s="140">
        <f ca="1">('Cash Flow'!Q158+'Cash Flow'!R158+'Cash Flow'!T158+'Cash Flow'!U158)/(1+$E$5)^$A167</f>
        <v>230442.82353664964</v>
      </c>
      <c r="F167" s="140">
        <f ca="1">('Cash Flow'!CC158+'Cash Flow'!CD158)/(1+$F$5)^$A167</f>
        <v>181190.44821357509</v>
      </c>
      <c r="G167" s="140">
        <f ca="1">('Cash Flow'!CG158+'Cash Flow'!CH158)/(1+$G$5)^$A167</f>
        <v>0</v>
      </c>
    </row>
    <row r="168" spans="1:7" x14ac:dyDescent="0.2">
      <c r="A168" s="27">
        <f>'Cash Flow'!A159</f>
        <v>153</v>
      </c>
      <c r="B168" s="135">
        <f>'Cash Flow'!B159</f>
        <v>43770</v>
      </c>
      <c r="C168" s="136">
        <f>'Cash Flow'!C159</f>
        <v>8.3333333333333329E-2</v>
      </c>
      <c r="D168" s="55"/>
      <c r="E168" s="140">
        <f ca="1">('Cash Flow'!Q159+'Cash Flow'!R159+'Cash Flow'!T159+'Cash Flow'!U159)/(1+$E$5)^$A168</f>
        <v>227618.22347148089</v>
      </c>
      <c r="F168" s="140">
        <f ca="1">('Cash Flow'!CC159+'Cash Flow'!CD159)/(1+$F$5)^$A168</f>
        <v>178749.15191097825</v>
      </c>
      <c r="G168" s="140">
        <f ca="1">('Cash Flow'!CG159+'Cash Flow'!CH159)/(1+$G$5)^$A168</f>
        <v>0</v>
      </c>
    </row>
    <row r="169" spans="1:7" x14ac:dyDescent="0.2">
      <c r="A169" s="27">
        <f>'Cash Flow'!A160</f>
        <v>154</v>
      </c>
      <c r="B169" s="135">
        <f>'Cash Flow'!B160</f>
        <v>43800</v>
      </c>
      <c r="C169" s="136">
        <f>'Cash Flow'!C160</f>
        <v>8.3333333333333329E-2</v>
      </c>
      <c r="D169" s="55"/>
      <c r="E169" s="140">
        <f ca="1">('Cash Flow'!Q160+'Cash Flow'!R160+'Cash Flow'!T160+'Cash Flow'!U160)/(1+$E$5)^$A169</f>
        <v>224826.84905975559</v>
      </c>
      <c r="F169" s="140">
        <f ca="1">('Cash Flow'!CC160+'Cash Flow'!CD160)/(1+$F$5)^$A169</f>
        <v>176340.89990983132</v>
      </c>
      <c r="G169" s="140">
        <f ca="1">('Cash Flow'!CG160+'Cash Flow'!CH160)/(1+$G$5)^$A169</f>
        <v>0</v>
      </c>
    </row>
    <row r="170" spans="1:7" x14ac:dyDescent="0.2">
      <c r="A170" s="27">
        <f>'Cash Flow'!A161</f>
        <v>155</v>
      </c>
      <c r="B170" s="135">
        <f>'Cash Flow'!B161</f>
        <v>43831</v>
      </c>
      <c r="C170" s="136">
        <f>'Cash Flow'!C161</f>
        <v>8.3333333333333329E-2</v>
      </c>
      <c r="D170" s="55"/>
      <c r="E170" s="140">
        <f ca="1">('Cash Flow'!Q161+'Cash Flow'!R161+'Cash Flow'!T161+'Cash Flow'!U161)/(1+$E$5)^$A170</f>
        <v>222068.31486345691</v>
      </c>
      <c r="F170" s="140">
        <f ca="1">('Cash Flow'!CC161+'Cash Flow'!CD161)/(1+$F$5)^$A170</f>
        <v>173965.24390733341</v>
      </c>
      <c r="G170" s="140">
        <f ca="1">('Cash Flow'!CG161+'Cash Flow'!CH161)/(1+$G$5)^$A170</f>
        <v>0</v>
      </c>
    </row>
    <row r="171" spans="1:7" x14ac:dyDescent="0.2">
      <c r="A171" s="27">
        <f>'Cash Flow'!A162</f>
        <v>156</v>
      </c>
      <c r="B171" s="135">
        <f>'Cash Flow'!B162</f>
        <v>43862</v>
      </c>
      <c r="C171" s="136">
        <f>'Cash Flow'!C162</f>
        <v>8.3333333333333329E-2</v>
      </c>
      <c r="D171" s="55"/>
      <c r="E171" s="140">
        <f ca="1">('Cash Flow'!Q162+'Cash Flow'!R162+'Cash Flow'!T162+'Cash Flow'!U162)/(1+$E$5)^$A171</f>
        <v>219342.23989198316</v>
      </c>
      <c r="F171" s="140">
        <f ca="1">('Cash Flow'!CC162+'Cash Flow'!CD162)/(1+$F$5)^$A171</f>
        <v>171621.74175094097</v>
      </c>
      <c r="G171" s="140">
        <f ca="1">('Cash Flow'!CG162+'Cash Flow'!CH162)/(1+$G$5)^$A171</f>
        <v>0</v>
      </c>
    </row>
    <row r="172" spans="1:7" x14ac:dyDescent="0.2">
      <c r="A172" s="27">
        <f>'Cash Flow'!A163</f>
        <v>157</v>
      </c>
      <c r="B172" s="135">
        <f>'Cash Flow'!B163</f>
        <v>43891</v>
      </c>
      <c r="C172" s="136">
        <f>'Cash Flow'!C163</f>
        <v>8.3333333333333329E-2</v>
      </c>
      <c r="D172" s="55"/>
      <c r="E172" s="140">
        <f ca="1">('Cash Flow'!Q163+'Cash Flow'!R163+'Cash Flow'!T163+'Cash Flow'!U163)/(1+$E$5)^$A172</f>
        <v>216648.24755093505</v>
      </c>
      <c r="F172" s="140">
        <f ca="1">('Cash Flow'!CC163+'Cash Flow'!CD163)/(1+$F$5)^$A172</f>
        <v>169309.9573525106</v>
      </c>
      <c r="G172" s="140">
        <f ca="1">('Cash Flow'!CG163+'Cash Flow'!CH163)/(1+$G$5)^$A172</f>
        <v>0</v>
      </c>
    </row>
    <row r="173" spans="1:7" x14ac:dyDescent="0.2">
      <c r="A173" s="27">
        <f>'Cash Flow'!A164</f>
        <v>158</v>
      </c>
      <c r="B173" s="135">
        <f>'Cash Flow'!B164</f>
        <v>43922</v>
      </c>
      <c r="C173" s="136">
        <f>'Cash Flow'!C164</f>
        <v>8.3333333333333329E-2</v>
      </c>
      <c r="D173" s="55"/>
      <c r="E173" s="140">
        <f ca="1">('Cash Flow'!Q164+'Cash Flow'!R164+'Cash Flow'!T164+'Cash Flow'!U164)/(1+$E$5)^$A173</f>
        <v>213985.96559144105</v>
      </c>
      <c r="F173" s="140">
        <f ca="1">('Cash Flow'!CC164+'Cash Flow'!CD164)/(1+$F$5)^$A173</f>
        <v>167029.46060362476</v>
      </c>
      <c r="G173" s="140">
        <f ca="1">('Cash Flow'!CG164+'Cash Flow'!CH164)/(1+$G$5)^$A173</f>
        <v>0</v>
      </c>
    </row>
    <row r="174" spans="1:7" x14ac:dyDescent="0.2">
      <c r="A174" s="27">
        <f>'Cash Flow'!A165</f>
        <v>159</v>
      </c>
      <c r="B174" s="135">
        <f>'Cash Flow'!B165</f>
        <v>43952</v>
      </c>
      <c r="C174" s="136">
        <f>'Cash Flow'!C165</f>
        <v>8.3333333333333329E-2</v>
      </c>
      <c r="D174" s="55"/>
      <c r="E174" s="140">
        <f ca="1">('Cash Flow'!Q165+'Cash Flow'!R165+'Cash Flow'!T165+'Cash Flow'!U165)/(1+$E$5)^$A174</f>
        <v>211355.02606010143</v>
      </c>
      <c r="F174" s="140">
        <f ca="1">('Cash Flow'!CC165+'Cash Flow'!CD165)/(1+$F$5)^$A174</f>
        <v>103152.52628290451</v>
      </c>
      <c r="G174" s="140">
        <f ca="1">('Cash Flow'!CG165+'Cash Flow'!CH165)/(1+$G$5)^$A174</f>
        <v>63906.574196845948</v>
      </c>
    </row>
    <row r="175" spans="1:7" x14ac:dyDescent="0.2">
      <c r="A175" s="27">
        <f>'Cash Flow'!A166</f>
        <v>160</v>
      </c>
      <c r="B175" s="135">
        <f>'Cash Flow'!B166</f>
        <v>43983</v>
      </c>
      <c r="C175" s="136">
        <f>'Cash Flow'!C166</f>
        <v>8.3333333333333329E-2</v>
      </c>
      <c r="D175" s="55"/>
      <c r="E175" s="140">
        <f ca="1">('Cash Flow'!Q166+'Cash Flow'!R166+'Cash Flow'!T166+'Cash Flow'!U166)/(1+$E$5)^$A175</f>
        <v>208755.06524948793</v>
      </c>
      <c r="F175" s="140">
        <f ca="1">('Cash Flow'!CC166+'Cash Flow'!CD166)/(1+$F$5)^$A175</f>
        <v>0</v>
      </c>
      <c r="G175" s="140">
        <f ca="1">('Cash Flow'!CG166+'Cash Flow'!CH166)/(1+$G$5)^$A175</f>
        <v>63673.426625553693</v>
      </c>
    </row>
    <row r="176" spans="1:7" x14ac:dyDescent="0.2">
      <c r="A176" s="27">
        <f>'Cash Flow'!A167</f>
        <v>161</v>
      </c>
      <c r="B176" s="135">
        <f>'Cash Flow'!B167</f>
        <v>44013</v>
      </c>
      <c r="C176" s="136">
        <f>'Cash Flow'!C167</f>
        <v>8.3333333333333329E-2</v>
      </c>
      <c r="D176" s="55"/>
      <c r="E176" s="140">
        <f ca="1">('Cash Flow'!Q167+'Cash Flow'!R167+'Cash Flow'!T167+'Cash Flow'!U167)/(1+$E$5)^$A176</f>
        <v>206185.72364922444</v>
      </c>
      <c r="F176" s="140">
        <f ca="1">('Cash Flow'!CC167+'Cash Flow'!CD167)/(1+$F$5)^$A176</f>
        <v>0</v>
      </c>
      <c r="G176" s="140">
        <f ca="1">('Cash Flow'!CG167+'Cash Flow'!CH167)/(1+$G$5)^$A176</f>
        <v>63441.452594131821</v>
      </c>
    </row>
    <row r="177" spans="1:7" x14ac:dyDescent="0.2">
      <c r="A177" s="27">
        <f>'Cash Flow'!A168</f>
        <v>162</v>
      </c>
      <c r="B177" s="135">
        <f>'Cash Flow'!B168</f>
        <v>44044</v>
      </c>
      <c r="C177" s="136">
        <f>'Cash Flow'!C168</f>
        <v>8.3333333333333329E-2</v>
      </c>
      <c r="D177" s="55"/>
      <c r="E177" s="140">
        <f ca="1">('Cash Flow'!Q168+'Cash Flow'!R168+'Cash Flow'!T168+'Cash Flow'!U168)/(1+$E$5)^$A177</f>
        <v>203646.6458976127</v>
      </c>
      <c r="F177" s="140">
        <f ca="1">('Cash Flow'!CC168+'Cash Flow'!CD168)/(1+$F$5)^$A177</f>
        <v>0</v>
      </c>
      <c r="G177" s="140">
        <f ca="1">('Cash Flow'!CG168+'Cash Flow'!CH168)/(1+$G$5)^$A177</f>
        <v>63210.645957340588</v>
      </c>
    </row>
    <row r="178" spans="1:7" x14ac:dyDescent="0.2">
      <c r="A178" s="27">
        <f>'Cash Flow'!A169</f>
        <v>163</v>
      </c>
      <c r="B178" s="135">
        <f>'Cash Flow'!B169</f>
        <v>44075</v>
      </c>
      <c r="C178" s="136">
        <f>'Cash Flow'!C169</f>
        <v>8.3333333333333329E-2</v>
      </c>
      <c r="D178" s="55"/>
      <c r="E178" s="140">
        <f ca="1">('Cash Flow'!Q169+'Cash Flow'!R169+'Cash Flow'!T169+'Cash Flow'!U169)/(1+$E$5)^$A178</f>
        <v>201137.48073385275</v>
      </c>
      <c r="F178" s="140">
        <f ca="1">('Cash Flow'!CC169+'Cash Flow'!CD169)/(1+$F$5)^$A178</f>
        <v>0</v>
      </c>
      <c r="G178" s="140">
        <f ca="1">('Cash Flow'!CG169+'Cash Flow'!CH169)/(1+$G$5)^$A178</f>
        <v>62981.000600442654</v>
      </c>
    </row>
    <row r="179" spans="1:7" x14ac:dyDescent="0.2">
      <c r="A179" s="27">
        <f>'Cash Flow'!A170</f>
        <v>164</v>
      </c>
      <c r="B179" s="135">
        <f>'Cash Flow'!B170</f>
        <v>44105</v>
      </c>
      <c r="C179" s="136">
        <f>'Cash Flow'!C170</f>
        <v>8.3333333333333329E-2</v>
      </c>
      <c r="D179" s="55"/>
      <c r="E179" s="140">
        <f ca="1">('Cash Flow'!Q170+'Cash Flow'!R170+'Cash Flow'!T170+'Cash Flow'!U170)/(1+$E$5)^$A179</f>
        <v>198657.88095075754</v>
      </c>
      <c r="F179" s="140">
        <f ca="1">('Cash Flow'!CC170+'Cash Flow'!CD170)/(1+$F$5)^$A179</f>
        <v>0</v>
      </c>
      <c r="G179" s="140">
        <f ca="1">('Cash Flow'!CG170+'Cash Flow'!CH170)/(1+$G$5)^$A179</f>
        <v>62752.510439016725</v>
      </c>
    </row>
    <row r="180" spans="1:7" x14ac:dyDescent="0.2">
      <c r="A180" s="27">
        <f>'Cash Flow'!A171</f>
        <v>165</v>
      </c>
      <c r="B180" s="135">
        <f>'Cash Flow'!B171</f>
        <v>44136</v>
      </c>
      <c r="C180" s="136">
        <f>'Cash Flow'!C171</f>
        <v>8.3333333333333329E-2</v>
      </c>
      <c r="D180" s="55"/>
      <c r="E180" s="140">
        <f ca="1">('Cash Flow'!Q171+'Cash Flow'!R171+'Cash Flow'!T171+'Cash Flow'!U171)/(1+$E$5)^$A180</f>
        <v>196207.50334805698</v>
      </c>
      <c r="F180" s="140">
        <f ca="1">('Cash Flow'!CC171+'Cash Flow'!CD171)/(1+$F$5)^$A180</f>
        <v>0</v>
      </c>
      <c r="G180" s="140">
        <f ca="1">('Cash Flow'!CG171+'Cash Flow'!CH171)/(1+$G$5)^$A180</f>
        <v>62525.16941878463</v>
      </c>
    </row>
    <row r="181" spans="1:7" x14ac:dyDescent="0.2">
      <c r="A181" s="27">
        <f>'Cash Flow'!A172</f>
        <v>166</v>
      </c>
      <c r="B181" s="135">
        <f>'Cash Flow'!B172</f>
        <v>44166</v>
      </c>
      <c r="C181" s="136">
        <f>'Cash Flow'!C172</f>
        <v>8.3333333333333329E-2</v>
      </c>
      <c r="D181" s="55"/>
      <c r="E181" s="140">
        <f ca="1">('Cash Flow'!Q172+'Cash Flow'!R172+'Cash Flow'!T172+'Cash Flow'!U172)/(1+$E$5)^$A181</f>
        <v>193786.00868622708</v>
      </c>
      <c r="F181" s="140">
        <f ca="1">('Cash Flow'!CC172+'Cash Flow'!CD172)/(1+$F$5)^$A181</f>
        <v>0</v>
      </c>
      <c r="G181" s="140">
        <f ca="1">('Cash Flow'!CG172+'Cash Flow'!CH172)/(1+$G$5)^$A181</f>
        <v>62298.971515435682</v>
      </c>
    </row>
    <row r="182" spans="1:7" x14ac:dyDescent="0.2">
      <c r="A182" s="27">
        <f>'Cash Flow'!A173</f>
        <v>167</v>
      </c>
      <c r="B182" s="135">
        <f>'Cash Flow'!B173</f>
        <v>44197</v>
      </c>
      <c r="C182" s="136">
        <f>'Cash Flow'!C173</f>
        <v>8.3333333333333329E-2</v>
      </c>
      <c r="D182" s="55"/>
      <c r="E182" s="140">
        <f ca="1">('Cash Flow'!Q173+'Cash Flow'!R173+'Cash Flow'!T173+'Cash Flow'!U173)/(1+$E$5)^$A182</f>
        <v>191393.06164083284</v>
      </c>
      <c r="F182" s="140">
        <f ca="1">('Cash Flow'!CC173+'Cash Flow'!CD173)/(1+$F$5)^$A182</f>
        <v>0</v>
      </c>
      <c r="G182" s="140">
        <f ca="1">('Cash Flow'!CG173+'Cash Flow'!CH173)/(1+$G$5)^$A182</f>
        <v>62073.910734445875</v>
      </c>
    </row>
    <row r="183" spans="1:7" x14ac:dyDescent="0.2">
      <c r="A183" s="27">
        <f>'Cash Flow'!A174</f>
        <v>168</v>
      </c>
      <c r="B183" s="135">
        <f>'Cash Flow'!B174</f>
        <v>44228</v>
      </c>
      <c r="C183" s="136">
        <f>'Cash Flow'!C174</f>
        <v>8.3333333333333329E-2</v>
      </c>
      <c r="D183" s="55"/>
      <c r="E183" s="140">
        <f ca="1">('Cash Flow'!Q174+'Cash Flow'!R174+'Cash Flow'!T174+'Cash Flow'!U174)/(1+$E$5)^$A183</f>
        <v>189028.33075741635</v>
      </c>
      <c r="F183" s="140">
        <f ca="1">('Cash Flow'!CC174+'Cash Flow'!CD174)/(1+$F$5)^$A183</f>
        <v>0</v>
      </c>
      <c r="G183" s="140">
        <f ca="1">('Cash Flow'!CG174+'Cash Flow'!CH174)/(1+$G$5)^$A183</f>
        <v>61849.981110903675</v>
      </c>
    </row>
    <row r="184" spans="1:7" x14ac:dyDescent="0.2">
      <c r="A184" s="27">
        <f>'Cash Flow'!A175</f>
        <v>169</v>
      </c>
      <c r="B184" s="135">
        <f>'Cash Flow'!B175</f>
        <v>44256</v>
      </c>
      <c r="C184" s="136">
        <f>'Cash Flow'!C175</f>
        <v>8.3333333333333329E-2</v>
      </c>
      <c r="D184" s="55"/>
      <c r="E184" s="140">
        <f ca="1">('Cash Flow'!Q175+'Cash Flow'!R175+'Cash Flow'!T175+'Cash Flow'!U175)/(1+$E$5)^$A184</f>
        <v>186691.48840689735</v>
      </c>
      <c r="F184" s="140">
        <f ca="1">('Cash Flow'!CC175+'Cash Flow'!CD175)/(1+$F$5)^$A184</f>
        <v>0</v>
      </c>
      <c r="G184" s="140">
        <f ca="1">('Cash Flow'!CG175+'Cash Flow'!CH175)/(1+$G$5)^$A184</f>
        <v>61627.176709334075</v>
      </c>
    </row>
    <row r="185" spans="1:7" x14ac:dyDescent="0.2">
      <c r="A185" s="27">
        <f>'Cash Flow'!A176</f>
        <v>170</v>
      </c>
      <c r="B185" s="135">
        <f>'Cash Flow'!B176</f>
        <v>44287</v>
      </c>
      <c r="C185" s="136">
        <f>'Cash Flow'!C176</f>
        <v>8.3333333333333329E-2</v>
      </c>
      <c r="D185" s="55"/>
      <c r="E185" s="140">
        <f ca="1">('Cash Flow'!Q176+'Cash Flow'!R176+'Cash Flow'!T176+'Cash Flow'!U176)/(1+$E$5)^$A185</f>
        <v>184382.21074148684</v>
      </c>
      <c r="F185" s="140">
        <f ca="1">('Cash Flow'!CC176+'Cash Flow'!CD176)/(1+$F$5)^$A185</f>
        <v>0</v>
      </c>
      <c r="G185" s="140">
        <f ca="1">('Cash Flow'!CG176+'Cash Flow'!CH176)/(1+$G$5)^$A185</f>
        <v>61405.491623523121</v>
      </c>
    </row>
    <row r="186" spans="1:7" x14ac:dyDescent="0.2">
      <c r="A186" s="27">
        <f>'Cash Flow'!A177</f>
        <v>171</v>
      </c>
      <c r="B186" s="135">
        <f>'Cash Flow'!B177</f>
        <v>44317</v>
      </c>
      <c r="C186" s="136">
        <f>'Cash Flow'!C177</f>
        <v>8.3333333333333329E-2</v>
      </c>
      <c r="D186" s="55"/>
      <c r="E186" s="140">
        <f ca="1">('Cash Flow'!Q177+'Cash Flow'!R177+'Cash Flow'!T177+'Cash Flow'!U177)/(1+$E$5)^$A186</f>
        <v>182100.17765109596</v>
      </c>
      <c r="F186" s="140">
        <f ca="1">('Cash Flow'!CC177+'Cash Flow'!CD177)/(1+$F$5)^$A186</f>
        <v>0</v>
      </c>
      <c r="G186" s="140">
        <f ca="1">('Cash Flow'!CG177+'Cash Flow'!CH177)/(1+$G$5)^$A186</f>
        <v>61184.919976339035</v>
      </c>
    </row>
    <row r="187" spans="1:7" x14ac:dyDescent="0.2">
      <c r="A187" s="27">
        <f>'Cash Flow'!A178</f>
        <v>172</v>
      </c>
      <c r="B187" s="135">
        <f>'Cash Flow'!B178</f>
        <v>44348</v>
      </c>
      <c r="C187" s="136">
        <f>'Cash Flow'!C178</f>
        <v>8.3333333333333329E-2</v>
      </c>
      <c r="D187" s="55"/>
      <c r="E187" s="140">
        <f ca="1">('Cash Flow'!Q178+'Cash Flow'!R178+'Cash Flow'!T178+'Cash Flow'!U178)/(1+$E$5)^$A187</f>
        <v>179845.07272028242</v>
      </c>
      <c r="F187" s="140">
        <f ca="1">('Cash Flow'!CC178+'Cash Flow'!CD178)/(1+$F$5)^$A187</f>
        <v>0</v>
      </c>
      <c r="G187" s="140">
        <f ca="1">('Cash Flow'!CG178+'Cash Flow'!CH178)/(1+$G$5)^$A187</f>
        <v>60965.455919564818</v>
      </c>
    </row>
    <row r="188" spans="1:7" x14ac:dyDescent="0.2">
      <c r="A188" s="27">
        <f>'Cash Flow'!A179</f>
        <v>173</v>
      </c>
      <c r="B188" s="135">
        <f>'Cash Flow'!B179</f>
        <v>44378</v>
      </c>
      <c r="C188" s="136">
        <f>'Cash Flow'!C179</f>
        <v>8.3333333333333329E-2</v>
      </c>
      <c r="D188" s="55"/>
      <c r="E188" s="140">
        <f ca="1">('Cash Flow'!Q179+'Cash Flow'!R179+'Cash Flow'!T179+'Cash Flow'!U179)/(1+$E$5)^$A188</f>
        <v>177616.5831856275</v>
      </c>
      <c r="F188" s="140">
        <f ca="1">('Cash Flow'!CC179+'Cash Flow'!CD179)/(1+$F$5)^$A188</f>
        <v>0</v>
      </c>
      <c r="G188" s="140">
        <f ca="1">('Cash Flow'!CG179+'Cash Flow'!CH179)/(1+$G$5)^$A188</f>
        <v>60747.093633711069</v>
      </c>
    </row>
    <row r="189" spans="1:7" x14ac:dyDescent="0.2">
      <c r="A189" s="27">
        <f>'Cash Flow'!A180</f>
        <v>174</v>
      </c>
      <c r="B189" s="135">
        <f>'Cash Flow'!B180</f>
        <v>44409</v>
      </c>
      <c r="C189" s="136">
        <f>'Cash Flow'!C180</f>
        <v>8.3333333333333329E-2</v>
      </c>
      <c r="D189" s="55"/>
      <c r="E189" s="140">
        <f ca="1">('Cash Flow'!Q180+'Cash Flow'!R180+'Cash Flow'!T180+'Cash Flow'!U180)/(1+$E$5)^$A189</f>
        <v>175414.39989367808</v>
      </c>
      <c r="F189" s="140">
        <f ca="1">('Cash Flow'!CC180+'Cash Flow'!CD180)/(1+$F$5)^$A189</f>
        <v>0</v>
      </c>
      <c r="G189" s="140">
        <f ca="1">('Cash Flow'!CG180+'Cash Flow'!CH180)/(1+$G$5)^$A189</f>
        <v>60529.827327852443</v>
      </c>
    </row>
    <row r="190" spans="1:7" x14ac:dyDescent="0.2">
      <c r="A190" s="27">
        <f>'Cash Flow'!A181</f>
        <v>175</v>
      </c>
      <c r="B190" s="135">
        <f>'Cash Flow'!B181</f>
        <v>44440</v>
      </c>
      <c r="C190" s="136">
        <f>'Cash Flow'!C181</f>
        <v>8.3333333333333329E-2</v>
      </c>
      <c r="D190" s="55"/>
      <c r="E190" s="140">
        <f ca="1">('Cash Flow'!Q181+'Cash Flow'!R181+'Cash Flow'!T181+'Cash Flow'!U181)/(1+$E$5)^$A190</f>
        <v>173238.21725931816</v>
      </c>
      <c r="F190" s="140">
        <f ca="1">('Cash Flow'!CC181+'Cash Flow'!CD181)/(1+$F$5)^$A190</f>
        <v>0</v>
      </c>
      <c r="G190" s="140">
        <f ca="1">('Cash Flow'!CG181+'Cash Flow'!CH181)/(1+$G$5)^$A190</f>
        <v>60313.651239447187</v>
      </c>
    </row>
    <row r="191" spans="1:7" x14ac:dyDescent="0.2">
      <c r="A191" s="27">
        <f>'Cash Flow'!A182</f>
        <v>176</v>
      </c>
      <c r="B191" s="135">
        <f>'Cash Flow'!B182</f>
        <v>44470</v>
      </c>
      <c r="C191" s="136">
        <f>'Cash Flow'!C182</f>
        <v>8.3333333333333329E-2</v>
      </c>
      <c r="D191" s="55"/>
      <c r="E191" s="140">
        <f ca="1">('Cash Flow'!Q182+'Cash Flow'!R182+'Cash Flow'!T182+'Cash Flow'!U182)/(1+$E$5)^$A191</f>
        <v>171087.73322463312</v>
      </c>
      <c r="F191" s="140">
        <f ca="1">('Cash Flow'!CC182+'Cash Flow'!CD182)/(1+$F$5)^$A191</f>
        <v>0</v>
      </c>
      <c r="G191" s="140">
        <f ca="1">('Cash Flow'!CG182+'Cash Flow'!CH182)/(1+$G$5)^$A191</f>
        <v>60098.559634161538</v>
      </c>
    </row>
    <row r="192" spans="1:7" x14ac:dyDescent="0.2">
      <c r="A192" s="27">
        <f>'Cash Flow'!A183</f>
        <v>177</v>
      </c>
      <c r="B192" s="135">
        <f>'Cash Flow'!B183</f>
        <v>44501</v>
      </c>
      <c r="C192" s="136">
        <f>'Cash Flow'!C183</f>
        <v>8.3333333333333329E-2</v>
      </c>
      <c r="D192" s="55"/>
      <c r="E192" s="140">
        <f ca="1">('Cash Flow'!Q183+'Cash Flow'!R183+'Cash Flow'!T183+'Cash Flow'!U183)/(1+$E$5)^$A192</f>
        <v>168962.64921827373</v>
      </c>
      <c r="F192" s="140">
        <f ca="1">('Cash Flow'!CC183+'Cash Flow'!CD183)/(1+$F$5)^$A192</f>
        <v>0</v>
      </c>
      <c r="G192" s="140">
        <f ca="1">('Cash Flow'!CG183+'Cash Flow'!CH183)/(1+$G$5)^$A192</f>
        <v>59884.546805702557</v>
      </c>
    </row>
    <row r="193" spans="1:7" x14ac:dyDescent="0.2">
      <c r="A193" s="27">
        <f>'Cash Flow'!A184</f>
        <v>178</v>
      </c>
      <c r="B193" s="135">
        <f>'Cash Flow'!B184</f>
        <v>44531</v>
      </c>
      <c r="C193" s="136">
        <f>'Cash Flow'!C184</f>
        <v>8.3333333333333329E-2</v>
      </c>
      <c r="D193" s="55"/>
      <c r="E193" s="140">
        <f ca="1">('Cash Flow'!Q184+'Cash Flow'!R184+'Cash Flow'!T184+'Cash Flow'!U184)/(1+$E$5)^$A193</f>
        <v>166862.67011522059</v>
      </c>
      <c r="F193" s="140">
        <f ca="1">('Cash Flow'!CC184+'Cash Flow'!CD184)/(1+$F$5)^$A193</f>
        <v>0</v>
      </c>
      <c r="G193" s="140">
        <f ca="1">('Cash Flow'!CG184+'Cash Flow'!CH184)/(1+$G$5)^$A193</f>
        <v>59671.60707562993</v>
      </c>
    </row>
    <row r="194" spans="1:7" x14ac:dyDescent="0.2">
      <c r="A194" s="27">
        <f>'Cash Flow'!A185</f>
        <v>179</v>
      </c>
      <c r="B194" s="135">
        <f>'Cash Flow'!B185</f>
        <v>44562</v>
      </c>
      <c r="C194" s="136">
        <f>'Cash Flow'!C185</f>
        <v>8.3333333333333329E-2</v>
      </c>
      <c r="D194" s="55"/>
      <c r="E194" s="140">
        <f ca="1">('Cash Flow'!Q185+'Cash Flow'!R185+'Cash Flow'!T185+'Cash Flow'!U185)/(1+$E$5)^$A194</f>
        <v>164787.50419711016</v>
      </c>
      <c r="F194" s="140">
        <f ca="1">('Cash Flow'!CC185+'Cash Flow'!CD185)/(1+$F$5)^$A194</f>
        <v>0</v>
      </c>
      <c r="G194" s="140">
        <f ca="1">('Cash Flow'!CG185+'Cash Flow'!CH185)/(1+$G$5)^$A194</f>
        <v>59459.734793199452</v>
      </c>
    </row>
    <row r="195" spans="1:7" x14ac:dyDescent="0.2">
      <c r="A195" s="27">
        <f>'Cash Flow'!A186</f>
        <v>180</v>
      </c>
      <c r="B195" s="135">
        <f>'Cash Flow'!B186</f>
        <v>44593</v>
      </c>
      <c r="C195" s="136">
        <f>'Cash Flow'!C186</f>
        <v>8.3333333333333329E-2</v>
      </c>
      <c r="D195" s="55"/>
      <c r="E195" s="140">
        <f ca="1">('Cash Flow'!Q186+'Cash Flow'!R186+'Cash Flow'!T186+'Cash Flow'!U186)/(1+$E$5)^$A195</f>
        <v>162736.86311290713</v>
      </c>
      <c r="F195" s="140">
        <f ca="1">('Cash Flow'!CC186+'Cash Flow'!CD186)/(1+$F$5)^$A195</f>
        <v>0</v>
      </c>
      <c r="G195" s="140">
        <f ca="1">('Cash Flow'!CG186+'Cash Flow'!CH186)/(1+$G$5)^$A195</f>
        <v>59248.924335171534</v>
      </c>
    </row>
    <row r="196" spans="1:7" x14ac:dyDescent="0.2">
      <c r="A196" s="27">
        <f>'Cash Flow'!A187</f>
        <v>181</v>
      </c>
      <c r="B196" s="135">
        <f>'Cash Flow'!B187</f>
        <v>44621</v>
      </c>
      <c r="C196" s="136">
        <f>'Cash Flow'!C187</f>
        <v>8.3333333333333329E-2</v>
      </c>
      <c r="D196" s="55"/>
      <c r="E196" s="140">
        <f ca="1">('Cash Flow'!Q187+'Cash Flow'!R187+'Cash Flow'!T187+'Cash Flow'!U187)/(1+$E$5)^$A196</f>
        <v>160710.46184012358</v>
      </c>
      <c r="F196" s="140">
        <f ca="1">('Cash Flow'!CC187+'Cash Flow'!CD187)/(1+$F$5)^$A196</f>
        <v>0</v>
      </c>
      <c r="G196" s="140">
        <f ca="1">('Cash Flow'!CG187+'Cash Flow'!CH187)/(1+$G$5)^$A196</f>
        <v>59039.170105650002</v>
      </c>
    </row>
    <row r="197" spans="1:7" x14ac:dyDescent="0.2">
      <c r="A197" s="27">
        <f>'Cash Flow'!A188</f>
        <v>182</v>
      </c>
      <c r="B197" s="135">
        <f>'Cash Flow'!B188</f>
        <v>44652</v>
      </c>
      <c r="C197" s="136">
        <f>'Cash Flow'!C188</f>
        <v>8.3333333333333329E-2</v>
      </c>
      <c r="D197" s="55"/>
      <c r="E197" s="140">
        <f ca="1">('Cash Flow'!Q188+'Cash Flow'!R188+'Cash Flow'!T188+'Cash Flow'!U188)/(1+$E$5)^$A197</f>
        <v>158708.01864641995</v>
      </c>
      <c r="F197" s="140">
        <f ca="1">('Cash Flow'!CC188+'Cash Flow'!CD188)/(1+$F$5)^$A197</f>
        <v>0</v>
      </c>
      <c r="G197" s="140">
        <f ca="1">('Cash Flow'!CG188+'Cash Flow'!CH188)/(1+$G$5)^$A197</f>
        <v>58830.466535900559</v>
      </c>
    </row>
    <row r="198" spans="1:7" x14ac:dyDescent="0.2">
      <c r="A198" s="27">
        <f>'Cash Flow'!A189</f>
        <v>183</v>
      </c>
      <c r="B198" s="135">
        <f>'Cash Flow'!B189</f>
        <v>44682</v>
      </c>
      <c r="C198" s="136">
        <f>'Cash Flow'!C189</f>
        <v>8.3333333333333329E-2</v>
      </c>
      <c r="D198" s="55"/>
      <c r="E198" s="140">
        <f ca="1">('Cash Flow'!Q189+'Cash Flow'!R189+'Cash Flow'!T189+'Cash Flow'!U189)/(1+$E$5)^$A198</f>
        <v>156729.25505167502</v>
      </c>
      <c r="F198" s="140">
        <f ca="1">('Cash Flow'!CC189+'Cash Flow'!CD189)/(1+$F$5)^$A198</f>
        <v>0</v>
      </c>
      <c r="G198" s="140">
        <f ca="1">('Cash Flow'!CG189+'Cash Flow'!CH189)/(1+$G$5)^$A198</f>
        <v>58622.808084177886</v>
      </c>
    </row>
    <row r="199" spans="1:7" x14ac:dyDescent="0.2">
      <c r="A199" s="27">
        <f>'Cash Flow'!A190</f>
        <v>184</v>
      </c>
      <c r="B199" s="135">
        <f>'Cash Flow'!B190</f>
        <v>44713</v>
      </c>
      <c r="C199" s="136">
        <f>'Cash Flow'!C190</f>
        <v>8.3333333333333329E-2</v>
      </c>
      <c r="D199" s="55"/>
      <c r="E199" s="140">
        <f ca="1">('Cash Flow'!Q190+'Cash Flow'!R190+'Cash Flow'!T190+'Cash Flow'!U190)/(1+$E$5)^$A199</f>
        <v>154773.89579048927</v>
      </c>
      <c r="F199" s="140">
        <f ca="1">('Cash Flow'!CC190+'Cash Flow'!CD190)/(1+$F$5)^$A199</f>
        <v>0</v>
      </c>
      <c r="G199" s="140">
        <f ca="1">('Cash Flow'!CG190+'Cash Flow'!CH190)/(1+$G$5)^$A199</f>
        <v>58416.189235552156</v>
      </c>
    </row>
    <row r="200" spans="1:7" x14ac:dyDescent="0.2">
      <c r="A200" s="27">
        <f>'Cash Flow'!A191</f>
        <v>185</v>
      </c>
      <c r="B200" s="135">
        <f>'Cash Flow'!B191</f>
        <v>44743</v>
      </c>
      <c r="C200" s="136">
        <f>'Cash Flow'!C191</f>
        <v>8.3333333333333329E-2</v>
      </c>
      <c r="D200" s="55"/>
      <c r="E200" s="140">
        <f ca="1">('Cash Flow'!Q191+'Cash Flow'!R191+'Cash Flow'!T191+'Cash Flow'!U191)/(1+$E$5)^$A200</f>
        <v>152841.66877511574</v>
      </c>
      <c r="F200" s="140">
        <f ca="1">('Cash Flow'!CC191+'Cash Flow'!CD191)/(1+$F$5)^$A200</f>
        <v>0</v>
      </c>
      <c r="G200" s="140">
        <f ca="1">('Cash Flow'!CG191+'Cash Flow'!CH191)/(1+$G$5)^$A200</f>
        <v>58210.604501734109</v>
      </c>
    </row>
    <row r="201" spans="1:7" x14ac:dyDescent="0.2">
      <c r="A201" s="27">
        <f>'Cash Flow'!A192</f>
        <v>186</v>
      </c>
      <c r="B201" s="135">
        <f>'Cash Flow'!B192</f>
        <v>44774</v>
      </c>
      <c r="C201" s="136">
        <f>'Cash Flow'!C192</f>
        <v>8.3333333333333329E-2</v>
      </c>
      <c r="D201" s="55"/>
      <c r="E201" s="140">
        <f ca="1">('Cash Flow'!Q192+'Cash Flow'!R192+'Cash Flow'!T192+'Cash Flow'!U192)/(1+$E$5)^$A201</f>
        <v>150932.30505881386</v>
      </c>
      <c r="F201" s="140">
        <f ca="1">('Cash Flow'!CC192+'Cash Flow'!CD192)/(1+$F$5)^$A201</f>
        <v>0</v>
      </c>
      <c r="G201" s="140">
        <f ca="1">('Cash Flow'!CG192+'Cash Flow'!CH192)/(1+$G$5)^$A201</f>
        <v>58006.048420899278</v>
      </c>
    </row>
    <row r="202" spans="1:7" x14ac:dyDescent="0.2">
      <c r="A202" s="27">
        <f>'Cash Flow'!A193</f>
        <v>187</v>
      </c>
      <c r="B202" s="135">
        <f>'Cash Flow'!B193</f>
        <v>44805</v>
      </c>
      <c r="C202" s="136">
        <f>'Cash Flow'!C193</f>
        <v>8.3333333333333329E-2</v>
      </c>
      <c r="D202" s="55"/>
      <c r="E202" s="140">
        <f ca="1">('Cash Flow'!Q193+'Cash Flow'!R193+'Cash Flow'!T193+'Cash Flow'!U193)/(1+$E$5)^$A202</f>
        <v>149045.5387996331</v>
      </c>
      <c r="F202" s="140">
        <f ca="1">('Cash Flow'!CC193+'Cash Flow'!CD193)/(1+$F$5)^$A202</f>
        <v>0</v>
      </c>
      <c r="G202" s="140">
        <f ca="1">('Cash Flow'!CG193+'Cash Flow'!CH193)/(1+$G$5)^$A202</f>
        <v>57802.515557514766</v>
      </c>
    </row>
    <row r="203" spans="1:7" x14ac:dyDescent="0.2">
      <c r="A203" s="27">
        <f>'Cash Flow'!A194</f>
        <v>188</v>
      </c>
      <c r="B203" s="135">
        <f>'Cash Flow'!B194</f>
        <v>44835</v>
      </c>
      <c r="C203" s="136">
        <f>'Cash Flow'!C194</f>
        <v>8.3333333333333329E-2</v>
      </c>
      <c r="D203" s="55"/>
      <c r="E203" s="140">
        <f ca="1">('Cash Flow'!Q194+'Cash Flow'!R194+'Cash Flow'!T194+'Cash Flow'!U194)/(1+$E$5)^$A203</f>
        <v>147181.10722460222</v>
      </c>
      <c r="F203" s="140">
        <f ca="1">('Cash Flow'!CC194+'Cash Flow'!CD194)/(1+$F$5)^$A203</f>
        <v>0</v>
      </c>
      <c r="G203" s="140">
        <f ca="1">('Cash Flow'!CG194+'Cash Flow'!CH194)/(1+$G$5)^$A203</f>
        <v>57600.000502162467</v>
      </c>
    </row>
    <row r="204" spans="1:7" x14ac:dyDescent="0.2">
      <c r="A204" s="27">
        <f>'Cash Flow'!A195</f>
        <v>189</v>
      </c>
      <c r="B204" s="135">
        <f>'Cash Flow'!B195</f>
        <v>44866</v>
      </c>
      <c r="C204" s="136">
        <f>'Cash Flow'!C195</f>
        <v>8.3333333333333329E-2</v>
      </c>
      <c r="D204" s="55"/>
      <c r="E204" s="140">
        <f ca="1">('Cash Flow'!Q195+'Cash Flow'!R195+'Cash Flow'!T195+'Cash Flow'!U195)/(1+$E$5)^$A204</f>
        <v>145338.75059433834</v>
      </c>
      <c r="F204" s="140">
        <f ca="1">('Cash Flow'!CC195+'Cash Flow'!CD195)/(1+$F$5)^$A204</f>
        <v>0</v>
      </c>
      <c r="G204" s="140">
        <f ca="1">('Cash Flow'!CG195+'Cash Flow'!CH195)/(1+$G$5)^$A204</f>
        <v>57398.497871364816</v>
      </c>
    </row>
    <row r="205" spans="1:7" x14ac:dyDescent="0.2">
      <c r="A205" s="27">
        <f>'Cash Flow'!A196</f>
        <v>190</v>
      </c>
      <c r="B205" s="135">
        <f>'Cash Flow'!B196</f>
        <v>44896</v>
      </c>
      <c r="C205" s="136">
        <f>'Cash Flow'!C196</f>
        <v>8.3333333333333329E-2</v>
      </c>
      <c r="D205" s="55"/>
      <c r="E205" s="140">
        <f ca="1">('Cash Flow'!Q196+'Cash Flow'!R196+'Cash Flow'!T196+'Cash Flow'!U196)/(1+$E$5)^$A205</f>
        <v>143518.2121680587</v>
      </c>
      <c r="F205" s="140">
        <f ca="1">('Cash Flow'!CC196+'Cash Flow'!CD196)/(1+$F$5)^$A205</f>
        <v>0</v>
      </c>
      <c r="G205" s="140">
        <f ca="1">('Cash Flow'!CG196+'Cash Flow'!CH196)/(1+$G$5)^$A205</f>
        <v>57198.002307409159</v>
      </c>
    </row>
    <row r="206" spans="1:7" x14ac:dyDescent="0.2">
      <c r="A206" s="27">
        <f>'Cash Flow'!A197</f>
        <v>191</v>
      </c>
      <c r="B206" s="135">
        <f>'Cash Flow'!B197</f>
        <v>44927</v>
      </c>
      <c r="C206" s="136">
        <f>'Cash Flow'!C197</f>
        <v>8.3333333333333329E-2</v>
      </c>
      <c r="D206" s="55"/>
      <c r="E206" s="140">
        <f ca="1">('Cash Flow'!Q197+'Cash Flow'!R197+'Cash Flow'!T197+'Cash Flow'!U197)/(1+$E$5)^$A206</f>
        <v>141719.23816898363</v>
      </c>
      <c r="F206" s="140">
        <f ca="1">('Cash Flow'!CC197+'Cash Flow'!CD197)/(1+$F$5)^$A206</f>
        <v>0</v>
      </c>
      <c r="G206" s="140">
        <f ca="1">('Cash Flow'!CG197+'Cash Flow'!CH197)/(1+$G$5)^$A206</f>
        <v>56998.508478167903</v>
      </c>
    </row>
    <row r="207" spans="1:7" x14ac:dyDescent="0.2">
      <c r="A207" s="27">
        <f>'Cash Flow'!A198</f>
        <v>192</v>
      </c>
      <c r="B207" s="135">
        <f>'Cash Flow'!B198</f>
        <v>44958</v>
      </c>
      <c r="C207" s="136">
        <f>'Cash Flow'!C198</f>
        <v>8.3333333333333329E-2</v>
      </c>
      <c r="D207" s="55"/>
      <c r="E207" s="140">
        <f ca="1">('Cash Flow'!Q198+'Cash Flow'!R198+'Cash Flow'!T198+'Cash Flow'!U198)/(1+$E$5)^$A207</f>
        <v>139941.57775016766</v>
      </c>
      <c r="F207" s="140">
        <f ca="1">('Cash Flow'!CC198+'Cash Flow'!CD198)/(1+$F$5)^$A207</f>
        <v>0</v>
      </c>
      <c r="G207" s="140">
        <f ca="1">('Cash Flow'!CG198+'Cash Flow'!CH198)/(1+$G$5)^$A207</f>
        <v>56800.011076929179</v>
      </c>
    </row>
    <row r="208" spans="1:7" x14ac:dyDescent="0.2">
      <c r="A208" s="27">
        <f>'Cash Flow'!A199</f>
        <v>193</v>
      </c>
      <c r="B208" s="135">
        <f>'Cash Flow'!B199</f>
        <v>44986</v>
      </c>
      <c r="C208" s="136">
        <f>'Cash Flow'!C199</f>
        <v>8.3333333333333329E-2</v>
      </c>
      <c r="D208" s="55"/>
      <c r="E208" s="140">
        <f ca="1">('Cash Flow'!Q199+'Cash Flow'!R199+'Cash Flow'!T199+'Cash Flow'!U199)/(1+$E$5)^$A208</f>
        <v>138184.98296068463</v>
      </c>
      <c r="F208" s="140">
        <f ca="1">('Cash Flow'!CC199+'Cash Flow'!CD199)/(1+$F$5)^$A208</f>
        <v>0</v>
      </c>
      <c r="G208" s="140">
        <f ca="1">('Cash Flow'!CG199+'Cash Flow'!CH199)/(1+$G$5)^$A208</f>
        <v>56602.504822213727</v>
      </c>
    </row>
    <row r="209" spans="1:7" x14ac:dyDescent="0.2">
      <c r="A209" s="27">
        <f>'Cash Flow'!A200</f>
        <v>194</v>
      </c>
      <c r="B209" s="135">
        <f>'Cash Flow'!B200</f>
        <v>45017</v>
      </c>
      <c r="C209" s="136">
        <f>'Cash Flow'!C200</f>
        <v>8.3333333333333329E-2</v>
      </c>
      <c r="D209" s="55"/>
      <c r="E209" s="140">
        <f ca="1">('Cash Flow'!Q200+'Cash Flow'!R200+'Cash Flow'!T200+'Cash Flow'!U200)/(1+$E$5)^$A209</f>
        <v>136449.20871222255</v>
      </c>
      <c r="F209" s="140">
        <f ca="1">('Cash Flow'!CC200+'Cash Flow'!CD200)/(1+$F$5)^$A209</f>
        <v>0</v>
      </c>
      <c r="G209" s="140">
        <f ca="1">('Cash Flow'!CG200+'Cash Flow'!CH200)/(1+$G$5)^$A209</f>
        <v>56405.984457598955</v>
      </c>
    </row>
    <row r="210" spans="1:7" x14ac:dyDescent="0.2">
      <c r="A210" s="27">
        <f>'Cash Flow'!A201</f>
        <v>195</v>
      </c>
      <c r="B210" s="135">
        <f>'Cash Flow'!B201</f>
        <v>45047</v>
      </c>
      <c r="C210" s="136">
        <f>'Cash Flow'!C201</f>
        <v>8.3333333333333329E-2</v>
      </c>
      <c r="D210" s="55"/>
      <c r="E210" s="140">
        <f ca="1">('Cash Flow'!Q201+'Cash Flow'!R201+'Cash Flow'!T201+'Cash Flow'!U201)/(1+$E$5)^$A210</f>
        <v>134734.01274606914</v>
      </c>
      <c r="F210" s="140">
        <f ca="1">('Cash Flow'!CC201+'Cash Flow'!CD201)/(1+$F$5)^$A210</f>
        <v>0</v>
      </c>
      <c r="G210" s="140">
        <f ca="1">('Cash Flow'!CG201+'Cash Flow'!CH201)/(1+$G$5)^$A210</f>
        <v>56210.444751544899</v>
      </c>
    </row>
    <row r="211" spans="1:7" x14ac:dyDescent="0.2">
      <c r="A211" s="27">
        <f>'Cash Flow'!A202</f>
        <v>196</v>
      </c>
      <c r="B211" s="135">
        <f>'Cash Flow'!B202</f>
        <v>45078</v>
      </c>
      <c r="C211" s="136">
        <f>'Cash Flow'!C202</f>
        <v>8.3333333333333329E-2</v>
      </c>
      <c r="D211" s="55"/>
      <c r="E211" s="140">
        <f ca="1">('Cash Flow'!Q202+'Cash Flow'!R202+'Cash Flow'!T202+'Cash Flow'!U202)/(1+$E$5)^$A211</f>
        <v>133039.15560044395</v>
      </c>
      <c r="F211" s="140">
        <f ca="1">('Cash Flow'!CC202+'Cash Flow'!CD202)/(1+$F$5)^$A211</f>
        <v>0</v>
      </c>
      <c r="G211" s="140">
        <f ca="1">('Cash Flow'!CG202+'Cash Flow'!CH202)/(1+$G$5)^$A211</f>
        <v>56015.880497208345</v>
      </c>
    </row>
    <row r="212" spans="1:7" x14ac:dyDescent="0.2">
      <c r="A212" s="27">
        <f>'Cash Flow'!A203</f>
        <v>197</v>
      </c>
      <c r="B212" s="135">
        <f>'Cash Flow'!B203</f>
        <v>45108</v>
      </c>
      <c r="C212" s="136">
        <f>'Cash Flow'!C203</f>
        <v>8.3333333333333329E-2</v>
      </c>
      <c r="D212" s="55"/>
      <c r="E212" s="140">
        <f ca="1">('Cash Flow'!Q203+'Cash Flow'!R203+'Cash Flow'!T203+'Cash Flow'!U203)/(1+$E$5)^$A212</f>
        <v>131364.40057824511</v>
      </c>
      <c r="F212" s="140">
        <f ca="1">('Cash Flow'!CC203+'Cash Flow'!CD203)/(1+$F$5)^$A212</f>
        <v>0</v>
      </c>
      <c r="G212" s="140">
        <f ca="1">('Cash Flow'!CG203+'Cash Flow'!CH203)/(1+$G$5)^$A212</f>
        <v>55822.286512270453</v>
      </c>
    </row>
    <row r="213" spans="1:7" x14ac:dyDescent="0.2">
      <c r="A213" s="27">
        <f>'Cash Flow'!A204</f>
        <v>198</v>
      </c>
      <c r="B213" s="135">
        <f>'Cash Flow'!B204</f>
        <v>45139</v>
      </c>
      <c r="C213" s="136">
        <f>'Cash Flow'!C204</f>
        <v>8.3333333333333329E-2</v>
      </c>
      <c r="D213" s="55"/>
      <c r="E213" s="140">
        <f ca="1">('Cash Flow'!Q204+'Cash Flow'!R204+'Cash Flow'!T204+'Cash Flow'!U204)/(1+$E$5)^$A213</f>
        <v>129709.51371513626</v>
      </c>
      <c r="F213" s="140">
        <f ca="1">('Cash Flow'!CC204+'Cash Flow'!CD204)/(1+$F$5)^$A213</f>
        <v>0</v>
      </c>
      <c r="G213" s="140">
        <f ca="1">('Cash Flow'!CG204+'Cash Flow'!CH204)/(1+$G$5)^$A213</f>
        <v>55629.657638753051</v>
      </c>
    </row>
    <row r="214" spans="1:7" x14ac:dyDescent="0.2">
      <c r="A214" s="27">
        <f>'Cash Flow'!A205</f>
        <v>199</v>
      </c>
      <c r="B214" s="135">
        <f>'Cash Flow'!B205</f>
        <v>45170</v>
      </c>
      <c r="C214" s="136">
        <f>'Cash Flow'!C205</f>
        <v>8.3333333333333329E-2</v>
      </c>
      <c r="D214" s="55"/>
      <c r="E214" s="140">
        <f ca="1">('Cash Flow'!Q205+'Cash Flow'!R205+'Cash Flow'!T205+'Cash Flow'!U205)/(1+$E$5)^$A214</f>
        <v>128074.26374801523</v>
      </c>
      <c r="F214" s="140">
        <f ca="1">('Cash Flow'!CC205+'Cash Flow'!CD205)/(1+$F$5)^$A214</f>
        <v>0</v>
      </c>
      <c r="G214" s="140">
        <f ca="1">('Cash Flow'!CG205+'Cash Flow'!CH205)/(1+$G$5)^$A214</f>
        <v>55437.988742839916</v>
      </c>
    </row>
    <row r="215" spans="1:7" x14ac:dyDescent="0.2">
      <c r="A215" s="27">
        <f>'Cash Flow'!A206</f>
        <v>200</v>
      </c>
      <c r="B215" s="135">
        <f>'Cash Flow'!B206</f>
        <v>45200</v>
      </c>
      <c r="C215" s="136">
        <f>'Cash Flow'!C206</f>
        <v>8.3333333333333329E-2</v>
      </c>
      <c r="D215" s="55"/>
      <c r="E215" s="140">
        <f ca="1">('Cash Flow'!Q206+'Cash Flow'!R206+'Cash Flow'!T206+'Cash Flow'!U206)/(1+$E$5)^$A215</f>
        <v>126458.42208383812</v>
      </c>
      <c r="F215" s="140">
        <f ca="1">('Cash Flow'!CC206+'Cash Flow'!CD206)/(1+$F$5)^$A215</f>
        <v>0</v>
      </c>
      <c r="G215" s="140">
        <f ca="1">('Cash Flow'!CG206+'Cash Flow'!CH206)/(1+$G$5)^$A215</f>
        <v>55247.27471469497</v>
      </c>
    </row>
    <row r="216" spans="1:7" x14ac:dyDescent="0.2">
      <c r="A216" s="27">
        <f>'Cash Flow'!A207</f>
        <v>201</v>
      </c>
      <c r="B216" s="135">
        <f>'Cash Flow'!B207</f>
        <v>45231</v>
      </c>
      <c r="C216" s="136">
        <f>'Cash Flow'!C207</f>
        <v>8.3333333333333329E-2</v>
      </c>
      <c r="D216" s="55"/>
      <c r="E216" s="140">
        <f ca="1">('Cash Flow'!Q207+'Cash Flow'!R207+'Cash Flow'!T207+'Cash Flow'!U207)/(1+$E$5)^$A216</f>
        <v>124861.76276879893</v>
      </c>
      <c r="F216" s="140">
        <f ca="1">('Cash Flow'!CC207+'Cash Flow'!CD207)/(1+$F$5)^$A216</f>
        <v>0</v>
      </c>
      <c r="G216" s="140">
        <f ca="1">('Cash Flow'!CG207+'Cash Flow'!CH207)/(1+$G$5)^$A216</f>
        <v>55057.51046827907</v>
      </c>
    </row>
    <row r="217" spans="1:7" x14ac:dyDescent="0.2">
      <c r="A217" s="27">
        <f>'Cash Flow'!A208</f>
        <v>202</v>
      </c>
      <c r="B217" s="135">
        <f>'Cash Flow'!B208</f>
        <v>45261</v>
      </c>
      <c r="C217" s="136">
        <f>'Cash Flow'!C208</f>
        <v>8.3333333333333329E-2</v>
      </c>
      <c r="D217" s="55"/>
      <c r="E217" s="140">
        <f ca="1">('Cash Flow'!Q208+'Cash Flow'!R208+'Cash Flow'!T208+'Cash Flow'!U208)/(1+$E$5)^$A217</f>
        <v>123284.06245786745</v>
      </c>
      <c r="F217" s="140">
        <f ca="1">('Cash Flow'!CC208+'Cash Flow'!CD208)/(1+$F$5)^$A217</f>
        <v>0</v>
      </c>
      <c r="G217" s="140">
        <f ca="1">('Cash Flow'!CG208+'Cash Flow'!CH208)/(1+$G$5)^$A217</f>
        <v>54868.690941167566</v>
      </c>
    </row>
    <row r="218" spans="1:7" x14ac:dyDescent="0.2">
      <c r="A218" s="27">
        <f>'Cash Flow'!A209</f>
        <v>203</v>
      </c>
      <c r="B218" s="135">
        <f>'Cash Flow'!B209</f>
        <v>45292</v>
      </c>
      <c r="C218" s="136">
        <f>'Cash Flow'!C209</f>
        <v>8.3333333333333329E-2</v>
      </c>
      <c r="D218" s="55"/>
      <c r="E218" s="140">
        <f ca="1">('Cash Flow'!Q209+'Cash Flow'!R209+'Cash Flow'!T209+'Cash Flow'!U209)/(1+$E$5)^$A218</f>
        <v>121725.10038467495</v>
      </c>
      <c r="F218" s="140">
        <f ca="1">('Cash Flow'!CC209+'Cash Flow'!CD209)/(1+$F$5)^$A218</f>
        <v>0</v>
      </c>
      <c r="G218" s="140">
        <f ca="1">('Cash Flow'!CG209+'Cash Flow'!CH209)/(1+$G$5)^$A218</f>
        <v>54680.811094366523</v>
      </c>
    </row>
    <row r="219" spans="1:7" x14ac:dyDescent="0.2">
      <c r="A219" s="27">
        <f>'Cash Flow'!A210</f>
        <v>204</v>
      </c>
      <c r="B219" s="135">
        <f>'Cash Flow'!B210</f>
        <v>45323</v>
      </c>
      <c r="C219" s="136">
        <f>'Cash Flow'!C210</f>
        <v>8.3333333333333329E-2</v>
      </c>
      <c r="D219" s="55"/>
      <c r="E219" s="140">
        <f ca="1">('Cash Flow'!Q210+'Cash Flow'!R210+'Cash Flow'!T210+'Cash Flow'!U210)/(1+$E$5)^$A219</f>
        <v>120184.65833174311</v>
      </c>
      <c r="F219" s="140">
        <f ca="1">('Cash Flow'!CC210+'Cash Flow'!CD210)/(1+$F$5)^$A219</f>
        <v>0</v>
      </c>
      <c r="G219" s="140">
        <f ca="1">('Cash Flow'!CG210+'Cash Flow'!CH210)/(1+$G$5)^$A219</f>
        <v>54493.865912127221</v>
      </c>
    </row>
    <row r="220" spans="1:7" x14ac:dyDescent="0.2">
      <c r="A220" s="27">
        <f>'Cash Flow'!A211</f>
        <v>205</v>
      </c>
      <c r="B220" s="135">
        <f>'Cash Flow'!B211</f>
        <v>45352</v>
      </c>
      <c r="C220" s="136">
        <f>'Cash Flow'!C211</f>
        <v>8.3333333333333329E-2</v>
      </c>
      <c r="D220" s="55"/>
      <c r="E220" s="140">
        <f ca="1">('Cash Flow'!Q211+'Cash Flow'!R211+'Cash Flow'!T211+'Cash Flow'!U211)/(1+$E$5)^$A220</f>
        <v>118662.52060105122</v>
      </c>
      <c r="F220" s="140">
        <f ca="1">('Cash Flow'!CC211+'Cash Flow'!CD211)/(1+$F$5)^$A220</f>
        <v>0</v>
      </c>
      <c r="G220" s="140">
        <f ca="1">('Cash Flow'!CG211+'Cash Flow'!CH211)/(1+$G$5)^$A220</f>
        <v>54307.850401758507</v>
      </c>
    </row>
    <row r="221" spans="1:7" x14ac:dyDescent="0.2">
      <c r="A221" s="27">
        <f>'Cash Flow'!A212</f>
        <v>206</v>
      </c>
      <c r="B221" s="135">
        <f>'Cash Flow'!B212</f>
        <v>45383</v>
      </c>
      <c r="C221" s="136">
        <f>'Cash Flow'!C212</f>
        <v>8.3333333333333329E-2</v>
      </c>
      <c r="D221" s="55"/>
      <c r="E221" s="140">
        <f ca="1">('Cash Flow'!Q212+'Cash Flow'!R212+'Cash Flow'!T212+'Cash Flow'!U212)/(1+$E$5)^$A221</f>
        <v>117158.47398494986</v>
      </c>
      <c r="F221" s="140">
        <f ca="1">('Cash Flow'!CC212+'Cash Flow'!CD212)/(1+$F$5)^$A221</f>
        <v>0</v>
      </c>
      <c r="G221" s="140">
        <f ca="1">('Cash Flow'!CG212+'Cash Flow'!CH212)/(1+$G$5)^$A221</f>
        <v>54122.759593441566</v>
      </c>
    </row>
    <row r="222" spans="1:7" x14ac:dyDescent="0.2">
      <c r="A222" s="27">
        <f>'Cash Flow'!A213</f>
        <v>207</v>
      </c>
      <c r="B222" s="135">
        <f>'Cash Flow'!B213</f>
        <v>45413</v>
      </c>
      <c r="C222" s="136">
        <f>'Cash Flow'!C213</f>
        <v>8.3333333333333329E-2</v>
      </c>
      <c r="D222" s="55"/>
      <c r="E222" s="140">
        <f ca="1">('Cash Flow'!Q213+'Cash Flow'!R213+'Cash Flow'!T213+'Cash Flow'!U213)/(1+$E$5)^$A222</f>
        <v>115672.30773739512</v>
      </c>
      <c r="F222" s="140">
        <f ca="1">('Cash Flow'!CC213+'Cash Flow'!CD213)/(1+$F$5)^$A222</f>
        <v>0</v>
      </c>
      <c r="G222" s="140">
        <f ca="1">('Cash Flow'!CG213+'Cash Flow'!CH213)/(1+$G$5)^$A222</f>
        <v>53938.58854003856</v>
      </c>
    </row>
    <row r="223" spans="1:7" x14ac:dyDescent="0.2">
      <c r="A223" s="27">
        <f>'Cash Flow'!A214</f>
        <v>208</v>
      </c>
      <c r="B223" s="135">
        <f>'Cash Flow'!B214</f>
        <v>45444</v>
      </c>
      <c r="C223" s="136">
        <f>'Cash Flow'!C214</f>
        <v>8.3333333333333329E-2</v>
      </c>
      <c r="D223" s="55"/>
      <c r="E223" s="140">
        <f ca="1">('Cash Flow'!Q214+'Cash Flow'!R214+'Cash Flow'!T214+'Cash Flow'!U214)/(1+$E$5)^$A223</f>
        <v>114203.81354552356</v>
      </c>
      <c r="F223" s="140">
        <f ca="1">('Cash Flow'!CC214+'Cash Flow'!CD214)/(1+$F$5)^$A223</f>
        <v>0</v>
      </c>
      <c r="G223" s="140">
        <f ca="1">('Cash Flow'!CG214+'Cash Flow'!CH214)/(1+$G$5)^$A223</f>
        <v>53755.33231690454</v>
      </c>
    </row>
    <row r="224" spans="1:7" x14ac:dyDescent="0.2">
      <c r="A224" s="27">
        <f>'Cash Flow'!A215</f>
        <v>209</v>
      </c>
      <c r="B224" s="135">
        <f>'Cash Flow'!B215</f>
        <v>45474</v>
      </c>
      <c r="C224" s="136">
        <f>'Cash Flow'!C215</f>
        <v>8.3333333333333329E-2</v>
      </c>
      <c r="D224" s="55"/>
      <c r="E224" s="140">
        <f ca="1">('Cash Flow'!Q215+'Cash Flow'!R215+'Cash Flow'!T215+'Cash Flow'!U215)/(1+$E$5)^$A224</f>
        <v>112752.78550154455</v>
      </c>
      <c r="F224" s="140">
        <f ca="1">('Cash Flow'!CC215+'Cash Flow'!CD215)/(1+$F$5)^$A224</f>
        <v>0</v>
      </c>
      <c r="G224" s="140">
        <f ca="1">('Cash Flow'!CG215+'Cash Flow'!CH215)/(1+$G$5)^$A224</f>
        <v>53572.986021694742</v>
      </c>
    </row>
    <row r="225" spans="1:7" x14ac:dyDescent="0.2">
      <c r="A225" s="27">
        <f>'Cash Flow'!A216</f>
        <v>210</v>
      </c>
      <c r="B225" s="135">
        <f>'Cash Flow'!B216</f>
        <v>45505</v>
      </c>
      <c r="C225" s="136">
        <f>'Cash Flow'!C216</f>
        <v>8.3333333333333329E-2</v>
      </c>
      <c r="D225" s="55"/>
      <c r="E225" s="140">
        <f ca="1">('Cash Flow'!Q216+'Cash Flow'!R216+'Cash Flow'!T216+'Cash Flow'!U216)/(1+$E$5)^$A225</f>
        <v>111319.02007495331</v>
      </c>
      <c r="F225" s="140">
        <f ca="1">('Cash Flow'!CC216+'Cash Flow'!CD216)/(1+$F$5)^$A225</f>
        <v>0</v>
      </c>
      <c r="G225" s="140">
        <f ca="1">('Cash Flow'!CG216+'Cash Flow'!CH216)/(1+$G$5)^$A225</f>
        <v>53391.544774170114</v>
      </c>
    </row>
    <row r="226" spans="1:7" x14ac:dyDescent="0.2">
      <c r="A226" s="27">
        <f>'Cash Flow'!A217</f>
        <v>211</v>
      </c>
      <c r="B226" s="135">
        <f>'Cash Flow'!B217</f>
        <v>45536</v>
      </c>
      <c r="C226" s="136">
        <f>'Cash Flow'!C217</f>
        <v>8.3333333333333329E-2</v>
      </c>
      <c r="D226" s="55"/>
      <c r="E226" s="140">
        <f ca="1">('Cash Flow'!Q217+'Cash Flow'!R217+'Cash Flow'!T217+'Cash Flow'!U217)/(1+$E$5)^$A226</f>
        <v>109902.31608507365</v>
      </c>
      <c r="F226" s="140">
        <f ca="1">('Cash Flow'!CC217+'Cash Flow'!CD217)/(1+$F$5)^$A226</f>
        <v>0</v>
      </c>
      <c r="G226" s="140">
        <f ca="1">('Cash Flow'!CG217+'Cash Flow'!CH217)/(1+$G$5)^$A226</f>
        <v>53211.003716006009</v>
      </c>
    </row>
    <row r="227" spans="1:7" x14ac:dyDescent="0.2">
      <c r="A227" s="27">
        <f>'Cash Flow'!A218</f>
        <v>212</v>
      </c>
      <c r="B227" s="135">
        <f>'Cash Flow'!B218</f>
        <v>45566</v>
      </c>
      <c r="C227" s="136">
        <f>'Cash Flow'!C218</f>
        <v>8.3333333333333329E-2</v>
      </c>
      <c r="D227" s="55"/>
      <c r="E227" s="140">
        <f ca="1">('Cash Flow'!Q218+'Cash Flow'!R218+'Cash Flow'!T218+'Cash Flow'!U218)/(1+$E$5)^$A227</f>
        <v>108502.47467389163</v>
      </c>
      <c r="F227" s="140">
        <f ca="1">('Cash Flow'!CC218+'Cash Flow'!CD218)/(1+$F$5)^$A227</f>
        <v>0</v>
      </c>
      <c r="G227" s="140">
        <f ca="1">('Cash Flow'!CG218+'Cash Flow'!CH218)/(1+$G$5)^$A227</f>
        <v>53031.35801058996</v>
      </c>
    </row>
    <row r="228" spans="1:7" x14ac:dyDescent="0.2">
      <c r="A228" s="27">
        <f>'Cash Flow'!A219</f>
        <v>213</v>
      </c>
      <c r="B228" s="135">
        <f>'Cash Flow'!B219</f>
        <v>45597</v>
      </c>
      <c r="C228" s="136">
        <f>'Cash Flow'!C219</f>
        <v>8.3333333333333329E-2</v>
      </c>
      <c r="D228" s="55"/>
      <c r="E228" s="140">
        <f ca="1">('Cash Flow'!Q219+'Cash Flow'!R219+'Cash Flow'!T219+'Cash Flow'!U219)/(1+$E$5)^$A228</f>
        <v>107119.29927922724</v>
      </c>
      <c r="F228" s="140">
        <f ca="1">('Cash Flow'!CC219+'Cash Flow'!CD219)/(1+$F$5)^$A228</f>
        <v>0</v>
      </c>
      <c r="G228" s="140">
        <f ca="1">('Cash Flow'!CG219+'Cash Flow'!CH219)/(1+$G$5)^$A228</f>
        <v>52852.602842828739</v>
      </c>
    </row>
    <row r="229" spans="1:7" x14ac:dyDescent="0.2">
      <c r="A229" s="27">
        <f>'Cash Flow'!A220</f>
        <v>214</v>
      </c>
      <c r="B229" s="135">
        <f>'Cash Flow'!B220</f>
        <v>45627</v>
      </c>
      <c r="C229" s="136">
        <f>'Cash Flow'!C220</f>
        <v>8.3333333333333329E-2</v>
      </c>
      <c r="D229" s="55"/>
      <c r="E229" s="140">
        <f ca="1">('Cash Flow'!Q220+'Cash Flow'!R220+'Cash Flow'!T220+'Cash Flow'!U220)/(1+$E$5)^$A229</f>
        <v>105752.59560819204</v>
      </c>
      <c r="F229" s="140">
        <f ca="1">('Cash Flow'!CC220+'Cash Flow'!CD220)/(1+$F$5)^$A229</f>
        <v>0</v>
      </c>
      <c r="G229" s="140">
        <f ca="1">('Cash Flow'!CG220+'Cash Flow'!CH220)/(1+$G$5)^$A229</f>
        <v>52674.733418945376</v>
      </c>
    </row>
    <row r="230" spans="1:7" x14ac:dyDescent="0.2">
      <c r="A230" s="27">
        <f>'Cash Flow'!A221</f>
        <v>215</v>
      </c>
      <c r="B230" s="135">
        <f>'Cash Flow'!B221</f>
        <v>45658</v>
      </c>
      <c r="C230" s="136">
        <f>'Cash Flow'!C221</f>
        <v>8.3333333333333329E-2</v>
      </c>
      <c r="D230" s="55"/>
      <c r="E230" s="140">
        <f ca="1">('Cash Flow'!Q221+'Cash Flow'!R221+'Cash Flow'!T221+'Cash Flow'!U221)/(1+$E$5)^$A230</f>
        <v>104402.17161095423</v>
      </c>
      <c r="F230" s="140">
        <f ca="1">('Cash Flow'!CC221+'Cash Flow'!CD221)/(1+$F$5)^$A230</f>
        <v>0</v>
      </c>
      <c r="G230" s="140">
        <f ca="1">('Cash Flow'!CG221+'Cash Flow'!CH221)/(1+$G$5)^$A230</f>
        <v>52497.744966275815</v>
      </c>
    </row>
    <row r="231" spans="1:7" x14ac:dyDescent="0.2">
      <c r="A231" s="27">
        <f>'Cash Flow'!A222</f>
        <v>216</v>
      </c>
      <c r="B231" s="135">
        <f>'Cash Flow'!B222</f>
        <v>45689</v>
      </c>
      <c r="C231" s="136">
        <f>'Cash Flow'!C222</f>
        <v>8.3333333333333329E-2</v>
      </c>
      <c r="D231" s="55"/>
      <c r="E231" s="140">
        <f ca="1">('Cash Flow'!Q222+'Cash Flow'!R222+'Cash Flow'!T222+'Cash Flow'!U222)/(1+$E$5)^$A231</f>
        <v>103067.83745480972</v>
      </c>
      <c r="F231" s="140">
        <f ca="1">('Cash Flow'!CC222+'Cash Flow'!CD222)/(1+$F$5)^$A231</f>
        <v>0</v>
      </c>
      <c r="G231" s="140">
        <f ca="1">('Cash Flow'!CG222+'Cash Flow'!CH222)/(1+$G$5)^$A231</f>
        <v>52321.632733066246</v>
      </c>
    </row>
    <row r="232" spans="1:7" x14ac:dyDescent="0.2">
      <c r="A232" s="27">
        <f>'Cash Flow'!A223</f>
        <v>217</v>
      </c>
      <c r="B232" s="135">
        <f>'Cash Flow'!B223</f>
        <v>45717</v>
      </c>
      <c r="C232" s="136">
        <f>'Cash Flow'!C223</f>
        <v>8.3333333333333329E-2</v>
      </c>
      <c r="D232" s="55"/>
      <c r="E232" s="140">
        <f ca="1">('Cash Flow'!Q223+'Cash Flow'!R223+'Cash Flow'!T223+'Cash Flow'!U223)/(1+$E$5)^$A232</f>
        <v>101749.40549854061</v>
      </c>
      <c r="F232" s="140">
        <f ca="1">('Cash Flow'!CC223+'Cash Flow'!CD223)/(1+$F$5)^$A232</f>
        <v>0</v>
      </c>
      <c r="G232" s="140">
        <f ca="1">('Cash Flow'!CG223+'Cash Flow'!CH223)/(1+$G$5)^$A232</f>
        <v>52146.391988264608</v>
      </c>
    </row>
    <row r="233" spans="1:7" x14ac:dyDescent="0.2">
      <c r="A233" s="27">
        <f>'Cash Flow'!A224</f>
        <v>218</v>
      </c>
      <c r="B233" s="135">
        <f>'Cash Flow'!B224</f>
        <v>45748</v>
      </c>
      <c r="C233" s="136">
        <f>'Cash Flow'!C224</f>
        <v>8.3333333333333329E-2</v>
      </c>
      <c r="D233" s="55"/>
      <c r="E233" s="140">
        <f ca="1">('Cash Flow'!Q224+'Cash Flow'!R224+'Cash Flow'!T224+'Cash Flow'!U224)/(1+$E$5)^$A233</f>
        <v>100446.69026706905</v>
      </c>
      <c r="F233" s="140">
        <f ca="1">('Cash Flow'!CC224+'Cash Flow'!CD224)/(1+$F$5)^$A233</f>
        <v>0</v>
      </c>
      <c r="G233" s="140">
        <f ca="1">('Cash Flow'!CG224+'Cash Flow'!CH224)/(1+$G$5)^$A233</f>
        <v>51972.018021311218</v>
      </c>
    </row>
    <row r="234" spans="1:7" x14ac:dyDescent="0.2">
      <c r="A234" s="27">
        <f>'Cash Flow'!A225</f>
        <v>219</v>
      </c>
      <c r="B234" s="135">
        <f>'Cash Flow'!B225</f>
        <v>45778</v>
      </c>
      <c r="C234" s="136">
        <f>'Cash Flow'!C225</f>
        <v>8.3333333333333329E-2</v>
      </c>
      <c r="D234" s="55"/>
      <c r="E234" s="140">
        <f ca="1">('Cash Flow'!Q225+'Cash Flow'!R225+'Cash Flow'!T225+'Cash Flow'!U225)/(1+$E$5)^$A234</f>
        <v>99159.508426401662</v>
      </c>
      <c r="F234" s="140">
        <f ca="1">('Cash Flow'!CC225+'Cash Flow'!CD225)/(1+$F$5)^$A234</f>
        <v>0</v>
      </c>
      <c r="G234" s="140">
        <f ca="1">('Cash Flow'!CG225+'Cash Flow'!CH225)/(1+$G$5)^$A234</f>
        <v>51798.506141927399</v>
      </c>
    </row>
    <row r="235" spans="1:7" x14ac:dyDescent="0.2">
      <c r="A235" s="27">
        <f>'Cash Flow'!A226</f>
        <v>220</v>
      </c>
      <c r="B235" s="135">
        <f>'Cash Flow'!B226</f>
        <v>45809</v>
      </c>
      <c r="C235" s="136">
        <f>'Cash Flow'!C226</f>
        <v>8.3333333333333329E-2</v>
      </c>
      <c r="D235" s="55"/>
      <c r="E235" s="140">
        <f ca="1">('Cash Flow'!Q226+'Cash Flow'!R226+'Cash Flow'!T226+'Cash Flow'!U226)/(1+$E$5)^$A235</f>
        <v>97887.678758858077</v>
      </c>
      <c r="F235" s="140">
        <f ca="1">('Cash Flow'!CC226+'Cash Flow'!CD226)/(1+$F$5)^$A235</f>
        <v>0</v>
      </c>
      <c r="G235" s="140">
        <f ca="1">('Cash Flow'!CG226+'Cash Flow'!CH226)/(1+$G$5)^$A235</f>
        <v>51625.851679901025</v>
      </c>
    </row>
    <row r="236" spans="1:7" x14ac:dyDescent="0.2">
      <c r="A236" s="27">
        <f>'Cash Flow'!A227</f>
        <v>221</v>
      </c>
      <c r="B236" s="135">
        <f>'Cash Flow'!B227</f>
        <v>45839</v>
      </c>
      <c r="C236" s="136">
        <f>'Cash Flow'!C227</f>
        <v>8.3333333333333329E-2</v>
      </c>
      <c r="D236" s="55"/>
      <c r="E236" s="140">
        <f ca="1">('Cash Flow'!Q227+'Cash Flow'!R227+'Cash Flow'!T227+'Cash Flow'!U227)/(1+$E$5)^$A236</f>
        <v>96631.022138578337</v>
      </c>
      <c r="F236" s="140">
        <f ca="1">('Cash Flow'!CC227+'Cash Flow'!CD227)/(1+$F$5)^$A236</f>
        <v>0</v>
      </c>
      <c r="G236" s="140">
        <f ca="1">('Cash Flow'!CG227+'Cash Flow'!CH227)/(1+$G$5)^$A236</f>
        <v>51454.049984868107</v>
      </c>
    </row>
    <row r="237" spans="1:7" x14ac:dyDescent="0.2">
      <c r="A237" s="27">
        <f>'Cash Flow'!A228</f>
        <v>222</v>
      </c>
      <c r="B237" s="135">
        <f>'Cash Flow'!B228</f>
        <v>45870</v>
      </c>
      <c r="C237" s="136">
        <f>'Cash Flow'!C228</f>
        <v>8.3333333333333329E-2</v>
      </c>
      <c r="D237" s="55"/>
      <c r="E237" s="140">
        <f ca="1">('Cash Flow'!Q228+'Cash Flow'!R228+'Cash Flow'!T228+'Cash Flow'!U228)/(1+$E$5)^$A237</f>
        <v>95389.36150731206</v>
      </c>
      <c r="F237" s="140">
        <f ca="1">('Cash Flow'!CC228+'Cash Flow'!CD228)/(1+$F$5)^$A237</f>
        <v>0</v>
      </c>
      <c r="G237" s="140">
        <f ca="1">('Cash Flow'!CG228+'Cash Flow'!CH228)/(1+$G$5)^$A237</f>
        <v>51283.096426092539</v>
      </c>
    </row>
    <row r="238" spans="1:7" x14ac:dyDescent="0.2">
      <c r="A238" s="27">
        <f>'Cash Flow'!A229</f>
        <v>223</v>
      </c>
      <c r="B238" s="135">
        <f>'Cash Flow'!B229</f>
        <v>45901</v>
      </c>
      <c r="C238" s="136">
        <f>'Cash Flow'!C229</f>
        <v>8.3333333333333329E-2</v>
      </c>
      <c r="D238" s="55"/>
      <c r="E238" s="140">
        <f ca="1">('Cash Flow'!Q229+'Cash Flow'!R229+'Cash Flow'!T229+'Cash Flow'!U229)/(1+$E$5)^$A238</f>
        <v>94162.521850479126</v>
      </c>
      <c r="F238" s="140">
        <f ca="1">('Cash Flow'!CC229+'Cash Flow'!CD229)/(1+$F$5)^$A238</f>
        <v>0</v>
      </c>
      <c r="G238" s="140">
        <f ca="1">('Cash Flow'!CG229+'Cash Flow'!CH229)/(1+$G$5)^$A238</f>
        <v>51112.986392241452</v>
      </c>
    </row>
    <row r="239" spans="1:7" x14ac:dyDescent="0.2">
      <c r="A239" s="27">
        <f>'Cash Flow'!A230</f>
        <v>224</v>
      </c>
      <c r="B239" s="135">
        <f>'Cash Flow'!B230</f>
        <v>45931</v>
      </c>
      <c r="C239" s="136">
        <f>'Cash Flow'!C230</f>
        <v>8.3333333333333329E-2</v>
      </c>
      <c r="D239" s="55"/>
      <c r="E239" s="140">
        <f ca="1">('Cash Flow'!Q230+'Cash Flow'!R230+'Cash Flow'!T230+'Cash Flow'!U230)/(1+$E$5)^$A239</f>
        <v>92950.330173507464</v>
      </c>
      <c r="F239" s="140">
        <f ca="1">('Cash Flow'!CC230+'Cash Flow'!CD230)/(1+$F$5)^$A239</f>
        <v>0</v>
      </c>
      <c r="G239" s="140">
        <f ca="1">('Cash Flow'!CG230+'Cash Flow'!CH230)/(1+$G$5)^$A239</f>
        <v>50943.715291159257</v>
      </c>
    </row>
    <row r="240" spans="1:7" x14ac:dyDescent="0.2">
      <c r="A240" s="27">
        <f>'Cash Flow'!A231</f>
        <v>225</v>
      </c>
      <c r="B240" s="135">
        <f>'Cash Flow'!B231</f>
        <v>45962</v>
      </c>
      <c r="C240" s="136">
        <f>'Cash Flow'!C231</f>
        <v>8.3333333333333329E-2</v>
      </c>
      <c r="D240" s="55"/>
      <c r="E240" s="140">
        <f ca="1">('Cash Flow'!Q231+'Cash Flow'!R231+'Cash Flow'!T231+'Cash Flow'!U231)/(1+$E$5)^$A240</f>
        <v>91752.615478435546</v>
      </c>
      <c r="F240" s="140">
        <f ca="1">('Cash Flow'!CC231+'Cash Flow'!CD231)/(1+$F$5)^$A240</f>
        <v>0</v>
      </c>
      <c r="G240" s="140">
        <f ca="1">('Cash Flow'!CG231+'Cash Flow'!CH231)/(1+$G$5)^$A240</f>
        <v>50775.278549636772</v>
      </c>
    </row>
    <row r="241" spans="1:7" x14ac:dyDescent="0.2">
      <c r="A241" s="27">
        <f>'Cash Flow'!A232</f>
        <v>226</v>
      </c>
      <c r="B241" s="135">
        <f>'Cash Flow'!B232</f>
        <v>45992</v>
      </c>
      <c r="C241" s="136">
        <f>'Cash Flow'!C232</f>
        <v>8.3333333333333329E-2</v>
      </c>
      <c r="D241" s="55"/>
      <c r="E241" s="140">
        <f ca="1">('Cash Flow'!Q232+'Cash Flow'!R232+'Cash Flow'!T232+'Cash Flow'!U232)/(1+$E$5)^$A241</f>
        <v>90569.208740779039</v>
      </c>
      <c r="F241" s="140">
        <f ca="1">('Cash Flow'!CC232+'Cash Flow'!CD232)/(1+$F$5)^$A241</f>
        <v>0</v>
      </c>
      <c r="G241" s="140">
        <f ca="1">('Cash Flow'!CG232+'Cash Flow'!CH232)/(1+$G$5)^$A241</f>
        <v>50607.671613176135</v>
      </c>
    </row>
    <row r="242" spans="1:7" x14ac:dyDescent="0.2">
      <c r="A242" s="27">
        <f>'Cash Flow'!A233</f>
        <v>227</v>
      </c>
      <c r="B242" s="135">
        <f>'Cash Flow'!B233</f>
        <v>46023</v>
      </c>
      <c r="C242" s="136">
        <f>'Cash Flow'!C233</f>
        <v>8.3333333333333329E-2</v>
      </c>
      <c r="D242" s="55"/>
      <c r="E242" s="140">
        <f ca="1">('Cash Flow'!Q233+'Cash Flow'!R233+'Cash Flow'!T233+'Cash Flow'!U233)/(1+$E$5)^$A242</f>
        <v>89399.942886662655</v>
      </c>
      <c r="F242" s="140">
        <f ca="1">('Cash Flow'!CC233+'Cash Flow'!CD233)/(1+$F$5)^$A242</f>
        <v>0</v>
      </c>
      <c r="G242" s="140">
        <f ca="1">('Cash Flow'!CG233+'Cash Flow'!CH233)/(1+$G$5)^$A242</f>
        <v>50440.889945753224</v>
      </c>
    </row>
    <row r="243" spans="1:7" x14ac:dyDescent="0.2">
      <c r="A243" s="27">
        <f>'Cash Flow'!A234</f>
        <v>228</v>
      </c>
      <c r="B243" s="135">
        <f>'Cash Flow'!B234</f>
        <v>46054</v>
      </c>
      <c r="C243" s="136">
        <f>'Cash Flow'!C234</f>
        <v>8.3333333333333329E-2</v>
      </c>
      <c r="D243" s="55"/>
      <c r="E243" s="140">
        <f ca="1">('Cash Flow'!Q234+'Cash Flow'!R234+'Cash Flow'!T234+'Cash Flow'!U234)/(1+$E$5)^$A243</f>
        <v>88244.652770202301</v>
      </c>
      <c r="F243" s="140">
        <f ca="1">('Cash Flow'!CC234+'Cash Flow'!CD234)/(1+$F$5)^$A243</f>
        <v>0</v>
      </c>
      <c r="G243" s="140">
        <f ca="1">('Cash Flow'!CG234+'Cash Flow'!CH234)/(1+$G$5)^$A243</f>
        <v>50274.929029572297</v>
      </c>
    </row>
    <row r="244" spans="1:7" x14ac:dyDescent="0.2">
      <c r="A244" s="27">
        <f>'Cash Flow'!A235</f>
        <v>229</v>
      </c>
      <c r="B244" s="135">
        <f>'Cash Flow'!B235</f>
        <v>46082</v>
      </c>
      <c r="C244" s="136">
        <f>'Cash Flow'!C235</f>
        <v>8.3333333333333329E-2</v>
      </c>
      <c r="D244" s="55"/>
      <c r="E244" s="140">
        <f ca="1">('Cash Flow'!Q235+'Cash Flow'!R235+'Cash Flow'!T235+'Cash Flow'!U235)/(1+$E$5)^$A244</f>
        <v>87103.175151161151</v>
      </c>
      <c r="F244" s="140">
        <f ca="1">('Cash Flow'!CC235+'Cash Flow'!CD235)/(1+$F$5)^$A244</f>
        <v>0</v>
      </c>
      <c r="G244" s="140">
        <f ca="1">('Cash Flow'!CG235+'Cash Flow'!CH235)/(1+$G$5)^$A244</f>
        <v>50109.784364824292</v>
      </c>
    </row>
    <row r="245" spans="1:7" x14ac:dyDescent="0.2">
      <c r="A245" s="27">
        <f>'Cash Flow'!A236</f>
        <v>230</v>
      </c>
      <c r="B245" s="135">
        <f>'Cash Flow'!B236</f>
        <v>46113</v>
      </c>
      <c r="C245" s="136">
        <f>'Cash Flow'!C236</f>
        <v>8.3333333333333329E-2</v>
      </c>
      <c r="D245" s="55"/>
      <c r="E245" s="140">
        <f ca="1">('Cash Flow'!Q236+'Cash Flow'!R236+'Cash Flow'!T236+'Cash Flow'!U236)/(1+$E$5)^$A245</f>
        <v>85975.348672833061</v>
      </c>
      <c r="F245" s="140">
        <f ca="1">('Cash Flow'!CC236+'Cash Flow'!CD236)/(1+$F$5)^$A245</f>
        <v>0</v>
      </c>
      <c r="G245" s="140">
        <f ca="1">('Cash Flow'!CG236+'Cash Flow'!CH236)/(1+$G$5)^$A245</f>
        <v>49945.45146942971</v>
      </c>
    </row>
    <row r="246" spans="1:7" x14ac:dyDescent="0.2">
      <c r="A246" s="27">
        <f>'Cash Flow'!A237</f>
        <v>231</v>
      </c>
      <c r="B246" s="135">
        <f>'Cash Flow'!B237</f>
        <v>46143</v>
      </c>
      <c r="C246" s="136">
        <f>'Cash Flow'!C237</f>
        <v>8.3333333333333329E-2</v>
      </c>
      <c r="D246" s="55"/>
      <c r="E246" s="140">
        <f ca="1">('Cash Flow'!Q237+'Cash Flow'!R237+'Cash Flow'!T237+'Cash Flow'!U237)/(1+$E$5)^$A246</f>
        <v>84861.013840198037</v>
      </c>
      <c r="F246" s="140">
        <f ca="1">('Cash Flow'!CC237+'Cash Flow'!CD237)/(1+$F$5)^$A246</f>
        <v>0</v>
      </c>
      <c r="G246" s="140">
        <f ca="1">('Cash Flow'!CG237+'Cash Flow'!CH237)/(1+$G$5)^$A246</f>
        <v>49781.925878786569</v>
      </c>
    </row>
    <row r="247" spans="1:7" x14ac:dyDescent="0.2">
      <c r="A247" s="27">
        <f>'Cash Flow'!A238</f>
        <v>232</v>
      </c>
      <c r="B247" s="135">
        <f>'Cash Flow'!B238</f>
        <v>46174</v>
      </c>
      <c r="C247" s="136">
        <f>'Cash Flow'!C238</f>
        <v>8.3333333333333329E-2</v>
      </c>
      <c r="D247" s="55"/>
      <c r="E247" s="140">
        <f ca="1">('Cash Flow'!Q238+'Cash Flow'!R238+'Cash Flow'!T238+'Cash Flow'!U238)/(1+$E$5)^$A247</f>
        <v>83760.012998305305</v>
      </c>
      <c r="F247" s="140">
        <f ca="1">('Cash Flow'!CC238+'Cash Flow'!CD238)/(1+$F$5)^$A247</f>
        <v>0</v>
      </c>
      <c r="G247" s="140">
        <f ca="1">('Cash Flow'!CG238+'Cash Flow'!CH238)/(1+$G$5)^$A247</f>
        <v>49619.20314550522</v>
      </c>
    </row>
    <row r="248" spans="1:7" x14ac:dyDescent="0.2">
      <c r="A248" s="27">
        <f>'Cash Flow'!A239</f>
        <v>233</v>
      </c>
      <c r="B248" s="135">
        <f>'Cash Flow'!B239</f>
        <v>46204</v>
      </c>
      <c r="C248" s="136">
        <f>'Cash Flow'!C239</f>
        <v>8.3333333333333329E-2</v>
      </c>
      <c r="D248" s="55"/>
      <c r="E248" s="140">
        <f ca="1">('Cash Flow'!Q239+'Cash Flow'!R239+'Cash Flow'!T239+'Cash Flow'!U239)/(1+$E$5)^$A248</f>
        <v>82672.190310915132</v>
      </c>
      <c r="F248" s="140">
        <f ca="1">('Cash Flow'!CC239+'Cash Flow'!CD239)/(1+$F$5)^$A248</f>
        <v>0</v>
      </c>
      <c r="G248" s="140">
        <f ca="1">('Cash Flow'!CG239+'Cash Flow'!CH239)/(1+$G$5)^$A248</f>
        <v>49457.278839144732</v>
      </c>
    </row>
    <row r="249" spans="1:7" x14ac:dyDescent="0.2">
      <c r="A249" s="27">
        <f>'Cash Flow'!A240</f>
        <v>234</v>
      </c>
      <c r="B249" s="135">
        <f>'Cash Flow'!B240</f>
        <v>46235</v>
      </c>
      <c r="C249" s="136">
        <f>'Cash Flow'!C240</f>
        <v>8.3333333333333329E-2</v>
      </c>
      <c r="D249" s="55"/>
      <c r="E249" s="140">
        <f ca="1">('Cash Flow'!Q240+'Cash Flow'!R240+'Cash Flow'!T240+'Cash Flow'!U240)/(1+$E$5)^$A249</f>
        <v>81597.391739365601</v>
      </c>
      <c r="F249" s="140">
        <f ca="1">('Cash Flow'!CC240+'Cash Flow'!CD240)/(1+$F$5)^$A249</f>
        <v>0</v>
      </c>
      <c r="G249" s="140">
        <f ca="1">('Cash Flow'!CG240+'Cash Flow'!CH240)/(1+$G$5)^$A249</f>
        <v>49296.148545937016</v>
      </c>
    </row>
    <row r="250" spans="1:7" x14ac:dyDescent="0.2">
      <c r="A250" s="27">
        <f>'Cash Flow'!A241</f>
        <v>235</v>
      </c>
      <c r="B250" s="135">
        <f>'Cash Flow'!B241</f>
        <v>46266</v>
      </c>
      <c r="C250" s="136">
        <f>'Cash Flow'!C241</f>
        <v>8.3333333333333329E-2</v>
      </c>
      <c r="D250" s="55"/>
      <c r="E250" s="140">
        <f ca="1">('Cash Flow'!Q241+'Cash Flow'!R241+'Cash Flow'!T241+'Cash Flow'!U241)/(1+$E$5)^$A250</f>
        <v>80535.465021688928</v>
      </c>
      <c r="F250" s="140">
        <f ca="1">('Cash Flow'!CC241+'Cash Flow'!CD241)/(1+$F$5)^$A250</f>
        <v>0</v>
      </c>
      <c r="G250" s="140">
        <f ca="1">('Cash Flow'!CG241+'Cash Flow'!CH241)/(1+$G$5)^$A250</f>
        <v>49135.807868510507</v>
      </c>
    </row>
    <row r="251" spans="1:7" x14ac:dyDescent="0.2">
      <c r="A251" s="27">
        <f>'Cash Flow'!A242</f>
        <v>236</v>
      </c>
      <c r="B251" s="135">
        <f>'Cash Flow'!B242</f>
        <v>46296</v>
      </c>
      <c r="C251" s="136">
        <f>'Cash Flow'!C242</f>
        <v>8.3333333333333329E-2</v>
      </c>
      <c r="D251" s="55"/>
      <c r="E251" s="140">
        <f ca="1">('Cash Flow'!Q242+'Cash Flow'!R242+'Cash Flow'!T242+'Cash Flow'!U242)/(1+$E$5)^$A251</f>
        <v>79486.259651954984</v>
      </c>
      <c r="F251" s="140">
        <f ca="1">('Cash Flow'!CC242+'Cash Flow'!CD242)/(1+$F$5)^$A251</f>
        <v>0</v>
      </c>
      <c r="G251" s="140">
        <f ca="1">('Cash Flow'!CG242+'Cash Flow'!CH242)/(1+$G$5)^$A251</f>
        <v>48976.252425604805</v>
      </c>
    </row>
    <row r="252" spans="1:7" x14ac:dyDescent="0.2">
      <c r="A252" s="27">
        <f>'Cash Flow'!A243</f>
        <v>237</v>
      </c>
      <c r="B252" s="135">
        <f>'Cash Flow'!B243</f>
        <v>46327</v>
      </c>
      <c r="C252" s="136">
        <f>'Cash Flow'!C243</f>
        <v>8.3333333333333329E-2</v>
      </c>
      <c r="D252" s="55"/>
      <c r="E252" s="140">
        <f ca="1">('Cash Flow'!Q243+'Cash Flow'!R243+'Cash Flow'!T243+'Cash Flow'!U243)/(1+$E$5)^$A252</f>
        <v>78449.62685984264</v>
      </c>
      <c r="F252" s="140">
        <f ca="1">('Cash Flow'!CC243+'Cash Flow'!CD243)/(1+$F$5)^$A252</f>
        <v>0</v>
      </c>
      <c r="G252" s="140">
        <f ca="1">('Cash Flow'!CG243+'Cash Flow'!CH243)/(1+$G$5)^$A252</f>
        <v>48817.477851777221</v>
      </c>
    </row>
    <row r="253" spans="1:7" x14ac:dyDescent="0.2">
      <c r="A253" s="27">
        <f>'Cash Flow'!A244</f>
        <v>238</v>
      </c>
      <c r="B253" s="135">
        <f>'Cash Flow'!B244</f>
        <v>46357</v>
      </c>
      <c r="C253" s="136">
        <f>'Cash Flow'!C244</f>
        <v>8.3333333333333329E-2</v>
      </c>
      <c r="D253" s="55"/>
      <c r="E253" s="140">
        <f ca="1">('Cash Flow'!Q244+'Cash Flow'!R244+'Cash Flow'!T244+'Cash Flow'!U244)/(1+$E$5)^$A253</f>
        <v>77425.419590445803</v>
      </c>
      <c r="F253" s="140">
        <f ca="1">('Cash Flow'!CC244+'Cash Flow'!CD244)/(1+$F$5)^$A253</f>
        <v>0</v>
      </c>
      <c r="G253" s="140">
        <f ca="1">('Cash Flow'!CG244+'Cash Flow'!CH244)/(1+$G$5)^$A253</f>
        <v>48659.479797105421</v>
      </c>
    </row>
    <row r="254" spans="1:7" x14ac:dyDescent="0.2">
      <c r="A254" s="27">
        <f>'Cash Flow'!A245</f>
        <v>239</v>
      </c>
      <c r="B254" s="135">
        <f>'Cash Flow'!B245</f>
        <v>46388</v>
      </c>
      <c r="C254" s="136">
        <f>'Cash Flow'!C245</f>
        <v>8.3333333333333329E-2</v>
      </c>
      <c r="D254" s="55"/>
      <c r="E254" s="140">
        <f ca="1">('Cash Flow'!Q245+'Cash Flow'!R245+'Cash Flow'!T245+'Cash Flow'!U245)/(1+$E$5)^$A254</f>
        <v>76413.492484303919</v>
      </c>
      <c r="F254" s="140">
        <f ca="1">('Cash Flow'!CC245+'Cash Flow'!CD245)/(1+$F$5)^$A254</f>
        <v>0</v>
      </c>
      <c r="G254" s="140">
        <f ca="1">('Cash Flow'!CG245+'Cash Flow'!CH245)/(1+$G$5)^$A254</f>
        <v>48502.253926882666</v>
      </c>
    </row>
    <row r="255" spans="1:7" x14ac:dyDescent="0.2">
      <c r="A255" s="27">
        <f>'Cash Flow'!A246</f>
        <v>240</v>
      </c>
      <c r="B255" s="135">
        <f>'Cash Flow'!B246</f>
        <v>46419</v>
      </c>
      <c r="C255" s="136">
        <f>'Cash Flow'!C246</f>
        <v>8.3333333333333329E-2</v>
      </c>
      <c r="D255" s="55"/>
      <c r="E255" s="140">
        <f ca="1">('Cash Flow'!Q246+'Cash Flow'!R246+'Cash Flow'!T246+'Cash Flow'!U246)/(1+$E$5)^$A255</f>
        <v>75413.701857643027</v>
      </c>
      <c r="F255" s="140">
        <f ca="1">('Cash Flow'!CC246+'Cash Flow'!CD246)/(1+$F$5)^$A255</f>
        <v>0</v>
      </c>
      <c r="G255" s="140">
        <f ca="1">('Cash Flow'!CG246+'Cash Flow'!CH246)/(1+$G$5)^$A255</f>
        <v>48345.795921299927</v>
      </c>
    </row>
    <row r="256" spans="1:7" x14ac:dyDescent="0.2">
      <c r="A256" s="27">
        <f>'Cash Flow'!A247</f>
        <v>241</v>
      </c>
      <c r="B256" s="135">
        <f>'Cash Flow'!B247</f>
        <v>46447</v>
      </c>
      <c r="C256" s="136">
        <f>'Cash Flow'!C247</f>
        <v>8.3333333333333329E-2</v>
      </c>
      <c r="D256" s="55"/>
      <c r="E256" s="140">
        <f ca="1">('Cash Flow'!Q247+'Cash Flow'!R247+'Cash Flow'!T247+'Cash Flow'!U247)/(1+$E$5)^$A256</f>
        <v>74425.905682851298</v>
      </c>
      <c r="F256" s="140">
        <f ca="1">('Cash Flow'!CC247+'Cash Flow'!CD247)/(1+$F$5)^$A256</f>
        <v>0</v>
      </c>
      <c r="G256" s="140">
        <f ca="1">('Cash Flow'!CG247+'Cash Flow'!CH247)/(1+$G$5)^$A256</f>
        <v>48190.101475127231</v>
      </c>
    </row>
    <row r="257" spans="1:7" x14ac:dyDescent="0.2">
      <c r="A257" s="27">
        <f>'Cash Flow'!A248</f>
        <v>242</v>
      </c>
      <c r="B257" s="135">
        <f>'Cash Flow'!B248</f>
        <v>46478</v>
      </c>
      <c r="C257" s="136">
        <f>'Cash Flow'!C248</f>
        <v>8.3333333333333329E-2</v>
      </c>
      <c r="D257" s="55"/>
      <c r="E257" s="140">
        <f ca="1">('Cash Flow'!Q248+'Cash Flow'!R248+'Cash Flow'!T248+'Cash Flow'!U248)/(1+$E$5)^$A257</f>
        <v>73449.963569159139</v>
      </c>
      <c r="F257" s="140">
        <f ca="1">('Cash Flow'!CC248+'Cash Flow'!CD248)/(1+$F$5)^$A257</f>
        <v>0</v>
      </c>
      <c r="G257" s="140">
        <f ca="1">('Cash Flow'!CG248+'Cash Flow'!CH248)/(1+$G$5)^$A257</f>
        <v>48035.16629738082</v>
      </c>
    </row>
    <row r="258" spans="1:7" x14ac:dyDescent="0.2">
      <c r="A258" s="27">
        <f>'Cash Flow'!A249</f>
        <v>243</v>
      </c>
      <c r="B258" s="135">
        <f>'Cash Flow'!B249</f>
        <v>46508</v>
      </c>
      <c r="C258" s="136">
        <f>'Cash Flow'!C249</f>
        <v>8.3333333333333329E-2</v>
      </c>
      <c r="D258" s="55"/>
      <c r="E258" s="140">
        <f ca="1">('Cash Flow'!Q249+'Cash Flow'!R249+'Cash Flow'!T249+'Cash Flow'!U249)/(1+$E$5)^$A258</f>
        <v>72485.736743535468</v>
      </c>
      <c r="F258" s="140">
        <f ca="1">('Cash Flow'!CC249+'Cash Flow'!CD249)/(1+$F$5)^$A258</f>
        <v>0</v>
      </c>
      <c r="G258" s="140">
        <f ca="1">('Cash Flow'!CG249+'Cash Flow'!CH249)/(1+$G$5)^$A258</f>
        <v>47880.986110982893</v>
      </c>
    </row>
    <row r="259" spans="1:7" x14ac:dyDescent="0.2">
      <c r="A259" s="27">
        <f>'Cash Flow'!A250</f>
        <v>244</v>
      </c>
      <c r="B259" s="135">
        <f>'Cash Flow'!B250</f>
        <v>46539</v>
      </c>
      <c r="C259" s="136">
        <f>'Cash Flow'!C250</f>
        <v>8.3333333333333329E-2</v>
      </c>
      <c r="D259" s="55"/>
      <c r="E259" s="140">
        <f ca="1">('Cash Flow'!Q250+'Cash Flow'!R250+'Cash Flow'!T250+'Cash Flow'!U250)/(1+$E$5)^$A259</f>
        <v>71533.088031796186</v>
      </c>
      <c r="F259" s="140">
        <f ca="1">('Cash Flow'!CC250+'Cash Flow'!CD250)/(1+$F$5)^$A259</f>
        <v>0</v>
      </c>
      <c r="G259" s="140">
        <f ca="1">('Cash Flow'!CG250+'Cash Flow'!CH250)/(1+$G$5)^$A259</f>
        <v>47727.556652412575</v>
      </c>
    </row>
    <row r="260" spans="1:7" x14ac:dyDescent="0.2">
      <c r="A260" s="27">
        <f>'Cash Flow'!A251</f>
        <v>245</v>
      </c>
      <c r="B260" s="135">
        <f>'Cash Flow'!B251</f>
        <v>46569</v>
      </c>
      <c r="C260" s="136">
        <f>'Cash Flow'!C251</f>
        <v>8.3333333333333329E-2</v>
      </c>
      <c r="D260" s="55"/>
      <c r="E260" s="140">
        <f ca="1">('Cash Flow'!Q251+'Cash Flow'!R251+'Cash Flow'!T251+'Cash Flow'!U251)/(1+$E$5)^$A260</f>
        <v>70591.881839916125</v>
      </c>
      <c r="F260" s="140">
        <f ca="1">('Cash Flow'!CC251+'Cash Flow'!CD251)/(1+$F$5)^$A260</f>
        <v>0</v>
      </c>
      <c r="G260" s="140">
        <f ca="1">('Cash Flow'!CG251+'Cash Flow'!CH251)/(1+$G$5)^$A260</f>
        <v>47574.873671344991</v>
      </c>
    </row>
    <row r="261" spans="1:7" x14ac:dyDescent="0.2">
      <c r="A261" s="27">
        <f>'Cash Flow'!A252</f>
        <v>246</v>
      </c>
      <c r="B261" s="135">
        <f>'Cash Flow'!B252</f>
        <v>46600</v>
      </c>
      <c r="C261" s="136">
        <f>'Cash Flow'!C252</f>
        <v>8.3333333333333329E-2</v>
      </c>
      <c r="D261" s="55"/>
      <c r="E261" s="140">
        <f ca="1">('Cash Flow'!Q252+'Cash Flow'!R252+'Cash Flow'!T252+'Cash Flow'!U252)/(1+$E$5)^$A261</f>
        <v>69661.984135542443</v>
      </c>
      <c r="F261" s="140">
        <f ca="1">('Cash Flow'!CC252+'Cash Flow'!CD252)/(1+$F$5)^$A261</f>
        <v>0</v>
      </c>
      <c r="G261" s="140">
        <f ca="1">('Cash Flow'!CG252+'Cash Flow'!CH252)/(1+$G$5)^$A261</f>
        <v>47422.932930278366</v>
      </c>
    </row>
    <row r="262" spans="1:7" x14ac:dyDescent="0.2">
      <c r="A262" s="27">
        <f>'Cash Flow'!A253</f>
        <v>247</v>
      </c>
      <c r="B262" s="135">
        <f>'Cash Flow'!B253</f>
        <v>46631</v>
      </c>
      <c r="C262" s="136">
        <f>'Cash Flow'!C253</f>
        <v>8.3333333333333329E-2</v>
      </c>
      <c r="D262" s="55"/>
      <c r="E262" s="140">
        <f ca="1">('Cash Flow'!Q253+'Cash Flow'!R253+'Cash Flow'!T253+'Cash Flow'!U253)/(1+$E$5)^$A262</f>
        <v>68743.262429723123</v>
      </c>
      <c r="F262" s="140">
        <f ca="1">('Cash Flow'!CC253+'Cash Flow'!CD253)/(1+$F$5)^$A262</f>
        <v>0</v>
      </c>
      <c r="G262" s="140">
        <f ca="1">('Cash Flow'!CG253+'Cash Flow'!CH253)/(1+$G$5)^$A262</f>
        <v>47271.730204156396</v>
      </c>
    </row>
    <row r="263" spans="1:7" x14ac:dyDescent="0.2">
      <c r="A263" s="27">
        <f>'Cash Flow'!A254</f>
        <v>248</v>
      </c>
      <c r="B263" s="135">
        <f>'Cash Flow'!B254</f>
        <v>46661</v>
      </c>
      <c r="C263" s="136">
        <f>'Cash Flow'!C254</f>
        <v>8.3333333333333329E-2</v>
      </c>
      <c r="D263" s="55"/>
      <c r="E263" s="140">
        <f ca="1">('Cash Flow'!Q254+'Cash Flow'!R254+'Cash Flow'!T254+'Cash Flow'!U254)/(1+$E$5)^$A263</f>
        <v>67835.585758809932</v>
      </c>
      <c r="F263" s="140">
        <f ca="1">('Cash Flow'!CC254+'Cash Flow'!CD254)/(1+$F$5)^$A263</f>
        <v>0</v>
      </c>
      <c r="G263" s="140">
        <f ca="1">('Cash Flow'!CG254+'Cash Flow'!CH254)/(1+$G$5)^$A263</f>
        <v>47121.261279966988</v>
      </c>
    </row>
    <row r="264" spans="1:7" x14ac:dyDescent="0.2">
      <c r="A264" s="27">
        <f>'Cash Flow'!A255</f>
        <v>249</v>
      </c>
      <c r="B264" s="135">
        <f>'Cash Flow'!B255</f>
        <v>46692</v>
      </c>
      <c r="C264" s="136">
        <f>'Cash Flow'!C255</f>
        <v>8.3333333333333329E-2</v>
      </c>
      <c r="D264" s="55"/>
      <c r="E264" s="140">
        <f ca="1">('Cash Flow'!Q255+'Cash Flow'!R255+'Cash Flow'!T255+'Cash Flow'!U255)/(1+$E$5)^$A264</f>
        <v>66938.824666581364</v>
      </c>
      <c r="F264" s="140">
        <f ca="1">('Cash Flow'!CC255+'Cash Flow'!CD255)/(1+$F$5)^$A264</f>
        <v>0</v>
      </c>
      <c r="G264" s="140">
        <f ca="1">('Cash Flow'!CG255+'Cash Flow'!CH255)/(1+$G$5)^$A264</f>
        <v>46971.521956340359</v>
      </c>
    </row>
    <row r="265" spans="1:7" x14ac:dyDescent="0.2">
      <c r="A265" s="27">
        <f>'Cash Flow'!A256</f>
        <v>250</v>
      </c>
      <c r="B265" s="135">
        <f>'Cash Flow'!B256</f>
        <v>46722</v>
      </c>
      <c r="C265" s="136">
        <f>'Cash Flow'!C256</f>
        <v>8.3333333333333329E-2</v>
      </c>
      <c r="D265" s="55"/>
      <c r="E265" s="140">
        <f ca="1">('Cash Flow'!Q256+'Cash Flow'!R256+'Cash Flow'!T256+'Cash Flow'!U256)/(1+$E$5)^$A265</f>
        <v>66052.851186536878</v>
      </c>
      <c r="F265" s="140">
        <f ca="1">('Cash Flow'!CC256+'Cash Flow'!CD256)/(1+$F$5)^$A265</f>
        <v>0</v>
      </c>
      <c r="G265" s="140">
        <f ca="1">('Cash Flow'!CG256+'Cash Flow'!CH256)/(1+$G$5)^$A265</f>
        <v>46822.508043123416</v>
      </c>
    </row>
    <row r="266" spans="1:7" x14ac:dyDescent="0.2">
      <c r="A266" s="27">
        <f>'Cash Flow'!A257</f>
        <v>251</v>
      </c>
      <c r="B266" s="135">
        <f>'Cash Flow'!B257</f>
        <v>46753</v>
      </c>
      <c r="C266" s="136">
        <f>'Cash Flow'!C257</f>
        <v>8.3333333333333329E-2</v>
      </c>
      <c r="D266" s="55"/>
      <c r="E266" s="140">
        <f ca="1">('Cash Flow'!Q257+'Cash Flow'!R257+'Cash Flow'!T257+'Cash Flow'!U257)/(1+$E$5)^$A266</f>
        <v>65177.538824395633</v>
      </c>
      <c r="F266" s="140">
        <f ca="1">('Cash Flow'!CC257+'Cash Flow'!CD257)/(1+$F$5)^$A266</f>
        <v>0</v>
      </c>
      <c r="G266" s="140">
        <f ca="1">('Cash Flow'!CG257+'Cash Flow'!CH257)/(1+$G$5)^$A266</f>
        <v>46674.215360947164</v>
      </c>
    </row>
    <row r="267" spans="1:7" x14ac:dyDescent="0.2">
      <c r="A267" s="27">
        <f>'Cash Flow'!A258</f>
        <v>252</v>
      </c>
      <c r="B267" s="135">
        <f>'Cash Flow'!B258</f>
        <v>46784</v>
      </c>
      <c r="C267" s="136">
        <f>'Cash Flow'!C258</f>
        <v>8.3333333333333329E-2</v>
      </c>
      <c r="D267" s="55"/>
      <c r="E267" s="140">
        <f ca="1">('Cash Flow'!Q258+'Cash Flow'!R258+'Cash Flow'!T258+'Cash Flow'!U258)/(1+$E$5)^$A267</f>
        <v>64312.762540773867</v>
      </c>
      <c r="F267" s="140">
        <f ca="1">('Cash Flow'!CC258+'Cash Flow'!CD258)/(1+$F$5)^$A267</f>
        <v>0</v>
      </c>
      <c r="G267" s="140">
        <f ca="1">('Cash Flow'!CG258+'Cash Flow'!CH258)/(1+$G$5)^$A267</f>
        <v>46526.639740775456</v>
      </c>
    </row>
    <row r="268" spans="1:7" x14ac:dyDescent="0.2">
      <c r="A268" s="27">
        <f>'Cash Flow'!A259</f>
        <v>253</v>
      </c>
      <c r="B268" s="135">
        <f>'Cash Flow'!B259</f>
        <v>46813</v>
      </c>
      <c r="C268" s="136">
        <f>'Cash Flow'!C259</f>
        <v>8.3333333333333329E-2</v>
      </c>
      <c r="D268" s="55"/>
      <c r="E268" s="140">
        <f ca="1">('Cash Flow'!Q259+'Cash Flow'!R259+'Cash Flow'!T259+'Cash Flow'!U259)/(1+$E$5)^$A268</f>
        <v>63458.398734043687</v>
      </c>
      <c r="F268" s="140">
        <f ca="1">('Cash Flow'!CC259+'Cash Flow'!CD259)/(1+$F$5)^$A268</f>
        <v>0</v>
      </c>
      <c r="G268" s="140">
        <f ca="1">('Cash Flow'!CG259+'Cash Flow'!CH259)/(1+$G$5)^$A268</f>
        <v>46379.777023436516</v>
      </c>
    </row>
    <row r="269" spans="1:7" x14ac:dyDescent="0.2">
      <c r="A269" s="27">
        <f>'Cash Flow'!A260</f>
        <v>254</v>
      </c>
      <c r="B269" s="135">
        <f>'Cash Flow'!B260</f>
        <v>46844</v>
      </c>
      <c r="C269" s="136">
        <f>'Cash Flow'!C260</f>
        <v>8.3333333333333329E-2</v>
      </c>
      <c r="D269" s="55"/>
      <c r="E269" s="140">
        <f ca="1">('Cash Flow'!Q260+'Cash Flow'!R260+'Cash Flow'!T260+'Cash Flow'!U260)/(1+$E$5)^$A269</f>
        <v>62614.325223378815</v>
      </c>
      <c r="F269" s="140">
        <f ca="1">('Cash Flow'!CC260+'Cash Flow'!CD260)/(1+$F$5)^$A269</f>
        <v>0</v>
      </c>
      <c r="G269" s="140">
        <f ca="1">('Cash Flow'!CG260+'Cash Flow'!CH260)/(1+$G$5)^$A269</f>
        <v>46233.623059141064</v>
      </c>
    </row>
    <row r="270" spans="1:7" x14ac:dyDescent="0.2">
      <c r="A270" s="27">
        <f>'Cash Flow'!A261</f>
        <v>255</v>
      </c>
      <c r="B270" s="135">
        <f>'Cash Flow'!B261</f>
        <v>46874</v>
      </c>
      <c r="C270" s="136">
        <f>'Cash Flow'!C261</f>
        <v>8.3333333333333329E-2</v>
      </c>
      <c r="D270" s="55"/>
      <c r="E270" s="140">
        <f ca="1">('Cash Flow'!Q261+'Cash Flow'!R261+'Cash Flow'!T261+'Cash Flow'!U261)/(1+$E$5)^$A270</f>
        <v>61780.421231970919</v>
      </c>
      <c r="F270" s="140">
        <f ca="1">('Cash Flow'!CC261+'Cash Flow'!CD261)/(1+$F$5)^$A270</f>
        <v>0</v>
      </c>
      <c r="G270" s="140">
        <f ca="1">('Cash Flow'!CG261+'Cash Flow'!CH261)/(1+$G$5)^$A270</f>
        <v>46088.173706979018</v>
      </c>
    </row>
    <row r="271" spans="1:7" x14ac:dyDescent="0.2">
      <c r="A271" s="27">
        <f>'Cash Flow'!A262</f>
        <v>256</v>
      </c>
      <c r="B271" s="135">
        <f>'Cash Flow'!B262</f>
        <v>46905</v>
      </c>
      <c r="C271" s="136">
        <f>'Cash Flow'!C262</f>
        <v>8.3333333333333329E-2</v>
      </c>
      <c r="D271" s="55"/>
      <c r="E271" s="140">
        <f ca="1">('Cash Flow'!Q262+'Cash Flow'!R262+'Cash Flow'!T262+'Cash Flow'!U262)/(1+$E$5)^$A271</f>
        <v>60956.567370423378</v>
      </c>
      <c r="F271" s="140">
        <f ca="1">('Cash Flow'!CC262+'Cash Flow'!CD262)/(1+$F$5)^$A271</f>
        <v>0</v>
      </c>
      <c r="G271" s="140">
        <f ca="1">('Cash Flow'!CG262+'Cash Flow'!CH262)/(1+$G$5)^$A271</f>
        <v>45943.424834398851</v>
      </c>
    </row>
    <row r="272" spans="1:7" x14ac:dyDescent="0.2">
      <c r="A272" s="27">
        <f>'Cash Flow'!A263</f>
        <v>257</v>
      </c>
      <c r="B272" s="135">
        <f>'Cash Flow'!B263</f>
        <v>46935</v>
      </c>
      <c r="C272" s="136">
        <f>'Cash Flow'!C263</f>
        <v>8.3333333333333329E-2</v>
      </c>
      <c r="D272" s="55"/>
      <c r="E272" s="140">
        <f ca="1">('Cash Flow'!Q263+'Cash Flow'!R263+'Cash Flow'!T263+'Cash Flow'!U263)/(1+$E$5)^$A272</f>
        <v>60142.645620315358</v>
      </c>
      <c r="F272" s="140">
        <f ca="1">('Cash Flow'!CC263+'Cash Flow'!CD263)/(1+$F$5)^$A272</f>
        <v>0</v>
      </c>
      <c r="G272" s="140">
        <f ca="1">('Cash Flow'!CG263+'Cash Flow'!CH263)/(1+$G$5)^$A272</f>
        <v>45799.372316666355</v>
      </c>
    </row>
    <row r="273" spans="1:7" x14ac:dyDescent="0.2">
      <c r="A273" s="27">
        <f>'Cash Flow'!A264</f>
        <v>258</v>
      </c>
      <c r="B273" s="135">
        <f>'Cash Flow'!B264</f>
        <v>46966</v>
      </c>
      <c r="C273" s="136">
        <f>'Cash Flow'!C264</f>
        <v>8.3333333333333329E-2</v>
      </c>
      <c r="D273" s="55"/>
      <c r="E273" s="140">
        <f ca="1">('Cash Flow'!Q264+'Cash Flow'!R264+'Cash Flow'!T264+'Cash Flow'!U264)/(1+$E$5)^$A273</f>
        <v>59338.539317933704</v>
      </c>
      <c r="F273" s="140">
        <f ca="1">('Cash Flow'!CC264+'Cash Flow'!CD264)/(1+$F$5)^$A273</f>
        <v>0</v>
      </c>
      <c r="G273" s="140">
        <f ca="1">('Cash Flow'!CG264+'Cash Flow'!CH264)/(1+$G$5)^$A273</f>
        <v>45656.012036302091</v>
      </c>
    </row>
    <row r="274" spans="1:7" x14ac:dyDescent="0.2">
      <c r="A274" s="27">
        <f>'Cash Flow'!A265</f>
        <v>259</v>
      </c>
      <c r="B274" s="135">
        <f>'Cash Flow'!B265</f>
        <v>46997</v>
      </c>
      <c r="C274" s="136">
        <f>'Cash Flow'!C265</f>
        <v>8.3333333333333329E-2</v>
      </c>
      <c r="D274" s="55"/>
      <c r="E274" s="140">
        <f ca="1">('Cash Flow'!Q265+'Cash Flow'!R265+'Cash Flow'!T265+'Cash Flow'!U265)/(1+$E$5)^$A274</f>
        <v>58544.13313816343</v>
      </c>
      <c r="F274" s="140">
        <f ca="1">('Cash Flow'!CC265+'Cash Flow'!CD265)/(1+$F$5)^$A274</f>
        <v>0</v>
      </c>
      <c r="G274" s="140">
        <f ca="1">('Cash Flow'!CG265+'Cash Flow'!CH265)/(1+$G$5)^$A274</f>
        <v>45513.339882492714</v>
      </c>
    </row>
    <row r="275" spans="1:7" x14ac:dyDescent="0.2">
      <c r="A275" s="27">
        <f>'Cash Flow'!A266</f>
        <v>260</v>
      </c>
      <c r="B275" s="135">
        <f>'Cash Flow'!B266</f>
        <v>47027</v>
      </c>
      <c r="C275" s="136">
        <f>'Cash Flow'!C266</f>
        <v>8.3333333333333329E-2</v>
      </c>
      <c r="D275" s="55"/>
      <c r="E275" s="140">
        <f ca="1">('Cash Flow'!Q266+'Cash Flow'!R266+'Cash Flow'!T266+'Cash Flow'!U266)/(1+$E$5)^$A275</f>
        <v>57759.313078552557</v>
      </c>
      <c r="F275" s="140">
        <f ca="1">('Cash Flow'!CC266+'Cash Flow'!CD266)/(1+$F$5)^$A275</f>
        <v>0</v>
      </c>
      <c r="G275" s="140">
        <f ca="1">('Cash Flow'!CG266+'Cash Flow'!CH266)/(1+$G$5)^$A275</f>
        <v>45371.351750485177</v>
      </c>
    </row>
    <row r="276" spans="1:7" x14ac:dyDescent="0.2">
      <c r="A276" s="27">
        <f>'Cash Flow'!A267</f>
        <v>261</v>
      </c>
      <c r="B276" s="135">
        <f>'Cash Flow'!B267</f>
        <v>47058</v>
      </c>
      <c r="C276" s="136">
        <f>'Cash Flow'!C267</f>
        <v>8.3333333333333329E-2</v>
      </c>
      <c r="D276" s="55"/>
      <c r="E276" s="140">
        <f ca="1">('Cash Flow'!Q267+'Cash Flow'!R267+'Cash Flow'!T267+'Cash Flow'!U267)/(1+$E$5)^$A276</f>
        <v>56983.966443520862</v>
      </c>
      <c r="F276" s="140">
        <f ca="1">('Cash Flow'!CC267+'Cash Flow'!CD267)/(1+$F$5)^$A276</f>
        <v>0</v>
      </c>
      <c r="G276" s="140">
        <f ca="1">('Cash Flow'!CG267+'Cash Flow'!CH267)/(1+$G$5)^$A276</f>
        <v>45230.043540947554</v>
      </c>
    </row>
    <row r="277" spans="1:7" x14ac:dyDescent="0.2">
      <c r="A277" s="27">
        <f>'Cash Flow'!A268</f>
        <v>262</v>
      </c>
      <c r="B277" s="135">
        <f>'Cash Flow'!B268</f>
        <v>47088</v>
      </c>
      <c r="C277" s="136">
        <f>'Cash Flow'!C268</f>
        <v>8.3333333333333329E-2</v>
      </c>
      <c r="D277" s="55"/>
      <c r="E277" s="140">
        <f ca="1">('Cash Flow'!Q268+'Cash Flow'!R268+'Cash Flow'!T268+'Cash Flow'!U268)/(1+$E$5)^$A277</f>
        <v>56217.981828729149</v>
      </c>
      <c r="F277" s="140">
        <f ca="1">('Cash Flow'!CC268+'Cash Flow'!CD268)/(1+$F$5)^$A277</f>
        <v>0</v>
      </c>
      <c r="G277" s="140">
        <f ca="1">('Cash Flow'!CG268+'Cash Flow'!CH268)/(1+$G$5)^$A277</f>
        <v>45089.411159305906</v>
      </c>
    </row>
    <row r="278" spans="1:7" x14ac:dyDescent="0.2">
      <c r="A278" s="27">
        <f>'Cash Flow'!A269</f>
        <v>263</v>
      </c>
      <c r="B278" s="135">
        <f>'Cash Flow'!B269</f>
        <v>47119</v>
      </c>
      <c r="C278" s="136">
        <f>'Cash Flow'!C269</f>
        <v>8.3333333333333329E-2</v>
      </c>
      <c r="D278" s="55"/>
      <c r="E278" s="140">
        <f ca="1">('Cash Flow'!Q269+'Cash Flow'!R269+'Cash Flow'!T269+'Cash Flow'!U269)/(1+$E$5)^$A278</f>
        <v>55461.249105600647</v>
      </c>
      <c r="F278" s="140">
        <f ca="1">('Cash Flow'!CC269+'Cash Flow'!CD269)/(1+$F$5)^$A278</f>
        <v>0</v>
      </c>
      <c r="G278" s="140">
        <f ca="1">('Cash Flow'!CG269+'Cash Flow'!CH269)/(1+$G$5)^$A278</f>
        <v>44949.450515052478</v>
      </c>
    </row>
    <row r="279" spans="1:7" x14ac:dyDescent="0.2">
      <c r="A279" s="27">
        <f>'Cash Flow'!A270</f>
        <v>264</v>
      </c>
      <c r="B279" s="135">
        <f>'Cash Flow'!B270</f>
        <v>47150</v>
      </c>
      <c r="C279" s="136">
        <f>'Cash Flow'!C270</f>
        <v>8.3333333333333329E-2</v>
      </c>
      <c r="D279" s="55"/>
      <c r="E279" s="140">
        <f ca="1">('Cash Flow'!Q270+'Cash Flow'!R270+'Cash Flow'!T270+'Cash Flow'!U270)/(1+$E$5)^$A279</f>
        <v>54713.659405989209</v>
      </c>
      <c r="F279" s="140">
        <f ca="1">('Cash Flow'!CC270+'Cash Flow'!CD270)/(1+$F$5)^$A279</f>
        <v>0</v>
      </c>
      <c r="G279" s="140">
        <f ca="1">('Cash Flow'!CG270+'Cash Flow'!CH270)/(1+$G$5)^$A279</f>
        <v>44810.157521022578</v>
      </c>
    </row>
    <row r="280" spans="1:7" x14ac:dyDescent="0.2">
      <c r="A280" s="27">
        <f>'Cash Flow'!A271</f>
        <v>265</v>
      </c>
      <c r="B280" s="135">
        <f>'Cash Flow'!B271</f>
        <v>47178</v>
      </c>
      <c r="C280" s="136">
        <f>'Cash Flow'!C271</f>
        <v>8.3333333333333329E-2</v>
      </c>
      <c r="D280" s="55"/>
      <c r="E280" s="140">
        <f ca="1">('Cash Flow'!Q271+'Cash Flow'!R271+'Cash Flow'!T271+'Cash Flow'!U271)/(1+$E$5)^$A280</f>
        <v>53975.105106983945</v>
      </c>
      <c r="F280" s="140">
        <f ca="1">('Cash Flow'!CC271+'Cash Flow'!CD271)/(1+$F$5)^$A280</f>
        <v>0</v>
      </c>
      <c r="G280" s="140">
        <f ca="1">('Cash Flow'!CG271+'Cash Flow'!CH271)/(1+$G$5)^$A280</f>
        <v>44671.528092634435</v>
      </c>
    </row>
    <row r="281" spans="1:7" x14ac:dyDescent="0.2">
      <c r="A281" s="27">
        <f>'Cash Flow'!A272</f>
        <v>266</v>
      </c>
      <c r="B281" s="135">
        <f>'Cash Flow'!B272</f>
        <v>47209</v>
      </c>
      <c r="C281" s="136">
        <f>'Cash Flow'!C272</f>
        <v>8.3333333333333329E-2</v>
      </c>
      <c r="D281" s="55"/>
      <c r="E281" s="140">
        <f ca="1">('Cash Flow'!Q272+'Cash Flow'!R272+'Cash Flow'!T272+'Cash Flow'!U272)/(1+$E$5)^$A281</f>
        <v>53245.479815868923</v>
      </c>
      <c r="F281" s="140">
        <f ca="1">('Cash Flow'!CC272+'Cash Flow'!CD272)/(1+$F$5)^$A281</f>
        <v>0</v>
      </c>
      <c r="G281" s="140">
        <f ca="1">('Cash Flow'!CG272+'Cash Flow'!CH272)/(1+$G$5)^$A281</f>
        <v>44533.558147102158</v>
      </c>
    </row>
    <row r="282" spans="1:7" x14ac:dyDescent="0.2">
      <c r="A282" s="27">
        <f>'Cash Flow'!A273</f>
        <v>267</v>
      </c>
      <c r="B282" s="135">
        <f>'Cash Flow'!B273</f>
        <v>47239</v>
      </c>
      <c r="C282" s="136">
        <f>'Cash Flow'!C273</f>
        <v>8.3333333333333329E-2</v>
      </c>
      <c r="D282" s="55"/>
      <c r="E282" s="140">
        <f ca="1">('Cash Flow'!Q273+'Cash Flow'!R273+'Cash Flow'!T273+'Cash Flow'!U273)/(1+$E$5)^$A282</f>
        <v>52524.67835520042</v>
      </c>
      <c r="F282" s="140">
        <f ca="1">('Cash Flow'!CC273+'Cash Flow'!CD273)/(1+$F$5)^$A282</f>
        <v>0</v>
      </c>
      <c r="G282" s="140">
        <f ca="1">('Cash Flow'!CG273+'Cash Flow'!CH273)/(1+$G$5)^$A282</f>
        <v>44396.243602600836</v>
      </c>
    </row>
    <row r="283" spans="1:7" x14ac:dyDescent="0.2">
      <c r="A283" s="27">
        <f>'Cash Flow'!A274</f>
        <v>268</v>
      </c>
      <c r="B283" s="135">
        <f>'Cash Flow'!B274</f>
        <v>47270</v>
      </c>
      <c r="C283" s="136">
        <f>'Cash Flow'!C274</f>
        <v>8.3333333333333329E-2</v>
      </c>
      <c r="D283" s="55"/>
      <c r="E283" s="140">
        <f ca="1">('Cash Flow'!Q274+'Cash Flow'!R274+'Cash Flow'!T274+'Cash Flow'!U274)/(1+$E$5)^$A283</f>
        <v>51812.596748030541</v>
      </c>
      <c r="F283" s="140">
        <f ca="1">('Cash Flow'!CC274+'Cash Flow'!CD274)/(1+$F$5)^$A283</f>
        <v>0</v>
      </c>
      <c r="G283" s="140">
        <f ca="1">('Cash Flow'!CG274+'Cash Flow'!CH274)/(1+$G$5)^$A283</f>
        <v>44259.580377399674</v>
      </c>
    </row>
    <row r="284" spans="1:7" x14ac:dyDescent="0.2">
      <c r="A284" s="27">
        <f>'Cash Flow'!A275</f>
        <v>269</v>
      </c>
      <c r="B284" s="135">
        <f>'Cash Flow'!B275</f>
        <v>47300</v>
      </c>
      <c r="C284" s="136">
        <f>'Cash Flow'!C275</f>
        <v>8.3333333333333329E-2</v>
      </c>
      <c r="D284" s="55"/>
      <c r="E284" s="140">
        <f ca="1">('Cash Flow'!Q275+'Cash Flow'!R275+'Cash Flow'!T275+'Cash Flow'!U275)/(1+$E$5)^$A284</f>
        <v>51109.132203254536</v>
      </c>
      <c r="F284" s="140">
        <f ca="1">('Cash Flow'!CC275+'Cash Flow'!CD275)/(1+$F$5)^$A284</f>
        <v>0</v>
      </c>
      <c r="G284" s="140">
        <f ca="1">('Cash Flow'!CG275+'Cash Flow'!CH275)/(1+$G$5)^$A284</f>
        <v>44123.564388949926</v>
      </c>
    </row>
    <row r="285" spans="1:7" x14ac:dyDescent="0.2">
      <c r="A285" s="27">
        <f>'Cash Flow'!A276</f>
        <v>270</v>
      </c>
      <c r="B285" s="135">
        <f>'Cash Flow'!B276</f>
        <v>47331</v>
      </c>
      <c r="C285" s="136">
        <f>'Cash Flow'!C276</f>
        <v>8.3333333333333329E-2</v>
      </c>
      <c r="D285" s="55"/>
      <c r="E285" s="140">
        <f ca="1">('Cash Flow'!Q276+'Cash Flow'!R276+'Cash Flow'!T276+'Cash Flow'!U276)/(1+$E$5)^$A285</f>
        <v>50414.183101076313</v>
      </c>
      <c r="F285" s="140">
        <f ca="1">('Cash Flow'!CC276+'Cash Flow'!CD276)/(1+$F$5)^$A285</f>
        <v>0</v>
      </c>
      <c r="G285" s="140">
        <f ca="1">('Cash Flow'!CG276+'Cash Flow'!CH276)/(1+$G$5)^$A285</f>
        <v>43988.191552924131</v>
      </c>
    </row>
    <row r="286" spans="1:7" x14ac:dyDescent="0.2">
      <c r="A286" s="27">
        <f>'Cash Flow'!A277</f>
        <v>271</v>
      </c>
      <c r="B286" s="135">
        <f>'Cash Flow'!B277</f>
        <v>47362</v>
      </c>
      <c r="C286" s="136">
        <f>'Cash Flow'!C277</f>
        <v>8.3333333333333329E-2</v>
      </c>
      <c r="D286" s="55"/>
      <c r="E286" s="140">
        <f ca="1">('Cash Flow'!Q277+'Cash Flow'!R277+'Cash Flow'!T277+'Cash Flow'!U277)/(1+$E$5)^$A286</f>
        <v>49727.64897860185</v>
      </c>
      <c r="F286" s="140">
        <f ca="1">('Cash Flow'!CC277+'Cash Flow'!CD277)/(1+$F$5)^$A286</f>
        <v>0</v>
      </c>
      <c r="G286" s="140">
        <f ca="1">('Cash Flow'!CG277+'Cash Flow'!CH277)/(1+$G$5)^$A286</f>
        <v>43853.457782211612</v>
      </c>
    </row>
    <row r="287" spans="1:7" x14ac:dyDescent="0.2">
      <c r="A287" s="27">
        <f>'Cash Flow'!A278</f>
        <v>272</v>
      </c>
      <c r="B287" s="135">
        <f>'Cash Flow'!B278</f>
        <v>47392</v>
      </c>
      <c r="C287" s="136">
        <f>'Cash Flow'!C278</f>
        <v>8.3333333333333329E-2</v>
      </c>
      <c r="D287" s="55"/>
      <c r="E287" s="140">
        <f ca="1">('Cash Flow'!Q278+'Cash Flow'!R278+'Cash Flow'!T278+'Cash Flow'!U278)/(1+$E$5)^$A287</f>
        <v>49049.430515537875</v>
      </c>
      <c r="F287" s="140">
        <f ca="1">('Cash Flow'!CC278+'Cash Flow'!CD278)/(1+$F$5)^$A287</f>
        <v>0</v>
      </c>
      <c r="G287" s="140">
        <f ca="1">('Cash Flow'!CG278+'Cash Flow'!CH278)/(1+$G$5)^$A287</f>
        <v>43719.358985856496</v>
      </c>
    </row>
    <row r="288" spans="1:7" x14ac:dyDescent="0.2">
      <c r="A288" s="27">
        <f>'Cash Flow'!A279</f>
        <v>273</v>
      </c>
      <c r="B288" s="135">
        <f>'Cash Flow'!B279</f>
        <v>47423</v>
      </c>
      <c r="C288" s="136">
        <f>'Cash Flow'!C279</f>
        <v>8.3333333333333329E-2</v>
      </c>
      <c r="D288" s="55"/>
      <c r="E288" s="140">
        <f ca="1">('Cash Flow'!Q279+'Cash Flow'!R279+'Cash Flow'!T279+'Cash Flow'!U279)/(1+$E$5)^$A288</f>
        <v>48379.429520009369</v>
      </c>
      <c r="F288" s="140">
        <f ca="1">('Cash Flow'!CC279+'Cash Flow'!CD279)/(1+$F$5)^$A288</f>
        <v>0</v>
      </c>
      <c r="G288" s="140">
        <f ca="1">('Cash Flow'!CG279+'Cash Flow'!CH279)/(1+$G$5)^$A288</f>
        <v>43585.891067945238</v>
      </c>
    </row>
    <row r="289" spans="1:7" x14ac:dyDescent="0.2">
      <c r="A289" s="27">
        <f>'Cash Flow'!A280</f>
        <v>274</v>
      </c>
      <c r="B289" s="135">
        <f>'Cash Flow'!B280</f>
        <v>47453</v>
      </c>
      <c r="C289" s="136">
        <f>'Cash Flow'!C280</f>
        <v>8.3333333333333329E-2</v>
      </c>
      <c r="D289" s="55"/>
      <c r="E289" s="140">
        <f ca="1">('Cash Flow'!Q280+'Cash Flow'!R280+'Cash Flow'!T280+'Cash Flow'!U280)/(1+$E$5)^$A289</f>
        <v>47717.548914471874</v>
      </c>
      <c r="F289" s="140">
        <f ca="1">('Cash Flow'!CC280+'Cash Flow'!CD280)/(1+$F$5)^$A289</f>
        <v>0</v>
      </c>
      <c r="G289" s="140">
        <f ca="1">('Cash Flow'!CG280+'Cash Flow'!CH280)/(1+$G$5)^$A289</f>
        <v>43453.049926428779</v>
      </c>
    </row>
    <row r="290" spans="1:7" x14ac:dyDescent="0.2">
      <c r="A290" s="27">
        <f>'Cash Flow'!A281</f>
        <v>275</v>
      </c>
      <c r="B290" s="135">
        <f>'Cash Flow'!B281</f>
        <v>47484</v>
      </c>
      <c r="C290" s="136">
        <f>'Cash Flow'!C281</f>
        <v>8.3333333333333329E-2</v>
      </c>
      <c r="D290" s="55"/>
      <c r="E290" s="140">
        <f ca="1">('Cash Flow'!Q281+'Cash Flow'!R281+'Cash Flow'!T281+'Cash Flow'!U281)/(1+$E$5)^$A290</f>
        <v>47063.692721733212</v>
      </c>
      <c r="F290" s="140">
        <f ca="1">('Cash Flow'!CC281+'Cash Flow'!CD281)/(1+$F$5)^$A290</f>
        <v>0</v>
      </c>
      <c r="G290" s="140">
        <f ca="1">('Cash Flow'!CG281+'Cash Flow'!CH281)/(1+$G$5)^$A290</f>
        <v>43320.831451886741</v>
      </c>
    </row>
    <row r="291" spans="1:7" x14ac:dyDescent="0.2">
      <c r="A291" s="27">
        <f>'Cash Flow'!A282</f>
        <v>276</v>
      </c>
      <c r="B291" s="135">
        <f>'Cash Flow'!B282</f>
        <v>47515</v>
      </c>
      <c r="C291" s="136">
        <f>'Cash Flow'!C282</f>
        <v>8.3333333333333329E-2</v>
      </c>
      <c r="D291" s="55"/>
      <c r="E291" s="140">
        <f ca="1">('Cash Flow'!Q282+'Cash Flow'!R282+'Cash Flow'!T282+'Cash Flow'!U282)/(1+$E$5)^$A291</f>
        <v>46417.766051055369</v>
      </c>
      <c r="F291" s="140">
        <f ca="1">('Cash Flow'!CC282+'Cash Flow'!CD282)/(1+$F$5)^$A291</f>
        <v>0</v>
      </c>
      <c r="G291" s="140">
        <f ca="1">('Cash Flow'!CG282+'Cash Flow'!CH282)/(1+$G$5)^$A291</f>
        <v>43189.231526214964</v>
      </c>
    </row>
    <row r="292" spans="1:7" x14ac:dyDescent="0.2">
      <c r="A292" s="27">
        <f>'Cash Flow'!A283</f>
        <v>277</v>
      </c>
      <c r="B292" s="135">
        <f>'Cash Flow'!B283</f>
        <v>47543</v>
      </c>
      <c r="C292" s="136">
        <f>'Cash Flow'!C283</f>
        <v>8.3333333333333329E-2</v>
      </c>
      <c r="D292" s="55"/>
      <c r="E292" s="140">
        <f ca="1">('Cash Flow'!Q283+'Cash Flow'!R283+'Cash Flow'!T283+'Cash Flow'!U283)/(1+$E$5)^$A292</f>
        <v>45779.675084359566</v>
      </c>
      <c r="F292" s="140">
        <f ca="1">('Cash Flow'!CC283+'Cash Flow'!CD283)/(1+$F$5)^$A292</f>
        <v>0</v>
      </c>
      <c r="G292" s="140">
        <f ca="1">('Cash Flow'!CG283+'Cash Flow'!CH283)/(1+$G$5)^$A292</f>
        <v>43058.246021248829</v>
      </c>
    </row>
    <row r="293" spans="1:7" x14ac:dyDescent="0.2">
      <c r="A293" s="27">
        <f>'Cash Flow'!A284</f>
        <v>278</v>
      </c>
      <c r="B293" s="135">
        <f>'Cash Flow'!B284</f>
        <v>47574</v>
      </c>
      <c r="C293" s="136">
        <f>'Cash Flow'!C284</f>
        <v>8.3333333333333329E-2</v>
      </c>
      <c r="D293" s="55"/>
      <c r="E293" s="140">
        <f ca="1">('Cash Flow'!Q284+'Cash Flow'!R284+'Cash Flow'!T284+'Cash Flow'!U284)/(1+$E$5)^$A293</f>
        <v>45149.327062496974</v>
      </c>
      <c r="F293" s="140">
        <f ca="1">('Cash Flow'!CC284+'Cash Flow'!CD284)/(1+$F$5)^$A293</f>
        <v>0</v>
      </c>
      <c r="G293" s="140">
        <f ca="1">('Cash Flow'!CG284+'Cash Flow'!CH284)/(1+$G$5)^$A293</f>
        <v>42927.870797298077</v>
      </c>
    </row>
    <row r="294" spans="1:7" x14ac:dyDescent="0.2">
      <c r="A294" s="27">
        <f>'Cash Flow'!A285</f>
        <v>279</v>
      </c>
      <c r="B294" s="135">
        <f>'Cash Flow'!B285</f>
        <v>47604</v>
      </c>
      <c r="C294" s="136">
        <f>'Cash Flow'!C285</f>
        <v>8.3333333333333329E-2</v>
      </c>
      <c r="D294" s="55"/>
      <c r="E294" s="140">
        <f ca="1">('Cash Flow'!Q285+'Cash Flow'!R285+'Cash Flow'!T285+'Cash Flow'!U285)/(1+$E$5)^$A294</f>
        <v>44526.630271604852</v>
      </c>
      <c r="F294" s="140">
        <f ca="1">('Cash Flow'!CC285+'Cash Flow'!CD285)/(1+$F$5)^$A294</f>
        <v>0</v>
      </c>
      <c r="G294" s="140">
        <f ca="1">('Cash Flow'!CG285+'Cash Flow'!CH285)/(1+$G$5)^$A294</f>
        <v>42798.101701603089</v>
      </c>
    </row>
    <row r="295" spans="1:7" x14ac:dyDescent="0.2">
      <c r="A295" s="27">
        <f>'Cash Flow'!A286</f>
        <v>280</v>
      </c>
      <c r="B295" s="135">
        <f>'Cash Flow'!B286</f>
        <v>47635</v>
      </c>
      <c r="C295" s="136">
        <f>'Cash Flow'!C286</f>
        <v>8.3333333333333329E-2</v>
      </c>
      <c r="D295" s="55"/>
      <c r="E295" s="140">
        <f ca="1">('Cash Flow'!Q286+'Cash Flow'!R286+'Cash Flow'!T286+'Cash Flow'!U286)/(1+$E$5)^$A295</f>
        <v>43911.494029524176</v>
      </c>
      <c r="F295" s="140">
        <f ca="1">('Cash Flow'!CC286+'Cash Flow'!CD286)/(1+$F$5)^$A295</f>
        <v>0</v>
      </c>
      <c r="G295" s="140">
        <f ca="1">('Cash Flow'!CG286+'Cash Flow'!CH286)/(1+$G$5)^$A295</f>
        <v>42668.934566696247</v>
      </c>
    </row>
    <row r="296" spans="1:7" x14ac:dyDescent="0.2">
      <c r="A296" s="27">
        <f>'Cash Flow'!A287</f>
        <v>281</v>
      </c>
      <c r="B296" s="135">
        <f>'Cash Flow'!B287</f>
        <v>47665</v>
      </c>
      <c r="C296" s="136">
        <f>'Cash Flow'!C287</f>
        <v>8.3333333333333329E-2</v>
      </c>
      <c r="D296" s="55"/>
      <c r="E296" s="140">
        <f ca="1">('Cash Flow'!Q287+'Cash Flow'!R287+'Cash Flow'!T287+'Cash Flow'!U287)/(1+$E$5)^$A296</f>
        <v>43303.828672277632</v>
      </c>
      <c r="F296" s="140">
        <f ca="1">('Cash Flow'!CC287+'Cash Flow'!CD287)/(1+$F$5)^$A296</f>
        <v>0</v>
      </c>
      <c r="G296" s="140">
        <f ca="1">('Cash Flow'!CG287+'Cash Flow'!CH287)/(1+$G$5)^$A296</f>
        <v>42540.365208664996</v>
      </c>
    </row>
    <row r="297" spans="1:7" x14ac:dyDescent="0.2">
      <c r="A297" s="27">
        <f>'Cash Flow'!A288</f>
        <v>282</v>
      </c>
      <c r="B297" s="135">
        <f>'Cash Flow'!B288</f>
        <v>47696</v>
      </c>
      <c r="C297" s="136">
        <f>'Cash Flow'!C288</f>
        <v>8.3333333333333329E-2</v>
      </c>
      <c r="D297" s="55"/>
      <c r="E297" s="140">
        <f ca="1">('Cash Flow'!Q288+'Cash Flow'!R288+'Cash Flow'!T288+'Cash Flow'!U288)/(1+$E$5)^$A297</f>
        <v>42703.545540602536</v>
      </c>
      <c r="F297" s="140">
        <f ca="1">('Cash Flow'!CC288+'Cash Flow'!CD288)/(1+$F$5)^$A297</f>
        <v>0</v>
      </c>
      <c r="G297" s="140">
        <f ca="1">('Cash Flow'!CG288+'Cash Flow'!CH288)/(1+$G$5)^$A297</f>
        <v>42412.389425310917</v>
      </c>
    </row>
    <row r="298" spans="1:7" x14ac:dyDescent="0.2">
      <c r="A298" s="27">
        <f>'Cash Flow'!A289</f>
        <v>283</v>
      </c>
      <c r="B298" s="135">
        <f>'Cash Flow'!B289</f>
        <v>47727</v>
      </c>
      <c r="C298" s="136">
        <f>'Cash Flow'!C289</f>
        <v>8.3333333333333329E-2</v>
      </c>
      <c r="D298" s="55"/>
      <c r="E298" s="140">
        <f ca="1">('Cash Flow'!Q289+'Cash Flow'!R289+'Cash Flow'!T289+'Cash Flow'!U289)/(1+$E$5)^$A298</f>
        <v>42110.556966519165</v>
      </c>
      <c r="F298" s="140">
        <f ca="1">('Cash Flow'!CC289+'Cash Flow'!CD289)/(1+$F$5)^$A298</f>
        <v>0</v>
      </c>
      <c r="G298" s="140">
        <f ca="1">('Cash Flow'!CG289+'Cash Flow'!CH289)/(1+$G$5)^$A298</f>
        <v>42285.002994189563</v>
      </c>
    </row>
    <row r="299" spans="1:7" x14ac:dyDescent="0.2">
      <c r="A299" s="27">
        <f>'Cash Flow'!A290</f>
        <v>284</v>
      </c>
      <c r="B299" s="135">
        <f>'Cash Flow'!B290</f>
        <v>47757</v>
      </c>
      <c r="C299" s="136">
        <f>'Cash Flow'!C290</f>
        <v>8.3333333333333329E-2</v>
      </c>
      <c r="D299" s="55"/>
      <c r="E299" s="140">
        <f ca="1">('Cash Flow'!Q290+'Cash Flow'!R290+'Cash Flow'!T290+'Cash Flow'!U290)/(1+$E$5)^$A299</f>
        <v>41524.77625993987</v>
      </c>
      <c r="F299" s="140">
        <f ca="1">('Cash Flow'!CC290+'Cash Flow'!CD290)/(1+$F$5)^$A299</f>
        <v>0</v>
      </c>
      <c r="G299" s="140">
        <f ca="1">('Cash Flow'!CG290+'Cash Flow'!CH290)/(1+$G$5)^$A299</f>
        <v>42158.201670531256</v>
      </c>
    </row>
    <row r="300" spans="1:7" x14ac:dyDescent="0.2">
      <c r="A300" s="27">
        <f>'Cash Flow'!A291</f>
        <v>285</v>
      </c>
      <c r="B300" s="135">
        <f>'Cash Flow'!B291</f>
        <v>47788</v>
      </c>
      <c r="C300" s="136">
        <f>'Cash Flow'!C291</f>
        <v>8.3333333333333329E-2</v>
      </c>
      <c r="D300" s="55"/>
      <c r="E300" s="140">
        <f ca="1">('Cash Flow'!Q291+'Cash Flow'!R291+'Cash Flow'!T291+'Cash Flow'!U291)/(1+$E$5)^$A300</f>
        <v>40946.117695297478</v>
      </c>
      <c r="F300" s="140">
        <f ca="1">('Cash Flow'!CC291+'Cash Flow'!CD291)/(1+$F$5)^$A300</f>
        <v>0</v>
      </c>
      <c r="G300" s="140">
        <f ca="1">('Cash Flow'!CG291+'Cash Flow'!CH291)/(1+$G$5)^$A300</f>
        <v>42031.981185025666</v>
      </c>
    </row>
    <row r="301" spans="1:7" x14ac:dyDescent="0.2">
      <c r="A301" s="27">
        <f>'Cash Flow'!A292</f>
        <v>286</v>
      </c>
      <c r="B301" s="135">
        <f>'Cash Flow'!B292</f>
        <v>47818</v>
      </c>
      <c r="C301" s="136">
        <f>'Cash Flow'!C292</f>
        <v>8.3333333333333329E-2</v>
      </c>
      <c r="D301" s="55"/>
      <c r="E301" s="140">
        <f ca="1">('Cash Flow'!Q292+'Cash Flow'!R292+'Cash Flow'!T292+'Cash Flow'!U292)/(1+$E$5)^$A301</f>
        <v>40374.496498186134</v>
      </c>
      <c r="F301" s="140">
        <f ca="1">('Cash Flow'!CC292+'Cash Flow'!CD292)/(1+$F$5)^$A301</f>
        <v>0</v>
      </c>
      <c r="G301" s="140">
        <f ca="1">('Cash Flow'!CG292+'Cash Flow'!CH292)/(1+$G$5)^$A301</f>
        <v>41906.337241461908</v>
      </c>
    </row>
    <row r="302" spans="1:7" x14ac:dyDescent="0.2">
      <c r="A302" s="27">
        <f>'Cash Flow'!A293</f>
        <v>287</v>
      </c>
      <c r="B302" s="135">
        <f>'Cash Flow'!B293</f>
        <v>47849</v>
      </c>
      <c r="C302" s="136">
        <f>'Cash Flow'!C293</f>
        <v>8.3333333333333329E-2</v>
      </c>
      <c r="D302" s="55"/>
      <c r="E302" s="140">
        <f ca="1">('Cash Flow'!Q293+'Cash Flow'!R293+'Cash Flow'!T293+'Cash Flow'!U293)/(1+$E$5)^$A302</f>
        <v>39809.828832004787</v>
      </c>
      <c r="F302" s="140">
        <f ca="1">('Cash Flow'!CC293+'Cash Flow'!CD293)/(1+$F$5)^$A302</f>
        <v>0</v>
      </c>
      <c r="G302" s="140">
        <f ca="1">('Cash Flow'!CG293+'Cash Flow'!CH293)/(1+$G$5)^$A302</f>
        <v>41781.265514213301</v>
      </c>
    </row>
    <row r="303" spans="1:7" x14ac:dyDescent="0.2">
      <c r="A303" s="27">
        <f>'Cash Flow'!A294</f>
        <v>288</v>
      </c>
      <c r="B303" s="135">
        <f>'Cash Flow'!B294</f>
        <v>47880</v>
      </c>
      <c r="C303" s="136">
        <f>'Cash Flow'!C294</f>
        <v>8.3333333333333329E-2</v>
      </c>
      <c r="D303" s="55"/>
      <c r="E303" s="140">
        <f ca="1">('Cash Flow'!Q294+'Cash Flow'!R294+'Cash Flow'!T294+'Cash Flow'!U294)/(1+$E$5)^$A303</f>
        <v>39252.031784584346</v>
      </c>
      <c r="F303" s="140">
        <f ca="1">('Cash Flow'!CC294+'Cash Flow'!CD294)/(1+$F$5)^$A303</f>
        <v>0</v>
      </c>
      <c r="G303" s="140">
        <f ca="1">('Cash Flow'!CG294+'Cash Flow'!CH294)/(1+$G$5)^$A303</f>
        <v>41656.761645549996</v>
      </c>
    </row>
    <row r="304" spans="1:7" x14ac:dyDescent="0.2">
      <c r="A304" s="27">
        <f>'Cash Flow'!A295</f>
        <v>289</v>
      </c>
      <c r="B304" s="135">
        <f>'Cash Flow'!B295</f>
        <v>47908</v>
      </c>
      <c r="C304" s="136">
        <f>'Cash Flow'!C295</f>
        <v>8.3333333333333329E-2</v>
      </c>
      <c r="D304" s="55"/>
      <c r="E304" s="140">
        <f ca="1">('Cash Flow'!Q295+'Cash Flow'!R295+'Cash Flow'!T295+'Cash Flow'!U295)/(1+$E$5)^$A304</f>
        <v>38701.02335479336</v>
      </c>
      <c r="F304" s="140">
        <f ca="1">('Cash Flow'!CC295+'Cash Flow'!CD295)/(1+$F$5)^$A304</f>
        <v>0</v>
      </c>
      <c r="G304" s="140">
        <f ca="1">('Cash Flow'!CG295+'Cash Flow'!CH295)/(1+$G$5)^$A304</f>
        <v>41532.821242770297</v>
      </c>
    </row>
    <row r="305" spans="1:7" x14ac:dyDescent="0.2">
      <c r="A305" s="27">
        <f>'Cash Flow'!A296</f>
        <v>290</v>
      </c>
      <c r="B305" s="135">
        <f>'Cash Flow'!B296</f>
        <v>47939</v>
      </c>
      <c r="C305" s="136">
        <f>'Cash Flow'!C296</f>
        <v>8.3333333333333329E-2</v>
      </c>
      <c r="D305" s="55"/>
      <c r="E305" s="140">
        <f ca="1">('Cash Flow'!Q296+'Cash Flow'!R296+'Cash Flow'!T296+'Cash Flow'!U296)/(1+$E$5)^$A305</f>
        <v>38156.722439099882</v>
      </c>
      <c r="F305" s="140">
        <f ca="1">('Cash Flow'!CC296+'Cash Flow'!CD296)/(1+$F$5)^$A305</f>
        <v>0</v>
      </c>
      <c r="G305" s="140">
        <f ca="1">('Cash Flow'!CG296+'Cash Flow'!CH296)/(1+$G$5)^$A305</f>
        <v>41409.439875130629</v>
      </c>
    </row>
    <row r="306" spans="1:7" x14ac:dyDescent="0.2">
      <c r="A306" s="27">
        <f>'Cash Flow'!A297</f>
        <v>291</v>
      </c>
      <c r="B306" s="135">
        <f>'Cash Flow'!B297</f>
        <v>47969</v>
      </c>
      <c r="C306" s="136">
        <f>'Cash Flow'!C297</f>
        <v>8.3333333333333329E-2</v>
      </c>
      <c r="D306" s="55"/>
      <c r="E306" s="140">
        <f ca="1">('Cash Flow'!Q297+'Cash Flow'!R297+'Cash Flow'!T297+'Cash Flow'!U297)/(1+$E$5)^$A306</f>
        <v>37619.048818076226</v>
      </c>
      <c r="F306" s="140">
        <f ca="1">('Cash Flow'!CC297+'Cash Flow'!CD297)/(1+$F$5)^$A306</f>
        <v>0</v>
      </c>
      <c r="G306" s="140">
        <f ca="1">('Cash Flow'!CG297+'Cash Flow'!CH297)/(1+$G$5)^$A306</f>
        <v>41286.613070558436</v>
      </c>
    </row>
    <row r="307" spans="1:7" x14ac:dyDescent="0.2">
      <c r="A307" s="27">
        <f>'Cash Flow'!A298</f>
        <v>292</v>
      </c>
      <c r="B307" s="135">
        <f>'Cash Flow'!B298</f>
        <v>48000</v>
      </c>
      <c r="C307" s="136">
        <f>'Cash Flow'!C298</f>
        <v>8.3333333333333329E-2</v>
      </c>
      <c r="D307" s="55"/>
      <c r="E307" s="140">
        <f ca="1">('Cash Flow'!Q298+'Cash Flow'!R298+'Cash Flow'!T298+'Cash Flow'!U298)/(1+$E$5)^$A307</f>
        <v>37087.923142826672</v>
      </c>
      <c r="F307" s="140">
        <f ca="1">('Cash Flow'!CC298+'Cash Flow'!CD298)/(1+$F$5)^$A307</f>
        <v>0</v>
      </c>
      <c r="G307" s="140">
        <f ca="1">('Cash Flow'!CG298+'Cash Flow'!CH298)/(1+$G$5)^$A307</f>
        <v>41164.33631212778</v>
      </c>
    </row>
    <row r="308" spans="1:7" x14ac:dyDescent="0.2">
      <c r="A308" s="27">
        <f>'Cash Flow'!A299</f>
        <v>293</v>
      </c>
      <c r="B308" s="135">
        <f>'Cash Flow'!B299</f>
        <v>48030</v>
      </c>
      <c r="C308" s="136">
        <f>'Cash Flow'!C299</f>
        <v>8.3333333333333329E-2</v>
      </c>
      <c r="D308" s="55"/>
      <c r="E308" s="140">
        <f ca="1">('Cash Flow'!Q299+'Cash Flow'!R299+'Cash Flow'!T299+'Cash Flow'!U299)/(1+$E$5)^$A308</f>
        <v>36563.266921322982</v>
      </c>
      <c r="F308" s="140">
        <f ca="1">('Cash Flow'!CC299+'Cash Flow'!CD299)/(1+$F$5)^$A308</f>
        <v>0</v>
      </c>
      <c r="G308" s="140">
        <f ca="1">('Cash Flow'!CG299+'Cash Flow'!CH299)/(1+$G$5)^$A308</f>
        <v>41042.605034279295</v>
      </c>
    </row>
    <row r="309" spans="1:7" x14ac:dyDescent="0.2">
      <c r="A309" s="27">
        <f>'Cash Flow'!A300</f>
        <v>294</v>
      </c>
      <c r="B309" s="135">
        <f>'Cash Flow'!B300</f>
        <v>48061</v>
      </c>
      <c r="C309" s="136">
        <f>'Cash Flow'!C300</f>
        <v>8.3333333333333329E-2</v>
      </c>
      <c r="D309" s="55"/>
      <c r="E309" s="140">
        <f ca="1">('Cash Flow'!Q300+'Cash Flow'!R300+'Cash Flow'!T300+'Cash Flow'!U300)/(1+$E$5)^$A309</f>
        <v>36045.002504618627</v>
      </c>
      <c r="F309" s="140">
        <f ca="1">('Cash Flow'!CC300+'Cash Flow'!CD300)/(1+$F$5)^$A309</f>
        <v>0</v>
      </c>
      <c r="G309" s="140">
        <f ca="1">('Cash Flow'!CG300+'Cash Flow'!CH300)/(1+$G$5)^$A309</f>
        <v>40921.414618756389</v>
      </c>
    </row>
    <row r="310" spans="1:7" x14ac:dyDescent="0.2">
      <c r="A310" s="27">
        <f>'Cash Flow'!A301</f>
        <v>295</v>
      </c>
      <c r="B310" s="135">
        <f>'Cash Flow'!B301</f>
        <v>48092</v>
      </c>
      <c r="C310" s="136">
        <f>'Cash Flow'!C301</f>
        <v>8.3333333333333329E-2</v>
      </c>
      <c r="D310" s="55"/>
      <c r="E310" s="140">
        <f ca="1">('Cash Flow'!Q301+'Cash Flow'!R301+'Cash Flow'!T301+'Cash Flow'!U301)/(1+$E$5)^$A310</f>
        <v>35533.053072925075</v>
      </c>
      <c r="F310" s="140">
        <f ca="1">('Cash Flow'!CC301+'Cash Flow'!CD301)/(1+$F$5)^$A310</f>
        <v>0</v>
      </c>
      <c r="G310" s="140">
        <f ca="1">('Cash Flow'!CG301+'Cash Flow'!CH301)/(1+$G$5)^$A310</f>
        <v>40800.760390236377</v>
      </c>
    </row>
    <row r="311" spans="1:7" x14ac:dyDescent="0.2">
      <c r="A311" s="27">
        <f>'Cash Flow'!A302</f>
        <v>296</v>
      </c>
      <c r="B311" s="135">
        <f>'Cash Flow'!B302</f>
        <v>48122</v>
      </c>
      <c r="C311" s="136">
        <f>'Cash Flow'!C302</f>
        <v>8.3333333333333329E-2</v>
      </c>
      <c r="D311" s="55"/>
      <c r="E311" s="140">
        <f ca="1">('Cash Flow'!Q302+'Cash Flow'!R302+'Cash Flow'!T302+'Cash Flow'!U302)/(1+$E$5)^$A311</f>
        <v>35027.342621518801</v>
      </c>
      <c r="F311" s="140">
        <f ca="1">('Cash Flow'!CC302+'Cash Flow'!CD302)/(1+$F$5)^$A311</f>
        <v>0</v>
      </c>
      <c r="G311" s="140">
        <f ca="1">('Cash Flow'!CG302+'Cash Flow'!CH302)/(1+$G$5)^$A311</f>
        <v>40680.637611624494</v>
      </c>
    </row>
    <row r="312" spans="1:7" x14ac:dyDescent="0.2">
      <c r="A312" s="27">
        <f>'Cash Flow'!A303</f>
        <v>297</v>
      </c>
      <c r="B312" s="135">
        <f>'Cash Flow'!B303</f>
        <v>48153</v>
      </c>
      <c r="C312" s="136">
        <f>'Cash Flow'!C303</f>
        <v>8.3333333333333329E-2</v>
      </c>
      <c r="D312" s="55"/>
      <c r="E312" s="140">
        <f ca="1">('Cash Flow'!Q303+'Cash Flow'!R303+'Cash Flow'!T303+'Cash Flow'!U303)/(1+$E$5)^$A312</f>
        <v>34527.795946451573</v>
      </c>
      <c r="F312" s="140">
        <f ca="1">('Cash Flow'!CC303+'Cash Flow'!CD303)/(1+$F$5)^$A312</f>
        <v>0</v>
      </c>
      <c r="G312" s="140">
        <f ca="1">('Cash Flow'!CG303+'Cash Flow'!CH303)/(1+$G$5)^$A312</f>
        <v>40561.041478980042</v>
      </c>
    </row>
    <row r="313" spans="1:7" x14ac:dyDescent="0.2">
      <c r="A313" s="27">
        <f>'Cash Flow'!A304</f>
        <v>298</v>
      </c>
      <c r="B313" s="135">
        <f>'Cash Flow'!B304</f>
        <v>48183</v>
      </c>
      <c r="C313" s="136">
        <f>'Cash Flow'!C304</f>
        <v>8.3333333333333329E-2</v>
      </c>
      <c r="D313" s="55"/>
      <c r="E313" s="140">
        <f ca="1">('Cash Flow'!Q304+'Cash Flow'!R304+'Cash Flow'!T304+'Cash Flow'!U304)/(1+$E$5)^$A313</f>
        <v>34034.338630033206</v>
      </c>
      <c r="F313" s="140">
        <f ca="1">('Cash Flow'!CC304+'Cash Flow'!CD304)/(1+$F$5)^$A313</f>
        <v>0</v>
      </c>
      <c r="G313" s="140">
        <f ca="1">('Cash Flow'!CG304+'Cash Flow'!CH304)/(1+$G$5)^$A313</f>
        <v>40441.967116040047</v>
      </c>
    </row>
    <row r="314" spans="1:7" x14ac:dyDescent="0.2">
      <c r="A314" s="27">
        <f>'Cash Flow'!A305</f>
        <v>299</v>
      </c>
      <c r="B314" s="135">
        <f>'Cash Flow'!B305</f>
        <v>48214</v>
      </c>
      <c r="C314" s="136">
        <f>'Cash Flow'!C305</f>
        <v>8.3333333333333329E-2</v>
      </c>
      <c r="D314" s="55"/>
      <c r="E314" s="140">
        <f ca="1">('Cash Flow'!Q305+'Cash Flow'!R305+'Cash Flow'!T305+'Cash Flow'!U305)/(1+$E$5)^$A314</f>
        <v>33546.897026048959</v>
      </c>
      <c r="F314" s="140">
        <f ca="1">('Cash Flow'!CC305+'Cash Flow'!CD305)/(1+$F$5)^$A314</f>
        <v>0</v>
      </c>
      <c r="G314" s="140">
        <f ca="1">('Cash Flow'!CG305+'Cash Flow'!CH305)/(1+$G$5)^$A314</f>
        <v>40323.409568299627</v>
      </c>
    </row>
    <row r="315" spans="1:7" x14ac:dyDescent="0.2">
      <c r="A315" s="27">
        <f>'Cash Flow'!A306</f>
        <v>300</v>
      </c>
      <c r="B315" s="135">
        <f>'Cash Flow'!B306</f>
        <v>48245</v>
      </c>
      <c r="C315" s="136">
        <f>'Cash Flow'!C306</f>
        <v>8.3333333333333329E-2</v>
      </c>
      <c r="D315" s="55"/>
      <c r="E315" s="140">
        <f ca="1">('Cash Flow'!Q306+'Cash Flow'!R306+'Cash Flow'!T306+'Cash Flow'!U306)/(1+$E$5)^$A315</f>
        <v>33065.398244669937</v>
      </c>
      <c r="F315" s="140">
        <f ca="1">('Cash Flow'!CC306+'Cash Flow'!CD306)/(1+$F$5)^$A315</f>
        <v>0</v>
      </c>
      <c r="G315" s="140">
        <f ca="1">('Cash Flow'!CG306+'Cash Flow'!CH306)/(1+$G$5)^$A315</f>
        <v>40205.363796603509</v>
      </c>
    </row>
    <row r="316" spans="1:7" x14ac:dyDescent="0.2">
      <c r="A316" s="27">
        <f>'Cash Flow'!A307</f>
        <v>301</v>
      </c>
      <c r="B316" s="135">
        <f>'Cash Flow'!B307</f>
        <v>48274</v>
      </c>
      <c r="C316" s="136">
        <f>'Cash Flow'!C307</f>
        <v>8.3333333333333329E-2</v>
      </c>
      <c r="D316" s="55"/>
      <c r="E316" s="140">
        <f ca="1">('Cash Flow'!Q307+'Cash Flow'!R307+'Cash Flow'!T307+'Cash Flow'!U307)/(1+$E$5)^$A316</f>
        <v>32589.770137017967</v>
      </c>
      <c r="F316" s="140">
        <f ca="1">('Cash Flow'!CC307+'Cash Flow'!CD307)/(1+$F$5)^$A316</f>
        <v>0</v>
      </c>
      <c r="G316" s="140">
        <f ca="1">('Cash Flow'!CG307+'Cash Flow'!CH307)/(1+$G$5)^$A316</f>
        <v>40087.824670203612</v>
      </c>
    </row>
    <row r="317" spans="1:7" x14ac:dyDescent="0.2">
      <c r="A317" s="27">
        <f>'Cash Flow'!A308</f>
        <v>302</v>
      </c>
      <c r="B317" s="135">
        <f>'Cash Flow'!B308</f>
        <v>48305</v>
      </c>
      <c r="C317" s="136">
        <f>'Cash Flow'!C308</f>
        <v>8.3333333333333329E-2</v>
      </c>
      <c r="D317" s="55"/>
      <c r="E317" s="140">
        <f ca="1">('Cash Flow'!Q308+'Cash Flow'!R308+'Cash Flow'!T308+'Cash Flow'!U308)/(1+$E$5)^$A317</f>
        <v>32119.941279328301</v>
      </c>
      <c r="F317" s="140">
        <f ca="1">('Cash Flow'!CC308+'Cash Flow'!CD308)/(1+$F$5)^$A317</f>
        <v>0</v>
      </c>
      <c r="G317" s="140">
        <f ca="1">('Cash Flow'!CG308+'Cash Flow'!CH308)/(1+$G$5)^$A317</f>
        <v>39970.78695922254</v>
      </c>
    </row>
    <row r="318" spans="1:7" x14ac:dyDescent="0.2">
      <c r="A318" s="27">
        <f>'Cash Flow'!A309</f>
        <v>303</v>
      </c>
      <c r="B318" s="135">
        <f>'Cash Flow'!B309</f>
        <v>48335</v>
      </c>
      <c r="C318" s="136">
        <f>'Cash Flow'!C309</f>
        <v>8.3333333333333329E-2</v>
      </c>
      <c r="D318" s="55"/>
      <c r="E318" s="140">
        <f ca="1">('Cash Flow'!Q309+'Cash Flow'!R309+'Cash Flow'!T309+'Cash Flow'!U309)/(1+$E$5)^$A318</f>
        <v>31655.84095666029</v>
      </c>
      <c r="F318" s="140">
        <f ca="1">('Cash Flow'!CC309+'Cash Flow'!CD309)/(1+$F$5)^$A318</f>
        <v>0</v>
      </c>
      <c r="G318" s="140">
        <f ca="1">('Cash Flow'!CG309+'Cash Flow'!CH309)/(1+$G$5)^$A318</f>
        <v>39854.245326464908</v>
      </c>
    </row>
    <row r="319" spans="1:7" x14ac:dyDescent="0.2">
      <c r="A319" s="27">
        <f>'Cash Flow'!A310</f>
        <v>304</v>
      </c>
      <c r="B319" s="135">
        <f>'Cash Flow'!B310</f>
        <v>48366</v>
      </c>
      <c r="C319" s="136">
        <f>'Cash Flow'!C310</f>
        <v>8.3333333333333329E-2</v>
      </c>
      <c r="D319" s="55"/>
      <c r="E319" s="140">
        <f ca="1">('Cash Flow'!Q310+'Cash Flow'!R310+'Cash Flow'!T310+'Cash Flow'!U310)/(1+$E$5)^$A319</f>
        <v>31197.399146088661</v>
      </c>
      <c r="F319" s="140">
        <f ca="1">('Cash Flow'!CC310+'Cash Flow'!CD310)/(1+$F$5)^$A319</f>
        <v>0</v>
      </c>
      <c r="G319" s="140">
        <f ca="1">('Cash Flow'!CG310+'Cash Flow'!CH310)/(1+$G$5)^$A319</f>
        <v>39738.194318503629</v>
      </c>
    </row>
    <row r="320" spans="1:7" x14ac:dyDescent="0.2">
      <c r="A320" s="27">
        <f>'Cash Flow'!A311</f>
        <v>305</v>
      </c>
      <c r="B320" s="135">
        <f>'Cash Flow'!B311</f>
        <v>48396</v>
      </c>
      <c r="C320" s="136">
        <f>'Cash Flow'!C311</f>
        <v>8.3333333333333329E-2</v>
      </c>
      <c r="D320" s="55"/>
      <c r="E320" s="140">
        <f ca="1">('Cash Flow'!Q311+'Cash Flow'!R311+'Cash Flow'!T311+'Cash Flow'!U311)/(1+$E$5)^$A320</f>
        <v>30744.546499308035</v>
      </c>
      <c r="F320" s="140">
        <f ca="1">('Cash Flow'!CC311+'Cash Flow'!CD311)/(1+$F$5)^$A320</f>
        <v>0</v>
      </c>
      <c r="G320" s="140">
        <f ca="1">('Cash Flow'!CG311+'Cash Flow'!CH311)/(1+$G$5)^$A320</f>
        <v>39622.628355964407</v>
      </c>
    </row>
    <row r="321" spans="1:7" x14ac:dyDescent="0.2">
      <c r="A321" s="27">
        <f>'Cash Flow'!A312</f>
        <v>306</v>
      </c>
      <c r="B321" s="135">
        <f>'Cash Flow'!B312</f>
        <v>48427</v>
      </c>
      <c r="C321" s="136">
        <f>'Cash Flow'!C312</f>
        <v>8.3333333333333329E-2</v>
      </c>
      <c r="D321" s="55"/>
      <c r="E321" s="140">
        <f ca="1">('Cash Flow'!Q312+'Cash Flow'!R312+'Cash Flow'!T312+'Cash Flow'!U312)/(1+$E$5)^$A321</f>
        <v>30297.214324570872</v>
      </c>
      <c r="F321" s="140">
        <f ca="1">('Cash Flow'!CC312+'Cash Flow'!CD312)/(1+$F$5)^$A321</f>
        <v>0</v>
      </c>
      <c r="G321" s="140">
        <f ca="1">('Cash Flow'!CG312+'Cash Flow'!CH312)/(1+$G$5)^$A321</f>
        <v>39507.541722919799</v>
      </c>
    </row>
    <row r="322" spans="1:7" x14ac:dyDescent="0.2">
      <c r="A322" s="27">
        <f>'Cash Flow'!A313</f>
        <v>307</v>
      </c>
      <c r="B322" s="135">
        <f>'Cash Flow'!B313</f>
        <v>48458</v>
      </c>
      <c r="C322" s="136">
        <f>'Cash Flow'!C313</f>
        <v>8.3333333333333329E-2</v>
      </c>
      <c r="D322" s="55"/>
      <c r="E322" s="140">
        <f ca="1">('Cash Flow'!Q313+'Cash Flow'!R313+'Cash Flow'!T313+'Cash Flow'!U313)/(1+$E$5)^$A322</f>
        <v>29855.334567870628</v>
      </c>
      <c r="F322" s="140">
        <f ca="1">('Cash Flow'!CC313+'Cash Flow'!CD313)/(1+$F$5)^$A322</f>
        <v>0</v>
      </c>
      <c r="G322" s="140">
        <f ca="1">('Cash Flow'!CG313+'Cash Flow'!CH313)/(1+$G$5)^$A322</f>
        <v>39392.928555293496</v>
      </c>
    </row>
    <row r="323" spans="1:7" x14ac:dyDescent="0.2">
      <c r="A323" s="27">
        <f>'Cash Flow'!A314</f>
        <v>308</v>
      </c>
      <c r="B323" s="135">
        <f>'Cash Flow'!B314</f>
        <v>48488</v>
      </c>
      <c r="C323" s="136">
        <f>'Cash Flow'!C314</f>
        <v>8.3333333333333329E-2</v>
      </c>
      <c r="D323" s="55"/>
      <c r="E323" s="140">
        <f ca="1">('Cash Flow'!Q314+'Cash Flow'!R314+'Cash Flow'!T314+'Cash Flow'!U314)/(1+$E$5)^$A323</f>
        <v>29418.839793262097</v>
      </c>
      <c r="F323" s="140">
        <f ca="1">('Cash Flow'!CC314+'Cash Flow'!CD314)/(1+$F$5)^$A323</f>
        <v>0</v>
      </c>
      <c r="G323" s="140">
        <f ca="1">('Cash Flow'!CG314+'Cash Flow'!CH314)/(1+$G$5)^$A323</f>
        <v>39278.782828156567</v>
      </c>
    </row>
    <row r="324" spans="1:7" x14ac:dyDescent="0.2">
      <c r="A324" s="27">
        <f>'Cash Flow'!A315</f>
        <v>309</v>
      </c>
      <c r="B324" s="135">
        <f>'Cash Flow'!B315</f>
        <v>48519</v>
      </c>
      <c r="C324" s="136">
        <f>'Cash Flow'!C315</f>
        <v>8.3333333333333329E-2</v>
      </c>
      <c r="D324" s="55"/>
      <c r="E324" s="140">
        <f ca="1">('Cash Flow'!Q315+'Cash Flow'!R315+'Cash Flow'!T315+'Cash Flow'!U315)/(1+$E$5)^$A324</f>
        <v>28987.663162214732</v>
      </c>
      <c r="F324" s="140">
        <f ca="1">('Cash Flow'!CC315+'Cash Flow'!CD315)/(1+$F$5)^$A324</f>
        <v>0</v>
      </c>
      <c r="G324" s="140">
        <f ca="1">('Cash Flow'!CG315+'Cash Flow'!CH315)/(1+$G$5)^$A324</f>
        <v>39165.098341795005</v>
      </c>
    </row>
    <row r="325" spans="1:7" x14ac:dyDescent="0.2">
      <c r="A325" s="27">
        <f>'Cash Flow'!A316</f>
        <v>310</v>
      </c>
      <c r="B325" s="135">
        <f>'Cash Flow'!B316</f>
        <v>48549</v>
      </c>
      <c r="C325" s="136">
        <f>'Cash Flow'!C316</f>
        <v>8.3333333333333329E-2</v>
      </c>
      <c r="D325" s="55"/>
      <c r="E325" s="140">
        <f ca="1">('Cash Flow'!Q316+'Cash Flow'!R316+'Cash Flow'!T316+'Cash Flow'!U316)/(1+$E$5)^$A325</f>
        <v>28561.738411857266</v>
      </c>
      <c r="F325" s="140">
        <f ca="1">('Cash Flow'!CC316+'Cash Flow'!CD316)/(1+$F$5)^$A325</f>
        <v>0</v>
      </c>
      <c r="G325" s="140">
        <f ca="1">('Cash Flow'!CG316+'Cash Flow'!CH316)/(1+$G$5)^$A325</f>
        <v>39051.868706394009</v>
      </c>
    </row>
    <row r="326" spans="1:7" x14ac:dyDescent="0.2">
      <c r="A326" s="27">
        <f>'Cash Flow'!A317</f>
        <v>311</v>
      </c>
      <c r="B326" s="135">
        <f>'Cash Flow'!B317</f>
        <v>48580</v>
      </c>
      <c r="C326" s="136">
        <f>'Cash Flow'!C317</f>
        <v>8.3333333333333329E-2</v>
      </c>
      <c r="D326" s="55"/>
      <c r="E326" s="140">
        <f ca="1">('Cash Flow'!Q317+'Cash Flow'!R317+'Cash Flow'!T317+'Cash Flow'!U317)/(1+$E$5)^$A326</f>
        <v>28140.999831968427</v>
      </c>
      <c r="F326" s="140">
        <f ca="1">('Cash Flow'!CC317+'Cash Flow'!CD317)/(1+$F$5)^$A326</f>
        <v>0</v>
      </c>
      <c r="G326" s="140">
        <f ca="1">('Cash Flow'!CG317+'Cash Flow'!CH317)/(1+$G$5)^$A326</f>
        <v>38939.087325175016</v>
      </c>
    </row>
    <row r="327" spans="1:7" x14ac:dyDescent="0.2">
      <c r="A327" s="27">
        <f>'Cash Flow'!A318</f>
        <v>312</v>
      </c>
      <c r="B327" s="135">
        <f>'Cash Flow'!B318</f>
        <v>48611</v>
      </c>
      <c r="C327" s="136">
        <f>'Cash Flow'!C318</f>
        <v>8.3333333333333329E-2</v>
      </c>
      <c r="D327" s="55"/>
      <c r="E327" s="140">
        <f ca="1">('Cash Flow'!Q318+'Cash Flow'!R318+'Cash Flow'!T318+'Cash Flow'!U318)/(1+$E$5)^$A327</f>
        <v>27725.38224054463</v>
      </c>
      <c r="F327" s="140">
        <f ca="1">('Cash Flow'!CC318+'Cash Flow'!CD318)/(1+$F$5)^$A327</f>
        <v>0</v>
      </c>
      <c r="G327" s="140">
        <f ca="1">('Cash Flow'!CG318+'Cash Flow'!CH318)/(1+$G$5)^$A327</f>
        <v>38826.747375795705</v>
      </c>
    </row>
    <row r="328" spans="1:7" x14ac:dyDescent="0.2">
      <c r="A328" s="27">
        <f>'Cash Flow'!A319</f>
        <v>313</v>
      </c>
      <c r="B328" s="135">
        <f>'Cash Flow'!B319</f>
        <v>48639</v>
      </c>
      <c r="C328" s="136">
        <f>'Cash Flow'!C319</f>
        <v>8.3333333333333329E-2</v>
      </c>
      <c r="D328" s="55"/>
      <c r="E328" s="140">
        <f ca="1">('Cash Flow'!Q319+'Cash Flow'!R319+'Cash Flow'!T319+'Cash Flow'!U319)/(1+$E$5)^$A328</f>
        <v>27314.820957741391</v>
      </c>
      <c r="F328" s="140">
        <f ca="1">('Cash Flow'!CC319+'Cash Flow'!CD319)/(1+$F$5)^$A328</f>
        <v>0</v>
      </c>
      <c r="G328" s="140">
        <f ca="1">('Cash Flow'!CG319+'Cash Flow'!CH319)/(1+$G$5)^$A328</f>
        <v>38714.841789788305</v>
      </c>
    </row>
    <row r="329" spans="1:7" x14ac:dyDescent="0.2">
      <c r="A329" s="27">
        <f>'Cash Flow'!A320</f>
        <v>314</v>
      </c>
      <c r="B329" s="135">
        <f>'Cash Flow'!B320</f>
        <v>48670</v>
      </c>
      <c r="C329" s="136">
        <f>'Cash Flow'!C320</f>
        <v>8.3333333333333329E-2</v>
      </c>
      <c r="D329" s="55"/>
      <c r="E329" s="140">
        <f ca="1">('Cash Flow'!Q320+'Cash Flow'!R320+'Cash Flow'!T320+'Cash Flow'!U320)/(1+$E$5)^$A329</f>
        <v>26909.251777968995</v>
      </c>
      <c r="F329" s="140">
        <f ca="1">('Cash Flow'!CC320+'Cash Flow'!CD320)/(1+$F$5)^$A329</f>
        <v>0</v>
      </c>
      <c r="G329" s="140">
        <f ca="1">('Cash Flow'!CG320+'Cash Flow'!CH320)/(1+$G$5)^$A329</f>
        <v>38603.363229788825</v>
      </c>
    </row>
    <row r="330" spans="1:7" x14ac:dyDescent="0.2">
      <c r="A330" s="27">
        <f>'Cash Flow'!A321</f>
        <v>315</v>
      </c>
      <c r="B330" s="135">
        <f>'Cash Flow'!B321</f>
        <v>48700</v>
      </c>
      <c r="C330" s="136">
        <f>'Cash Flow'!C321</f>
        <v>8.3333333333333329E-2</v>
      </c>
      <c r="D330" s="55"/>
      <c r="E330" s="140">
        <f ca="1">('Cash Flow'!Q321+'Cash Flow'!R321+'Cash Flow'!T321+'Cash Flow'!U321)/(1+$E$5)^$A330</f>
        <v>26508.610939874066</v>
      </c>
      <c r="F330" s="140">
        <f ca="1">('Cash Flow'!CC321+'Cash Flow'!CD321)/(1+$F$5)^$A330</f>
        <v>0</v>
      </c>
      <c r="G330" s="140">
        <f ca="1">('Cash Flow'!CG321+'Cash Flow'!CH321)/(1+$G$5)^$A330</f>
        <v>38492.304064260614</v>
      </c>
    </row>
    <row r="331" spans="1:7" x14ac:dyDescent="0.2">
      <c r="A331" s="27">
        <f>'Cash Flow'!A322</f>
        <v>316</v>
      </c>
      <c r="B331" s="135">
        <f>'Cash Flow'!B322</f>
        <v>48731</v>
      </c>
      <c r="C331" s="136">
        <f>'Cash Flow'!C322</f>
        <v>8.3333333333333329E-2</v>
      </c>
      <c r="D331" s="55"/>
      <c r="E331" s="140">
        <f ca="1">('Cash Flow'!Q322+'Cash Flow'!R322+'Cash Flow'!T322+'Cash Flow'!U322)/(1+$E$5)^$A331</f>
        <v>26112.835093912217</v>
      </c>
      <c r="F331" s="140">
        <f ca="1">('Cash Flow'!CC322+'Cash Flow'!CD322)/(1+$F$5)^$A331</f>
        <v>0</v>
      </c>
      <c r="G331" s="140">
        <f ca="1">('Cash Flow'!CG322+'Cash Flow'!CH322)/(1+$G$5)^$A331</f>
        <v>38381.65633938089</v>
      </c>
    </row>
    <row r="332" spans="1:7" x14ac:dyDescent="0.2">
      <c r="A332" s="27">
        <f>'Cash Flow'!A323</f>
        <v>317</v>
      </c>
      <c r="B332" s="135">
        <f>'Cash Flow'!B323</f>
        <v>48761</v>
      </c>
      <c r="C332" s="136">
        <f>'Cash Flow'!C323</f>
        <v>8.3333333333333329E-2</v>
      </c>
      <c r="D332" s="55"/>
      <c r="E332" s="140">
        <f ca="1">('Cash Flow'!Q323+'Cash Flow'!R323+'Cash Flow'!T323+'Cash Flow'!U323)/(1+$E$5)^$A332</f>
        <v>25721.861267152228</v>
      </c>
      <c r="F332" s="140">
        <f ca="1">('Cash Flow'!CC323+'Cash Flow'!CD323)/(1+$F$5)^$A332</f>
        <v>0</v>
      </c>
      <c r="G332" s="140">
        <f ca="1">('Cash Flow'!CG323+'Cash Flow'!CH323)/(1+$G$5)^$A332</f>
        <v>38271.411747693041</v>
      </c>
    </row>
    <row r="333" spans="1:7" x14ac:dyDescent="0.2">
      <c r="A333" s="27">
        <f>'Cash Flow'!A324</f>
        <v>318</v>
      </c>
      <c r="B333" s="135">
        <f>'Cash Flow'!B324</f>
        <v>48792</v>
      </c>
      <c r="C333" s="136">
        <f>'Cash Flow'!C324</f>
        <v>8.3333333333333329E-2</v>
      </c>
      <c r="D333" s="55"/>
      <c r="E333" s="140">
        <f ca="1">('Cash Flow'!Q324+'Cash Flow'!R324+'Cash Flow'!T324+'Cash Flow'!U324)/(1+$E$5)^$A333</f>
        <v>25335.626824908741</v>
      </c>
      <c r="F333" s="140">
        <f ca="1">('Cash Flow'!CC324+'Cash Flow'!CD324)/(1+$F$5)^$A333</f>
        <v>0</v>
      </c>
      <c r="G333" s="140">
        <f ca="1">('Cash Flow'!CG324+'Cash Flow'!CH324)/(1+$G$5)^$A333</f>
        <v>38161.561593074628</v>
      </c>
    </row>
    <row r="334" spans="1:7" x14ac:dyDescent="0.2">
      <c r="A334" s="27">
        <f>'Cash Flow'!A325</f>
        <v>319</v>
      </c>
      <c r="B334" s="135">
        <f>'Cash Flow'!B325</f>
        <v>48823</v>
      </c>
      <c r="C334" s="136">
        <f>'Cash Flow'!C325</f>
        <v>8.3333333333333329E-2</v>
      </c>
      <c r="D334" s="55"/>
      <c r="E334" s="140">
        <f ca="1">('Cash Flow'!Q325+'Cash Flow'!R325+'Cash Flow'!T325+'Cash Flow'!U325)/(1+$E$5)^$A334</f>
        <v>24954.069428719409</v>
      </c>
      <c r="F334" s="140">
        <f ca="1">('Cash Flow'!CC325+'Cash Flow'!CD325)/(1+$F$5)^$A334</f>
        <v>0</v>
      </c>
      <c r="G334" s="140">
        <f ca="1">('Cash Flow'!CG325+'Cash Flow'!CH325)/(1+$G$5)^$A334</f>
        <v>38052.096751485034</v>
      </c>
    </row>
    <row r="335" spans="1:7" x14ac:dyDescent="0.2">
      <c r="A335" s="27">
        <f>'Cash Flow'!A326</f>
        <v>320</v>
      </c>
      <c r="B335" s="135">
        <f>'Cash Flow'!B326</f>
        <v>48853</v>
      </c>
      <c r="C335" s="136">
        <f>'Cash Flow'!C326</f>
        <v>8.3333333333333329E-2</v>
      </c>
      <c r="D335" s="55"/>
      <c r="E335" s="140">
        <f ca="1">('Cash Flow'!Q326+'Cash Flow'!R326+'Cash Flow'!T326+'Cash Flow'!U326)/(1+$E$5)^$A335</f>
        <v>24577.126990109886</v>
      </c>
      <c r="F335" s="140">
        <f ca="1">('Cash Flow'!CC326+'Cash Flow'!CD326)/(1+$F$5)^$A335</f>
        <v>0</v>
      </c>
      <c r="G335" s="140">
        <f ca="1">('Cash Flow'!CG326+'Cash Flow'!CH326)/(1+$G$5)^$A335</f>
        <v>37943.007626874096</v>
      </c>
    </row>
    <row r="336" spans="1:7" x14ac:dyDescent="0.2">
      <c r="A336" s="27">
        <f>'Cash Flow'!A327</f>
        <v>321</v>
      </c>
      <c r="B336" s="135">
        <f>'Cash Flow'!B327</f>
        <v>48884</v>
      </c>
      <c r="C336" s="136">
        <f>'Cash Flow'!C327</f>
        <v>8.3333333333333329E-2</v>
      </c>
      <c r="D336" s="55"/>
      <c r="E336" s="140">
        <f ca="1">('Cash Flow'!Q327+'Cash Flow'!R327+'Cash Flow'!T327+'Cash Flow'!U327)/(1+$E$5)^$A336</f>
        <v>24204.737619479714</v>
      </c>
      <c r="F336" s="140">
        <f ca="1">('Cash Flow'!CC327+'Cash Flow'!CD327)/(1+$F$5)^$A336</f>
        <v>0</v>
      </c>
      <c r="G336" s="140">
        <f ca="1">('Cash Flow'!CG327+'Cash Flow'!CH327)/(1+$G$5)^$A336</f>
        <v>37834.284101514575</v>
      </c>
    </row>
    <row r="337" spans="1:7" x14ac:dyDescent="0.2">
      <c r="A337" s="27">
        <f>'Cash Flow'!A328</f>
        <v>322</v>
      </c>
      <c r="B337" s="135">
        <f>'Cash Flow'!B328</f>
        <v>48914</v>
      </c>
      <c r="C337" s="136">
        <f>'Cash Flow'!C328</f>
        <v>8.3333333333333329E-2</v>
      </c>
      <c r="D337" s="55"/>
      <c r="E337" s="140">
        <f ca="1">('Cash Flow'!Q328+'Cash Flow'!R328+'Cash Flow'!T328+'Cash Flow'!U328)/(1+$E$5)^$A337</f>
        <v>23836.83956933142</v>
      </c>
      <c r="F337" s="140">
        <f ca="1">('Cash Flow'!CC328+'Cash Flow'!CD328)/(1+$F$5)^$A337</f>
        <v>0</v>
      </c>
      <c r="G337" s="140">
        <f ca="1">('Cash Flow'!CG328+'Cash Flow'!CH328)/(1+$G$5)^$A337</f>
        <v>37725.915479896765</v>
      </c>
    </row>
    <row r="338" spans="1:7" x14ac:dyDescent="0.2">
      <c r="A338" s="27">
        <f>'Cash Flow'!A329</f>
        <v>323</v>
      </c>
      <c r="B338" s="135">
        <f>'Cash Flow'!B329</f>
        <v>48945</v>
      </c>
      <c r="C338" s="136">
        <f>'Cash Flow'!C329</f>
        <v>8.3333333333333329E-2</v>
      </c>
      <c r="D338" s="55"/>
      <c r="E338" s="140">
        <f ca="1">('Cash Flow'!Q329+'Cash Flow'!R329+'Cash Flow'!T329+'Cash Flow'!U329)/(1+$E$5)^$A338</f>
        <v>23473.371170911112</v>
      </c>
      <c r="F338" s="140">
        <f ca="1">('Cash Flow'!CC329+'Cash Flow'!CD329)/(1+$F$5)^$A338</f>
        <v>0</v>
      </c>
      <c r="G338" s="140">
        <f ca="1">('Cash Flow'!CG329+'Cash Flow'!CH329)/(1+$G$5)^$A338</f>
        <v>37617.890425157158</v>
      </c>
    </row>
    <row r="339" spans="1:7" x14ac:dyDescent="0.2">
      <c r="A339" s="27">
        <f>'Cash Flow'!A330</f>
        <v>324</v>
      </c>
      <c r="B339" s="135">
        <f>'Cash Flow'!B330</f>
        <v>48976</v>
      </c>
      <c r="C339" s="136">
        <f>'Cash Flow'!C330</f>
        <v>8.3333333333333329E-2</v>
      </c>
      <c r="D339" s="55"/>
      <c r="E339" s="140">
        <f ca="1">('Cash Flow'!Q330+'Cash Flow'!R330+'Cash Flow'!T330+'Cash Flow'!U330)/(1+$E$5)^$A339</f>
        <v>23114.270763156026</v>
      </c>
      <c r="F339" s="140">
        <f ca="1">('Cash Flow'!CC330+'Cash Flow'!CD330)/(1+$F$5)^$A339</f>
        <v>0</v>
      </c>
      <c r="G339" s="140">
        <f ca="1">('Cash Flow'!CG330+'Cash Flow'!CH330)/(1+$G$5)^$A339</f>
        <v>37510.196886821854</v>
      </c>
    </row>
    <row r="340" spans="1:7" x14ac:dyDescent="0.2">
      <c r="A340" s="27">
        <f>'Cash Flow'!A331</f>
        <v>325</v>
      </c>
      <c r="B340" s="135">
        <f>'Cash Flow'!B331</f>
        <v>49004</v>
      </c>
      <c r="C340" s="136">
        <f>'Cash Flow'!C331</f>
        <v>8.3333333333333329E-2</v>
      </c>
      <c r="D340" s="55"/>
      <c r="E340" s="140">
        <f ca="1">('Cash Flow'!Q331+'Cash Flow'!R331+'Cash Flow'!T331+'Cash Flow'!U331)/(1+$E$5)^$A340</f>
        <v>22759.476612623039</v>
      </c>
      <c r="F340" s="140">
        <f ca="1">('Cash Flow'!CC331+'Cash Flow'!CD331)/(1+$F$5)^$A340</f>
        <v>0</v>
      </c>
      <c r="G340" s="140">
        <f ca="1">('Cash Flow'!CG331+'Cash Flow'!CH331)/(1+$G$5)^$A340</f>
        <v>37402.822018404353</v>
      </c>
    </row>
    <row r="341" spans="1:7" x14ac:dyDescent="0.2">
      <c r="A341" s="27">
        <f>'Cash Flow'!A332</f>
        <v>326</v>
      </c>
      <c r="B341" s="135">
        <f>'Cash Flow'!B332</f>
        <v>49035</v>
      </c>
      <c r="C341" s="136">
        <f>'Cash Flow'!C332</f>
        <v>8.3333333333333329E-2</v>
      </c>
      <c r="D341" s="55"/>
      <c r="E341" s="140">
        <f ca="1">('Cash Flow'!Q332+'Cash Flow'!R332+'Cash Flow'!T332+'Cash Flow'!U332)/(1+$E$5)^$A341</f>
        <v>22408.926822803714</v>
      </c>
      <c r="F341" s="140">
        <f ca="1">('Cash Flow'!CC332+'Cash Flow'!CD332)/(1+$F$5)^$A341</f>
        <v>0</v>
      </c>
      <c r="G341" s="140">
        <f ca="1">('Cash Flow'!CG332+'Cash Flow'!CH332)/(1+$G$5)^$A341</f>
        <v>37295.75208310398</v>
      </c>
    </row>
    <row r="342" spans="1:7" x14ac:dyDescent="0.2">
      <c r="A342" s="27">
        <f>'Cash Flow'!A333</f>
        <v>327</v>
      </c>
      <c r="B342" s="135">
        <f>'Cash Flow'!B333</f>
        <v>49065</v>
      </c>
      <c r="C342" s="136">
        <f>'Cash Flow'!C333</f>
        <v>8.3333333333333329E-2</v>
      </c>
      <c r="D342" s="55"/>
      <c r="E342" s="140">
        <f ca="1">('Cash Flow'!Q333+'Cash Flow'!R333+'Cash Flow'!T333+'Cash Flow'!U333)/(1+$E$5)^$A342</f>
        <v>22062.559230901225</v>
      </c>
      <c r="F342" s="140">
        <f ca="1">('Cash Flow'!CC333+'Cash Flow'!CD333)/(1+$F$5)^$A342</f>
        <v>0</v>
      </c>
      <c r="G342" s="140">
        <f ca="1">('Cash Flow'!CG333+'Cash Flow'!CH333)/(1+$G$5)^$A342</f>
        <v>37188.972345490212</v>
      </c>
    </row>
    <row r="343" spans="1:7" x14ac:dyDescent="0.2">
      <c r="A343" s="27">
        <f>'Cash Flow'!A334</f>
        <v>328</v>
      </c>
      <c r="B343" s="135">
        <f>'Cash Flow'!B334</f>
        <v>49096</v>
      </c>
      <c r="C343" s="136">
        <f>'Cash Flow'!C334</f>
        <v>8.3333333333333329E-2</v>
      </c>
      <c r="D343" s="55"/>
      <c r="E343" s="140">
        <f ca="1">('Cash Flow'!Q334+'Cash Flow'!R334+'Cash Flow'!T334+'Cash Flow'!U334)/(1+$E$5)^$A343</f>
        <v>21720.311289723959</v>
      </c>
      <c r="F343" s="140">
        <f ca="1">('Cash Flow'!CC334+'Cash Flow'!CD334)/(1+$F$5)^$A343</f>
        <v>0</v>
      </c>
      <c r="G343" s="140">
        <f ca="1">('Cash Flow'!CG334+'Cash Flow'!CH334)/(1+$G$5)^$A343</f>
        <v>37082.466946601751</v>
      </c>
    </row>
    <row r="344" spans="1:7" x14ac:dyDescent="0.2">
      <c r="A344" s="27">
        <f>'Cash Flow'!A335</f>
        <v>329</v>
      </c>
      <c r="B344" s="135">
        <f>'Cash Flow'!B335</f>
        <v>49126</v>
      </c>
      <c r="C344" s="136">
        <f>'Cash Flow'!C335</f>
        <v>8.3333333333333329E-2</v>
      </c>
      <c r="D344" s="55"/>
      <c r="E344" s="140">
        <f ca="1">('Cash Flow'!Q335+'Cash Flow'!R335+'Cash Flow'!T335+'Cash Flow'!U335)/(1+$E$5)^$A344</f>
        <v>21382.119931838773</v>
      </c>
      <c r="F344" s="140">
        <f ca="1">('Cash Flow'!CC335+'Cash Flow'!CD335)/(1+$F$5)^$A344</f>
        <v>0</v>
      </c>
      <c r="G344" s="140">
        <f ca="1">('Cash Flow'!CG335+'Cash Flow'!CH335)/(1+$G$5)^$A344</f>
        <v>36976.218759330572</v>
      </c>
    </row>
    <row r="345" spans="1:7" x14ac:dyDescent="0.2">
      <c r="A345" s="27">
        <f>'Cash Flow'!A336</f>
        <v>330</v>
      </c>
      <c r="B345" s="135">
        <f>'Cash Flow'!B336</f>
        <v>49157</v>
      </c>
      <c r="C345" s="136">
        <f>'Cash Flow'!C336</f>
        <v>8.3333333333333329E-2</v>
      </c>
      <c r="D345" s="55"/>
      <c r="E345" s="140">
        <f ca="1">('Cash Flow'!Q336+'Cash Flow'!R336+'Cash Flow'!T336+'Cash Flow'!U336)/(1+$E$5)^$A345</f>
        <v>21047.921412467174</v>
      </c>
      <c r="F345" s="140">
        <f ca="1">('Cash Flow'!CC336+'Cash Flow'!CD336)/(1+$F$5)^$A345</f>
        <v>0</v>
      </c>
      <c r="G345" s="140">
        <f ca="1">('Cash Flow'!CG336+'Cash Flow'!CH336)/(1+$G$5)^$A345</f>
        <v>36870.209220245852</v>
      </c>
    </row>
    <row r="346" spans="1:7" x14ac:dyDescent="0.2">
      <c r="A346" s="27">
        <f>'Cash Flow'!A337</f>
        <v>331</v>
      </c>
      <c r="B346" s="135">
        <f>'Cash Flow'!B337</f>
        <v>49188</v>
      </c>
      <c r="C346" s="136">
        <f>'Cash Flow'!C337</f>
        <v>8.3333333333333329E-2</v>
      </c>
      <c r="D346" s="55"/>
      <c r="E346" s="140">
        <f ca="1">('Cash Flow'!Q337+'Cash Flow'!R337+'Cash Flow'!T337+'Cash Flow'!U337)/(1+$E$5)^$A346</f>
        <v>20717.65112677592</v>
      </c>
      <c r="F346" s="140">
        <f ca="1">('Cash Flow'!CC337+'Cash Flow'!CD337)/(1+$F$5)^$A346</f>
        <v>0</v>
      </c>
      <c r="G346" s="140">
        <f ca="1">('Cash Flow'!CG337+'Cash Flow'!CH337)/(1+$G$5)^$A346</f>
        <v>36764.418133110543</v>
      </c>
    </row>
    <row r="347" spans="1:7" x14ac:dyDescent="0.2">
      <c r="A347" s="27">
        <f>'Cash Flow'!A338</f>
        <v>332</v>
      </c>
      <c r="B347" s="135">
        <f>'Cash Flow'!B338</f>
        <v>49218</v>
      </c>
      <c r="C347" s="136">
        <f>'Cash Flow'!C338</f>
        <v>8.3333333333333329E-2</v>
      </c>
      <c r="D347" s="55"/>
      <c r="E347" s="140">
        <f ca="1">('Cash Flow'!Q338+'Cash Flow'!R338+'Cash Flow'!T338+'Cash Flow'!U338)/(1+$E$5)^$A347</f>
        <v>20391.243396154143</v>
      </c>
      <c r="F347" s="140">
        <f ca="1">('Cash Flow'!CC338+'Cash Flow'!CD338)/(1+$F$5)^$A347</f>
        <v>0</v>
      </c>
      <c r="G347" s="140">
        <f ca="1">('Cash Flow'!CG338+'Cash Flow'!CH338)/(1+$G$5)^$A347</f>
        <v>36658.823438194944</v>
      </c>
    </row>
    <row r="348" spans="1:7" x14ac:dyDescent="0.2">
      <c r="A348" s="27">
        <f>'Cash Flow'!A339</f>
        <v>333</v>
      </c>
      <c r="B348" s="135">
        <f>'Cash Flow'!B339</f>
        <v>49249</v>
      </c>
      <c r="C348" s="136">
        <f>'Cash Flow'!C339</f>
        <v>8.3333333333333329E-2</v>
      </c>
      <c r="D348" s="55"/>
      <c r="E348" s="140">
        <f ca="1">('Cash Flow'!Q339+'Cash Flow'!R339+'Cash Flow'!T339+'Cash Flow'!U339)/(1+$E$5)^$A348</f>
        <v>20068.631216697264</v>
      </c>
      <c r="F348" s="140">
        <f ca="1">('Cash Flow'!CC339+'Cash Flow'!CD339)/(1+$F$5)^$A348</f>
        <v>0</v>
      </c>
      <c r="G348" s="140">
        <f ca="1">('Cash Flow'!CG339+'Cash Flow'!CH339)/(1+$G$5)^$A348</f>
        <v>36553.400940008556</v>
      </c>
    </row>
    <row r="349" spans="1:7" x14ac:dyDescent="0.2">
      <c r="A349" s="27">
        <f>'Cash Flow'!A340</f>
        <v>334</v>
      </c>
      <c r="B349" s="135">
        <f>'Cash Flow'!B340</f>
        <v>49279</v>
      </c>
      <c r="C349" s="136">
        <f>'Cash Flow'!C340</f>
        <v>8.3333333333333329E-2</v>
      </c>
      <c r="D349" s="55"/>
      <c r="E349" s="140">
        <f ca="1">('Cash Flow'!Q340+'Cash Flow'!R340+'Cash Flow'!T340+'Cash Flow'!U340)/(1+$E$5)^$A349</f>
        <v>19749.745961335178</v>
      </c>
      <c r="F349" s="140">
        <f ca="1">('Cash Flow'!CC340+'Cash Flow'!CD340)/(1+$F$5)^$A349</f>
        <v>0</v>
      </c>
      <c r="G349" s="140">
        <f ca="1">('Cash Flow'!CG340+'Cash Flow'!CH340)/(1+$G$5)^$A349</f>
        <v>36448.123984146063</v>
      </c>
    </row>
    <row r="350" spans="1:7" x14ac:dyDescent="0.2">
      <c r="A350" s="27">
        <f>'Cash Flow'!A341</f>
        <v>335</v>
      </c>
      <c r="B350" s="135">
        <f>'Cash Flow'!B341</f>
        <v>49310</v>
      </c>
      <c r="C350" s="136">
        <f>'Cash Flow'!C341</f>
        <v>8.3333333333333329E-2</v>
      </c>
      <c r="D350" s="55"/>
      <c r="E350" s="140">
        <f ca="1">('Cash Flow'!Q341+'Cash Flow'!R341+'Cash Flow'!T341+'Cash Flow'!U341)/(1+$E$5)^$A350</f>
        <v>19434.517024717265</v>
      </c>
      <c r="F350" s="140">
        <f ca="1">('Cash Flow'!CC341+'Cash Flow'!CD341)/(1+$F$5)^$A350</f>
        <v>0</v>
      </c>
      <c r="G350" s="140">
        <f ca="1">('Cash Flow'!CG341+'Cash Flow'!CH341)/(1+$G$5)^$A350</f>
        <v>36342.963071434307</v>
      </c>
    </row>
    <row r="351" spans="1:7" x14ac:dyDescent="0.2">
      <c r="A351" s="27">
        <f>'Cash Flow'!A342</f>
        <v>336</v>
      </c>
      <c r="B351" s="135">
        <f>'Cash Flow'!B342</f>
        <v>49341</v>
      </c>
      <c r="C351" s="136">
        <f>'Cash Flow'!C342</f>
        <v>8.3333333333333329E-2</v>
      </c>
      <c r="D351" s="55"/>
      <c r="E351" s="140">
        <f ca="1">('Cash Flow'!Q342+'Cash Flow'!R342+'Cash Flow'!T342+'Cash Flow'!U342)/(1+$E$5)^$A351</f>
        <v>19122.871396871364</v>
      </c>
      <c r="F351" s="140">
        <f ca="1">('Cash Flow'!CC342+'Cash Flow'!CD342)/(1+$F$5)^$A351</f>
        <v>0</v>
      </c>
      <c r="G351" s="140">
        <f ca="1">('Cash Flow'!CG342+'Cash Flow'!CH342)/(1+$G$5)^$A351</f>
        <v>36237.885394234872</v>
      </c>
    </row>
    <row r="352" spans="1:7" x14ac:dyDescent="0.2">
      <c r="A352" s="27">
        <f>'Cash Flow'!A343</f>
        <v>337</v>
      </c>
      <c r="B352" s="135">
        <f>'Cash Flow'!B343</f>
        <v>49369</v>
      </c>
      <c r="C352" s="136">
        <f>'Cash Flow'!C343</f>
        <v>8.3333333333333329E-2</v>
      </c>
      <c r="D352" s="55"/>
      <c r="E352" s="140">
        <f ca="1">('Cash Flow'!Q343+'Cash Flow'!R343+'Cash Flow'!T343+'Cash Flow'!U343)/(1+$E$5)^$A352</f>
        <v>18814.733147536201</v>
      </c>
      <c r="F352" s="140">
        <f ca="1">('Cash Flow'!CC343+'Cash Flow'!CD343)/(1+$F$5)^$A352</f>
        <v>0</v>
      </c>
      <c r="G352" s="140">
        <f ca="1">('Cash Flow'!CG343+'Cash Flow'!CH343)/(1+$G$5)^$A352</f>
        <v>36132.854275326616</v>
      </c>
    </row>
    <row r="353" spans="1:7" x14ac:dyDescent="0.2">
      <c r="A353" s="27">
        <f>'Cash Flow'!A344</f>
        <v>338</v>
      </c>
      <c r="B353" s="135">
        <f>'Cash Flow'!B344</f>
        <v>49400</v>
      </c>
      <c r="C353" s="136">
        <f>'Cash Flow'!C344</f>
        <v>8.3333333333333329E-2</v>
      </c>
      <c r="D353" s="55"/>
      <c r="E353" s="140">
        <f ca="1">('Cash Flow'!Q344+'Cash Flow'!R344+'Cash Flow'!T344+'Cash Flow'!U344)/(1+$E$5)^$A353</f>
        <v>18510.022797492951</v>
      </c>
      <c r="F353" s="140">
        <f ca="1">('Cash Flow'!CC344+'Cash Flow'!CD344)/(1+$F$5)^$A353</f>
        <v>0</v>
      </c>
      <c r="G353" s="140">
        <f ca="1">('Cash Flow'!CG344+'Cash Flow'!CH344)/(1+$G$5)^$A353</f>
        <v>36027.828483806501</v>
      </c>
    </row>
    <row r="354" spans="1:7" x14ac:dyDescent="0.2">
      <c r="A354" s="27">
        <f>'Cash Flow'!A345</f>
        <v>339</v>
      </c>
      <c r="B354" s="135">
        <f>'Cash Flow'!B345</f>
        <v>49430</v>
      </c>
      <c r="C354" s="136">
        <f>'Cash Flow'!C345</f>
        <v>8.3333333333333329E-2</v>
      </c>
      <c r="D354" s="55"/>
      <c r="E354" s="140">
        <f ca="1">('Cash Flow'!Q345+'Cash Flow'!R345+'Cash Flow'!T345+'Cash Flow'!U345)/(1+$E$5)^$A354</f>
        <v>18208.656545607755</v>
      </c>
      <c r="F354" s="140">
        <f ca="1">('Cash Flow'!CC345+'Cash Flow'!CD345)/(1+$F$5)^$A354</f>
        <v>0</v>
      </c>
      <c r="G354" s="140">
        <f ca="1">('Cash Flow'!CG345+'Cash Flow'!CH345)/(1+$G$5)^$A354</f>
        <v>35922.761394280664</v>
      </c>
    </row>
    <row r="355" spans="1:7" x14ac:dyDescent="0.2">
      <c r="A355" s="27">
        <f>'Cash Flow'!A346</f>
        <v>340</v>
      </c>
      <c r="B355" s="135">
        <f>'Cash Flow'!B346</f>
        <v>49461</v>
      </c>
      <c r="C355" s="136">
        <f>'Cash Flow'!C346</f>
        <v>8.3333333333333329E-2</v>
      </c>
      <c r="D355" s="55"/>
      <c r="E355" s="140">
        <f ca="1">('Cash Flow'!Q346+'Cash Flow'!R346+'Cash Flow'!T346+'Cash Flow'!U346)/(1+$E$5)^$A355</f>
        <v>17910.545309754598</v>
      </c>
      <c r="F355" s="140">
        <f ca="1">('Cash Flow'!CC346+'Cash Flow'!CD346)/(1+$F$5)^$A355</f>
        <v>0</v>
      </c>
      <c r="G355" s="140">
        <f ca="1">('Cash Flow'!CG346+'Cash Flow'!CH346)/(1+$G$5)^$A355</f>
        <v>35817.59994432691</v>
      </c>
    </row>
    <row r="356" spans="1:7" x14ac:dyDescent="0.2">
      <c r="A356" s="27">
        <f>'Cash Flow'!A347</f>
        <v>341</v>
      </c>
      <c r="B356" s="135">
        <f>'Cash Flow'!B347</f>
        <v>49491</v>
      </c>
      <c r="C356" s="136">
        <f>'Cash Flow'!C347</f>
        <v>8.3333333333333329E-2</v>
      </c>
      <c r="D356" s="55"/>
      <c r="E356" s="140">
        <f ca="1">('Cash Flow'!Q347+'Cash Flow'!R347+'Cash Flow'!T347+'Cash Flow'!U347)/(1+$E$5)^$A356</f>
        <v>17615.593525003875</v>
      </c>
      <c r="F356" s="140">
        <f ca="1">('Cash Flow'!CC347+'Cash Flow'!CD347)/(1+$F$5)^$A356</f>
        <v>0</v>
      </c>
      <c r="G356" s="140">
        <f ca="1">('Cash Flow'!CG347+'Cash Flow'!CH347)/(1+$G$5)^$A356</f>
        <v>35712.283329397593</v>
      </c>
    </row>
    <row r="357" spans="1:7" x14ac:dyDescent="0.2">
      <c r="A357" s="27">
        <f>'Cash Flow'!A348</f>
        <v>342</v>
      </c>
      <c r="B357" s="135">
        <f>'Cash Flow'!B348</f>
        <v>49522</v>
      </c>
      <c r="C357" s="136">
        <f>'Cash Flow'!C348</f>
        <v>8.3333333333333329E-2</v>
      </c>
      <c r="D357" s="55"/>
      <c r="E357" s="140">
        <f ca="1">('Cash Flow'!Q348+'Cash Flow'!R348+'Cash Flow'!T348+'Cash Flow'!U348)/(1+$E$5)^$A357</f>
        <v>17323.697621391388</v>
      </c>
      <c r="F357" s="140">
        <f ca="1">('Cash Flow'!CC348+'Cash Flow'!CD348)/(1+$F$5)^$A357</f>
        <v>0</v>
      </c>
      <c r="G357" s="140">
        <f ca="1">('Cash Flow'!CG348+'Cash Flow'!CH348)/(1+$G$5)^$A357</f>
        <v>35606.741351829696</v>
      </c>
    </row>
    <row r="358" spans="1:7" x14ac:dyDescent="0.2">
      <c r="A358" s="27">
        <f>'Cash Flow'!A349</f>
        <v>343</v>
      </c>
      <c r="B358" s="135">
        <f>'Cash Flow'!B349</f>
        <v>49553</v>
      </c>
      <c r="C358" s="136">
        <f>'Cash Flow'!C349</f>
        <v>8.3333333333333329E-2</v>
      </c>
      <c r="D358" s="55"/>
      <c r="E358" s="140">
        <f ca="1">('Cash Flow'!Q349+'Cash Flow'!R349+'Cash Flow'!T349+'Cash Flow'!U349)/(1+$E$5)^$A358</f>
        <v>17034.744073090897</v>
      </c>
      <c r="F358" s="140">
        <f ca="1">('Cash Flow'!CC349+'Cash Flow'!CD349)/(1+$F$5)^$A358</f>
        <v>0</v>
      </c>
      <c r="G358" s="140">
        <f ca="1">('Cash Flow'!CG349+'Cash Flow'!CH349)/(1+$G$5)^$A358</f>
        <v>35500.892308110582</v>
      </c>
    </row>
    <row r="359" spans="1:7" x14ac:dyDescent="0.2">
      <c r="A359" s="27">
        <f>'Cash Flow'!A350</f>
        <v>344</v>
      </c>
      <c r="B359" s="135">
        <f>'Cash Flow'!B350</f>
        <v>49583</v>
      </c>
      <c r="C359" s="136">
        <f>'Cash Flow'!C350</f>
        <v>8.3333333333333329E-2</v>
      </c>
      <c r="D359" s="55"/>
      <c r="E359" s="140">
        <f ca="1">('Cash Flow'!Q350+'Cash Flow'!R350+'Cash Flow'!T350+'Cash Flow'!U350)/(1+$E$5)^$A359</f>
        <v>16748.606865858754</v>
      </c>
      <c r="F359" s="140">
        <f ca="1">('Cash Flow'!CC350+'Cash Flow'!CD350)/(1+$F$5)^$A359</f>
        <v>0</v>
      </c>
      <c r="G359" s="140">
        <f ca="1">('Cash Flow'!CG350+'Cash Flow'!CH350)/(1+$G$5)^$A359</f>
        <v>35394.640250674682</v>
      </c>
    </row>
    <row r="360" spans="1:7" x14ac:dyDescent="0.2">
      <c r="A360" s="27">
        <f>'Cash Flow'!A351</f>
        <v>345</v>
      </c>
      <c r="B360" s="135">
        <f>'Cash Flow'!B351</f>
        <v>49614</v>
      </c>
      <c r="C360" s="136">
        <f>'Cash Flow'!C351</f>
        <v>8.3333333333333329E-2</v>
      </c>
      <c r="D360" s="55"/>
      <c r="E360" s="140">
        <f ca="1">('Cash Flow'!Q351+'Cash Flow'!R351+'Cash Flow'!T351+'Cash Flow'!U351)/(1+$E$5)^$A360</f>
        <v>16465.144162038905</v>
      </c>
      <c r="F360" s="140">
        <f ca="1">('Cash Flow'!CC351+'Cash Flow'!CD351)/(1+$F$5)^$A360</f>
        <v>0</v>
      </c>
      <c r="G360" s="140">
        <f ca="1">('Cash Flow'!CG351+'Cash Flow'!CH351)/(1+$G$5)^$A360</f>
        <v>35287.871388641928</v>
      </c>
    </row>
    <row r="361" spans="1:7" x14ac:dyDescent="0.2">
      <c r="A361" s="27">
        <f>'Cash Flow'!A352</f>
        <v>346</v>
      </c>
      <c r="B361" s="135">
        <f>'Cash Flow'!B352</f>
        <v>49644</v>
      </c>
      <c r="C361" s="136">
        <f>'Cash Flow'!C352</f>
        <v>8.3333333333333329E-2</v>
      </c>
      <c r="D361" s="55"/>
      <c r="E361" s="140">
        <f ca="1">('Cash Flow'!Q352+'Cash Flow'!R352+'Cash Flow'!T352+'Cash Flow'!U352)/(1+$E$5)^$A361</f>
        <v>16184.193838548128</v>
      </c>
      <c r="F361" s="140">
        <f ca="1">('Cash Flow'!CC352+'Cash Flow'!CD352)/(1+$F$5)^$A361</f>
        <v>0</v>
      </c>
      <c r="G361" s="140">
        <f ca="1">('Cash Flow'!CG352+'Cash Flow'!CH352)/(1+$G$5)^$A361</f>
        <v>35180.449281614034</v>
      </c>
    </row>
    <row r="362" spans="1:7" x14ac:dyDescent="0.2">
      <c r="A362" s="27">
        <f>'Cash Flow'!A353</f>
        <v>347</v>
      </c>
      <c r="B362" s="135">
        <f>'Cash Flow'!B353</f>
        <v>49675</v>
      </c>
      <c r="C362" s="136">
        <f>'Cash Flow'!C353</f>
        <v>8.3333333333333329E-2</v>
      </c>
      <c r="D362" s="55"/>
      <c r="E362" s="140">
        <f ca="1">('Cash Flow'!Q353+'Cash Flow'!R353+'Cash Flow'!T353+'Cash Flow'!U353)/(1+$E$5)^$A362</f>
        <v>15905.567409668847</v>
      </c>
      <c r="F362" s="140">
        <f ca="1">('Cash Flow'!CC353+'Cash Flow'!CD353)/(1+$F$5)^$A362</f>
        <v>0</v>
      </c>
      <c r="G362" s="140">
        <f ca="1">('Cash Flow'!CG353+'Cash Flow'!CH353)/(1+$G$5)^$A362</f>
        <v>35072.208307180794</v>
      </c>
    </row>
    <row r="363" spans="1:7" x14ac:dyDescent="0.2">
      <c r="A363" s="27">
        <f>'Cash Flow'!A354</f>
        <v>348</v>
      </c>
      <c r="B363" s="135">
        <f>'Cash Flow'!B354</f>
        <v>49706</v>
      </c>
      <c r="C363" s="136">
        <f>'Cash Flow'!C354</f>
        <v>8.3333333333333329E-2</v>
      </c>
      <c r="D363" s="55"/>
      <c r="E363" s="140">
        <f ca="1">('Cash Flow'!Q354+'Cash Flow'!R354+'Cash Flow'!T354+'Cash Flow'!U354)/(1+$E$5)^$A363</f>
        <v>15629.041581590991</v>
      </c>
      <c r="F363" s="140">
        <f ca="1">('Cash Flow'!CC354+'Cash Flow'!CD354)/(1+$F$5)^$A363</f>
        <v>0</v>
      </c>
      <c r="G363" s="140">
        <f ca="1">('Cash Flow'!CG354+'Cash Flow'!CH354)/(1+$G$5)^$A363</f>
        <v>34962.94460232633</v>
      </c>
    </row>
    <row r="364" spans="1:7" x14ac:dyDescent="0.2">
      <c r="A364" s="27">
        <f>'Cash Flow'!A355</f>
        <v>349</v>
      </c>
      <c r="B364" s="135">
        <f>'Cash Flow'!B355</f>
        <v>49735</v>
      </c>
      <c r="C364" s="136">
        <f>'Cash Flow'!C355</f>
        <v>8.3333333333333329E-2</v>
      </c>
      <c r="D364" s="55"/>
      <c r="E364" s="140">
        <f ca="1">('Cash Flow'!Q355+'Cash Flow'!R355+'Cash Flow'!T355+'Cash Flow'!U355)/(1+$E$5)^$A364</f>
        <v>15354.34624314844</v>
      </c>
      <c r="F364" s="140">
        <f ca="1">('Cash Flow'!CC355+'Cash Flow'!CD355)/(1+$F$5)^$A364</f>
        <v>0</v>
      </c>
      <c r="G364" s="140">
        <f ca="1">('Cash Flow'!CG355+'Cash Flow'!CH355)/(1+$G$5)^$A364</f>
        <v>34852.403211085388</v>
      </c>
    </row>
    <row r="365" spans="1:7" x14ac:dyDescent="0.2">
      <c r="A365" s="27">
        <f>'Cash Flow'!A356</f>
        <v>350</v>
      </c>
      <c r="B365" s="135">
        <f>'Cash Flow'!B356</f>
        <v>49766</v>
      </c>
      <c r="C365" s="136">
        <f>'Cash Flow'!C356</f>
        <v>8.3333333333333329E-2</v>
      </c>
      <c r="D365" s="55"/>
      <c r="E365" s="140">
        <f ca="1">('Cash Flow'!Q356+'Cash Flow'!R356+'Cash Flow'!T356+'Cash Flow'!U356)/(1+$E$5)^$A365</f>
        <v>15081.146931103247</v>
      </c>
      <c r="F365" s="140">
        <f ca="1">('Cash Flow'!CC356+'Cash Flow'!CD356)/(1+$F$5)^$A365</f>
        <v>0</v>
      </c>
      <c r="G365" s="140">
        <f ca="1">('Cash Flow'!CG356+'Cash Flow'!CH356)/(1+$G$5)^$A365</f>
        <v>34740.259362006836</v>
      </c>
    </row>
    <row r="366" spans="1:7" x14ac:dyDescent="0.2">
      <c r="A366" s="27">
        <f>'Cash Flow'!A357</f>
        <v>351</v>
      </c>
      <c r="B366" s="135">
        <f>'Cash Flow'!B357</f>
        <v>49796</v>
      </c>
      <c r="C366" s="136">
        <f>'Cash Flow'!C357</f>
        <v>8.3333333333333329E-2</v>
      </c>
      <c r="D366" s="55"/>
      <c r="E366" s="140">
        <f ca="1">('Cash Flow'!Q357+'Cash Flow'!R357+'Cash Flow'!T357+'Cash Flow'!U357)/(1+$E$5)^$A366</f>
        <v>14809.018426148201</v>
      </c>
      <c r="F366" s="140">
        <f ca="1">('Cash Flow'!CC357+'Cash Flow'!CD357)/(1+$F$5)^$A366</f>
        <v>0</v>
      </c>
      <c r="G366" s="140">
        <f ca="1">('Cash Flow'!CG357+'Cash Flow'!CH357)/(1+$G$5)^$A366</f>
        <v>34626.090341880903</v>
      </c>
    </row>
    <row r="367" spans="1:7" x14ac:dyDescent="0.2">
      <c r="A367" s="27">
        <f>'Cash Flow'!A358</f>
        <v>352</v>
      </c>
      <c r="B367" s="135">
        <f>'Cash Flow'!B358</f>
        <v>49827</v>
      </c>
      <c r="C367" s="136">
        <f>'Cash Flow'!C358</f>
        <v>8.3333333333333329E-2</v>
      </c>
      <c r="D367" s="55"/>
      <c r="E367" s="140">
        <f ca="1">('Cash Flow'!Q358+'Cash Flow'!R358+'Cash Flow'!T358+'Cash Flow'!U358)/(1+$E$5)^$A367</f>
        <v>14537.403518913537</v>
      </c>
      <c r="F367" s="140">
        <f ca="1">('Cash Flow'!CC358+'Cash Flow'!CD358)/(1+$F$5)^$A367</f>
        <v>0</v>
      </c>
      <c r="G367" s="140">
        <f ca="1">('Cash Flow'!CG358+'Cash Flow'!CH358)/(1+$G$5)^$A367</f>
        <v>34509.331677485447</v>
      </c>
    </row>
    <row r="368" spans="1:7" x14ac:dyDescent="0.2">
      <c r="A368" s="27">
        <f>'Cash Flow'!A359</f>
        <v>353</v>
      </c>
      <c r="B368" s="135">
        <f>'Cash Flow'!B359</f>
        <v>49857</v>
      </c>
      <c r="C368" s="136">
        <f>'Cash Flow'!C359</f>
        <v>8.3333333333333329E-2</v>
      </c>
      <c r="D368" s="55"/>
      <c r="E368" s="140">
        <f ca="1">('Cash Flow'!Q359+'Cash Flow'!R359+'Cash Flow'!T359+'Cash Flow'!U359)/(1+$E$5)^$A368</f>
        <v>14265.54573924469</v>
      </c>
      <c r="F368" s="140">
        <f ca="1">('Cash Flow'!CC359+'Cash Flow'!CD359)/(1+$F$5)^$A368</f>
        <v>0</v>
      </c>
      <c r="G368" s="140">
        <f ca="1">('Cash Flow'!CG359+'Cash Flow'!CH359)/(1+$G$5)^$A368</f>
        <v>34389.205822883589</v>
      </c>
    </row>
    <row r="369" spans="1:7" x14ac:dyDescent="0.2">
      <c r="A369" s="27">
        <f>'Cash Flow'!A360</f>
        <v>354</v>
      </c>
      <c r="B369" s="135">
        <f>'Cash Flow'!B360</f>
        <v>49888</v>
      </c>
      <c r="C369" s="136">
        <f>'Cash Flow'!C360</f>
        <v>8.3333333333333329E-2</v>
      </c>
      <c r="D369" s="55"/>
      <c r="E369" s="140">
        <f ca="1">('Cash Flow'!Q360+'Cash Flow'!R360+'Cash Flow'!T360+'Cash Flow'!U360)/(1+$E$5)^$A369</f>
        <v>13992.373574195986</v>
      </c>
      <c r="F369" s="140">
        <f ca="1">('Cash Flow'!CC360+'Cash Flow'!CD360)/(1+$F$5)^$A369</f>
        <v>0</v>
      </c>
      <c r="G369" s="140">
        <f ca="1">('Cash Flow'!CG360+'Cash Flow'!CH360)/(1+$G$5)^$A369</f>
        <v>34264.599723277417</v>
      </c>
    </row>
    <row r="370" spans="1:7" x14ac:dyDescent="0.2">
      <c r="A370" s="27">
        <f>'Cash Flow'!A361</f>
        <v>355</v>
      </c>
      <c r="B370" s="135">
        <f>'Cash Flow'!B361</f>
        <v>49919</v>
      </c>
      <c r="C370" s="136">
        <f>'Cash Flow'!C361</f>
        <v>8.3333333333333329E-2</v>
      </c>
      <c r="D370" s="55"/>
      <c r="E370" s="140">
        <f ca="1">('Cash Flow'!Q361+'Cash Flow'!R361+'Cash Flow'!T361+'Cash Flow'!U361)/(1+$E$5)^$A370</f>
        <v>13716.287346860003</v>
      </c>
      <c r="F370" s="140">
        <f ca="1">('Cash Flow'!CC361+'Cash Flow'!CD361)/(1+$F$5)^$A370</f>
        <v>0</v>
      </c>
      <c r="G370" s="140">
        <f ca="1">('Cash Flow'!CG361+'Cash Flow'!CH361)/(1+$G$5)^$A370</f>
        <v>34133.840007037004</v>
      </c>
    </row>
    <row r="371" spans="1:7" x14ac:dyDescent="0.2">
      <c r="A371" s="27">
        <f>'Cash Flow'!A362</f>
        <v>356</v>
      </c>
      <c r="B371" s="135">
        <f>'Cash Flow'!B362</f>
        <v>49949</v>
      </c>
      <c r="C371" s="136">
        <f>'Cash Flow'!C362</f>
        <v>8.3333333333333329E-2</v>
      </c>
      <c r="D371" s="55"/>
      <c r="E371" s="140">
        <f ca="1">('Cash Flow'!Q362+'Cash Flow'!R362+'Cash Flow'!T362+'Cash Flow'!U362)/(1+$E$5)^$A371</f>
        <v>13434.731248291588</v>
      </c>
      <c r="F371" s="140">
        <f ca="1">('Cash Flow'!CC362+'Cash Flow'!CD362)/(1+$F$5)^$A371</f>
        <v>0</v>
      </c>
      <c r="G371" s="140">
        <f ca="1">('Cash Flow'!CG362+'Cash Flow'!CH362)/(1+$G$5)^$A371</f>
        <v>33994.242684208199</v>
      </c>
    </row>
    <row r="372" spans="1:7" x14ac:dyDescent="0.2">
      <c r="A372" s="27">
        <f>'Cash Flow'!A363</f>
        <v>357</v>
      </c>
      <c r="B372" s="135">
        <f>'Cash Flow'!B363</f>
        <v>49980</v>
      </c>
      <c r="C372" s="136">
        <f>'Cash Flow'!C363</f>
        <v>8.3333333333333329E-2</v>
      </c>
      <c r="D372" s="55"/>
      <c r="E372" s="140">
        <f ca="1">('Cash Flow'!Q363+'Cash Flow'!R363+'Cash Flow'!T363+'Cash Flow'!U363)/(1+$E$5)^$A372</f>
        <v>13143.226489568096</v>
      </c>
      <c r="F372" s="140">
        <f ca="1">('Cash Flow'!CC363+'Cash Flow'!CD363)/(1+$F$5)^$A372</f>
        <v>0</v>
      </c>
      <c r="G372" s="140">
        <f ca="1">('Cash Flow'!CG363+'Cash Flow'!CH363)/(1+$G$5)^$A372</f>
        <v>33841.098420844733</v>
      </c>
    </row>
    <row r="373" spans="1:7" x14ac:dyDescent="0.2">
      <c r="A373" s="27">
        <f>'Cash Flow'!A364</f>
        <v>358</v>
      </c>
      <c r="B373" s="135">
        <f>'Cash Flow'!B364</f>
        <v>50010</v>
      </c>
      <c r="C373" s="136">
        <f>'Cash Flow'!C364</f>
        <v>8.3333333333333329E-2</v>
      </c>
      <c r="D373" s="55"/>
      <c r="E373" s="140">
        <f ca="1">('Cash Flow'!Q364+'Cash Flow'!R364+'Cash Flow'!T364+'Cash Flow'!U364)/(1+$E$5)^$A373</f>
        <v>12832.782493713055</v>
      </c>
      <c r="F373" s="140">
        <f ca="1">('Cash Flow'!CC364+'Cash Flow'!CD364)/(1+$F$5)^$A373</f>
        <v>0</v>
      </c>
      <c r="G373" s="140">
        <f ca="1">('Cash Flow'!CG364+'Cash Flow'!CH364)/(1+$G$5)^$A373</f>
        <v>33664.962464830831</v>
      </c>
    </row>
    <row r="374" spans="1:7" x14ac:dyDescent="0.2">
      <c r="A374" s="27">
        <f>'Cash Flow'!A365</f>
        <v>359</v>
      </c>
      <c r="B374" s="135">
        <f>'Cash Flow'!B365</f>
        <v>50041</v>
      </c>
      <c r="C374" s="136">
        <f>'Cash Flow'!C365</f>
        <v>8.3333333333333329E-2</v>
      </c>
      <c r="D374" s="55"/>
      <c r="E374" s="140">
        <f ca="1">('Cash Flow'!Q365+'Cash Flow'!R365+'Cash Flow'!T365+'Cash Flow'!U365)/(1+$E$5)^$A374</f>
        <v>12480.798832159342</v>
      </c>
      <c r="F374" s="140">
        <f ca="1">('Cash Flow'!CC365+'Cash Flow'!CD365)/(1+$F$5)^$A374</f>
        <v>0</v>
      </c>
      <c r="G374" s="140">
        <f ca="1">('Cash Flow'!CG365+'Cash Flow'!CH365)/(1+$G$5)^$A374</f>
        <v>33442.154854204011</v>
      </c>
    </row>
    <row r="375" spans="1:7" x14ac:dyDescent="0.2">
      <c r="A375" s="27">
        <f>'Cash Flow'!A366</f>
        <v>360</v>
      </c>
      <c r="B375" s="135">
        <f>'Cash Flow'!B366</f>
        <v>50072</v>
      </c>
      <c r="C375" s="136">
        <f>'Cash Flow'!C366</f>
        <v>8.3333333333333329E-2</v>
      </c>
      <c r="D375" s="55"/>
      <c r="E375" s="140">
        <f ca="1">('Cash Flow'!Q366+'Cash Flow'!R366+'Cash Flow'!T366+'Cash Flow'!U366)/(1+$E$5)^$A375</f>
        <v>11996.251527523666</v>
      </c>
      <c r="F375" s="140">
        <f ca="1">('Cash Flow'!CC366+'Cash Flow'!CD366)/(1+$F$5)^$A375</f>
        <v>0</v>
      </c>
      <c r="G375" s="140">
        <f ca="1">('Cash Flow'!CG366+'Cash Flow'!CH366)/(1+$G$5)^$A375</f>
        <v>33077.674201256981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J57"/>
  <sheetViews>
    <sheetView showGridLines="0" workbookViewId="0"/>
  </sheetViews>
  <sheetFormatPr defaultRowHeight="12.75" x14ac:dyDescent="0.2"/>
  <cols>
    <col min="1" max="1" width="9.7109375" customWidth="1"/>
    <col min="2" max="2" width="15" customWidth="1"/>
    <col min="3" max="3" width="19.42578125" customWidth="1"/>
    <col min="4" max="4" width="1.7109375" customWidth="1"/>
    <col min="5" max="5" width="17" customWidth="1"/>
    <col min="6" max="6" width="16.7109375" customWidth="1"/>
    <col min="7" max="7" width="1.7109375" customWidth="1"/>
    <col min="8" max="8" width="17" customWidth="1"/>
    <col min="9" max="9" width="16.85546875" customWidth="1"/>
    <col min="10" max="10" width="1.7109375" customWidth="1"/>
    <col min="11" max="11" width="19.140625" customWidth="1"/>
    <col min="12" max="12" width="16.85546875" customWidth="1"/>
    <col min="13" max="13" width="1.140625" customWidth="1"/>
    <col min="14" max="14" width="17.42578125" customWidth="1"/>
    <col min="15" max="15" width="19.85546875" customWidth="1"/>
    <col min="16" max="16" width="22.42578125" customWidth="1"/>
    <col min="21" max="21" width="12.42578125" customWidth="1"/>
    <col min="22" max="22" width="12.42578125" bestFit="1" customWidth="1"/>
  </cols>
  <sheetData>
    <row r="1" spans="1:36" s="31" customFormat="1" ht="19.5" thickBot="1" x14ac:dyDescent="0.35">
      <c r="A1" s="5" t="str">
        <f>Inputs!B1</f>
        <v>Project Model Builder</v>
      </c>
      <c r="K1" s="298" t="str">
        <f>Inputs!I29</f>
        <v>Base Case</v>
      </c>
      <c r="L1" s="298"/>
      <c r="M1" s="298"/>
      <c r="N1" s="298"/>
      <c r="O1" s="298"/>
      <c r="P1" s="298"/>
    </row>
    <row r="2" spans="1:36" x14ac:dyDescent="0.2">
      <c r="A2" s="14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41"/>
    </row>
    <row r="3" spans="1:36" ht="15.75" x14ac:dyDescent="0.25">
      <c r="A3" s="299" t="s">
        <v>20</v>
      </c>
      <c r="B3" s="300"/>
      <c r="C3" s="301"/>
      <c r="D3" s="142"/>
      <c r="E3" s="300" t="s">
        <v>100</v>
      </c>
      <c r="F3" s="301"/>
      <c r="G3" s="142"/>
      <c r="H3" s="300" t="s">
        <v>108</v>
      </c>
      <c r="I3" s="300"/>
      <c r="J3" s="300"/>
      <c r="K3" s="300"/>
      <c r="L3" s="301"/>
      <c r="M3" s="142"/>
      <c r="N3" s="143" t="s">
        <v>190</v>
      </c>
      <c r="O3" s="144"/>
      <c r="P3" s="145"/>
      <c r="Q3" s="10"/>
      <c r="R3" s="10"/>
      <c r="S3" s="10"/>
      <c r="T3" s="146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</row>
    <row r="4" spans="1:36" s="11" customFormat="1" x14ac:dyDescent="0.2">
      <c r="A4" s="147" t="str">
        <f>Inputs!D11</f>
        <v>Current Principal Balance</v>
      </c>
      <c r="B4" s="148"/>
      <c r="C4" s="149">
        <f>AssetCurBal1</f>
        <v>100000000</v>
      </c>
      <c r="D4" s="150"/>
      <c r="E4" s="151" t="str">
        <f>Inputs!C23</f>
        <v>Advance Rate</v>
      </c>
      <c r="F4" s="152">
        <f>LiabAdvRate1</f>
        <v>0.89747088277657916</v>
      </c>
      <c r="G4" s="153"/>
      <c r="H4" s="151" t="str">
        <f>Inputs!C17</f>
        <v>Prepay Curve</v>
      </c>
      <c r="I4" s="154" t="str">
        <f>pdrPrepay1</f>
        <v>SMM 1</v>
      </c>
      <c r="J4" s="154"/>
      <c r="K4" s="148" t="str">
        <f>Inputs!B30</f>
        <v>Reserve Account %</v>
      </c>
      <c r="L4" s="155">
        <f>RsrvPercent</f>
        <v>0.01</v>
      </c>
      <c r="M4" s="156"/>
      <c r="N4" s="148" t="s">
        <v>191</v>
      </c>
      <c r="O4" s="154">
        <f>1-F4</f>
        <v>0.10252911722342084</v>
      </c>
      <c r="P4" s="157"/>
      <c r="Q4" s="158"/>
      <c r="T4" s="159"/>
      <c r="U4" s="160"/>
      <c r="V4" s="160"/>
      <c r="W4" s="161"/>
      <c r="X4" s="13"/>
      <c r="Y4" s="13"/>
      <c r="Z4" s="89"/>
      <c r="AA4" s="89"/>
      <c r="AB4" s="89"/>
      <c r="AC4" s="89"/>
      <c r="AD4" s="89"/>
      <c r="AE4" s="89"/>
      <c r="AF4" s="89"/>
      <c r="AG4" s="13"/>
      <c r="AH4" s="13"/>
      <c r="AI4" s="13"/>
      <c r="AJ4" s="13"/>
    </row>
    <row r="5" spans="1:36" x14ac:dyDescent="0.2">
      <c r="A5" s="162" t="str">
        <f>Inputs!E11</f>
        <v>Asset Amort Type</v>
      </c>
      <c r="B5" s="2"/>
      <c r="C5" s="163" t="str">
        <f>AssetIntType1</f>
        <v>Fixed</v>
      </c>
      <c r="D5" s="150"/>
      <c r="E5" s="151" t="str">
        <f>Inputs!E23</f>
        <v>Floating Rate Curve</v>
      </c>
      <c r="F5" s="164" t="str">
        <f>IF(LiabIntType1="Floating", LiabLoanIndex1,LiabFxdRate1)</f>
        <v>1-Month LIBOR</v>
      </c>
      <c r="G5" s="165"/>
      <c r="H5" s="166" t="str">
        <f>Inputs!E17</f>
        <v>Gross Cumulative Loss</v>
      </c>
      <c r="I5" s="154">
        <f ca="1">E14/C16</f>
        <v>9.9999999999999343E-3</v>
      </c>
      <c r="J5" s="154"/>
      <c r="K5" s="166" t="str">
        <f>Inputs!B31</f>
        <v>Capture All XS Spd</v>
      </c>
      <c r="L5" s="164" t="str">
        <f>GlobalTrigger</f>
        <v>No</v>
      </c>
      <c r="M5" s="167"/>
      <c r="N5" s="168" t="s">
        <v>192</v>
      </c>
      <c r="O5" s="169">
        <f ca="1">SUMPRODUCT('Cash Flow'!CN7:CN366,'Cash Flow'!A7:A366)/SUM('Cash Flow'!CN7:CN366)/12</f>
        <v>12.013626248331741</v>
      </c>
      <c r="P5" s="157"/>
      <c r="Q5" s="158"/>
      <c r="T5" s="10"/>
      <c r="U5" s="10"/>
      <c r="V5" s="10"/>
      <c r="W5" s="10"/>
      <c r="X5" s="10"/>
      <c r="Y5" s="10"/>
      <c r="Z5" s="10"/>
      <c r="AA5" s="159"/>
      <c r="AB5" s="10"/>
      <c r="AC5" s="10"/>
      <c r="AD5" s="10"/>
      <c r="AE5" s="10"/>
      <c r="AF5" s="10"/>
      <c r="AG5" s="10"/>
      <c r="AH5" s="10"/>
      <c r="AI5" s="10"/>
      <c r="AJ5" s="10"/>
    </row>
    <row r="6" spans="1:36" x14ac:dyDescent="0.2">
      <c r="A6" s="147" t="str">
        <f>IF(AssetIntType1="Fixed",Inputs!F11,"")</f>
        <v>WA Fixed Rate</v>
      </c>
      <c r="B6" s="2"/>
      <c r="C6" s="152">
        <f>IF(AssetIntType1="Fixed",AssetFxdRate1,"")</f>
        <v>0.09</v>
      </c>
      <c r="D6" s="150"/>
      <c r="E6" s="151" t="str">
        <f>Inputs!H23</f>
        <v>Fees</v>
      </c>
      <c r="F6" s="152">
        <f>LiabFees1</f>
        <v>5.0000000000000001E-3</v>
      </c>
      <c r="G6" s="153"/>
      <c r="H6" s="166" t="str">
        <f>Inputs!F17</f>
        <v>Loss Stress</v>
      </c>
      <c r="I6" s="170">
        <f>pdrLossStress1</f>
        <v>1</v>
      </c>
      <c r="J6" s="170"/>
      <c r="K6" s="291" t="str">
        <f>Inputs!B32</f>
        <v>Post-Default Trigger Month</v>
      </c>
      <c r="L6" s="171">
        <f>PostDefTriggerMo</f>
        <v>3</v>
      </c>
      <c r="M6" s="167"/>
      <c r="N6" s="13" t="s">
        <v>193</v>
      </c>
      <c r="O6" s="169">
        <f ca="1">SUMPRODUCT('Cash Flow'!CD7:CD366,'Cash Flow'!A7:A366)/SUM('Cash Flow'!CD7:CD366)/12</f>
        <v>6.700742955424297</v>
      </c>
      <c r="P6" s="172"/>
      <c r="Q6" s="2"/>
      <c r="T6" s="10"/>
      <c r="U6" s="10"/>
      <c r="V6" s="10"/>
      <c r="W6" s="89"/>
      <c r="X6" s="10"/>
      <c r="Y6" s="10"/>
      <c r="Z6" s="159"/>
      <c r="AA6" s="173"/>
      <c r="AB6" s="173"/>
      <c r="AC6" s="173"/>
      <c r="AD6" s="173"/>
      <c r="AE6" s="173"/>
      <c r="AF6" s="173"/>
      <c r="AG6" s="10"/>
      <c r="AH6" s="10"/>
      <c r="AI6" s="10"/>
      <c r="AJ6" s="10"/>
    </row>
    <row r="7" spans="1:36" ht="12.75" customHeight="1" x14ac:dyDescent="0.2">
      <c r="A7" s="147" t="str">
        <f>IF(AssetIntType1="Floating",Inputs!J11,"")</f>
        <v/>
      </c>
      <c r="B7" s="2"/>
      <c r="C7" s="163" t="str">
        <f>IF(AssetIntType1="Floating",AssetFltIndx1,"")</f>
        <v/>
      </c>
      <c r="D7" s="150"/>
      <c r="E7" s="151" t="str">
        <f>Inputs!G23</f>
        <v>Loan Margin</v>
      </c>
      <c r="F7" s="152">
        <f>LiabMarg1</f>
        <v>0.01</v>
      </c>
      <c r="G7" s="153"/>
      <c r="H7" s="166" t="str">
        <f>Inputs!J17</f>
        <v>Recovery Rate</v>
      </c>
      <c r="I7" s="154">
        <f>pdrRecovRate1</f>
        <v>0.4</v>
      </c>
      <c r="J7" s="154"/>
      <c r="K7" s="291"/>
      <c r="L7" s="164"/>
      <c r="M7" s="167"/>
      <c r="N7" s="174" t="s">
        <v>194</v>
      </c>
      <c r="O7" s="175" t="str">
        <f ca="1">Inputs!L6</f>
        <v>OK</v>
      </c>
      <c r="P7" s="172"/>
      <c r="Q7" s="2"/>
      <c r="T7" s="159"/>
      <c r="U7" s="160"/>
      <c r="V7" s="160"/>
      <c r="W7" s="10"/>
      <c r="X7" s="10"/>
      <c r="Y7" s="10"/>
      <c r="Z7" s="173"/>
      <c r="AA7" s="176"/>
      <c r="AB7" s="176"/>
      <c r="AC7" s="176"/>
      <c r="AD7" s="176"/>
      <c r="AE7" s="176"/>
      <c r="AF7" s="176"/>
      <c r="AG7" s="10"/>
      <c r="AH7" s="10"/>
      <c r="AI7" s="10"/>
      <c r="AJ7" s="10"/>
    </row>
    <row r="8" spans="1:36" x14ac:dyDescent="0.2">
      <c r="A8" s="147" t="str">
        <f>Inputs!G11</f>
        <v>Original Term</v>
      </c>
      <c r="B8" s="2"/>
      <c r="C8" s="149">
        <f>OrgTerm1</f>
        <v>360</v>
      </c>
      <c r="D8" s="150"/>
      <c r="E8" s="151"/>
      <c r="F8" s="152"/>
      <c r="G8" s="153"/>
      <c r="H8" s="166" t="str">
        <f>Inputs!K17</f>
        <v>Recovery Lag</v>
      </c>
      <c r="I8" s="177">
        <f>pdrRecovLag1</f>
        <v>5</v>
      </c>
      <c r="J8" s="177"/>
      <c r="K8" s="2"/>
      <c r="L8" s="178"/>
      <c r="M8" s="167"/>
      <c r="N8" s="179" t="s">
        <v>169</v>
      </c>
      <c r="O8" s="180">
        <f>'Cash Flow'!BZ5</f>
        <v>0</v>
      </c>
      <c r="P8" s="172"/>
      <c r="Q8" s="2"/>
      <c r="T8" s="10"/>
      <c r="U8" s="14"/>
      <c r="V8" s="181"/>
      <c r="W8" s="14"/>
      <c r="X8" s="10"/>
      <c r="Y8" s="10"/>
      <c r="Z8" s="173"/>
      <c r="AA8" s="176"/>
      <c r="AB8" s="176"/>
      <c r="AC8" s="176"/>
      <c r="AD8" s="176"/>
      <c r="AE8" s="176"/>
      <c r="AF8" s="176"/>
      <c r="AG8" s="10"/>
      <c r="AH8" s="10"/>
      <c r="AI8" s="10"/>
      <c r="AJ8" s="10"/>
    </row>
    <row r="9" spans="1:36" x14ac:dyDescent="0.2">
      <c r="A9" s="182" t="str">
        <f>Inputs!H11</f>
        <v>Remaining Term</v>
      </c>
      <c r="B9" s="183"/>
      <c r="C9" s="184">
        <f>RemTerm1</f>
        <v>360</v>
      </c>
      <c r="D9" s="185"/>
      <c r="E9" s="186"/>
      <c r="F9" s="187"/>
      <c r="G9" s="188"/>
      <c r="H9" s="189"/>
      <c r="I9" s="190"/>
      <c r="J9" s="190"/>
      <c r="K9" s="183"/>
      <c r="L9" s="191"/>
      <c r="M9" s="183"/>
      <c r="N9" s="192" t="s">
        <v>195</v>
      </c>
      <c r="O9" s="193">
        <f t="array" ref="O9">MIN(IF('Cash Flow'!CO7:CO366,'Cash Flow'!A7:A366,1000))</f>
        <v>3</v>
      </c>
      <c r="P9" s="194"/>
      <c r="Q9" s="2"/>
      <c r="T9" s="10"/>
      <c r="U9" s="14"/>
      <c r="V9" s="181"/>
      <c r="W9" s="14"/>
      <c r="X9" s="10"/>
      <c r="Y9" s="10"/>
      <c r="Z9" s="173"/>
      <c r="AA9" s="176"/>
      <c r="AB9" s="176"/>
      <c r="AC9" s="176"/>
      <c r="AD9" s="176"/>
      <c r="AE9" s="176"/>
      <c r="AF9" s="176"/>
      <c r="AG9" s="10"/>
      <c r="AH9" s="10"/>
      <c r="AI9" s="10"/>
      <c r="AJ9" s="10"/>
    </row>
    <row r="10" spans="1:36" x14ac:dyDescent="0.2">
      <c r="A10" s="167"/>
      <c r="B10" s="2"/>
      <c r="C10" s="2"/>
      <c r="D10" s="19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72"/>
      <c r="T10" s="168"/>
      <c r="U10" s="179"/>
      <c r="V10" s="196"/>
      <c r="W10" s="179"/>
      <c r="X10" s="10"/>
      <c r="Y10" s="10"/>
      <c r="Z10" s="173"/>
      <c r="AA10" s="176"/>
      <c r="AB10" s="176"/>
      <c r="AC10" s="176"/>
      <c r="AD10" s="176"/>
      <c r="AE10" s="176"/>
      <c r="AF10" s="176"/>
      <c r="AG10" s="10"/>
      <c r="AH10" s="10"/>
      <c r="AI10" s="10"/>
      <c r="AJ10" s="10"/>
    </row>
    <row r="11" spans="1:36" x14ac:dyDescent="0.2">
      <c r="A11" s="292" t="s">
        <v>202</v>
      </c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3"/>
      <c r="O11" s="293"/>
      <c r="P11" s="294"/>
      <c r="T11" s="168"/>
      <c r="U11" s="179"/>
      <c r="V11" s="196"/>
      <c r="W11" s="179"/>
      <c r="X11" s="10"/>
      <c r="Y11" s="10"/>
      <c r="Z11" s="173"/>
      <c r="AA11" s="176"/>
      <c r="AB11" s="176"/>
      <c r="AC11" s="176"/>
      <c r="AD11" s="176"/>
      <c r="AE11" s="176"/>
      <c r="AF11" s="176"/>
      <c r="AG11" s="10"/>
      <c r="AH11" s="10"/>
      <c r="AI11" s="10"/>
      <c r="AJ11" s="10"/>
    </row>
    <row r="12" spans="1:36" x14ac:dyDescent="0.2">
      <c r="A12" s="167"/>
      <c r="B12" s="2"/>
      <c r="C12" s="2"/>
      <c r="D12" s="19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72"/>
      <c r="T12" s="168"/>
      <c r="U12" s="179"/>
      <c r="V12" s="196"/>
      <c r="W12" s="179"/>
      <c r="X12" s="10"/>
      <c r="Y12" s="10"/>
      <c r="Z12" s="173"/>
      <c r="AA12" s="176"/>
      <c r="AB12" s="176"/>
      <c r="AC12" s="176"/>
      <c r="AD12" s="176"/>
      <c r="AE12" s="176"/>
      <c r="AF12" s="176"/>
      <c r="AG12" s="10"/>
      <c r="AH12" s="10"/>
      <c r="AI12" s="10"/>
      <c r="AJ12" s="10"/>
    </row>
    <row r="13" spans="1:36" s="7" customFormat="1" ht="36.75" customHeight="1" x14ac:dyDescent="0.2">
      <c r="A13" s="244"/>
      <c r="B13" s="245"/>
      <c r="C13" s="246" t="str">
        <f>'Cash Flow'!L4</f>
        <v>Beginning Balance</v>
      </c>
      <c r="D13" s="247"/>
      <c r="E13" s="248" t="str">
        <f>'Cash Flow'!N4</f>
        <v>New Defaults</v>
      </c>
      <c r="F13" s="246" t="str">
        <f>'Cash Flow'!R4</f>
        <v>Actual Amort</v>
      </c>
      <c r="G13" s="247"/>
      <c r="H13" s="249" t="str">
        <f>'Cash Flow'!Q4</f>
        <v>Voluntary Prepay</v>
      </c>
      <c r="I13" s="246" t="str">
        <f>'Cash Flow'!T4</f>
        <v>Actual Interest</v>
      </c>
      <c r="J13" s="247"/>
      <c r="K13" s="248" t="str">
        <f>'Cash Flow'!U4</f>
        <v>Principal Recovery</v>
      </c>
      <c r="L13" s="246" t="str">
        <f>'Cash Flow'!AN4</f>
        <v>Fees Paid</v>
      </c>
      <c r="M13" s="247"/>
      <c r="N13" s="248" t="str">
        <f>'Cash Flow'!CC4</f>
        <v xml:space="preserve">Senior Interest </v>
      </c>
      <c r="O13" s="246" t="str">
        <f>'Cash Flow'!CD4</f>
        <v>Senior Principal</v>
      </c>
      <c r="P13" s="246" t="str">
        <f>'Cash Flow'!CB4</f>
        <v>Senior Loan  EOP Balance</v>
      </c>
      <c r="T13" s="250"/>
      <c r="U13" s="251"/>
      <c r="V13" s="252"/>
      <c r="W13" s="251"/>
      <c r="X13" s="253"/>
      <c r="Y13" s="253"/>
      <c r="Z13" s="254"/>
      <c r="AA13" s="255"/>
      <c r="AB13" s="255"/>
      <c r="AC13" s="255"/>
      <c r="AD13" s="255"/>
      <c r="AE13" s="255"/>
      <c r="AF13" s="255"/>
      <c r="AG13" s="253"/>
      <c r="AH13" s="253"/>
      <c r="AI13" s="253"/>
      <c r="AJ13" s="253"/>
    </row>
    <row r="14" spans="1:36" x14ac:dyDescent="0.2">
      <c r="A14" s="197" t="s">
        <v>196</v>
      </c>
      <c r="B14" s="71"/>
      <c r="C14" s="198"/>
      <c r="D14" s="199"/>
      <c r="E14" s="200">
        <f ca="1">'Cash Flow'!N5</f>
        <v>999999.99999999336</v>
      </c>
      <c r="F14" s="198">
        <f ca="1">'Cash Flow'!R7</f>
        <v>54621.099649873184</v>
      </c>
      <c r="G14" s="199"/>
      <c r="H14" s="200">
        <f ca="1">'Cash Flow'!Q5</f>
        <v>66583671.576433755</v>
      </c>
      <c r="I14" s="198">
        <f>'Cash Flow'!T5</f>
        <v>0</v>
      </c>
      <c r="J14" s="199"/>
      <c r="K14" s="200">
        <f>'Cash Flow'!U5</f>
        <v>0</v>
      </c>
      <c r="L14" s="198">
        <f>'Cash Flow'!AN5</f>
        <v>0</v>
      </c>
      <c r="M14" s="199"/>
      <c r="N14" s="200">
        <f>'Cash Flow'!CC5</f>
        <v>0</v>
      </c>
      <c r="O14" s="198">
        <f>'Cash Flow'!CD5</f>
        <v>0</v>
      </c>
      <c r="P14" s="198"/>
      <c r="T14" s="166"/>
      <c r="U14" s="179"/>
      <c r="V14" s="196"/>
      <c r="W14" s="179"/>
      <c r="X14" s="10"/>
      <c r="Y14" s="10"/>
      <c r="Z14" s="173"/>
      <c r="AA14" s="176"/>
      <c r="AB14" s="176"/>
      <c r="AC14" s="176"/>
      <c r="AD14" s="176"/>
      <c r="AE14" s="176"/>
      <c r="AF14" s="176"/>
      <c r="AG14" s="10"/>
      <c r="AH14" s="10"/>
      <c r="AI14" s="10"/>
      <c r="AJ14" s="10"/>
    </row>
    <row r="15" spans="1:36" s="205" customFormat="1" ht="13.5" customHeight="1" x14ac:dyDescent="0.2">
      <c r="A15" s="201"/>
      <c r="B15" s="202" t="s">
        <v>40</v>
      </c>
      <c r="C15" s="203"/>
      <c r="D15" s="201"/>
      <c r="E15" s="204"/>
      <c r="F15" s="203"/>
      <c r="G15" s="201"/>
      <c r="H15" s="204"/>
      <c r="I15" s="203"/>
      <c r="J15" s="201"/>
      <c r="K15" s="204"/>
      <c r="L15" s="203"/>
      <c r="M15" s="201"/>
      <c r="N15" s="204"/>
      <c r="O15" s="203"/>
      <c r="P15" s="203"/>
      <c r="T15" s="15"/>
      <c r="U15" s="206"/>
      <c r="V15" s="15"/>
      <c r="W15" s="15"/>
      <c r="X15" s="15"/>
      <c r="Y15" s="15"/>
      <c r="Z15" s="207"/>
      <c r="AA15" s="208"/>
      <c r="AB15" s="208"/>
      <c r="AC15" s="208"/>
      <c r="AD15" s="208"/>
      <c r="AE15" s="208"/>
      <c r="AF15" s="208"/>
      <c r="AG15" s="15"/>
      <c r="AH15" s="15"/>
      <c r="AI15" s="15"/>
      <c r="AJ15" s="15"/>
    </row>
    <row r="16" spans="1:36" x14ac:dyDescent="0.2">
      <c r="A16" s="295" t="s">
        <v>201</v>
      </c>
      <c r="B16" s="209">
        <f>SnapshotStart</f>
        <v>0</v>
      </c>
      <c r="C16" s="209">
        <f ca="1">OFFSET('Cash Flow'!$V$6,B16,0)</f>
        <v>100000000</v>
      </c>
      <c r="D16" s="210"/>
      <c r="E16" s="211">
        <f ca="1">OFFSET('Cash Flow'!$N$6,B16,0)</f>
        <v>0</v>
      </c>
      <c r="F16" s="210">
        <f ca="1">OFFSET('Cash Flow'!$R$6,B16,0)</f>
        <v>0</v>
      </c>
      <c r="G16" s="210"/>
      <c r="H16" s="211">
        <f ca="1">OFFSET('Cash Flow'!$Q$6,B16,0)</f>
        <v>0</v>
      </c>
      <c r="I16" s="210">
        <f ca="1">OFFSET('Cash Flow'!$T$6,B16,0)</f>
        <v>0</v>
      </c>
      <c r="J16" s="210"/>
      <c r="K16" s="211">
        <f ca="1">OFFSET('Cash Flow'!$U$6,B16,0)</f>
        <v>0</v>
      </c>
      <c r="L16" s="210">
        <f ca="1">OFFSET('Cash Flow'!$AN$6,B16,0)</f>
        <v>0</v>
      </c>
      <c r="M16" s="210"/>
      <c r="N16" s="211">
        <f ca="1">'Cash Flow'!CC7</f>
        <v>269241.26483297371</v>
      </c>
      <c r="O16" s="210">
        <f ca="1">'Cash Flow'!CD7</f>
        <v>66477.220280892332</v>
      </c>
      <c r="P16" s="209">
        <f ca="1">OFFSET('Cash Flow'!$CB$6,B16,0)</f>
        <v>89747088.277657911</v>
      </c>
      <c r="T16" s="179"/>
      <c r="U16" s="179"/>
      <c r="V16" s="196"/>
      <c r="W16" s="10"/>
      <c r="X16" s="10"/>
      <c r="Y16" s="10"/>
      <c r="Z16" s="173"/>
      <c r="AA16" s="176"/>
      <c r="AB16" s="176"/>
      <c r="AC16" s="176"/>
      <c r="AD16" s="176"/>
      <c r="AE16" s="176"/>
      <c r="AF16" s="176"/>
      <c r="AG16" s="10"/>
      <c r="AH16" s="10"/>
      <c r="AI16" s="10"/>
      <c r="AJ16" s="10"/>
    </row>
    <row r="17" spans="1:36" x14ac:dyDescent="0.2">
      <c r="A17" s="296"/>
      <c r="B17" s="212">
        <f>B16+1</f>
        <v>1</v>
      </c>
      <c r="C17" s="212">
        <f ca="1">OFFSET('Cash Flow'!$V$6,B17,0)</f>
        <v>99925928.270703077</v>
      </c>
      <c r="D17" s="213"/>
      <c r="E17" s="214">
        <f ca="1">OFFSET('Cash Flow'!$N$6,B17,0)</f>
        <v>2777.7777777777778</v>
      </c>
      <c r="F17" s="213">
        <f ca="1">OFFSET('Cash Flow'!$R$6,B17,0)</f>
        <v>54621.099649873184</v>
      </c>
      <c r="G17" s="213"/>
      <c r="H17" s="214">
        <f ca="1">OFFSET('Cash Flow'!$Q$6,B17,0)</f>
        <v>16672.851869266509</v>
      </c>
      <c r="I17" s="213">
        <f ca="1">OFFSET('Cash Flow'!$T$6,B17,0)</f>
        <v>749979.16666666663</v>
      </c>
      <c r="J17" s="213"/>
      <c r="K17" s="214">
        <f ca="1">OFFSET('Cash Flow'!$U$6,B17,0)</f>
        <v>0</v>
      </c>
      <c r="L17" s="213">
        <f ca="1">OFFSET('Cash Flow'!$AN$6,B17,0)</f>
        <v>204061.28678235743</v>
      </c>
      <c r="M17" s="213"/>
      <c r="N17" s="214">
        <f ca="1">'Cash Flow'!CC8</f>
        <v>284877.93440801289</v>
      </c>
      <c r="O17" s="213">
        <f ca="1">'Cash Flow'!CD8</f>
        <v>81803.857613864006</v>
      </c>
      <c r="P17" s="212">
        <f ca="1">OFFSET('Cash Flow'!$CB$6,B17,0)</f>
        <v>89680611.057377025</v>
      </c>
      <c r="T17" s="159"/>
      <c r="U17" s="160"/>
      <c r="V17" s="160"/>
      <c r="W17" s="10"/>
      <c r="X17" s="10"/>
      <c r="Y17" s="10"/>
      <c r="Z17" s="173"/>
      <c r="AA17" s="176"/>
      <c r="AB17" s="176"/>
      <c r="AC17" s="176"/>
      <c r="AD17" s="176"/>
      <c r="AE17" s="176"/>
      <c r="AF17" s="176"/>
      <c r="AG17" s="10"/>
      <c r="AH17" s="10"/>
      <c r="AI17" s="10"/>
      <c r="AJ17" s="10"/>
    </row>
    <row r="18" spans="1:36" x14ac:dyDescent="0.2">
      <c r="A18" s="296"/>
      <c r="B18" s="212">
        <f t="shared" ref="B18:B26" si="0">B17+1</f>
        <v>2</v>
      </c>
      <c r="C18" s="212">
        <f ca="1">OFFSET('Cash Flow'!$V$6,B18,0)</f>
        <v>99834778.954124942</v>
      </c>
      <c r="D18" s="213"/>
      <c r="E18" s="214">
        <f ca="1">OFFSET('Cash Flow'!$N$6,B18,0)</f>
        <v>2777.7777777777778</v>
      </c>
      <c r="F18" s="213">
        <f ca="1">OFFSET('Cash Flow'!$R$6,B18,0)</f>
        <v>55020.047920934783</v>
      </c>
      <c r="G18" s="213"/>
      <c r="H18" s="214">
        <f ca="1">OFFSET('Cash Flow'!$Q$6,B18,0)</f>
        <v>33351.490879426114</v>
      </c>
      <c r="I18" s="213">
        <f ca="1">OFFSET('Cash Flow'!$T$6,B18,0)</f>
        <v>749423.62869693968</v>
      </c>
      <c r="J18" s="213"/>
      <c r="K18" s="214">
        <f ca="1">OFFSET('Cash Flow'!$U$6,B18,0)</f>
        <v>0</v>
      </c>
      <c r="L18" s="213">
        <f ca="1">OFFSET('Cash Flow'!$AN$6,B18,0)</f>
        <v>203910.13505841221</v>
      </c>
      <c r="M18" s="213"/>
      <c r="N18" s="214">
        <f ca="1">'Cash Flow'!CC9</f>
        <v>289284.68217896868</v>
      </c>
      <c r="O18" s="213">
        <f ca="1">'Cash Flow'!CD9</f>
        <v>274805.86324417731</v>
      </c>
      <c r="P18" s="212">
        <f ca="1">OFFSET('Cash Flow'!$CB$6,B18,0)</f>
        <v>89598807.199763164</v>
      </c>
      <c r="T18" s="179"/>
      <c r="U18" s="179"/>
      <c r="V18" s="196"/>
      <c r="W18" s="10"/>
      <c r="X18" s="10"/>
      <c r="Y18" s="10"/>
      <c r="Z18" s="173"/>
      <c r="AA18" s="176"/>
      <c r="AB18" s="176"/>
      <c r="AC18" s="176"/>
      <c r="AD18" s="215"/>
      <c r="AE18" s="176"/>
      <c r="AF18" s="176"/>
      <c r="AG18" s="10"/>
      <c r="AH18" s="10"/>
      <c r="AI18" s="10"/>
      <c r="AJ18" s="10"/>
    </row>
    <row r="19" spans="1:36" x14ac:dyDescent="0.2">
      <c r="A19" s="296"/>
      <c r="B19" s="212">
        <f t="shared" si="0"/>
        <v>3</v>
      </c>
      <c r="C19" s="212">
        <f ca="1">OFFSET('Cash Flow'!$V$6,B19,0)</f>
        <v>99726561.124697596</v>
      </c>
      <c r="D19" s="213"/>
      <c r="E19" s="214">
        <f ca="1">OFFSET('Cash Flow'!$N$6,B19,0)</f>
        <v>2777.7777777777778</v>
      </c>
      <c r="F19" s="213">
        <f ca="1">OFFSET('Cash Flow'!$R$6,B19,0)</f>
        <v>55412.644406895459</v>
      </c>
      <c r="G19" s="213"/>
      <c r="H19" s="214">
        <f ca="1">OFFSET('Cash Flow'!$Q$6,B19,0)</f>
        <v>50027.407242671456</v>
      </c>
      <c r="I19" s="213">
        <f ca="1">OFFSET('Cash Flow'!$T$6,B19,0)</f>
        <v>748740.00882260373</v>
      </c>
      <c r="J19" s="213"/>
      <c r="K19" s="214">
        <f ca="1">OFFSET('Cash Flow'!$U$6,B19,0)</f>
        <v>0</v>
      </c>
      <c r="L19" s="213">
        <f ca="1">OFFSET('Cash Flow'!$AN$6,B19,0)</f>
        <v>203724.13459010955</v>
      </c>
      <c r="M19" s="213"/>
      <c r="N19" s="214">
        <f ca="1">'Cash Flow'!CC10</f>
        <v>293049.71738478466</v>
      </c>
      <c r="O19" s="213">
        <f ca="1">'Cash Flow'!CD10</f>
        <v>293285.28197992296</v>
      </c>
      <c r="P19" s="212">
        <f ca="1">OFFSET('Cash Flow'!$CB$6,B19,0)</f>
        <v>89324001.336518988</v>
      </c>
      <c r="T19" s="179"/>
      <c r="U19" s="179"/>
      <c r="V19" s="196"/>
      <c r="W19" s="179"/>
      <c r="X19" s="10"/>
      <c r="Y19" s="10"/>
      <c r="Z19" s="216"/>
      <c r="AA19" s="216"/>
      <c r="AB19" s="216"/>
      <c r="AC19" s="216"/>
      <c r="AD19" s="216"/>
      <c r="AE19" s="216"/>
      <c r="AF19" s="216"/>
      <c r="AG19" s="10"/>
      <c r="AH19" s="10"/>
      <c r="AI19" s="10"/>
      <c r="AJ19" s="10"/>
    </row>
    <row r="20" spans="1:36" x14ac:dyDescent="0.2">
      <c r="A20" s="296"/>
      <c r="B20" s="212">
        <f t="shared" si="0"/>
        <v>4</v>
      </c>
      <c r="C20" s="212">
        <f ca="1">OFFSET('Cash Flow'!$V$6,B20,0)</f>
        <v>99601292.587759405</v>
      </c>
      <c r="D20" s="213"/>
      <c r="E20" s="214">
        <f ca="1">OFFSET('Cash Flow'!$N$6,B20,0)</f>
        <v>2777.7777777777778</v>
      </c>
      <c r="F20" s="213">
        <f ca="1">OFFSET('Cash Flow'!$R$6,B20,0)</f>
        <v>55798.693025286826</v>
      </c>
      <c r="G20" s="213"/>
      <c r="H20" s="214">
        <f ca="1">OFFSET('Cash Flow'!$Q$6,B20,0)</f>
        <v>66692.066135127941</v>
      </c>
      <c r="I20" s="213">
        <f ca="1">OFFSET('Cash Flow'!$T$6,B20,0)</f>
        <v>747928.37510189856</v>
      </c>
      <c r="J20" s="213"/>
      <c r="K20" s="214">
        <f ca="1">OFFSET('Cash Flow'!$U$6,B20,0)</f>
        <v>0</v>
      </c>
      <c r="L20" s="213">
        <f ca="1">OFFSET('Cash Flow'!$AN$6,B20,0)</f>
        <v>203429.26909804557</v>
      </c>
      <c r="M20" s="213"/>
      <c r="N20" s="214">
        <f ca="1">'Cash Flow'!CC11</f>
        <v>296724.538157103</v>
      </c>
      <c r="O20" s="213">
        <f ca="1">'Cash Flow'!CD11</f>
        <v>311620.2864221643</v>
      </c>
      <c r="P20" s="212">
        <f ca="1">OFFSET('Cash Flow'!$CB$6,B20,0)</f>
        <v>89030716.05453907</v>
      </c>
      <c r="T20" s="179"/>
      <c r="U20" s="179"/>
      <c r="V20" s="196"/>
      <c r="W20" s="179"/>
      <c r="X20" s="10"/>
      <c r="Y20" s="10"/>
      <c r="Z20" s="89"/>
      <c r="AA20" s="89"/>
      <c r="AB20" s="89"/>
      <c r="AC20" s="89"/>
      <c r="AD20" s="89"/>
      <c r="AE20" s="89"/>
      <c r="AF20" s="89"/>
      <c r="AG20" s="10"/>
      <c r="AH20" s="10"/>
      <c r="AI20" s="10"/>
      <c r="AJ20" s="10"/>
    </row>
    <row r="21" spans="1:36" x14ac:dyDescent="0.2">
      <c r="A21" s="296"/>
      <c r="B21" s="212">
        <f t="shared" si="0"/>
        <v>5</v>
      </c>
      <c r="C21" s="212">
        <f ca="1">OFFSET('Cash Flow'!$V$6,B21,0)</f>
        <v>99458999.896012291</v>
      </c>
      <c r="D21" s="213"/>
      <c r="E21" s="214">
        <f ca="1">OFFSET('Cash Flow'!$N$6,B21,0)</f>
        <v>2777.7777777777778</v>
      </c>
      <c r="F21" s="213">
        <f ca="1">OFFSET('Cash Flow'!$R$6,B21,0)</f>
        <v>56177.999136353224</v>
      </c>
      <c r="G21" s="213"/>
      <c r="H21" s="214">
        <f ca="1">OFFSET('Cash Flow'!$Q$6,B21,0)</f>
        <v>83336.914832978393</v>
      </c>
      <c r="I21" s="213">
        <f ca="1">OFFSET('Cash Flow'!$T$6,B21,0)</f>
        <v>746988.86107486219</v>
      </c>
      <c r="J21" s="213"/>
      <c r="K21" s="214">
        <f ca="1">OFFSET('Cash Flow'!$U$6,B21,0)</f>
        <v>0</v>
      </c>
      <c r="L21" s="213">
        <f ca="1">OFFSET('Cash Flow'!$AN$6,B21,0)</f>
        <v>203098.28600232361</v>
      </c>
      <c r="M21" s="213"/>
      <c r="N21" s="214">
        <f ca="1">'Cash Flow'!CC12</f>
        <v>300306.74591709505</v>
      </c>
      <c r="O21" s="213">
        <f ca="1">'Cash Flow'!CD12</f>
        <v>330917.44203672401</v>
      </c>
      <c r="P21" s="212">
        <f ca="1">OFFSET('Cash Flow'!$CB$6,B21,0)</f>
        <v>88719095.768116906</v>
      </c>
      <c r="T21" s="179"/>
      <c r="U21" s="10"/>
      <c r="V21" s="10"/>
      <c r="W21" s="10"/>
      <c r="X21" s="10"/>
      <c r="Y21" s="10"/>
      <c r="Z21" s="217"/>
      <c r="AA21" s="216"/>
      <c r="AB21" s="216"/>
      <c r="AC21" s="216"/>
      <c r="AD21" s="216"/>
      <c r="AE21" s="216"/>
      <c r="AF21" s="216"/>
      <c r="AG21" s="10"/>
      <c r="AH21" s="10"/>
      <c r="AI21" s="10"/>
      <c r="AJ21" s="10"/>
    </row>
    <row r="22" spans="1:36" x14ac:dyDescent="0.2">
      <c r="A22" s="296"/>
      <c r="B22" s="212">
        <f t="shared" si="0"/>
        <v>6</v>
      </c>
      <c r="C22" s="212">
        <f ca="1">OFFSET('Cash Flow'!$V$6,B22,0)</f>
        <v>99299718.358635411</v>
      </c>
      <c r="D22" s="213"/>
      <c r="E22" s="214">
        <f ca="1">OFFSET('Cash Flow'!$N$6,B22,0)</f>
        <v>2777.7777777777778</v>
      </c>
      <c r="F22" s="213">
        <f ca="1">OFFSET('Cash Flow'!$R$6,B22,0)</f>
        <v>56550.36969508708</v>
      </c>
      <c r="G22" s="213"/>
      <c r="H22" s="214">
        <f ca="1">OFFSET('Cash Flow'!$Q$6,B22,0)</f>
        <v>99953.389904015523</v>
      </c>
      <c r="I22" s="213">
        <f ca="1">OFFSET('Cash Flow'!$T$6,B22,0)</f>
        <v>745921.66588675883</v>
      </c>
      <c r="J22" s="213"/>
      <c r="K22" s="214">
        <f ca="1">OFFSET('Cash Flow'!$U$6,B22,0)</f>
        <v>1111.1111111111111</v>
      </c>
      <c r="L22" s="213">
        <f ca="1">OFFSET('Cash Flow'!$AN$6,B22,0)</f>
        <v>202731.2897300692</v>
      </c>
      <c r="M22" s="213"/>
      <c r="N22" s="214">
        <f ca="1">'Cash Flow'!CC13</f>
        <v>303790.16890673758</v>
      </c>
      <c r="O22" s="213">
        <f ca="1">'Cash Flow'!CD13</f>
        <v>348954.2419142063</v>
      </c>
      <c r="P22" s="212">
        <f ca="1">OFFSET('Cash Flow'!$CB$6,B22,0)</f>
        <v>88388178.326080188</v>
      </c>
      <c r="T22" s="179"/>
      <c r="U22" s="10"/>
      <c r="V22" s="196"/>
      <c r="W22" s="10"/>
      <c r="X22" s="10"/>
      <c r="Y22" s="10"/>
      <c r="Z22" s="10"/>
      <c r="AA22" s="10"/>
      <c r="AB22" s="10"/>
      <c r="AC22" s="10"/>
      <c r="AD22" s="218"/>
      <c r="AE22" s="219"/>
      <c r="AF22" s="10"/>
      <c r="AG22" s="10"/>
      <c r="AH22" s="10"/>
      <c r="AI22" s="10"/>
      <c r="AJ22" s="10"/>
    </row>
    <row r="23" spans="1:36" x14ac:dyDescent="0.2">
      <c r="A23" s="296"/>
      <c r="B23" s="212">
        <f t="shared" si="0"/>
        <v>7</v>
      </c>
      <c r="C23" s="212">
        <f ca="1">OFFSET('Cash Flow'!$V$6,B23,0)</f>
        <v>99123492.043007523</v>
      </c>
      <c r="D23" s="213"/>
      <c r="E23" s="214">
        <f ca="1">OFFSET('Cash Flow'!$N$6,B23,0)</f>
        <v>2777.7777777777778</v>
      </c>
      <c r="F23" s="213">
        <f ca="1">OFFSET('Cash Flow'!$R$6,B23,0)</f>
        <v>56915.613403593103</v>
      </c>
      <c r="G23" s="213"/>
      <c r="H23" s="214">
        <f ca="1">OFFSET('Cash Flow'!$Q$6,B23,0)</f>
        <v>116532.92444652095</v>
      </c>
      <c r="I23" s="213">
        <f ca="1">OFFSET('Cash Flow'!$T$6,B23,0)</f>
        <v>744727.05435643229</v>
      </c>
      <c r="J23" s="213"/>
      <c r="K23" s="214">
        <f ca="1">OFFSET('Cash Flow'!$U$6,B23,0)</f>
        <v>1111.1111111111111</v>
      </c>
      <c r="L23" s="213">
        <f ca="1">OFFSET('Cash Flow'!$AN$6,B23,0)</f>
        <v>202327.93823359243</v>
      </c>
      <c r="M23" s="213"/>
      <c r="N23" s="214">
        <f ca="1">'Cash Flow'!CC14</f>
        <v>307176.18943166215</v>
      </c>
      <c r="O23" s="213">
        <f ca="1">'Cash Flow'!CD14</f>
        <v>366833.06680183153</v>
      </c>
      <c r="P23" s="212">
        <f ca="1">OFFSET('Cash Flow'!$CB$6,B23,0)</f>
        <v>88039224.084165975</v>
      </c>
      <c r="T23" s="159"/>
      <c r="U23" s="160"/>
      <c r="V23" s="160"/>
      <c r="W23" s="10"/>
      <c r="X23" s="10"/>
      <c r="Y23" s="10"/>
      <c r="Z23" s="217"/>
      <c r="AA23" s="10"/>
      <c r="AB23" s="10"/>
      <c r="AC23" s="216"/>
      <c r="AD23" s="218"/>
      <c r="AE23" s="219"/>
      <c r="AF23" s="10"/>
      <c r="AG23" s="10"/>
      <c r="AH23" s="10"/>
      <c r="AI23" s="10"/>
      <c r="AJ23" s="10"/>
    </row>
    <row r="24" spans="1:36" x14ac:dyDescent="0.2">
      <c r="A24" s="296"/>
      <c r="B24" s="212">
        <f t="shared" si="0"/>
        <v>8</v>
      </c>
      <c r="C24" s="212">
        <f ca="1">OFFSET('Cash Flow'!$V$6,B24,0)</f>
        <v>98930373.768998802</v>
      </c>
      <c r="D24" s="213"/>
      <c r="E24" s="214">
        <f ca="1">OFFSET('Cash Flow'!$N$6,B24,0)</f>
        <v>2777.7777777777778</v>
      </c>
      <c r="F24" s="213">
        <f ca="1">OFFSET('Cash Flow'!$R$6,B24,0)</f>
        <v>57273.54086390217</v>
      </c>
      <c r="G24" s="213"/>
      <c r="H24" s="214">
        <f ca="1">OFFSET('Cash Flow'!$Q$6,B24,0)</f>
        <v>133066.95536704734</v>
      </c>
      <c r="I24" s="213">
        <f ca="1">OFFSET('Cash Flow'!$T$6,B24,0)</f>
        <v>743405.35698922304</v>
      </c>
      <c r="J24" s="213"/>
      <c r="K24" s="214">
        <f ca="1">OFFSET('Cash Flow'!$U$6,B24,0)</f>
        <v>1111.1111111111111</v>
      </c>
      <c r="L24" s="213">
        <f ca="1">OFFSET('Cash Flow'!$AN$6,B24,0)</f>
        <v>201888.83010674836</v>
      </c>
      <c r="M24" s="213"/>
      <c r="N24" s="214">
        <f ca="1">'Cash Flow'!CC15</f>
        <v>310462.54865765601</v>
      </c>
      <c r="O24" s="213">
        <f ca="1">'Cash Flow'!CD15</f>
        <v>384549.32893768727</v>
      </c>
      <c r="P24" s="212">
        <f ca="1">OFFSET('Cash Flow'!$CB$6,B24,0)</f>
        <v>87672391.017364144</v>
      </c>
      <c r="T24" s="179"/>
      <c r="U24" s="10"/>
      <c r="V24" s="196"/>
      <c r="W24" s="10"/>
      <c r="X24" s="10"/>
      <c r="Y24" s="10"/>
      <c r="Z24" s="10"/>
      <c r="AA24" s="10"/>
      <c r="AB24" s="10"/>
      <c r="AC24" s="216"/>
      <c r="AD24" s="218"/>
      <c r="AE24" s="219"/>
      <c r="AF24" s="10"/>
      <c r="AG24" s="10"/>
      <c r="AH24" s="10"/>
      <c r="AI24" s="10"/>
      <c r="AJ24" s="10"/>
    </row>
    <row r="25" spans="1:36" x14ac:dyDescent="0.2">
      <c r="A25" s="296"/>
      <c r="B25" s="212">
        <f t="shared" si="0"/>
        <v>9</v>
      </c>
      <c r="C25" s="212">
        <f ca="1">OFFSET('Cash Flow'!$V$6,B25,0)</f>
        <v>98720425.095801517</v>
      </c>
      <c r="D25" s="213"/>
      <c r="E25" s="214">
        <f ca="1">OFFSET('Cash Flow'!$N$6,B25,0)</f>
        <v>2777.7777777777778</v>
      </c>
      <c r="F25" s="213">
        <f ca="1">OFFSET('Cash Flow'!$R$6,B25,0)</f>
        <v>57623.964730755892</v>
      </c>
      <c r="G25" s="213"/>
      <c r="H25" s="214">
        <f ca="1">OFFSET('Cash Flow'!$Q$6,B25,0)</f>
        <v>149546.93068875826</v>
      </c>
      <c r="I25" s="213">
        <f ca="1">OFFSET('Cash Flow'!$T$6,B25,0)</f>
        <v>741956.96993415768</v>
      </c>
      <c r="J25" s="213"/>
      <c r="K25" s="214">
        <f ca="1">OFFSET('Cash Flow'!$U$6,B25,0)</f>
        <v>1111.1111111111111</v>
      </c>
      <c r="L25" s="213">
        <f ca="1">OFFSET('Cash Flow'!$AN$6,B25,0)</f>
        <v>201414.11920556639</v>
      </c>
      <c r="M25" s="213"/>
      <c r="N25" s="214">
        <f ca="1">'Cash Flow'!CC16</f>
        <v>313647.03714693832</v>
      </c>
      <c r="O25" s="213">
        <f ca="1">'Cash Flow'!CD16</f>
        <v>402098.43906939722</v>
      </c>
      <c r="P25" s="212">
        <f ca="1">OFFSET('Cash Flow'!$CB$6,B25,0)</f>
        <v>87287841.68842645</v>
      </c>
      <c r="T25" s="179"/>
      <c r="U25" s="10"/>
      <c r="V25" s="196"/>
      <c r="W25" s="10"/>
      <c r="X25" s="10"/>
      <c r="Y25" s="10"/>
      <c r="Z25" s="10"/>
      <c r="AA25" s="10"/>
      <c r="AB25" s="10"/>
      <c r="AC25" s="218"/>
      <c r="AD25" s="218"/>
      <c r="AE25" s="219"/>
      <c r="AF25" s="10"/>
      <c r="AG25" s="10"/>
      <c r="AH25" s="10"/>
      <c r="AI25" s="10"/>
      <c r="AJ25" s="10"/>
    </row>
    <row r="26" spans="1:36" x14ac:dyDescent="0.2">
      <c r="A26" s="297"/>
      <c r="B26" s="220">
        <f t="shared" si="0"/>
        <v>10</v>
      </c>
      <c r="C26" s="220">
        <f ca="1">OFFSET('Cash Flow'!$V$6,B26,0)</f>
        <v>98493716.301277369</v>
      </c>
      <c r="D26" s="221"/>
      <c r="E26" s="222">
        <f ca="1">OFFSET('Cash Flow'!$N$6,B26,0)</f>
        <v>2777.7777777777778</v>
      </c>
      <c r="F26" s="221">
        <f ca="1">OFFSET('Cash Flow'!$R$6,B26,0)</f>
        <v>57966.699864411923</v>
      </c>
      <c r="G26" s="221"/>
      <c r="H26" s="222">
        <f ca="1">OFFSET('Cash Flow'!$Q$6,B26,0)</f>
        <v>165964.31688195656</v>
      </c>
      <c r="I26" s="221">
        <f ca="1">OFFSET('Cash Flow'!$T$6,B26,0)</f>
        <v>740382.35488517804</v>
      </c>
      <c r="J26" s="221"/>
      <c r="K26" s="222">
        <f ca="1">OFFSET('Cash Flow'!$U$6,B26,0)</f>
        <v>1111.1111111111111</v>
      </c>
      <c r="L26" s="221">
        <f ca="1">OFFSET('Cash Flow'!$AN$6,B26,0)</f>
        <v>200903.97586318021</v>
      </c>
      <c r="M26" s="221"/>
      <c r="N26" s="222">
        <f ca="1">'Cash Flow'!CC17</f>
        <v>316727.49605832295</v>
      </c>
      <c r="O26" s="221">
        <f ca="1">'Cash Flow'!CD17</f>
        <v>419475.81290026323</v>
      </c>
      <c r="P26" s="220">
        <f ca="1">OFFSET('Cash Flow'!$CB$6,B26,0)</f>
        <v>86885743.24935706</v>
      </c>
      <c r="T26" s="179"/>
      <c r="U26" s="10"/>
      <c r="V26" s="196"/>
      <c r="W26" s="10"/>
      <c r="X26" s="10"/>
      <c r="Y26" s="10"/>
      <c r="Z26" s="89"/>
      <c r="AA26" s="89"/>
      <c r="AB26" s="89"/>
      <c r="AC26" s="89"/>
      <c r="AD26" s="89"/>
      <c r="AE26" s="89"/>
      <c r="AF26" s="89"/>
      <c r="AG26" s="10"/>
      <c r="AH26" s="10"/>
      <c r="AI26" s="10"/>
      <c r="AJ26" s="10"/>
    </row>
    <row r="27" spans="1:36" ht="13.5" customHeight="1" x14ac:dyDescent="0.2">
      <c r="A27" s="223"/>
      <c r="B27" s="224"/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5"/>
      <c r="T27" s="179"/>
      <c r="U27" s="10"/>
      <c r="V27" s="226"/>
      <c r="W27" s="10"/>
      <c r="X27" s="10"/>
      <c r="Y27" s="10"/>
      <c r="Z27" s="282"/>
      <c r="AA27" s="282"/>
      <c r="AB27" s="282"/>
      <c r="AC27" s="282"/>
      <c r="AD27" s="282"/>
      <c r="AE27" s="282"/>
      <c r="AF27" s="282"/>
      <c r="AG27" s="10"/>
      <c r="AH27" s="10"/>
      <c r="AI27" s="10"/>
      <c r="AJ27" s="10"/>
    </row>
    <row r="28" spans="1:36" s="11" customFormat="1" x14ac:dyDescent="0.2">
      <c r="A28" s="295" t="s">
        <v>200</v>
      </c>
      <c r="B28" s="227">
        <f>SnapshotEnd</f>
        <v>350</v>
      </c>
      <c r="C28" s="228">
        <f ca="1">OFFSET('Cash Flow'!$V$6,B28,0)</f>
        <v>1285562.5698003774</v>
      </c>
      <c r="D28" s="229"/>
      <c r="E28" s="230">
        <f ca="1">OFFSET('Cash Flow'!$N$6,B28,0)</f>
        <v>2777.7777777777778</v>
      </c>
      <c r="F28" s="228">
        <f ca="1">OFFSET('Cash Flow'!$R$6,B28,0)</f>
        <v>123990.71152806372</v>
      </c>
      <c r="G28" s="231"/>
      <c r="H28" s="230">
        <f ca="1">OFFSET('Cash Flow'!$Q$6,B28,0)</f>
        <v>6658.9472247991171</v>
      </c>
      <c r="I28" s="228">
        <f ca="1">OFFSET('Cash Flow'!$T$6,B28,0)</f>
        <v>10621.591714149301</v>
      </c>
      <c r="J28" s="231"/>
      <c r="K28" s="230">
        <f ca="1">OFFSET('Cash Flow'!$U$6,B28,0)</f>
        <v>1111.1111111111111</v>
      </c>
      <c r="L28" s="228">
        <f ca="1">OFFSET('Cash Flow'!$AN$6,B28,0)</f>
        <v>2364.9833438850296</v>
      </c>
      <c r="M28" s="231"/>
      <c r="N28" s="230">
        <f ca="1">'Cash Flow'!CC19</f>
        <v>327048.65764234815</v>
      </c>
      <c r="O28" s="228">
        <f ca="1">'Cash Flow'!CD19</f>
        <v>453497.84656671464</v>
      </c>
      <c r="P28" s="228">
        <f ca="1">OFFSET('Cash Flow'!$CB$6,B28,0)</f>
        <v>0</v>
      </c>
      <c r="T28" s="179"/>
      <c r="U28" s="13"/>
      <c r="V28" s="232"/>
      <c r="W28" s="13"/>
      <c r="X28" s="13"/>
      <c r="Y28" s="13"/>
      <c r="Z28" s="282"/>
      <c r="AA28" s="282"/>
      <c r="AB28" s="282"/>
      <c r="AC28" s="282"/>
      <c r="AD28" s="282"/>
      <c r="AE28" s="282"/>
      <c r="AF28" s="282"/>
      <c r="AG28" s="13"/>
      <c r="AH28" s="13"/>
      <c r="AI28" s="13"/>
      <c r="AJ28" s="13"/>
    </row>
    <row r="29" spans="1:36" x14ac:dyDescent="0.2">
      <c r="A29" s="296"/>
      <c r="B29" s="203">
        <f>B28+1</f>
        <v>351</v>
      </c>
      <c r="C29" s="233">
        <f ca="1">OFFSET('Cash Flow'!$V$6,B29,0)</f>
        <v>1152803.9029263954</v>
      </c>
      <c r="D29" s="234"/>
      <c r="E29" s="235">
        <f ca="1">OFFSET('Cash Flow'!$N$6,B29,0)</f>
        <v>2777.7777777777778</v>
      </c>
      <c r="F29" s="233">
        <f ca="1">OFFSET('Cash Flow'!$R$6,B29,0)</f>
        <v>124008.38206317488</v>
      </c>
      <c r="G29" s="236"/>
      <c r="H29" s="235">
        <f ca="1">OFFSET('Cash Flow'!$Q$6,B29,0)</f>
        <v>5972.5070330292347</v>
      </c>
      <c r="I29" s="233">
        <f ca="1">OFFSET('Cash Flow'!$T$6,B29,0)</f>
        <v>9620.8859401694972</v>
      </c>
      <c r="J29" s="236"/>
      <c r="K29" s="235">
        <f ca="1">OFFSET('Cash Flow'!$U$6,B29,0)</f>
        <v>1111.1111111111111</v>
      </c>
      <c r="L29" s="233">
        <f ca="1">OFFSET('Cash Flow'!$AN$6,B29,0)</f>
        <v>2142.6042830006286</v>
      </c>
      <c r="M29" s="236"/>
      <c r="N29" s="235">
        <f ca="1">'Cash Flow'!CC20</f>
        <v>334238.82411134278</v>
      </c>
      <c r="O29" s="233">
        <f ca="1">'Cash Flow'!CD20</f>
        <v>470082.65699282498</v>
      </c>
      <c r="P29" s="233">
        <f ca="1">OFFSET('Cash Flow'!$CB$6,B29,0)</f>
        <v>0</v>
      </c>
      <c r="T29" s="10"/>
      <c r="U29" s="10"/>
      <c r="V29" s="10"/>
      <c r="W29" s="10"/>
      <c r="X29" s="10"/>
      <c r="Y29" s="10"/>
      <c r="Z29" s="282"/>
      <c r="AA29" s="282"/>
      <c r="AB29" s="282"/>
      <c r="AC29" s="282"/>
      <c r="AD29" s="282"/>
      <c r="AE29" s="282"/>
      <c r="AF29" s="282"/>
      <c r="AG29" s="10"/>
      <c r="AH29" s="10"/>
      <c r="AI29" s="10"/>
      <c r="AJ29" s="10"/>
    </row>
    <row r="30" spans="1:36" x14ac:dyDescent="0.2">
      <c r="A30" s="296"/>
      <c r="B30" s="203">
        <f t="shared" ref="B30:B38" si="1">B29+1</f>
        <v>352</v>
      </c>
      <c r="C30" s="233">
        <f ca="1">OFFSET('Cash Flow'!$V$6,B30,0)</f>
        <v>1020741.4925884511</v>
      </c>
      <c r="D30" s="234"/>
      <c r="E30" s="235">
        <f ca="1">OFFSET('Cash Flow'!$N$6,B30,0)</f>
        <v>2777.7777777777778</v>
      </c>
      <c r="F30" s="233">
        <f ca="1">OFFSET('Cash Flow'!$R$6,B30,0)</f>
        <v>123994.99546976338</v>
      </c>
      <c r="G30" s="236"/>
      <c r="H30" s="235">
        <f ca="1">OFFSET('Cash Flow'!$Q$6,B30,0)</f>
        <v>5289.6370904031783</v>
      </c>
      <c r="I30" s="233">
        <f ca="1">OFFSET('Cash Flow'!$T$6,B30,0)</f>
        <v>8625.1959386146318</v>
      </c>
      <c r="J30" s="236"/>
      <c r="K30" s="235">
        <f ca="1">OFFSET('Cash Flow'!$U$6,B30,0)</f>
        <v>1111.1111111111111</v>
      </c>
      <c r="L30" s="233">
        <f ca="1">OFFSET('Cash Flow'!$AN$6,B30,0)</f>
        <v>1921.3398382106589</v>
      </c>
      <c r="M30" s="236"/>
      <c r="N30" s="235">
        <f ca="1">'Cash Flow'!CC21</f>
        <v>341268.00815456163</v>
      </c>
      <c r="O30" s="233">
        <f ca="1">'Cash Flow'!CD21</f>
        <v>486430.63035701122</v>
      </c>
      <c r="P30" s="233">
        <f ca="1">OFFSET('Cash Flow'!$CB$6,B30,0)</f>
        <v>0</v>
      </c>
      <c r="T30" s="10"/>
      <c r="U30" s="10"/>
      <c r="V30" s="196"/>
      <c r="W30" s="10"/>
      <c r="X30" s="10"/>
      <c r="Y30" s="10"/>
      <c r="Z30" s="282"/>
      <c r="AA30" s="282"/>
      <c r="AB30" s="282"/>
      <c r="AC30" s="282"/>
      <c r="AD30" s="282"/>
      <c r="AE30" s="282"/>
      <c r="AF30" s="282"/>
      <c r="AG30" s="10"/>
      <c r="AH30" s="10"/>
      <c r="AI30" s="10"/>
      <c r="AJ30" s="10"/>
    </row>
    <row r="31" spans="1:36" x14ac:dyDescent="0.2">
      <c r="A31" s="296"/>
      <c r="B31" s="203">
        <f t="shared" si="1"/>
        <v>353</v>
      </c>
      <c r="C31" s="233">
        <f ca="1">OFFSET('Cash Flow'!$V$6,B31,0)</f>
        <v>889410.50094857893</v>
      </c>
      <c r="D31" s="234"/>
      <c r="E31" s="235">
        <f ca="1">OFFSET('Cash Flow'!$N$6,B31,0)</f>
        <v>2777.7777777777778</v>
      </c>
      <c r="F31" s="233">
        <f ca="1">OFFSET('Cash Flow'!$R$6,B31,0)</f>
        <v>123942.70561038857</v>
      </c>
      <c r="G31" s="236"/>
      <c r="H31" s="235">
        <f ca="1">OFFSET('Cash Flow'!$Q$6,B31,0)</f>
        <v>4610.5082517059127</v>
      </c>
      <c r="I31" s="233">
        <f ca="1">OFFSET('Cash Flow'!$T$6,B31,0)</f>
        <v>7634.7278610800504</v>
      </c>
      <c r="J31" s="236"/>
      <c r="K31" s="235">
        <f ca="1">OFFSET('Cash Flow'!$U$6,B31,0)</f>
        <v>1111.1111111111111</v>
      </c>
      <c r="L31" s="233">
        <f ca="1">OFFSET('Cash Flow'!$AN$6,B31,0)</f>
        <v>1701.2358209807517</v>
      </c>
      <c r="M31" s="236"/>
      <c r="N31" s="235">
        <f ca="1">'Cash Flow'!CC22</f>
        <v>348132.00138615561</v>
      </c>
      <c r="O31" s="233">
        <f ca="1">'Cash Flow'!CD22</f>
        <v>502541.06184391724</v>
      </c>
      <c r="P31" s="233">
        <f ca="1">OFFSET('Cash Flow'!$CB$6,B31,0)</f>
        <v>0</v>
      </c>
      <c r="T31" s="10"/>
      <c r="U31" s="10"/>
      <c r="V31" s="196"/>
      <c r="W31" s="10"/>
      <c r="X31" s="10"/>
      <c r="Y31" s="10"/>
      <c r="Z31" s="282"/>
      <c r="AA31" s="282"/>
      <c r="AB31" s="282"/>
      <c r="AC31" s="282"/>
      <c r="AD31" s="282"/>
      <c r="AE31" s="282"/>
      <c r="AF31" s="282"/>
      <c r="AG31" s="10"/>
      <c r="AH31" s="10"/>
      <c r="AI31" s="10"/>
      <c r="AJ31" s="10"/>
    </row>
    <row r="32" spans="1:36" x14ac:dyDescent="0.2">
      <c r="A32" s="296"/>
      <c r="B32" s="203">
        <f t="shared" si="1"/>
        <v>354</v>
      </c>
      <c r="C32" s="233">
        <f ca="1">OFFSET('Cash Flow'!$V$6,B32,0)</f>
        <v>758857.06336335384</v>
      </c>
      <c r="D32" s="234"/>
      <c r="E32" s="235">
        <f ca="1">OFFSET('Cash Flow'!$N$6,B32,0)</f>
        <v>2777.7777777777778</v>
      </c>
      <c r="F32" s="233">
        <f ca="1">OFFSET('Cash Flow'!$R$6,B32,0)</f>
        <v>123840.31794842985</v>
      </c>
      <c r="G32" s="236"/>
      <c r="H32" s="235">
        <f ca="1">OFFSET('Cash Flow'!$Q$6,B32,0)</f>
        <v>3935.341859017507</v>
      </c>
      <c r="I32" s="233">
        <f ca="1">OFFSET('Cash Flow'!$T$6,B32,0)</f>
        <v>6649.7454237810089</v>
      </c>
      <c r="J32" s="236"/>
      <c r="K32" s="235">
        <f ca="1">OFFSET('Cash Flow'!$U$6,B32,0)</f>
        <v>1111.1111111111111</v>
      </c>
      <c r="L32" s="233">
        <f ca="1">OFFSET('Cash Flow'!$AN$6,B32,0)</f>
        <v>1482.350834914298</v>
      </c>
      <c r="M32" s="236"/>
      <c r="N32" s="235">
        <f ca="1">'Cash Flow'!CC23</f>
        <v>354826.69707547221</v>
      </c>
      <c r="O32" s="233">
        <f ca="1">'Cash Flow'!CD23</f>
        <v>518413.22729437496</v>
      </c>
      <c r="P32" s="233">
        <f ca="1">OFFSET('Cash Flow'!$CB$6,B32,0)</f>
        <v>0</v>
      </c>
      <c r="T32" s="10"/>
      <c r="U32" s="10"/>
      <c r="V32" s="10"/>
      <c r="W32" s="10"/>
      <c r="X32" s="10"/>
      <c r="Y32" s="10"/>
      <c r="Z32" s="282"/>
      <c r="AA32" s="282"/>
      <c r="AB32" s="282"/>
      <c r="AC32" s="282"/>
      <c r="AD32" s="282"/>
      <c r="AE32" s="282"/>
      <c r="AF32" s="282"/>
      <c r="AG32" s="10"/>
      <c r="AH32" s="10"/>
      <c r="AI32" s="10"/>
      <c r="AJ32" s="10"/>
    </row>
    <row r="33" spans="1:36" x14ac:dyDescent="0.2">
      <c r="A33" s="296"/>
      <c r="B33" s="203">
        <f t="shared" si="1"/>
        <v>355</v>
      </c>
      <c r="C33" s="233">
        <f ca="1">OFFSET('Cash Flow'!$V$6,B33,0)</f>
        <v>629143.78991445282</v>
      </c>
      <c r="D33" s="234"/>
      <c r="E33" s="235">
        <f ca="1">OFFSET('Cash Flow'!$N$6,B33,0)</f>
        <v>2777.7777777777778</v>
      </c>
      <c r="F33" s="233">
        <f ca="1">OFFSET('Cash Flow'!$R$6,B33,0)</f>
        <v>123671.06268847443</v>
      </c>
      <c r="G33" s="236"/>
      <c r="H33" s="235">
        <f ca="1">OFFSET('Cash Flow'!$Q$6,B33,0)</f>
        <v>3264.4329826488133</v>
      </c>
      <c r="I33" s="233">
        <f ca="1">OFFSET('Cash Flow'!$T$6,B33,0)</f>
        <v>5670.5946418918202</v>
      </c>
      <c r="J33" s="236"/>
      <c r="K33" s="235">
        <f ca="1">OFFSET('Cash Flow'!$U$6,B33,0)</f>
        <v>1111.1111111111111</v>
      </c>
      <c r="L33" s="233">
        <f ca="1">OFFSET('Cash Flow'!$AN$6,B33,0)</f>
        <v>1264.7617722722564</v>
      </c>
      <c r="M33" s="236"/>
      <c r="N33" s="235">
        <f ca="1">'Cash Flow'!CC24</f>
        <v>361348.09059775883</v>
      </c>
      <c r="O33" s="233">
        <f ca="1">'Cash Flow'!CD24</f>
        <v>534046.39015474124</v>
      </c>
      <c r="P33" s="233">
        <f ca="1">OFFSET('Cash Flow'!$CB$6,B33,0)</f>
        <v>0</v>
      </c>
      <c r="T33" s="10"/>
      <c r="U33" s="10"/>
      <c r="V33" s="10"/>
      <c r="W33" s="10"/>
      <c r="X33" s="10"/>
      <c r="Y33" s="10"/>
      <c r="Z33" s="282"/>
      <c r="AA33" s="282"/>
      <c r="AB33" s="282"/>
      <c r="AC33" s="282"/>
      <c r="AD33" s="282"/>
      <c r="AE33" s="282"/>
      <c r="AF33" s="282"/>
      <c r="AG33" s="10"/>
      <c r="AH33" s="10"/>
      <c r="AI33" s="10"/>
      <c r="AJ33" s="10"/>
    </row>
    <row r="34" spans="1:36" s="2" customFormat="1" x14ac:dyDescent="0.2">
      <c r="A34" s="296"/>
      <c r="B34" s="203">
        <f t="shared" si="1"/>
        <v>356</v>
      </c>
      <c r="C34" s="233">
        <f ca="1">OFFSET('Cash Flow'!$V$6,B34,0)</f>
        <v>500359.67721532163</v>
      </c>
      <c r="D34" s="234"/>
      <c r="E34" s="235">
        <f ca="1">OFFSET('Cash Flow'!$N$6,B34,0)</f>
        <v>2777.7777777777778</v>
      </c>
      <c r="F34" s="233">
        <f ca="1">OFFSET('Cash Flow'!$R$6,B34,0)</f>
        <v>123408.14469964527</v>
      </c>
      <c r="G34" s="236"/>
      <c r="H34" s="235">
        <f ca="1">OFFSET('Cash Flow'!$Q$6,B34,0)</f>
        <v>2598.190221708111</v>
      </c>
      <c r="I34" s="233">
        <f ca="1">OFFSET('Cash Flow'!$T$6,B34,0)</f>
        <v>4697.7450910250627</v>
      </c>
      <c r="J34" s="236"/>
      <c r="K34" s="235">
        <f ca="1">OFFSET('Cash Flow'!$U$6,B34,0)</f>
        <v>1111.1111111111111</v>
      </c>
      <c r="L34" s="233">
        <f ca="1">OFFSET('Cash Flow'!$AN$6,B34,0)</f>
        <v>1048.5729831907547</v>
      </c>
      <c r="M34" s="236"/>
      <c r="N34" s="235">
        <f ca="1">'Cash Flow'!CC25</f>
        <v>367692.27986619424</v>
      </c>
      <c r="O34" s="233">
        <f ca="1">'Cash Flow'!CD25</f>
        <v>549439.80834087066</v>
      </c>
      <c r="P34" s="233">
        <f ca="1">OFFSET('Cash Flow'!$CB$6,B34,0)</f>
        <v>0</v>
      </c>
      <c r="T34" s="13"/>
      <c r="U34" s="10"/>
      <c r="V34" s="10"/>
      <c r="W34" s="10"/>
      <c r="X34" s="10"/>
      <c r="Y34" s="10"/>
      <c r="Z34" s="282"/>
      <c r="AA34" s="282"/>
      <c r="AB34" s="282"/>
      <c r="AC34" s="282"/>
      <c r="AD34" s="282"/>
      <c r="AE34" s="282"/>
      <c r="AF34" s="282"/>
      <c r="AG34" s="10"/>
      <c r="AH34" s="10"/>
      <c r="AI34" s="10"/>
      <c r="AJ34" s="10"/>
    </row>
    <row r="35" spans="1:36" s="2" customFormat="1" x14ac:dyDescent="0.2">
      <c r="A35" s="296"/>
      <c r="B35" s="203">
        <f t="shared" si="1"/>
        <v>357</v>
      </c>
      <c r="C35" s="233">
        <f ca="1">OFFSET('Cash Flow'!$V$6,B35,0)</f>
        <v>372639.9502083789</v>
      </c>
      <c r="D35" s="234"/>
      <c r="E35" s="235">
        <f ca="1">OFFSET('Cash Flow'!$N$6,B35,0)</f>
        <v>2777.7777777777778</v>
      </c>
      <c r="F35" s="233">
        <f ca="1">OFFSET('Cash Flow'!$R$6,B35,0)</f>
        <v>123004.73954968253</v>
      </c>
      <c r="G35" s="236"/>
      <c r="H35" s="235">
        <f ca="1">OFFSET('Cash Flow'!$Q$6,B35,0)</f>
        <v>1937.2096794824286</v>
      </c>
      <c r="I35" s="233">
        <f ca="1">OFFSET('Cash Flow'!$T$6,B35,0)</f>
        <v>3731.864245781579</v>
      </c>
      <c r="J35" s="236"/>
      <c r="K35" s="235">
        <f ca="1">OFFSET('Cash Flow'!$U$6,B35,0)</f>
        <v>1111.1111111111111</v>
      </c>
      <c r="L35" s="233">
        <f ca="1">OFFSET('Cash Flow'!$AN$6,B35,0)</f>
        <v>833.93279535886938</v>
      </c>
      <c r="M35" s="236"/>
      <c r="N35" s="235">
        <f ca="1">'Cash Flow'!CC26</f>
        <v>373855.46574056713</v>
      </c>
      <c r="O35" s="233">
        <f ca="1">'Cash Flow'!CD26</f>
        <v>564592.74101249781</v>
      </c>
      <c r="P35" s="233">
        <f ca="1">OFFSET('Cash Flow'!$CB$6,B35,0)</f>
        <v>0</v>
      </c>
      <c r="T35" s="148"/>
      <c r="Z35" s="237"/>
      <c r="AA35" s="237"/>
      <c r="AB35" s="237"/>
      <c r="AC35" s="237"/>
      <c r="AD35" s="237"/>
      <c r="AE35" s="237"/>
      <c r="AF35" s="237"/>
    </row>
    <row r="36" spans="1:36" s="2" customFormat="1" x14ac:dyDescent="0.2">
      <c r="A36" s="296"/>
      <c r="B36" s="203">
        <f t="shared" si="1"/>
        <v>358</v>
      </c>
      <c r="C36" s="233">
        <f ca="1">OFFSET('Cash Flow'!$V$6,B36,0)</f>
        <v>246212.40234099788</v>
      </c>
      <c r="D36" s="234"/>
      <c r="E36" s="235">
        <f ca="1">OFFSET('Cash Flow'!$N$6,B36,0)</f>
        <v>2777.7777777777778</v>
      </c>
      <c r="F36" s="233">
        <f ca="1">OFFSET('Cash Flow'!$R$6,B36,0)</f>
        <v>122367.34136231449</v>
      </c>
      <c r="G36" s="236"/>
      <c r="H36" s="235">
        <f ca="1">OFFSET('Cash Flow'!$Q$6,B36,0)</f>
        <v>1282.4287272888027</v>
      </c>
      <c r="I36" s="233">
        <f ca="1">OFFSET('Cash Flow'!$T$6,B36,0)</f>
        <v>2773.9662932295087</v>
      </c>
      <c r="J36" s="236"/>
      <c r="K36" s="235">
        <f ca="1">OFFSET('Cash Flow'!$U$6,B36,0)</f>
        <v>1111.1111111111111</v>
      </c>
      <c r="L36" s="233">
        <f ca="1">OFFSET('Cash Flow'!$AN$6,B36,0)</f>
        <v>621.06658368063142</v>
      </c>
      <c r="M36" s="236"/>
      <c r="N36" s="235">
        <f ca="1">'Cash Flow'!CC27</f>
        <v>379833.95240801375</v>
      </c>
      <c r="O36" s="233">
        <f ca="1">'Cash Flow'!CD27</f>
        <v>579504.45525449049</v>
      </c>
      <c r="P36" s="233">
        <f ca="1">OFFSET('Cash Flow'!$CB$6,B36,0)</f>
        <v>0</v>
      </c>
      <c r="T36" s="148"/>
      <c r="Z36" s="237"/>
      <c r="AA36" s="237"/>
      <c r="AB36" s="237"/>
      <c r="AC36" s="237"/>
      <c r="AD36" s="237"/>
      <c r="AE36" s="237"/>
      <c r="AF36" s="237"/>
    </row>
    <row r="37" spans="1:36" s="2" customFormat="1" x14ac:dyDescent="0.2">
      <c r="A37" s="296"/>
      <c r="B37" s="203">
        <f t="shared" si="1"/>
        <v>359</v>
      </c>
      <c r="C37" s="233">
        <f ca="1">OFFSET('Cash Flow'!$V$6,B37,0)</f>
        <v>121536.54478272425</v>
      </c>
      <c r="D37" s="234"/>
      <c r="E37" s="235">
        <f ca="1">OFFSET('Cash Flow'!$N$6,B37,0)</f>
        <v>2777.7777777777778</v>
      </c>
      <c r="F37" s="233">
        <f ca="1">OFFSET('Cash Flow'!$R$6,B37,0)</f>
        <v>121262.57761552527</v>
      </c>
      <c r="G37" s="236"/>
      <c r="H37" s="235">
        <f ca="1">OFFSET('Cash Flow'!$Q$6,B37,0)</f>
        <v>635.50216497057795</v>
      </c>
      <c r="I37" s="233">
        <f ca="1">OFFSET('Cash Flow'!$T$6,B37,0)</f>
        <v>1825.7596842241508</v>
      </c>
      <c r="J37" s="236"/>
      <c r="K37" s="235">
        <f ca="1">OFFSET('Cash Flow'!$U$6,B37,0)</f>
        <v>1111.1111111111111</v>
      </c>
      <c r="L37" s="233">
        <f ca="1">OFFSET('Cash Flow'!$AN$6,B37,0)</f>
        <v>410.35400390166313</v>
      </c>
      <c r="M37" s="236"/>
      <c r="N37" s="235">
        <f ca="1">'Cash Flow'!CC28</f>
        <v>385624.14773131383</v>
      </c>
      <c r="O37" s="233">
        <f ca="1">'Cash Flow'!CD28</f>
        <v>594174.23266053898</v>
      </c>
      <c r="P37" s="233">
        <f ca="1">OFFSET('Cash Flow'!$CB$6,B37,0)</f>
        <v>0</v>
      </c>
      <c r="T37" s="148"/>
      <c r="Z37" s="237"/>
      <c r="AA37" s="237"/>
      <c r="AB37" s="237"/>
      <c r="AC37" s="237"/>
      <c r="AD37" s="237"/>
      <c r="AE37" s="237"/>
      <c r="AF37" s="237"/>
    </row>
    <row r="38" spans="1:36" s="2" customFormat="1" x14ac:dyDescent="0.2">
      <c r="A38" s="297"/>
      <c r="B38" s="238">
        <f t="shared" si="1"/>
        <v>360</v>
      </c>
      <c r="C38" s="239">
        <f ca="1">OFFSET('Cash Flow'!$V$6,B38,0)</f>
        <v>0</v>
      </c>
      <c r="D38" s="240"/>
      <c r="E38" s="241">
        <f ca="1">OFFSET('Cash Flow'!$N$6,B38,0)</f>
        <v>2777.7777777777778</v>
      </c>
      <c r="F38" s="239">
        <f ca="1">OFFSET('Cash Flow'!$R$6,B38,0)</f>
        <v>118758.76700494647</v>
      </c>
      <c r="G38" s="242"/>
      <c r="H38" s="241">
        <f ca="1">OFFSET('Cash Flow'!$Q$6,B38,0)</f>
        <v>0</v>
      </c>
      <c r="I38" s="239">
        <f ca="1">OFFSET('Cash Flow'!$T$6,B38,0)</f>
        <v>890.69075253709843</v>
      </c>
      <c r="J38" s="242"/>
      <c r="K38" s="241">
        <f ca="1">OFFSET('Cash Flow'!$U$6,B38,0)</f>
        <v>1111.1111111111111</v>
      </c>
      <c r="L38" s="239">
        <f ca="1">OFFSET('Cash Flow'!$AN$6,B38,0)</f>
        <v>202.56090797120706</v>
      </c>
      <c r="M38" s="242"/>
      <c r="N38" s="241">
        <f ca="1">'Cash Flow'!CC29</f>
        <v>391222.56356034742</v>
      </c>
      <c r="O38" s="239">
        <f ca="1">'Cash Flow'!CD29</f>
        <v>608601.3758163281</v>
      </c>
      <c r="P38" s="239">
        <f ca="1">OFFSET('Cash Flow'!$CB$6,B38,0)</f>
        <v>0</v>
      </c>
      <c r="T38" s="148"/>
      <c r="Z38" s="237"/>
      <c r="AA38" s="237"/>
      <c r="AB38" s="237"/>
      <c r="AC38" s="237"/>
      <c r="AD38" s="237"/>
      <c r="AE38" s="237"/>
      <c r="AF38" s="237"/>
    </row>
    <row r="39" spans="1:36" s="2" customFormat="1" x14ac:dyDescent="0.2">
      <c r="A39" s="167"/>
      <c r="B39" s="148"/>
      <c r="P39" s="172"/>
      <c r="T39" s="148"/>
      <c r="Z39" s="237"/>
      <c r="AA39" s="237"/>
      <c r="AB39" s="237"/>
      <c r="AC39" s="237"/>
      <c r="AD39" s="237"/>
      <c r="AE39" s="237"/>
      <c r="AF39" s="237"/>
    </row>
    <row r="40" spans="1:36" x14ac:dyDescent="0.2">
      <c r="A40" s="167"/>
      <c r="B40" s="2"/>
      <c r="C40" s="15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72"/>
    </row>
    <row r="41" spans="1:36" x14ac:dyDescent="0.2">
      <c r="A41" s="16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72"/>
    </row>
    <row r="42" spans="1:36" x14ac:dyDescent="0.2">
      <c r="A42" s="16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172"/>
    </row>
    <row r="43" spans="1:36" x14ac:dyDescent="0.2">
      <c r="A43" s="16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72"/>
    </row>
    <row r="44" spans="1:36" x14ac:dyDescent="0.2">
      <c r="A44" s="16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172"/>
    </row>
    <row r="45" spans="1:36" x14ac:dyDescent="0.2">
      <c r="A45" s="16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172"/>
    </row>
    <row r="46" spans="1:36" x14ac:dyDescent="0.2">
      <c r="A46" s="16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172"/>
    </row>
    <row r="47" spans="1:36" x14ac:dyDescent="0.2">
      <c r="A47" s="16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172"/>
    </row>
    <row r="48" spans="1:36" x14ac:dyDescent="0.2">
      <c r="A48" s="16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172"/>
    </row>
    <row r="49" spans="1:16" x14ac:dyDescent="0.2">
      <c r="A49" s="16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172"/>
    </row>
    <row r="50" spans="1:16" x14ac:dyDescent="0.2">
      <c r="A50" s="16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172"/>
    </row>
    <row r="51" spans="1:16" x14ac:dyDescent="0.2">
      <c r="A51" s="16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72"/>
    </row>
    <row r="52" spans="1:16" x14ac:dyDescent="0.2">
      <c r="A52" s="16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172"/>
    </row>
    <row r="53" spans="1:16" x14ac:dyDescent="0.2">
      <c r="A53" s="16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172"/>
    </row>
    <row r="54" spans="1:16" x14ac:dyDescent="0.2">
      <c r="A54" s="16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172"/>
    </row>
    <row r="55" spans="1:16" x14ac:dyDescent="0.2">
      <c r="A55" s="16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172"/>
    </row>
    <row r="56" spans="1:16" x14ac:dyDescent="0.2">
      <c r="A56" s="16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172"/>
    </row>
    <row r="57" spans="1:16" x14ac:dyDescent="0.2">
      <c r="A57" s="243"/>
      <c r="B57" s="183"/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94"/>
    </row>
  </sheetData>
  <mergeCells count="9">
    <mergeCell ref="K6:K7"/>
    <mergeCell ref="A11:P11"/>
    <mergeCell ref="A16:A26"/>
    <mergeCell ref="Z27:AF34"/>
    <mergeCell ref="A28:A38"/>
    <mergeCell ref="K1:P1"/>
    <mergeCell ref="A3:C3"/>
    <mergeCell ref="E3:F3"/>
    <mergeCell ref="H3:L3"/>
  </mergeCells>
  <phoneticPr fontId="0" type="noConversion"/>
  <conditionalFormatting sqref="O9">
    <cfRule type="cellIs" dxfId="5" priority="1" stopIfTrue="1" operator="equal">
      <formula>1000</formula>
    </cfRule>
  </conditionalFormatting>
  <pageMargins left="0.75" right="0.75" top="1" bottom="1" header="0.5" footer="0.5"/>
  <pageSetup scale="42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8"/>
  <sheetViews>
    <sheetView workbookViewId="0"/>
  </sheetViews>
  <sheetFormatPr defaultRowHeight="12.75" x14ac:dyDescent="0.2"/>
  <sheetData>
    <row r="1" spans="1:16" ht="19.5" thickBot="1" x14ac:dyDescent="0.35">
      <c r="A1" s="5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298" t="s">
        <v>189</v>
      </c>
      <c r="L1" s="298"/>
      <c r="M1" s="298"/>
      <c r="N1" s="298"/>
      <c r="O1" s="298"/>
      <c r="P1" s="298"/>
    </row>
    <row r="2" spans="1:16" x14ac:dyDescent="0.2">
      <c r="A2" s="14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41"/>
    </row>
    <row r="3" spans="1:16" x14ac:dyDescent="0.2">
      <c r="A3" s="299" t="s">
        <v>20</v>
      </c>
      <c r="B3" s="300"/>
      <c r="C3" s="301"/>
      <c r="D3" s="142"/>
      <c r="E3" s="300" t="s">
        <v>100</v>
      </c>
      <c r="F3" s="301"/>
      <c r="G3" s="142"/>
      <c r="H3" s="300" t="s">
        <v>108</v>
      </c>
      <c r="I3" s="300"/>
      <c r="J3" s="300"/>
      <c r="K3" s="300"/>
      <c r="L3" s="301"/>
      <c r="M3" s="142"/>
      <c r="N3" s="143" t="s">
        <v>190</v>
      </c>
      <c r="O3" s="144"/>
      <c r="P3" s="145"/>
    </row>
    <row r="4" spans="1:16" x14ac:dyDescent="0.2">
      <c r="A4" s="147" t="s">
        <v>23</v>
      </c>
      <c r="B4" s="148"/>
      <c r="C4" s="149">
        <v>100000000</v>
      </c>
      <c r="D4" s="150"/>
      <c r="E4" s="151" t="s">
        <v>122</v>
      </c>
      <c r="F4" s="152">
        <v>1</v>
      </c>
      <c r="G4" s="153"/>
      <c r="H4" s="151" t="s">
        <v>67</v>
      </c>
      <c r="I4" s="154" t="s">
        <v>71</v>
      </c>
      <c r="J4" s="154"/>
      <c r="K4" s="148" t="s">
        <v>161</v>
      </c>
      <c r="L4" s="155">
        <v>0.01</v>
      </c>
      <c r="M4" s="156"/>
      <c r="N4" s="148" t="s">
        <v>191</v>
      </c>
      <c r="O4" s="154">
        <v>0</v>
      </c>
      <c r="P4" s="157"/>
    </row>
    <row r="5" spans="1:16" x14ac:dyDescent="0.2">
      <c r="A5" s="162" t="s">
        <v>24</v>
      </c>
      <c r="B5" s="2"/>
      <c r="C5" s="163" t="s">
        <v>36</v>
      </c>
      <c r="D5" s="150"/>
      <c r="E5" s="151" t="s">
        <v>29</v>
      </c>
      <c r="F5" s="164" t="s">
        <v>43</v>
      </c>
      <c r="G5" s="165"/>
      <c r="H5" s="166" t="s">
        <v>76</v>
      </c>
      <c r="I5" s="154">
        <v>5.000000000000028E-2</v>
      </c>
      <c r="J5" s="154"/>
      <c r="K5" s="166" t="s">
        <v>142</v>
      </c>
      <c r="L5" s="164" t="s">
        <v>141</v>
      </c>
      <c r="M5" s="167"/>
      <c r="N5" s="168" t="s">
        <v>192</v>
      </c>
      <c r="O5" s="169">
        <v>11.760424365555041</v>
      </c>
      <c r="P5" s="157"/>
    </row>
    <row r="6" spans="1:16" x14ac:dyDescent="0.2">
      <c r="A6" s="147" t="s">
        <v>25</v>
      </c>
      <c r="B6" s="2"/>
      <c r="C6" s="152">
        <v>0.09</v>
      </c>
      <c r="D6" s="150"/>
      <c r="E6" s="151" t="s">
        <v>105</v>
      </c>
      <c r="F6" s="152">
        <v>5.0000000000000001E-3</v>
      </c>
      <c r="G6" s="153"/>
      <c r="H6" s="166" t="s">
        <v>77</v>
      </c>
      <c r="I6" s="170">
        <v>5</v>
      </c>
      <c r="J6" s="170"/>
      <c r="K6" s="291" t="s">
        <v>144</v>
      </c>
      <c r="L6" s="171">
        <v>3</v>
      </c>
      <c r="M6" s="167"/>
      <c r="N6" s="13" t="s">
        <v>193</v>
      </c>
      <c r="O6" s="169">
        <v>9.4243959900806384</v>
      </c>
      <c r="P6" s="172"/>
    </row>
    <row r="7" spans="1:16" x14ac:dyDescent="0.2">
      <c r="A7" s="147" t="s">
        <v>207</v>
      </c>
      <c r="B7" s="2"/>
      <c r="C7" s="163" t="s">
        <v>207</v>
      </c>
      <c r="D7" s="150"/>
      <c r="E7" s="151" t="s">
        <v>104</v>
      </c>
      <c r="F7" s="152">
        <v>0.01</v>
      </c>
      <c r="G7" s="153"/>
      <c r="H7" s="166" t="s">
        <v>80</v>
      </c>
      <c r="I7" s="154">
        <v>0.5</v>
      </c>
      <c r="J7" s="154"/>
      <c r="K7" s="291"/>
      <c r="L7" s="164"/>
      <c r="M7" s="167"/>
      <c r="N7" s="174" t="s">
        <v>194</v>
      </c>
      <c r="O7" s="175" t="s">
        <v>208</v>
      </c>
      <c r="P7" s="172"/>
    </row>
    <row r="8" spans="1:16" x14ac:dyDescent="0.2">
      <c r="A8" s="147" t="s">
        <v>26</v>
      </c>
      <c r="B8" s="2"/>
      <c r="C8" s="149">
        <v>360</v>
      </c>
      <c r="D8" s="150"/>
      <c r="E8" s="151"/>
      <c r="F8" s="152"/>
      <c r="G8" s="153"/>
      <c r="H8" s="166" t="s">
        <v>81</v>
      </c>
      <c r="I8" s="177">
        <v>5</v>
      </c>
      <c r="J8" s="177"/>
      <c r="K8" s="2"/>
      <c r="L8" s="178"/>
      <c r="M8" s="167"/>
      <c r="N8" s="179" t="s">
        <v>169</v>
      </c>
      <c r="O8" s="180">
        <v>0</v>
      </c>
      <c r="P8" s="172"/>
    </row>
    <row r="9" spans="1:16" x14ac:dyDescent="0.2">
      <c r="A9" s="182" t="s">
        <v>27</v>
      </c>
      <c r="B9" s="183"/>
      <c r="C9" s="184">
        <v>360</v>
      </c>
      <c r="D9" s="185"/>
      <c r="E9" s="186"/>
      <c r="F9" s="187"/>
      <c r="G9" s="188"/>
      <c r="H9" s="189"/>
      <c r="I9" s="190"/>
      <c r="J9" s="190"/>
      <c r="K9" s="183"/>
      <c r="L9" s="191"/>
      <c r="M9" s="183"/>
      <c r="N9" s="192" t="s">
        <v>195</v>
      </c>
      <c r="O9" s="193">
        <v>3</v>
      </c>
      <c r="P9" s="194"/>
    </row>
    <row r="10" spans="1:16" x14ac:dyDescent="0.2">
      <c r="A10" s="167"/>
      <c r="B10" s="2"/>
      <c r="C10" s="2"/>
      <c r="D10" s="19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72"/>
    </row>
    <row r="11" spans="1:16" x14ac:dyDescent="0.2">
      <c r="A11" s="292" t="s">
        <v>202</v>
      </c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3"/>
      <c r="O11" s="293"/>
      <c r="P11" s="294"/>
    </row>
    <row r="12" spans="1:16" x14ac:dyDescent="0.2">
      <c r="A12" s="167"/>
      <c r="B12" s="2"/>
      <c r="C12" s="2"/>
      <c r="D12" s="19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72"/>
    </row>
    <row r="13" spans="1:16" ht="51" x14ac:dyDescent="0.2">
      <c r="A13" s="244"/>
      <c r="B13" s="245"/>
      <c r="C13" s="246" t="s">
        <v>49</v>
      </c>
      <c r="D13" s="247"/>
      <c r="E13" s="248" t="s">
        <v>58</v>
      </c>
      <c r="F13" s="246" t="s">
        <v>62</v>
      </c>
      <c r="G13" s="247"/>
      <c r="H13" s="249" t="s">
        <v>61</v>
      </c>
      <c r="I13" s="246" t="s">
        <v>64</v>
      </c>
      <c r="J13" s="247"/>
      <c r="K13" s="248" t="s">
        <v>65</v>
      </c>
      <c r="L13" s="246" t="s">
        <v>110</v>
      </c>
      <c r="M13" s="247"/>
      <c r="N13" s="248" t="s">
        <v>128</v>
      </c>
      <c r="O13" s="246" t="s">
        <v>129</v>
      </c>
      <c r="P13" s="246" t="s">
        <v>127</v>
      </c>
    </row>
    <row r="14" spans="1:16" x14ac:dyDescent="0.2">
      <c r="A14" s="197" t="s">
        <v>196</v>
      </c>
      <c r="B14" s="71"/>
      <c r="C14" s="198"/>
      <c r="D14" s="199"/>
      <c r="E14" s="200">
        <v>5000000.0000000279</v>
      </c>
      <c r="F14" s="198">
        <v>54615.030470201549</v>
      </c>
      <c r="G14" s="199"/>
      <c r="H14" s="200">
        <v>65041032.206291907</v>
      </c>
      <c r="I14" s="198">
        <v>0</v>
      </c>
      <c r="J14" s="199"/>
      <c r="K14" s="200">
        <v>0</v>
      </c>
      <c r="L14" s="198">
        <v>0</v>
      </c>
      <c r="M14" s="199"/>
      <c r="N14" s="200">
        <v>0</v>
      </c>
      <c r="O14" s="198">
        <v>0</v>
      </c>
      <c r="P14" s="198"/>
    </row>
    <row r="15" spans="1:16" x14ac:dyDescent="0.2">
      <c r="A15" s="201"/>
      <c r="B15" s="202" t="s">
        <v>40</v>
      </c>
      <c r="C15" s="203"/>
      <c r="D15" s="201"/>
      <c r="E15" s="204"/>
      <c r="F15" s="203"/>
      <c r="G15" s="201"/>
      <c r="H15" s="204"/>
      <c r="I15" s="203"/>
      <c r="J15" s="201"/>
      <c r="K15" s="204"/>
      <c r="L15" s="203"/>
      <c r="M15" s="201"/>
      <c r="N15" s="204"/>
      <c r="O15" s="203"/>
      <c r="P15" s="203"/>
    </row>
    <row r="16" spans="1:16" x14ac:dyDescent="0.2">
      <c r="A16" s="295" t="s">
        <v>201</v>
      </c>
      <c r="B16" s="209">
        <v>0</v>
      </c>
      <c r="C16" s="209">
        <v>100000000</v>
      </c>
      <c r="D16" s="210"/>
      <c r="E16" s="211">
        <v>0</v>
      </c>
      <c r="F16" s="210">
        <v>0</v>
      </c>
      <c r="G16" s="210"/>
      <c r="H16" s="211">
        <v>0</v>
      </c>
      <c r="I16" s="210">
        <v>0</v>
      </c>
      <c r="J16" s="210"/>
      <c r="K16" s="211">
        <v>0</v>
      </c>
      <c r="L16" s="210">
        <v>0</v>
      </c>
      <c r="M16" s="210"/>
      <c r="N16" s="211">
        <v>300000</v>
      </c>
      <c r="O16" s="210">
        <v>85176.771228356956</v>
      </c>
      <c r="P16" s="209">
        <v>100000000</v>
      </c>
    </row>
    <row r="17" spans="1:16" x14ac:dyDescent="0.2">
      <c r="A17" s="296"/>
      <c r="B17" s="212">
        <v>1</v>
      </c>
      <c r="C17" s="212">
        <v>99914823.228771627</v>
      </c>
      <c r="D17" s="213"/>
      <c r="E17" s="214">
        <v>13888.888888888889</v>
      </c>
      <c r="F17" s="213">
        <v>54615.030470201549</v>
      </c>
      <c r="G17" s="213"/>
      <c r="H17" s="214">
        <v>16672.851869266513</v>
      </c>
      <c r="I17" s="213">
        <v>749895.83333333326</v>
      </c>
      <c r="J17" s="213"/>
      <c r="K17" s="214">
        <v>0</v>
      </c>
      <c r="L17" s="213">
        <v>208333.33333333331</v>
      </c>
      <c r="M17" s="213"/>
      <c r="N17" s="214">
        <v>317387.76222146221</v>
      </c>
      <c r="O17" s="213">
        <v>102244.48850790494</v>
      </c>
      <c r="P17" s="212">
        <v>99914823.228771642</v>
      </c>
    </row>
    <row r="18" spans="1:16" x14ac:dyDescent="0.2">
      <c r="A18" s="296"/>
      <c r="B18" s="212">
        <v>2</v>
      </c>
      <c r="C18" s="212">
        <v>99812578.740263715</v>
      </c>
      <c r="D18" s="213"/>
      <c r="E18" s="214">
        <v>13888.888888888889</v>
      </c>
      <c r="F18" s="213">
        <v>55007.815182062885</v>
      </c>
      <c r="G18" s="213"/>
      <c r="H18" s="214">
        <v>33347.784436953167</v>
      </c>
      <c r="I18" s="213">
        <v>749257.00754912046</v>
      </c>
      <c r="J18" s="213"/>
      <c r="K18" s="214">
        <v>0</v>
      </c>
      <c r="L18" s="213">
        <v>208155.88172660756</v>
      </c>
      <c r="M18" s="213"/>
      <c r="N18" s="214">
        <v>322261.54589273146</v>
      </c>
      <c r="O18" s="213">
        <v>237330.81248753733</v>
      </c>
      <c r="P18" s="212">
        <v>99812578.74026373</v>
      </c>
    </row>
    <row r="19" spans="1:16" x14ac:dyDescent="0.2">
      <c r="A19" s="296"/>
      <c r="B19" s="212">
        <v>3</v>
      </c>
      <c r="C19" s="212">
        <v>99693279.414045393</v>
      </c>
      <c r="D19" s="213"/>
      <c r="E19" s="214">
        <v>13888.888888888889</v>
      </c>
      <c r="F19" s="213">
        <v>55394.154658281142</v>
      </c>
      <c r="G19" s="213"/>
      <c r="H19" s="214">
        <v>50016.282671140922</v>
      </c>
      <c r="I19" s="213">
        <v>748490.17388531112</v>
      </c>
      <c r="J19" s="213"/>
      <c r="K19" s="214">
        <v>0</v>
      </c>
      <c r="L19" s="213">
        <v>207942.8723755494</v>
      </c>
      <c r="M19" s="213"/>
      <c r="N19" s="214">
        <v>326681.49463905173</v>
      </c>
      <c r="O19" s="213">
        <v>255057.57898932521</v>
      </c>
      <c r="P19" s="212">
        <v>99575247.927776188</v>
      </c>
    </row>
    <row r="20" spans="1:16" x14ac:dyDescent="0.2">
      <c r="A20" s="296"/>
      <c r="B20" s="212">
        <v>4</v>
      </c>
      <c r="C20" s="212">
        <v>99556946.862340584</v>
      </c>
      <c r="D20" s="213"/>
      <c r="E20" s="214">
        <v>13888.888888888889</v>
      </c>
      <c r="F20" s="213">
        <v>55773.853800882578</v>
      </c>
      <c r="G20" s="213"/>
      <c r="H20" s="214">
        <v>66669.809015029998</v>
      </c>
      <c r="I20" s="213">
        <v>747595.42893867369</v>
      </c>
      <c r="J20" s="213"/>
      <c r="K20" s="214">
        <v>0</v>
      </c>
      <c r="L20" s="213">
        <v>207645.15232664905</v>
      </c>
      <c r="M20" s="213"/>
      <c r="N20" s="214">
        <v>331017.64106744848</v>
      </c>
      <c r="O20" s="213">
        <v>272629.50140104449</v>
      </c>
      <c r="P20" s="212">
        <v>99320190.348786861</v>
      </c>
    </row>
    <row r="21" spans="1:16" x14ac:dyDescent="0.2">
      <c r="A21" s="296"/>
      <c r="B21" s="212">
        <v>5</v>
      </c>
      <c r="C21" s="212">
        <v>99403611.443905592</v>
      </c>
      <c r="D21" s="213"/>
      <c r="E21" s="214">
        <v>13888.888888888889</v>
      </c>
      <c r="F21" s="213">
        <v>56146.71901013219</v>
      </c>
      <c r="G21" s="213"/>
      <c r="H21" s="214">
        <v>83299.810535971628</v>
      </c>
      <c r="I21" s="213">
        <v>746572.9348008876</v>
      </c>
      <c r="J21" s="213"/>
      <c r="K21" s="214">
        <v>0</v>
      </c>
      <c r="L21" s="213">
        <v>207311.65741589549</v>
      </c>
      <c r="M21" s="213"/>
      <c r="N21" s="214">
        <v>335267.73950499704</v>
      </c>
      <c r="O21" s="213">
        <v>296986.34689325758</v>
      </c>
      <c r="P21" s="212">
        <v>99047560.847385809</v>
      </c>
    </row>
    <row r="22" spans="1:16" x14ac:dyDescent="0.2">
      <c r="A22" s="296"/>
      <c r="B22" s="212">
        <v>6</v>
      </c>
      <c r="C22" s="212">
        <v>99233312.270552844</v>
      </c>
      <c r="D22" s="213"/>
      <c r="E22" s="214">
        <v>13888.888888888889</v>
      </c>
      <c r="F22" s="213">
        <v>56512.558336425616</v>
      </c>
      <c r="G22" s="213"/>
      <c r="H22" s="214">
        <v>99897.726127430316</v>
      </c>
      <c r="I22" s="213">
        <v>745422.91916262521</v>
      </c>
      <c r="J22" s="213"/>
      <c r="K22" s="214">
        <v>6944.4444444444443</v>
      </c>
      <c r="L22" s="213">
        <v>206942.50275958673</v>
      </c>
      <c r="M22" s="213"/>
      <c r="N22" s="214">
        <v>339405.72455819295</v>
      </c>
      <c r="O22" s="213">
        <v>314261.28988099057</v>
      </c>
      <c r="P22" s="212">
        <v>98750574.500492558</v>
      </c>
    </row>
    <row r="23" spans="1:16" x14ac:dyDescent="0.2">
      <c r="A23" s="296"/>
      <c r="B23" s="212">
        <v>7</v>
      </c>
      <c r="C23" s="212">
        <v>99046097.206275776</v>
      </c>
      <c r="D23" s="213"/>
      <c r="E23" s="214">
        <v>13888.888888888889</v>
      </c>
      <c r="F23" s="213">
        <v>56871.181632426458</v>
      </c>
      <c r="G23" s="213"/>
      <c r="H23" s="214">
        <v>116454.99375574733</v>
      </c>
      <c r="I23" s="213">
        <v>744145.67536247964</v>
      </c>
      <c r="J23" s="213"/>
      <c r="K23" s="214">
        <v>6944.4444444444443</v>
      </c>
      <c r="L23" s="213">
        <v>206534.92649279328</v>
      </c>
      <c r="M23" s="213"/>
      <c r="N23" s="214">
        <v>343452.49981792469</v>
      </c>
      <c r="O23" s="213">
        <v>331368.12828315888</v>
      </c>
      <c r="P23" s="212">
        <v>98436313.210611567</v>
      </c>
    </row>
    <row r="24" spans="1:16" x14ac:dyDescent="0.2">
      <c r="A24" s="296"/>
      <c r="B24" s="212">
        <v>8</v>
      </c>
      <c r="C24" s="212">
        <v>98842022.858938053</v>
      </c>
      <c r="D24" s="213"/>
      <c r="E24" s="214">
        <v>13888.888888888889</v>
      </c>
      <c r="F24" s="213">
        <v>57222.40070556954</v>
      </c>
      <c r="G24" s="213"/>
      <c r="H24" s="214">
        <v>132963.05774325746</v>
      </c>
      <c r="I24" s="213">
        <v>742741.56238040153</v>
      </c>
      <c r="J24" s="213"/>
      <c r="K24" s="214">
        <v>6944.4444444444443</v>
      </c>
      <c r="L24" s="213">
        <v>206091.95918154778</v>
      </c>
      <c r="M24" s="213"/>
      <c r="N24" s="214">
        <v>347405.96136070532</v>
      </c>
      <c r="O24" s="213">
        <v>348302.14852946391</v>
      </c>
      <c r="P24" s="212">
        <v>98104945.082328409</v>
      </c>
    </row>
    <row r="25" spans="1:16" x14ac:dyDescent="0.2">
      <c r="A25" s="296"/>
      <c r="B25" s="212">
        <v>9</v>
      </c>
      <c r="C25" s="212">
        <v>98621154.564499065</v>
      </c>
      <c r="D25" s="213"/>
      <c r="E25" s="214">
        <v>13888.888888888889</v>
      </c>
      <c r="F25" s="213">
        <v>57566.02947070403</v>
      </c>
      <c r="G25" s="213"/>
      <c r="H25" s="214">
        <v>149413.37607939239</v>
      </c>
      <c r="I25" s="213">
        <v>741211.00477536861</v>
      </c>
      <c r="J25" s="213"/>
      <c r="K25" s="214">
        <v>6944.4444444444443</v>
      </c>
      <c r="L25" s="213">
        <v>205613.76521586691</v>
      </c>
      <c r="M25" s="213"/>
      <c r="N25" s="214">
        <v>351264.05722187302</v>
      </c>
      <c r="O25" s="213">
        <v>365058.63548367127</v>
      </c>
      <c r="P25" s="212">
        <v>97756642.933798939</v>
      </c>
    </row>
    <row r="26" spans="1:16" x14ac:dyDescent="0.2">
      <c r="A26" s="297"/>
      <c r="B26" s="220">
        <v>10</v>
      </c>
      <c r="C26" s="220">
        <v>98383566.363756433</v>
      </c>
      <c r="D26" s="221"/>
      <c r="E26" s="222">
        <v>13888.888888888889</v>
      </c>
      <c r="F26" s="221">
        <v>57901.884102364063</v>
      </c>
      <c r="G26" s="221"/>
      <c r="H26" s="222">
        <v>165797.42775138273</v>
      </c>
      <c r="I26" s="221">
        <v>739554.49256707623</v>
      </c>
      <c r="J26" s="221"/>
      <c r="K26" s="222">
        <v>6944.4444444444443</v>
      </c>
      <c r="L26" s="221">
        <v>205100.52549658131</v>
      </c>
      <c r="M26" s="221"/>
      <c r="N26" s="222">
        <v>355024.78862879198</v>
      </c>
      <c r="O26" s="221">
        <v>381632.87883890053</v>
      </c>
      <c r="P26" s="220">
        <v>97391584.298315272</v>
      </c>
    </row>
    <row r="27" spans="1:16" x14ac:dyDescent="0.2">
      <c r="A27" s="223"/>
      <c r="B27" s="224"/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5"/>
    </row>
    <row r="28" spans="1:16" x14ac:dyDescent="0.2">
      <c r="A28" s="295" t="s">
        <v>200</v>
      </c>
      <c r="B28" s="227">
        <v>350</v>
      </c>
      <c r="C28" s="228">
        <v>945674.29234559915</v>
      </c>
      <c r="D28" s="229"/>
      <c r="E28" s="230">
        <v>13888.888888888889</v>
      </c>
      <c r="F28" s="228">
        <v>91214.323949516503</v>
      </c>
      <c r="G28" s="231"/>
      <c r="H28" s="230">
        <v>4954.2718096524877</v>
      </c>
      <c r="I28" s="228">
        <v>7813.8216607857603</v>
      </c>
      <c r="J28" s="231"/>
      <c r="K28" s="230">
        <v>6944.4444444444443</v>
      </c>
      <c r="L28" s="228">
        <v>1759.5529616560948</v>
      </c>
      <c r="M28" s="231"/>
      <c r="N28" s="230">
        <v>367278.30760306615</v>
      </c>
      <c r="O28" s="228">
        <v>413465.46108211245</v>
      </c>
      <c r="P28" s="228">
        <v>0</v>
      </c>
    </row>
    <row r="29" spans="1:16" x14ac:dyDescent="0.2">
      <c r="A29" s="296"/>
      <c r="B29" s="203">
        <v>351</v>
      </c>
      <c r="C29" s="233">
        <v>837315.12019568647</v>
      </c>
      <c r="D29" s="234"/>
      <c r="E29" s="235">
        <v>13888.888888888889</v>
      </c>
      <c r="F29" s="233">
        <v>90076.839880927364</v>
      </c>
      <c r="G29" s="236"/>
      <c r="H29" s="235">
        <v>4393.4433800964516</v>
      </c>
      <c r="I29" s="233">
        <v>6988.390525925327</v>
      </c>
      <c r="J29" s="236"/>
      <c r="K29" s="235">
        <v>6944.4444444444443</v>
      </c>
      <c r="L29" s="233">
        <v>1576.1238205759985</v>
      </c>
      <c r="M29" s="236"/>
      <c r="N29" s="235">
        <v>375727.15771594289</v>
      </c>
      <c r="O29" s="233">
        <v>428657.20242152846</v>
      </c>
      <c r="P29" s="233">
        <v>0</v>
      </c>
    </row>
    <row r="30" spans="1:16" x14ac:dyDescent="0.2">
      <c r="A30" s="296"/>
      <c r="B30" s="203">
        <v>352</v>
      </c>
      <c r="C30" s="233">
        <v>730802.98533380812</v>
      </c>
      <c r="D30" s="234"/>
      <c r="E30" s="235">
        <v>13888.888888888889</v>
      </c>
      <c r="F30" s="233">
        <v>88781.228171957147</v>
      </c>
      <c r="G30" s="236"/>
      <c r="H30" s="235">
        <v>3842.0178010322852</v>
      </c>
      <c r="I30" s="233">
        <v>6175.6967348009821</v>
      </c>
      <c r="J30" s="236"/>
      <c r="K30" s="235">
        <v>6944.4444444444443</v>
      </c>
      <c r="L30" s="233">
        <v>1395.5252003261439</v>
      </c>
      <c r="M30" s="236"/>
      <c r="N30" s="235">
        <v>384028.95157430158</v>
      </c>
      <c r="O30" s="233">
        <v>443594.26646375051</v>
      </c>
      <c r="P30" s="233">
        <v>0</v>
      </c>
    </row>
    <row r="31" spans="1:16" x14ac:dyDescent="0.2">
      <c r="A31" s="296"/>
      <c r="B31" s="203">
        <v>353</v>
      </c>
      <c r="C31" s="233">
        <v>626324.93745154294</v>
      </c>
      <c r="D31" s="234"/>
      <c r="E31" s="235">
        <v>13888.888888888889</v>
      </c>
      <c r="F31" s="233">
        <v>87288.251546468455</v>
      </c>
      <c r="G31" s="236"/>
      <c r="H31" s="235">
        <v>3300.9074469078396</v>
      </c>
      <c r="I31" s="233">
        <v>5376.8557233368938</v>
      </c>
      <c r="J31" s="236"/>
      <c r="K31" s="235">
        <v>6944.4444444444443</v>
      </c>
      <c r="L31" s="233">
        <v>1218.0049755563468</v>
      </c>
      <c r="M31" s="236"/>
      <c r="N31" s="235">
        <v>392179.98952259752</v>
      </c>
      <c r="O31" s="233">
        <v>458275.4828578122</v>
      </c>
      <c r="P31" s="233">
        <v>0</v>
      </c>
    </row>
    <row r="32" spans="1:16" x14ac:dyDescent="0.2">
      <c r="A32" s="296"/>
      <c r="B32" s="203">
        <v>354</v>
      </c>
      <c r="C32" s="233">
        <v>524122.84098169632</v>
      </c>
      <c r="D32" s="234"/>
      <c r="E32" s="235">
        <v>13888.888888888889</v>
      </c>
      <c r="F32" s="233">
        <v>85541.930717157506</v>
      </c>
      <c r="G32" s="236"/>
      <c r="H32" s="235">
        <v>2771.2768638002394</v>
      </c>
      <c r="I32" s="233">
        <v>4593.2703642199049</v>
      </c>
      <c r="J32" s="236"/>
      <c r="K32" s="235">
        <v>6944.4444444444443</v>
      </c>
      <c r="L32" s="233">
        <v>1043.8748957525715</v>
      </c>
      <c r="M32" s="236"/>
      <c r="N32" s="235">
        <v>400176.68295765918</v>
      </c>
      <c r="O32" s="233">
        <v>472699.65467573836</v>
      </c>
      <c r="P32" s="233">
        <v>0</v>
      </c>
    </row>
    <row r="33" spans="1:16" x14ac:dyDescent="0.2">
      <c r="A33" s="296"/>
      <c r="B33" s="203">
        <v>355</v>
      </c>
      <c r="C33" s="233">
        <v>424520.88302983029</v>
      </c>
      <c r="D33" s="234"/>
      <c r="E33" s="235">
        <v>13888.888888888889</v>
      </c>
      <c r="F33" s="233">
        <v>83458.410087441967</v>
      </c>
      <c r="G33" s="236"/>
      <c r="H33" s="235">
        <v>2254.6589755351638</v>
      </c>
      <c r="I33" s="233">
        <v>3826.7546406960555</v>
      </c>
      <c r="J33" s="236"/>
      <c r="K33" s="235">
        <v>6944.4444444444443</v>
      </c>
      <c r="L33" s="233">
        <v>873.53806830282713</v>
      </c>
      <c r="M33" s="236"/>
      <c r="N33" s="235">
        <v>408015.55505312345</v>
      </c>
      <c r="O33" s="233">
        <v>486865.56504889828</v>
      </c>
      <c r="P33" s="233">
        <v>0</v>
      </c>
    </row>
    <row r="34" spans="1:16" x14ac:dyDescent="0.2">
      <c r="A34" s="296"/>
      <c r="B34" s="203">
        <v>356</v>
      </c>
      <c r="C34" s="233">
        <v>327975.13268491189</v>
      </c>
      <c r="D34" s="234"/>
      <c r="E34" s="235">
        <v>13888.888888888889</v>
      </c>
      <c r="F34" s="233">
        <v>80903.707368075848</v>
      </c>
      <c r="G34" s="236"/>
      <c r="H34" s="235">
        <v>1753.1540879536647</v>
      </c>
      <c r="I34" s="233">
        <v>3079.7399560570607</v>
      </c>
      <c r="J34" s="236"/>
      <c r="K34" s="235">
        <v>6944.4444444444443</v>
      </c>
      <c r="L34" s="233">
        <v>707.53480504971708</v>
      </c>
      <c r="M34" s="236"/>
      <c r="N34" s="235">
        <v>415693.24147110438</v>
      </c>
      <c r="O34" s="233">
        <v>500771.98371037043</v>
      </c>
      <c r="P34" s="233">
        <v>0</v>
      </c>
    </row>
    <row r="35" spans="1:16" x14ac:dyDescent="0.2">
      <c r="A35" s="296"/>
      <c r="B35" s="203">
        <v>357</v>
      </c>
      <c r="C35" s="233">
        <v>235172.75028126437</v>
      </c>
      <c r="D35" s="234"/>
      <c r="E35" s="235">
        <v>13888.888888888889</v>
      </c>
      <c r="F35" s="233">
        <v>77643.693747513418</v>
      </c>
      <c r="G35" s="236"/>
      <c r="H35" s="235">
        <v>1269.7997672452516</v>
      </c>
      <c r="I35" s="233">
        <v>2355.6468284701727</v>
      </c>
      <c r="J35" s="236"/>
      <c r="K35" s="235">
        <v>6944.4444444444443</v>
      </c>
      <c r="L35" s="233">
        <v>546.62522114151977</v>
      </c>
      <c r="M35" s="236"/>
      <c r="N35" s="235">
        <v>423206.49105668295</v>
      </c>
      <c r="O35" s="233">
        <v>514417.67343893723</v>
      </c>
      <c r="P35" s="233">
        <v>0</v>
      </c>
    </row>
    <row r="36" spans="1:16" x14ac:dyDescent="0.2">
      <c r="A36" s="296"/>
      <c r="B36" s="203">
        <v>358</v>
      </c>
      <c r="C36" s="233">
        <v>147263.68855301791</v>
      </c>
      <c r="D36" s="234"/>
      <c r="E36" s="235">
        <v>13888.888888888889</v>
      </c>
      <c r="F36" s="233">
        <v>73210.833178734145</v>
      </c>
      <c r="G36" s="236"/>
      <c r="H36" s="235">
        <v>809.33966062342597</v>
      </c>
      <c r="I36" s="233">
        <v>1659.6289604428162</v>
      </c>
      <c r="J36" s="236"/>
      <c r="K36" s="235">
        <v>6944.4444444444443</v>
      </c>
      <c r="L36" s="233">
        <v>391.95458380210727</v>
      </c>
      <c r="M36" s="236"/>
      <c r="N36" s="235">
        <v>430552.16651090403</v>
      </c>
      <c r="O36" s="233">
        <v>527801.3964008959</v>
      </c>
      <c r="P36" s="233">
        <v>0</v>
      </c>
    </row>
    <row r="37" spans="1:16" x14ac:dyDescent="0.2">
      <c r="A37" s="296"/>
      <c r="B37" s="203">
        <v>359</v>
      </c>
      <c r="C37" s="233">
        <v>66556.438993363117</v>
      </c>
      <c r="D37" s="234"/>
      <c r="E37" s="235">
        <v>13888.888888888889</v>
      </c>
      <c r="F37" s="233">
        <v>66438.256370546558</v>
      </c>
      <c r="G37" s="236"/>
      <c r="H37" s="235">
        <v>380.1043002193677</v>
      </c>
      <c r="I37" s="233">
        <v>1000.3109974809678</v>
      </c>
      <c r="J37" s="236"/>
      <c r="K37" s="235">
        <v>6944.4444444444443</v>
      </c>
      <c r="L37" s="233">
        <v>245.43948092169651</v>
      </c>
      <c r="M37" s="236"/>
      <c r="N37" s="235">
        <v>437727.24503806513</v>
      </c>
      <c r="O37" s="233">
        <v>540921.92038509971</v>
      </c>
      <c r="P37" s="233">
        <v>0</v>
      </c>
    </row>
    <row r="38" spans="1:16" x14ac:dyDescent="0.2">
      <c r="A38" s="297"/>
      <c r="B38" s="238">
        <v>360</v>
      </c>
      <c r="C38" s="239">
        <v>0</v>
      </c>
      <c r="D38" s="240"/>
      <c r="E38" s="241">
        <v>13888.888888888889</v>
      </c>
      <c r="F38" s="239">
        <v>52667.550104474227</v>
      </c>
      <c r="G38" s="242"/>
      <c r="H38" s="241">
        <v>0</v>
      </c>
      <c r="I38" s="239">
        <v>395.00662578355667</v>
      </c>
      <c r="J38" s="242"/>
      <c r="K38" s="241">
        <v>6944.4444444444443</v>
      </c>
      <c r="L38" s="239">
        <v>110.92739832227186</v>
      </c>
      <c r="M38" s="242"/>
      <c r="N38" s="241">
        <v>444728.81896318949</v>
      </c>
      <c r="O38" s="239">
        <v>553778.02492772264</v>
      </c>
      <c r="P38" s="239">
        <v>0</v>
      </c>
    </row>
  </sheetData>
  <mergeCells count="8">
    <mergeCell ref="A16:A26"/>
    <mergeCell ref="A28:A38"/>
    <mergeCell ref="K1:P1"/>
    <mergeCell ref="A3:C3"/>
    <mergeCell ref="E3:F3"/>
    <mergeCell ref="H3:L3"/>
    <mergeCell ref="K6:K7"/>
    <mergeCell ref="A11:P11"/>
  </mergeCells>
  <phoneticPr fontId="0" type="noConversion"/>
  <conditionalFormatting sqref="O9">
    <cfRule type="cellIs" dxfId="4" priority="1" stopIfTrue="1" operator="equal">
      <formula>1000</formula>
    </cfRule>
  </conditionalFormatting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P38"/>
  <sheetViews>
    <sheetView workbookViewId="0"/>
  </sheetViews>
  <sheetFormatPr defaultRowHeight="12.75" x14ac:dyDescent="0.2"/>
  <sheetData>
    <row r="1" spans="1:16" ht="19.5" thickBot="1" x14ac:dyDescent="0.35">
      <c r="A1" s="5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298" t="s">
        <v>189</v>
      </c>
      <c r="L1" s="298"/>
      <c r="M1" s="298"/>
      <c r="N1" s="298"/>
      <c r="O1" s="298"/>
      <c r="P1" s="298"/>
    </row>
    <row r="2" spans="1:16" x14ac:dyDescent="0.2">
      <c r="A2" s="14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41"/>
    </row>
    <row r="3" spans="1:16" x14ac:dyDescent="0.2">
      <c r="A3" s="299" t="s">
        <v>20</v>
      </c>
      <c r="B3" s="300"/>
      <c r="C3" s="301"/>
      <c r="D3" s="142"/>
      <c r="E3" s="300" t="s">
        <v>100</v>
      </c>
      <c r="F3" s="301"/>
      <c r="G3" s="142"/>
      <c r="H3" s="300" t="s">
        <v>108</v>
      </c>
      <c r="I3" s="300"/>
      <c r="J3" s="300"/>
      <c r="K3" s="300"/>
      <c r="L3" s="301"/>
      <c r="M3" s="142"/>
      <c r="N3" s="143" t="s">
        <v>190</v>
      </c>
      <c r="O3" s="144"/>
      <c r="P3" s="145"/>
    </row>
    <row r="4" spans="1:16" x14ac:dyDescent="0.2">
      <c r="A4" s="147" t="s">
        <v>23</v>
      </c>
      <c r="B4" s="148"/>
      <c r="C4" s="149">
        <v>100000000</v>
      </c>
      <c r="D4" s="150"/>
      <c r="E4" s="151" t="s">
        <v>122</v>
      </c>
      <c r="F4" s="152">
        <v>1</v>
      </c>
      <c r="G4" s="153"/>
      <c r="H4" s="151" t="s">
        <v>67</v>
      </c>
      <c r="I4" s="154" t="s">
        <v>71</v>
      </c>
      <c r="J4" s="154"/>
      <c r="K4" s="148" t="s">
        <v>161</v>
      </c>
      <c r="L4" s="155">
        <v>0.01</v>
      </c>
      <c r="M4" s="156"/>
      <c r="N4" s="148" t="s">
        <v>191</v>
      </c>
      <c r="O4" s="154">
        <v>0</v>
      </c>
      <c r="P4" s="157"/>
    </row>
    <row r="5" spans="1:16" x14ac:dyDescent="0.2">
      <c r="A5" s="162" t="s">
        <v>24</v>
      </c>
      <c r="B5" s="2"/>
      <c r="C5" s="163" t="s">
        <v>36</v>
      </c>
      <c r="D5" s="150"/>
      <c r="E5" s="151" t="s">
        <v>29</v>
      </c>
      <c r="F5" s="164" t="s">
        <v>43</v>
      </c>
      <c r="G5" s="165"/>
      <c r="H5" s="166" t="s">
        <v>76</v>
      </c>
      <c r="I5" s="154">
        <v>0.14672623383862757</v>
      </c>
      <c r="J5" s="154"/>
      <c r="K5" s="166" t="s">
        <v>142</v>
      </c>
      <c r="L5" s="164" t="s">
        <v>141</v>
      </c>
      <c r="M5" s="167"/>
      <c r="N5" s="168" t="s">
        <v>192</v>
      </c>
      <c r="O5" s="169">
        <v>11.127889343171526</v>
      </c>
      <c r="P5" s="157"/>
    </row>
    <row r="6" spans="1:16" x14ac:dyDescent="0.2">
      <c r="A6" s="147" t="s">
        <v>25</v>
      </c>
      <c r="B6" s="2"/>
      <c r="C6" s="152">
        <v>0.09</v>
      </c>
      <c r="D6" s="150"/>
      <c r="E6" s="151" t="s">
        <v>105</v>
      </c>
      <c r="F6" s="152">
        <v>5.0000000000000001E-3</v>
      </c>
      <c r="G6" s="153"/>
      <c r="H6" s="166" t="s">
        <v>77</v>
      </c>
      <c r="I6" s="170">
        <v>5</v>
      </c>
      <c r="J6" s="170"/>
      <c r="K6" s="291" t="s">
        <v>144</v>
      </c>
      <c r="L6" s="171">
        <v>3</v>
      </c>
      <c r="M6" s="167"/>
      <c r="N6" s="13" t="s">
        <v>193</v>
      </c>
      <c r="O6" s="169">
        <v>9.7420655726192873</v>
      </c>
      <c r="P6" s="172"/>
    </row>
    <row r="7" spans="1:16" x14ac:dyDescent="0.2">
      <c r="A7" s="147" t="s">
        <v>207</v>
      </c>
      <c r="B7" s="2"/>
      <c r="C7" s="163" t="s">
        <v>207</v>
      </c>
      <c r="D7" s="150"/>
      <c r="E7" s="151" t="s">
        <v>104</v>
      </c>
      <c r="F7" s="152">
        <v>0.01</v>
      </c>
      <c r="G7" s="153"/>
      <c r="H7" s="166" t="s">
        <v>80</v>
      </c>
      <c r="I7" s="154">
        <v>0.5</v>
      </c>
      <c r="J7" s="154"/>
      <c r="K7" s="291"/>
      <c r="L7" s="164"/>
      <c r="M7" s="167"/>
      <c r="N7" s="174" t="s">
        <v>194</v>
      </c>
      <c r="O7" s="175" t="s">
        <v>208</v>
      </c>
      <c r="P7" s="172"/>
    </row>
    <row r="8" spans="1:16" x14ac:dyDescent="0.2">
      <c r="A8" s="147" t="s">
        <v>26</v>
      </c>
      <c r="B8" s="2"/>
      <c r="C8" s="149">
        <v>360</v>
      </c>
      <c r="D8" s="150"/>
      <c r="E8" s="151"/>
      <c r="F8" s="152"/>
      <c r="G8" s="153"/>
      <c r="H8" s="166" t="s">
        <v>81</v>
      </c>
      <c r="I8" s="177">
        <v>5</v>
      </c>
      <c r="J8" s="177"/>
      <c r="K8" s="2"/>
      <c r="L8" s="178"/>
      <c r="M8" s="167"/>
      <c r="N8" s="179" t="s">
        <v>169</v>
      </c>
      <c r="O8" s="180">
        <v>0</v>
      </c>
      <c r="P8" s="172"/>
    </row>
    <row r="9" spans="1:16" x14ac:dyDescent="0.2">
      <c r="A9" s="182" t="s">
        <v>27</v>
      </c>
      <c r="B9" s="183"/>
      <c r="C9" s="184">
        <v>360</v>
      </c>
      <c r="D9" s="185"/>
      <c r="E9" s="186"/>
      <c r="F9" s="187"/>
      <c r="G9" s="188"/>
      <c r="H9" s="189"/>
      <c r="I9" s="190"/>
      <c r="J9" s="190"/>
      <c r="K9" s="183"/>
      <c r="L9" s="191"/>
      <c r="M9" s="183"/>
      <c r="N9" s="192" t="s">
        <v>195</v>
      </c>
      <c r="O9" s="193">
        <v>3</v>
      </c>
      <c r="P9" s="194"/>
    </row>
    <row r="10" spans="1:16" x14ac:dyDescent="0.2">
      <c r="A10" s="167"/>
      <c r="B10" s="2"/>
      <c r="C10" s="2"/>
      <c r="D10" s="19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72"/>
    </row>
    <row r="11" spans="1:16" x14ac:dyDescent="0.2">
      <c r="A11" s="292" t="s">
        <v>202</v>
      </c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3"/>
      <c r="O11" s="293"/>
      <c r="P11" s="294"/>
    </row>
    <row r="12" spans="1:16" x14ac:dyDescent="0.2">
      <c r="A12" s="167"/>
      <c r="B12" s="2"/>
      <c r="C12" s="2"/>
      <c r="D12" s="19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72"/>
    </row>
    <row r="13" spans="1:16" ht="51" x14ac:dyDescent="0.2">
      <c r="A13" s="244"/>
      <c r="B13" s="245"/>
      <c r="C13" s="246" t="s">
        <v>49</v>
      </c>
      <c r="D13" s="247"/>
      <c r="E13" s="248" t="s">
        <v>58</v>
      </c>
      <c r="F13" s="246" t="s">
        <v>62</v>
      </c>
      <c r="G13" s="247"/>
      <c r="H13" s="249" t="s">
        <v>61</v>
      </c>
      <c r="I13" s="246" t="s">
        <v>64</v>
      </c>
      <c r="J13" s="247"/>
      <c r="K13" s="248" t="s">
        <v>65</v>
      </c>
      <c r="L13" s="246" t="s">
        <v>110</v>
      </c>
      <c r="M13" s="247"/>
      <c r="N13" s="248" t="s">
        <v>128</v>
      </c>
      <c r="O13" s="246" t="s">
        <v>129</v>
      </c>
      <c r="P13" s="246" t="s">
        <v>127</v>
      </c>
    </row>
    <row r="14" spans="1:16" x14ac:dyDescent="0.2">
      <c r="A14" s="197" t="s">
        <v>196</v>
      </c>
      <c r="B14" s="71"/>
      <c r="C14" s="198"/>
      <c r="D14" s="199"/>
      <c r="E14" s="200">
        <v>14672623.383862758</v>
      </c>
      <c r="F14" s="198">
        <v>54599.857521050224</v>
      </c>
      <c r="G14" s="199"/>
      <c r="H14" s="200">
        <v>61186205.471796468</v>
      </c>
      <c r="I14" s="198">
        <v>0</v>
      </c>
      <c r="J14" s="199"/>
      <c r="K14" s="200">
        <v>0</v>
      </c>
      <c r="L14" s="198">
        <v>0</v>
      </c>
      <c r="M14" s="199"/>
      <c r="N14" s="200">
        <v>0</v>
      </c>
      <c r="O14" s="198">
        <v>0</v>
      </c>
      <c r="P14" s="198"/>
    </row>
    <row r="15" spans="1:16" x14ac:dyDescent="0.2">
      <c r="A15" s="201"/>
      <c r="B15" s="202" t="s">
        <v>40</v>
      </c>
      <c r="C15" s="203"/>
      <c r="D15" s="201"/>
      <c r="E15" s="204"/>
      <c r="F15" s="203"/>
      <c r="G15" s="201"/>
      <c r="H15" s="204"/>
      <c r="I15" s="203"/>
      <c r="J15" s="201"/>
      <c r="K15" s="204"/>
      <c r="L15" s="203"/>
      <c r="M15" s="201"/>
      <c r="N15" s="204"/>
      <c r="O15" s="203"/>
      <c r="P15" s="203"/>
    </row>
    <row r="16" spans="1:16" x14ac:dyDescent="0.2">
      <c r="A16" s="295" t="s">
        <v>201</v>
      </c>
      <c r="B16" s="209">
        <v>0</v>
      </c>
      <c r="C16" s="209">
        <v>100000000</v>
      </c>
      <c r="D16" s="210"/>
      <c r="E16" s="211">
        <v>0</v>
      </c>
      <c r="F16" s="210">
        <v>0</v>
      </c>
      <c r="G16" s="210"/>
      <c r="H16" s="211">
        <v>0</v>
      </c>
      <c r="I16" s="210">
        <v>0</v>
      </c>
      <c r="J16" s="210"/>
      <c r="K16" s="211">
        <v>0</v>
      </c>
      <c r="L16" s="210">
        <v>0</v>
      </c>
      <c r="M16" s="210"/>
      <c r="N16" s="211">
        <v>300000</v>
      </c>
      <c r="O16" s="210">
        <v>112939.3760569834</v>
      </c>
      <c r="P16" s="209">
        <v>100000000</v>
      </c>
    </row>
    <row r="17" spans="1:16" x14ac:dyDescent="0.2">
      <c r="A17" s="296"/>
      <c r="B17" s="212">
        <v>1</v>
      </c>
      <c r="C17" s="212">
        <v>99887060.623943001</v>
      </c>
      <c r="D17" s="213"/>
      <c r="E17" s="214">
        <v>41666.666666666672</v>
      </c>
      <c r="F17" s="213">
        <v>54599.857521050224</v>
      </c>
      <c r="G17" s="213"/>
      <c r="H17" s="214">
        <v>16672.851869266513</v>
      </c>
      <c r="I17" s="213">
        <v>749687.5</v>
      </c>
      <c r="J17" s="213"/>
      <c r="K17" s="214">
        <v>0</v>
      </c>
      <c r="L17" s="213">
        <v>208333.33333333331</v>
      </c>
      <c r="M17" s="213"/>
      <c r="N17" s="214">
        <v>317299.57199367363</v>
      </c>
      <c r="O17" s="213">
        <v>129982.41833237605</v>
      </c>
      <c r="P17" s="212">
        <v>99887060.623943016</v>
      </c>
    </row>
    <row r="18" spans="1:16" x14ac:dyDescent="0.2">
      <c r="A18" s="296"/>
      <c r="B18" s="212">
        <v>2</v>
      </c>
      <c r="C18" s="212">
        <v>99757078.205610618</v>
      </c>
      <c r="D18" s="213"/>
      <c r="E18" s="214">
        <v>41666.666666666672</v>
      </c>
      <c r="F18" s="213">
        <v>54977.233334938617</v>
      </c>
      <c r="G18" s="213"/>
      <c r="H18" s="214">
        <v>33338.518330770763</v>
      </c>
      <c r="I18" s="213">
        <v>748840.45467957249</v>
      </c>
      <c r="J18" s="213"/>
      <c r="K18" s="214">
        <v>0</v>
      </c>
      <c r="L18" s="213">
        <v>208098.04296654792</v>
      </c>
      <c r="M18" s="213"/>
      <c r="N18" s="214">
        <v>322082.35316651483</v>
      </c>
      <c r="O18" s="213">
        <v>236927.00818402081</v>
      </c>
      <c r="P18" s="212">
        <v>99757078.205610633</v>
      </c>
    </row>
    <row r="19" spans="1:16" x14ac:dyDescent="0.2">
      <c r="A19" s="296"/>
      <c r="B19" s="212">
        <v>3</v>
      </c>
      <c r="C19" s="212">
        <v>99610075.137414888</v>
      </c>
      <c r="D19" s="213"/>
      <c r="E19" s="214">
        <v>41666.666666666672</v>
      </c>
      <c r="F19" s="213">
        <v>55347.930286745337</v>
      </c>
      <c r="G19" s="213"/>
      <c r="H19" s="214">
        <v>49988.471242314576</v>
      </c>
      <c r="I19" s="213">
        <v>747865.58654207957</v>
      </c>
      <c r="J19" s="213"/>
      <c r="K19" s="214">
        <v>0</v>
      </c>
      <c r="L19" s="213">
        <v>207827.24626168879</v>
      </c>
      <c r="M19" s="213"/>
      <c r="N19" s="214">
        <v>326500.73604095733</v>
      </c>
      <c r="O19" s="213">
        <v>254449.86208343756</v>
      </c>
      <c r="P19" s="212">
        <v>99520151.197426617</v>
      </c>
    </row>
    <row r="20" spans="1:16" x14ac:dyDescent="0.2">
      <c r="A20" s="296"/>
      <c r="B20" s="212">
        <v>4</v>
      </c>
      <c r="C20" s="212">
        <v>99446082.548793599</v>
      </c>
      <c r="D20" s="213"/>
      <c r="E20" s="214">
        <v>41666.666666666672</v>
      </c>
      <c r="F20" s="213">
        <v>55711.755739844302</v>
      </c>
      <c r="G20" s="213"/>
      <c r="H20" s="214">
        <v>66614.166214785146</v>
      </c>
      <c r="I20" s="213">
        <v>746763.06353061157</v>
      </c>
      <c r="J20" s="213"/>
      <c r="K20" s="214">
        <v>0</v>
      </c>
      <c r="L20" s="213">
        <v>207483.52156128589</v>
      </c>
      <c r="M20" s="213"/>
      <c r="N20" s="214">
        <v>330836.03826714295</v>
      </c>
      <c r="O20" s="213">
        <v>271807.80506985821</v>
      </c>
      <c r="P20" s="212">
        <v>99265701.335343182</v>
      </c>
    </row>
    <row r="21" spans="1:16" x14ac:dyDescent="0.2">
      <c r="A21" s="296"/>
      <c r="B21" s="212">
        <v>5</v>
      </c>
      <c r="C21" s="212">
        <v>99265140.313638896</v>
      </c>
      <c r="D21" s="213"/>
      <c r="E21" s="214">
        <v>41666.666666666672</v>
      </c>
      <c r="F21" s="213">
        <v>56068.518694579652</v>
      </c>
      <c r="G21" s="213"/>
      <c r="H21" s="214">
        <v>83207.049793454731</v>
      </c>
      <c r="I21" s="213">
        <v>745533.11911595194</v>
      </c>
      <c r="J21" s="213"/>
      <c r="K21" s="214">
        <v>0</v>
      </c>
      <c r="L21" s="213">
        <v>207104.17980438229</v>
      </c>
      <c r="M21" s="213"/>
      <c r="N21" s="214">
        <v>335086.08010884764</v>
      </c>
      <c r="O21" s="213">
        <v>309829.48712911463</v>
      </c>
      <c r="P21" s="212">
        <v>98993893.530273318</v>
      </c>
    </row>
    <row r="22" spans="1:16" x14ac:dyDescent="0.2">
      <c r="A22" s="296"/>
      <c r="B22" s="212">
        <v>6</v>
      </c>
      <c r="C22" s="212">
        <v>99067297.050346449</v>
      </c>
      <c r="D22" s="213"/>
      <c r="E22" s="214">
        <v>41666.666666666672</v>
      </c>
      <c r="F22" s="213">
        <v>56418.029939799599</v>
      </c>
      <c r="G22" s="213"/>
      <c r="H22" s="214">
        <v>99758.566685967337</v>
      </c>
      <c r="I22" s="213">
        <v>744176.05235229165</v>
      </c>
      <c r="J22" s="213"/>
      <c r="K22" s="214">
        <v>20833.333333333336</v>
      </c>
      <c r="L22" s="213">
        <v>206689.35616034537</v>
      </c>
      <c r="M22" s="213"/>
      <c r="N22" s="214">
        <v>339177.12811628659</v>
      </c>
      <c r="O22" s="213">
        <v>326923.82629629294</v>
      </c>
      <c r="P22" s="212">
        <v>98684064.043144196</v>
      </c>
    </row>
    <row r="23" spans="1:16" x14ac:dyDescent="0.2">
      <c r="A23" s="296"/>
      <c r="B23" s="212">
        <v>7</v>
      </c>
      <c r="C23" s="212">
        <v>98852610.114446446</v>
      </c>
      <c r="D23" s="213"/>
      <c r="E23" s="214">
        <v>41666.666666666672</v>
      </c>
      <c r="F23" s="213">
        <v>56760.102204509858</v>
      </c>
      <c r="G23" s="213"/>
      <c r="H23" s="214">
        <v>116260.16702881329</v>
      </c>
      <c r="I23" s="213">
        <v>742692.22787759826</v>
      </c>
      <c r="J23" s="213"/>
      <c r="K23" s="214">
        <v>20833.333333333336</v>
      </c>
      <c r="L23" s="213">
        <v>206230.52176855414</v>
      </c>
      <c r="M23" s="213"/>
      <c r="N23" s="214">
        <v>343176.25864493375</v>
      </c>
      <c r="O23" s="213">
        <v>343841.64460149041</v>
      </c>
      <c r="P23" s="212">
        <v>98357140.216847897</v>
      </c>
    </row>
    <row r="24" spans="1:16" x14ac:dyDescent="0.2">
      <c r="A24" s="296"/>
      <c r="B24" s="212">
        <v>8</v>
      </c>
      <c r="C24" s="212">
        <v>98621145.583786234</v>
      </c>
      <c r="D24" s="213"/>
      <c r="E24" s="214">
        <v>41666.666666666672</v>
      </c>
      <c r="F24" s="213">
        <v>57094.550309765531</v>
      </c>
      <c r="G24" s="213"/>
      <c r="H24" s="214">
        <v>132703.31368378282</v>
      </c>
      <c r="I24" s="213">
        <v>741082.07585834828</v>
      </c>
      <c r="J24" s="213"/>
      <c r="K24" s="214">
        <v>20833.333333333336</v>
      </c>
      <c r="L24" s="213">
        <v>205736.49194776401</v>
      </c>
      <c r="M24" s="213"/>
      <c r="N24" s="214">
        <v>347081.42579408659</v>
      </c>
      <c r="O24" s="213">
        <v>360578.25025224249</v>
      </c>
      <c r="P24" s="212">
        <v>98013298.572246403</v>
      </c>
    </row>
    <row r="25" spans="1:16" x14ac:dyDescent="0.2">
      <c r="A25" s="296"/>
      <c r="B25" s="212">
        <v>9</v>
      </c>
      <c r="C25" s="212">
        <v>98372978.23624301</v>
      </c>
      <c r="D25" s="213"/>
      <c r="E25" s="214">
        <v>41666.666666666672</v>
      </c>
      <c r="F25" s="213">
        <v>57421.191320574406</v>
      </c>
      <c r="G25" s="213"/>
      <c r="H25" s="214">
        <v>149079.48955597763</v>
      </c>
      <c r="I25" s="213">
        <v>739346.09187839669</v>
      </c>
      <c r="J25" s="213"/>
      <c r="K25" s="214">
        <v>20833.333333333336</v>
      </c>
      <c r="L25" s="213">
        <v>205207.45037807969</v>
      </c>
      <c r="M25" s="213"/>
      <c r="N25" s="214">
        <v>350890.63729700551</v>
      </c>
      <c r="O25" s="213">
        <v>377128.95457268681</v>
      </c>
      <c r="P25" s="212">
        <v>97652720.321994156</v>
      </c>
    </row>
    <row r="26" spans="1:16" x14ac:dyDescent="0.2">
      <c r="A26" s="297"/>
      <c r="B26" s="220">
        <v>10</v>
      </c>
      <c r="C26" s="220">
        <v>98108191.5199541</v>
      </c>
      <c r="D26" s="221"/>
      <c r="E26" s="222">
        <v>41666.666666666672</v>
      </c>
      <c r="F26" s="221">
        <v>57739.844697299261</v>
      </c>
      <c r="G26" s="221"/>
      <c r="H26" s="222">
        <v>165380.20492494822</v>
      </c>
      <c r="I26" s="221">
        <v>737484.83677182253</v>
      </c>
      <c r="J26" s="221"/>
      <c r="K26" s="222">
        <v>20833.333333333336</v>
      </c>
      <c r="L26" s="221">
        <v>204643.59719456924</v>
      </c>
      <c r="M26" s="221"/>
      <c r="N26" s="222">
        <v>354601.95573137375</v>
      </c>
      <c r="O26" s="221">
        <v>393489.07837848424</v>
      </c>
      <c r="P26" s="220">
        <v>97275591.367421463</v>
      </c>
    </row>
    <row r="27" spans="1:16" x14ac:dyDescent="0.2">
      <c r="A27" s="223"/>
      <c r="B27" s="224"/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5"/>
    </row>
    <row r="28" spans="1:16" x14ac:dyDescent="0.2">
      <c r="A28" s="295" t="s">
        <v>200</v>
      </c>
      <c r="B28" s="227">
        <v>350</v>
      </c>
      <c r="C28" s="228">
        <v>95953.598707618876</v>
      </c>
      <c r="D28" s="229"/>
      <c r="E28" s="230">
        <v>41666.666666666672</v>
      </c>
      <c r="F28" s="228">
        <v>9273.3550031567975</v>
      </c>
      <c r="G28" s="231"/>
      <c r="H28" s="230">
        <v>692.58327178056436</v>
      </c>
      <c r="I28" s="228">
        <v>794.39652736917174</v>
      </c>
      <c r="J28" s="231"/>
      <c r="K28" s="230">
        <v>20833.333333333336</v>
      </c>
      <c r="L28" s="228">
        <v>245.97700608203817</v>
      </c>
      <c r="M28" s="231"/>
      <c r="N28" s="230">
        <v>366748.05169991194</v>
      </c>
      <c r="O28" s="228">
        <v>424875.82315272931</v>
      </c>
      <c r="P28" s="228">
        <v>0</v>
      </c>
    </row>
    <row r="29" spans="1:16" x14ac:dyDescent="0.2">
      <c r="A29" s="296"/>
      <c r="B29" s="203">
        <v>351</v>
      </c>
      <c r="C29" s="233">
        <v>48593.163367874899</v>
      </c>
      <c r="D29" s="234"/>
      <c r="E29" s="235">
        <v>41666.666666666672</v>
      </c>
      <c r="F29" s="233">
        <v>5247.9844253181845</v>
      </c>
      <c r="G29" s="236"/>
      <c r="H29" s="235">
        <v>445.7842477591185</v>
      </c>
      <c r="I29" s="233">
        <v>407.15199030714149</v>
      </c>
      <c r="J29" s="236"/>
      <c r="K29" s="235">
        <v>20833.333333333336</v>
      </c>
      <c r="L29" s="233">
        <v>159.92266451269811</v>
      </c>
      <c r="M29" s="236"/>
      <c r="N29" s="235">
        <v>375137.80632141605</v>
      </c>
      <c r="O29" s="233">
        <v>439837.151095537</v>
      </c>
      <c r="P29" s="233">
        <v>0</v>
      </c>
    </row>
    <row r="30" spans="1:16" x14ac:dyDescent="0.2">
      <c r="A30" s="296"/>
      <c r="B30" s="203">
        <v>352</v>
      </c>
      <c r="C30" s="233">
        <v>5956.7171961590238</v>
      </c>
      <c r="D30" s="234"/>
      <c r="E30" s="235">
        <v>41666.666666666672</v>
      </c>
      <c r="F30" s="233">
        <v>746.80992744953812</v>
      </c>
      <c r="G30" s="236"/>
      <c r="H30" s="235">
        <v>222.96957759966548</v>
      </c>
      <c r="I30" s="233">
        <v>51.948725259061703</v>
      </c>
      <c r="J30" s="236"/>
      <c r="K30" s="235">
        <v>20833.333333333336</v>
      </c>
      <c r="L30" s="233">
        <v>80.988605613124832</v>
      </c>
      <c r="M30" s="236"/>
      <c r="N30" s="235">
        <v>383379.05146815674</v>
      </c>
      <c r="O30" s="233">
        <v>454536.82490946888</v>
      </c>
      <c r="P30" s="233">
        <v>0</v>
      </c>
    </row>
    <row r="31" spans="1:16" x14ac:dyDescent="0.2">
      <c r="A31" s="296"/>
      <c r="B31" s="203">
        <v>353</v>
      </c>
      <c r="C31" s="233">
        <v>0</v>
      </c>
      <c r="D31" s="234"/>
      <c r="E31" s="235">
        <v>5956.7171961590238</v>
      </c>
      <c r="F31" s="233">
        <v>0</v>
      </c>
      <c r="G31" s="236"/>
      <c r="H31" s="235">
        <v>0</v>
      </c>
      <c r="I31" s="233">
        <v>0</v>
      </c>
      <c r="J31" s="236"/>
      <c r="K31" s="235">
        <v>20833.333333333336</v>
      </c>
      <c r="L31" s="233">
        <v>9.9278619935983716</v>
      </c>
      <c r="M31" s="236"/>
      <c r="N31" s="235">
        <v>391468.18819204258</v>
      </c>
      <c r="O31" s="233">
        <v>468973.69719932618</v>
      </c>
      <c r="P31" s="233">
        <v>0</v>
      </c>
    </row>
    <row r="32" spans="1:16" x14ac:dyDescent="0.2">
      <c r="A32" s="296"/>
      <c r="B32" s="203">
        <v>354</v>
      </c>
      <c r="C32" s="233">
        <v>0</v>
      </c>
      <c r="D32" s="234"/>
      <c r="E32" s="235">
        <v>0</v>
      </c>
      <c r="F32" s="233">
        <v>0</v>
      </c>
      <c r="G32" s="236"/>
      <c r="H32" s="235">
        <v>0</v>
      </c>
      <c r="I32" s="233">
        <v>0</v>
      </c>
      <c r="J32" s="236"/>
      <c r="K32" s="235">
        <v>20833.333333333336</v>
      </c>
      <c r="L32" s="233">
        <v>0</v>
      </c>
      <c r="M32" s="236"/>
      <c r="N32" s="235">
        <v>399401.7314075355</v>
      </c>
      <c r="O32" s="233">
        <v>483146.59708727512</v>
      </c>
      <c r="P32" s="233">
        <v>0</v>
      </c>
    </row>
    <row r="33" spans="1:16" x14ac:dyDescent="0.2">
      <c r="A33" s="296"/>
      <c r="B33" s="203">
        <v>355</v>
      </c>
      <c r="C33" s="233">
        <v>0</v>
      </c>
      <c r="D33" s="234"/>
      <c r="E33" s="235">
        <v>0</v>
      </c>
      <c r="F33" s="233">
        <v>0</v>
      </c>
      <c r="G33" s="236"/>
      <c r="H33" s="235">
        <v>0</v>
      </c>
      <c r="I33" s="233">
        <v>0</v>
      </c>
      <c r="J33" s="236"/>
      <c r="K33" s="235">
        <v>20833.333333333336</v>
      </c>
      <c r="L33" s="233">
        <v>0</v>
      </c>
      <c r="M33" s="236"/>
      <c r="N33" s="235">
        <v>407176.31059075455</v>
      </c>
      <c r="O33" s="233">
        <v>497054.3367850908</v>
      </c>
      <c r="P33" s="233">
        <v>0</v>
      </c>
    </row>
    <row r="34" spans="1:16" x14ac:dyDescent="0.2">
      <c r="A34" s="296"/>
      <c r="B34" s="203">
        <v>356</v>
      </c>
      <c r="C34" s="233">
        <v>0</v>
      </c>
      <c r="D34" s="234"/>
      <c r="E34" s="235">
        <v>0</v>
      </c>
      <c r="F34" s="233">
        <v>0</v>
      </c>
      <c r="G34" s="236"/>
      <c r="H34" s="235">
        <v>0</v>
      </c>
      <c r="I34" s="233">
        <v>0</v>
      </c>
      <c r="J34" s="236"/>
      <c r="K34" s="235">
        <v>20833.333333333336</v>
      </c>
      <c r="L34" s="233">
        <v>0</v>
      </c>
      <c r="M34" s="236"/>
      <c r="N34" s="235">
        <v>414788.67046416318</v>
      </c>
      <c r="O34" s="233">
        <v>510695.71806773217</v>
      </c>
      <c r="P34" s="233">
        <v>0</v>
      </c>
    </row>
    <row r="35" spans="1:16" x14ac:dyDescent="0.2">
      <c r="A35" s="296"/>
      <c r="B35" s="203">
        <v>357</v>
      </c>
      <c r="C35" s="233">
        <v>0</v>
      </c>
      <c r="D35" s="234"/>
      <c r="E35" s="235">
        <v>0</v>
      </c>
      <c r="F35" s="233">
        <v>0</v>
      </c>
      <c r="G35" s="236"/>
      <c r="H35" s="235">
        <v>0</v>
      </c>
      <c r="I35" s="233">
        <v>0</v>
      </c>
      <c r="J35" s="236"/>
      <c r="K35" s="235">
        <v>20833.333333333336</v>
      </c>
      <c r="L35" s="233">
        <v>0</v>
      </c>
      <c r="M35" s="236"/>
      <c r="N35" s="235">
        <v>422235.67166249512</v>
      </c>
      <c r="O35" s="233">
        <v>524069.53864388005</v>
      </c>
      <c r="P35" s="233">
        <v>0</v>
      </c>
    </row>
    <row r="36" spans="1:16" x14ac:dyDescent="0.2">
      <c r="A36" s="296"/>
      <c r="B36" s="203">
        <v>358</v>
      </c>
      <c r="C36" s="233">
        <v>0</v>
      </c>
      <c r="D36" s="234"/>
      <c r="E36" s="235">
        <v>0</v>
      </c>
      <c r="F36" s="233">
        <v>0</v>
      </c>
      <c r="G36" s="236"/>
      <c r="H36" s="235">
        <v>0</v>
      </c>
      <c r="I36" s="233">
        <v>0</v>
      </c>
      <c r="J36" s="236"/>
      <c r="K36" s="235">
        <v>2978.3585980795119</v>
      </c>
      <c r="L36" s="233">
        <v>0</v>
      </c>
      <c r="M36" s="236"/>
      <c r="N36" s="235">
        <v>429514.29137567757</v>
      </c>
      <c r="O36" s="233">
        <v>537174.59841964592</v>
      </c>
      <c r="P36" s="233">
        <v>0</v>
      </c>
    </row>
    <row r="37" spans="1:16" x14ac:dyDescent="0.2">
      <c r="A37" s="296"/>
      <c r="B37" s="203">
        <v>359</v>
      </c>
      <c r="C37" s="233">
        <v>0</v>
      </c>
      <c r="D37" s="234"/>
      <c r="E37" s="235">
        <v>0</v>
      </c>
      <c r="F37" s="233">
        <v>0</v>
      </c>
      <c r="G37" s="236"/>
      <c r="H37" s="235">
        <v>0</v>
      </c>
      <c r="I37" s="233">
        <v>0</v>
      </c>
      <c r="J37" s="236"/>
      <c r="K37" s="235">
        <v>0</v>
      </c>
      <c r="L37" s="233">
        <v>0</v>
      </c>
      <c r="M37" s="236"/>
      <c r="N37" s="235">
        <v>436621.62396461028</v>
      </c>
      <c r="O37" s="233">
        <v>550009.70565088117</v>
      </c>
      <c r="P37" s="233">
        <v>0</v>
      </c>
    </row>
    <row r="38" spans="1:16" x14ac:dyDescent="0.2">
      <c r="A38" s="297"/>
      <c r="B38" s="238">
        <v>360</v>
      </c>
      <c r="C38" s="239">
        <v>0</v>
      </c>
      <c r="D38" s="240"/>
      <c r="E38" s="241">
        <v>0</v>
      </c>
      <c r="F38" s="239">
        <v>0</v>
      </c>
      <c r="G38" s="242"/>
      <c r="H38" s="241">
        <v>0</v>
      </c>
      <c r="I38" s="239">
        <v>0</v>
      </c>
      <c r="J38" s="242"/>
      <c r="K38" s="241">
        <v>0</v>
      </c>
      <c r="L38" s="239">
        <v>0</v>
      </c>
      <c r="M38" s="242"/>
      <c r="N38" s="241">
        <v>443554.88154577452</v>
      </c>
      <c r="O38" s="239">
        <v>562573.68298061623</v>
      </c>
      <c r="P38" s="239">
        <v>0</v>
      </c>
    </row>
  </sheetData>
  <mergeCells count="8">
    <mergeCell ref="A16:A26"/>
    <mergeCell ref="A28:A38"/>
    <mergeCell ref="K1:P1"/>
    <mergeCell ref="A3:C3"/>
    <mergeCell ref="E3:F3"/>
    <mergeCell ref="H3:L3"/>
    <mergeCell ref="K6:K7"/>
    <mergeCell ref="A11:P11"/>
  </mergeCells>
  <phoneticPr fontId="0" type="noConversion"/>
  <conditionalFormatting sqref="O9">
    <cfRule type="cellIs" dxfId="3" priority="1" stopIfTrue="1" operator="equal">
      <formula>1000</formula>
    </cfRule>
  </conditionalFormatting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P38"/>
  <sheetViews>
    <sheetView workbookViewId="0"/>
  </sheetViews>
  <sheetFormatPr defaultRowHeight="12.75" x14ac:dyDescent="0.2"/>
  <sheetData>
    <row r="1" spans="1:16" ht="19.5" thickBot="1" x14ac:dyDescent="0.35">
      <c r="A1" s="5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298" t="s">
        <v>189</v>
      </c>
      <c r="L1" s="298"/>
      <c r="M1" s="298"/>
      <c r="N1" s="298"/>
      <c r="O1" s="298"/>
      <c r="P1" s="298"/>
    </row>
    <row r="2" spans="1:16" x14ac:dyDescent="0.2">
      <c r="A2" s="14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41"/>
    </row>
    <row r="3" spans="1:16" x14ac:dyDescent="0.2">
      <c r="A3" s="299" t="s">
        <v>20</v>
      </c>
      <c r="B3" s="300"/>
      <c r="C3" s="301"/>
      <c r="D3" s="142"/>
      <c r="E3" s="300" t="s">
        <v>100</v>
      </c>
      <c r="F3" s="301"/>
      <c r="G3" s="142"/>
      <c r="H3" s="300" t="s">
        <v>108</v>
      </c>
      <c r="I3" s="300"/>
      <c r="J3" s="300"/>
      <c r="K3" s="300"/>
      <c r="L3" s="301"/>
      <c r="M3" s="142"/>
      <c r="N3" s="143" t="s">
        <v>190</v>
      </c>
      <c r="O3" s="144"/>
      <c r="P3" s="145"/>
    </row>
    <row r="4" spans="1:16" x14ac:dyDescent="0.2">
      <c r="A4" s="147" t="s">
        <v>23</v>
      </c>
      <c r="B4" s="148"/>
      <c r="C4" s="149">
        <v>100000000</v>
      </c>
      <c r="D4" s="150"/>
      <c r="E4" s="151" t="s">
        <v>122</v>
      </c>
      <c r="F4" s="152">
        <v>0.99137238379038439</v>
      </c>
      <c r="G4" s="153"/>
      <c r="H4" s="151" t="s">
        <v>67</v>
      </c>
      <c r="I4" s="154" t="s">
        <v>71</v>
      </c>
      <c r="J4" s="154"/>
      <c r="K4" s="148" t="s">
        <v>161</v>
      </c>
      <c r="L4" s="155">
        <v>0.01</v>
      </c>
      <c r="M4" s="156"/>
      <c r="N4" s="148" t="s">
        <v>191</v>
      </c>
      <c r="O4" s="154">
        <v>8.6276162096156073E-3</v>
      </c>
      <c r="P4" s="157"/>
    </row>
    <row r="5" spans="1:16" x14ac:dyDescent="0.2">
      <c r="A5" s="162" t="s">
        <v>24</v>
      </c>
      <c r="B5" s="2"/>
      <c r="C5" s="163" t="s">
        <v>36</v>
      </c>
      <c r="D5" s="150"/>
      <c r="E5" s="151" t="s">
        <v>29</v>
      </c>
      <c r="F5" s="164" t="s">
        <v>43</v>
      </c>
      <c r="G5" s="165"/>
      <c r="H5" s="166" t="s">
        <v>76</v>
      </c>
      <c r="I5" s="154">
        <v>0.22855228059396304</v>
      </c>
      <c r="J5" s="154"/>
      <c r="K5" s="166" t="s">
        <v>142</v>
      </c>
      <c r="L5" s="164" t="s">
        <v>141</v>
      </c>
      <c r="M5" s="167"/>
      <c r="N5" s="168" t="s">
        <v>192</v>
      </c>
      <c r="O5" s="169">
        <v>10.507690943431964</v>
      </c>
      <c r="P5" s="157"/>
    </row>
    <row r="6" spans="1:16" x14ac:dyDescent="0.2">
      <c r="A6" s="147" t="s">
        <v>25</v>
      </c>
      <c r="B6" s="2"/>
      <c r="C6" s="152">
        <v>0.09</v>
      </c>
      <c r="D6" s="150"/>
      <c r="E6" s="151" t="s">
        <v>105</v>
      </c>
      <c r="F6" s="152">
        <v>5.0000000000000001E-3</v>
      </c>
      <c r="G6" s="153"/>
      <c r="H6" s="166" t="s">
        <v>77</v>
      </c>
      <c r="I6" s="170">
        <v>5</v>
      </c>
      <c r="J6" s="170"/>
      <c r="K6" s="291" t="s">
        <v>144</v>
      </c>
      <c r="L6" s="171">
        <v>3</v>
      </c>
      <c r="M6" s="167"/>
      <c r="N6" s="13" t="s">
        <v>193</v>
      </c>
      <c r="O6" s="169">
        <v>9.6880727465594365</v>
      </c>
      <c r="P6" s="172"/>
    </row>
    <row r="7" spans="1:16" x14ac:dyDescent="0.2">
      <c r="A7" s="147" t="s">
        <v>207</v>
      </c>
      <c r="B7" s="2"/>
      <c r="C7" s="163" t="s">
        <v>207</v>
      </c>
      <c r="D7" s="150"/>
      <c r="E7" s="151" t="s">
        <v>104</v>
      </c>
      <c r="F7" s="152">
        <v>0.01</v>
      </c>
      <c r="G7" s="153"/>
      <c r="H7" s="166" t="s">
        <v>80</v>
      </c>
      <c r="I7" s="154">
        <v>0.5</v>
      </c>
      <c r="J7" s="154"/>
      <c r="K7" s="291"/>
      <c r="L7" s="164"/>
      <c r="M7" s="167"/>
      <c r="N7" s="174" t="s">
        <v>194</v>
      </c>
      <c r="O7" s="175" t="s">
        <v>208</v>
      </c>
      <c r="P7" s="172"/>
    </row>
    <row r="8" spans="1:16" x14ac:dyDescent="0.2">
      <c r="A8" s="147" t="s">
        <v>26</v>
      </c>
      <c r="B8" s="2"/>
      <c r="C8" s="149">
        <v>360</v>
      </c>
      <c r="D8" s="150"/>
      <c r="E8" s="151"/>
      <c r="F8" s="152"/>
      <c r="G8" s="153"/>
      <c r="H8" s="166" t="s">
        <v>81</v>
      </c>
      <c r="I8" s="177">
        <v>5</v>
      </c>
      <c r="J8" s="177"/>
      <c r="K8" s="2"/>
      <c r="L8" s="178"/>
      <c r="M8" s="167"/>
      <c r="N8" s="179" t="s">
        <v>169</v>
      </c>
      <c r="O8" s="180">
        <v>0</v>
      </c>
      <c r="P8" s="172"/>
    </row>
    <row r="9" spans="1:16" x14ac:dyDescent="0.2">
      <c r="A9" s="182" t="s">
        <v>27</v>
      </c>
      <c r="B9" s="183"/>
      <c r="C9" s="184">
        <v>360</v>
      </c>
      <c r="D9" s="185"/>
      <c r="E9" s="186"/>
      <c r="F9" s="187"/>
      <c r="G9" s="188"/>
      <c r="H9" s="189"/>
      <c r="I9" s="190"/>
      <c r="J9" s="190"/>
      <c r="K9" s="183"/>
      <c r="L9" s="191"/>
      <c r="M9" s="183"/>
      <c r="N9" s="192" t="s">
        <v>195</v>
      </c>
      <c r="O9" s="193">
        <v>3</v>
      </c>
      <c r="P9" s="194"/>
    </row>
    <row r="10" spans="1:16" x14ac:dyDescent="0.2">
      <c r="A10" s="167"/>
      <c r="B10" s="2"/>
      <c r="C10" s="2"/>
      <c r="D10" s="19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72"/>
    </row>
    <row r="11" spans="1:16" x14ac:dyDescent="0.2">
      <c r="A11" s="292" t="s">
        <v>202</v>
      </c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3"/>
      <c r="O11" s="293"/>
      <c r="P11" s="294"/>
    </row>
    <row r="12" spans="1:16" x14ac:dyDescent="0.2">
      <c r="A12" s="167"/>
      <c r="B12" s="2"/>
      <c r="C12" s="2"/>
      <c r="D12" s="19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72"/>
    </row>
    <row r="13" spans="1:16" ht="51" x14ac:dyDescent="0.2">
      <c r="A13" s="244"/>
      <c r="B13" s="245"/>
      <c r="C13" s="246" t="s">
        <v>49</v>
      </c>
      <c r="D13" s="247"/>
      <c r="E13" s="248" t="s">
        <v>58</v>
      </c>
      <c r="F13" s="246" t="s">
        <v>62</v>
      </c>
      <c r="G13" s="247"/>
      <c r="H13" s="249" t="s">
        <v>61</v>
      </c>
      <c r="I13" s="246" t="s">
        <v>64</v>
      </c>
      <c r="J13" s="247"/>
      <c r="K13" s="248" t="s">
        <v>65</v>
      </c>
      <c r="L13" s="246" t="s">
        <v>110</v>
      </c>
      <c r="M13" s="247"/>
      <c r="N13" s="248" t="s">
        <v>128</v>
      </c>
      <c r="O13" s="246" t="s">
        <v>129</v>
      </c>
      <c r="P13" s="246" t="s">
        <v>127</v>
      </c>
    </row>
    <row r="14" spans="1:16" x14ac:dyDescent="0.2">
      <c r="A14" s="197" t="s">
        <v>196</v>
      </c>
      <c r="B14" s="71"/>
      <c r="C14" s="198"/>
      <c r="D14" s="199"/>
      <c r="E14" s="200">
        <v>22855228.059396304</v>
      </c>
      <c r="F14" s="198">
        <v>54584.684571898892</v>
      </c>
      <c r="G14" s="199"/>
      <c r="H14" s="200">
        <v>57400474.531501204</v>
      </c>
      <c r="I14" s="198">
        <v>0</v>
      </c>
      <c r="J14" s="199"/>
      <c r="K14" s="200">
        <v>0</v>
      </c>
      <c r="L14" s="198">
        <v>0</v>
      </c>
      <c r="M14" s="199"/>
      <c r="N14" s="200">
        <v>0</v>
      </c>
      <c r="O14" s="198">
        <v>0</v>
      </c>
      <c r="P14" s="198"/>
    </row>
    <row r="15" spans="1:16" x14ac:dyDescent="0.2">
      <c r="A15" s="201"/>
      <c r="B15" s="202" t="s">
        <v>40</v>
      </c>
      <c r="C15" s="203"/>
      <c r="D15" s="201"/>
      <c r="E15" s="204"/>
      <c r="F15" s="203"/>
      <c r="G15" s="201"/>
      <c r="H15" s="204"/>
      <c r="I15" s="203"/>
      <c r="J15" s="201"/>
      <c r="K15" s="204"/>
      <c r="L15" s="203"/>
      <c r="M15" s="201"/>
      <c r="N15" s="204"/>
      <c r="O15" s="203"/>
      <c r="P15" s="203"/>
    </row>
    <row r="16" spans="1:16" x14ac:dyDescent="0.2">
      <c r="A16" s="295" t="s">
        <v>201</v>
      </c>
      <c r="B16" s="209">
        <v>0</v>
      </c>
      <c r="C16" s="209">
        <v>100000000</v>
      </c>
      <c r="D16" s="210"/>
      <c r="E16" s="211">
        <v>0</v>
      </c>
      <c r="F16" s="210">
        <v>0</v>
      </c>
      <c r="G16" s="210"/>
      <c r="H16" s="211">
        <v>0</v>
      </c>
      <c r="I16" s="210">
        <v>0</v>
      </c>
      <c r="J16" s="210"/>
      <c r="K16" s="211">
        <v>0</v>
      </c>
      <c r="L16" s="210">
        <v>0</v>
      </c>
      <c r="M16" s="210"/>
      <c r="N16" s="211">
        <v>297411.71513711527</v>
      </c>
      <c r="O16" s="210">
        <v>139488.05819459615</v>
      </c>
      <c r="P16" s="209">
        <v>99137238.379038438</v>
      </c>
    </row>
    <row r="17" spans="1:16" x14ac:dyDescent="0.2">
      <c r="A17" s="296"/>
      <c r="B17" s="212">
        <v>1</v>
      </c>
      <c r="C17" s="212">
        <v>99859298.01911439</v>
      </c>
      <c r="D17" s="213"/>
      <c r="E17" s="214">
        <v>69444.444444444453</v>
      </c>
      <c r="F17" s="213">
        <v>54584.684571898892</v>
      </c>
      <c r="G17" s="213"/>
      <c r="H17" s="214">
        <v>16672.851869266513</v>
      </c>
      <c r="I17" s="213">
        <v>749479.16666666663</v>
      </c>
      <c r="J17" s="213"/>
      <c r="K17" s="214">
        <v>0</v>
      </c>
      <c r="L17" s="213">
        <v>207973.84932459934</v>
      </c>
      <c r="M17" s="213"/>
      <c r="N17" s="214">
        <v>314474.60370668722</v>
      </c>
      <c r="O17" s="213">
        <v>156359.59752450295</v>
      </c>
      <c r="P17" s="212">
        <v>98997750.320843846</v>
      </c>
    </row>
    <row r="18" spans="1:16" x14ac:dyDescent="0.2">
      <c r="A18" s="296"/>
      <c r="B18" s="212">
        <v>2</v>
      </c>
      <c r="C18" s="212">
        <v>99701577.670957536</v>
      </c>
      <c r="D18" s="213"/>
      <c r="E18" s="214">
        <v>69444.444444444453</v>
      </c>
      <c r="F18" s="213">
        <v>54946.65148781435</v>
      </c>
      <c r="G18" s="213"/>
      <c r="H18" s="214">
        <v>33329.252224588367</v>
      </c>
      <c r="I18" s="213">
        <v>748423.90181002452</v>
      </c>
      <c r="J18" s="213"/>
      <c r="K18" s="214">
        <v>0</v>
      </c>
      <c r="L18" s="213">
        <v>207681.22599887557</v>
      </c>
      <c r="M18" s="213"/>
      <c r="N18" s="214">
        <v>319125.903515357</v>
      </c>
      <c r="O18" s="213">
        <v>239658.87203362823</v>
      </c>
      <c r="P18" s="212">
        <v>98841390.723319337</v>
      </c>
    </row>
    <row r="19" spans="1:16" x14ac:dyDescent="0.2">
      <c r="A19" s="296"/>
      <c r="B19" s="212">
        <v>3</v>
      </c>
      <c r="C19" s="212">
        <v>99526870.860784382</v>
      </c>
      <c r="D19" s="213"/>
      <c r="E19" s="214">
        <v>69444.444444444453</v>
      </c>
      <c r="F19" s="213">
        <v>55301.705915209539</v>
      </c>
      <c r="G19" s="213"/>
      <c r="H19" s="214">
        <v>49960.659813488237</v>
      </c>
      <c r="I19" s="213">
        <v>747240.99919884815</v>
      </c>
      <c r="J19" s="213"/>
      <c r="K19" s="214">
        <v>0</v>
      </c>
      <c r="L19" s="213">
        <v>207353.20891964561</v>
      </c>
      <c r="M19" s="213"/>
      <c r="N19" s="214">
        <v>323487.63177110557</v>
      </c>
      <c r="O19" s="213">
        <v>257034.20860588714</v>
      </c>
      <c r="P19" s="212">
        <v>98601731.851285711</v>
      </c>
    </row>
    <row r="20" spans="1:16" x14ac:dyDescent="0.2">
      <c r="A20" s="296"/>
      <c r="B20" s="212">
        <v>4</v>
      </c>
      <c r="C20" s="212">
        <v>99335218.235246584</v>
      </c>
      <c r="D20" s="213"/>
      <c r="E20" s="214">
        <v>69444.444444444453</v>
      </c>
      <c r="F20" s="213">
        <v>55649.657678806034</v>
      </c>
      <c r="G20" s="213"/>
      <c r="H20" s="214">
        <v>66558.523414540294</v>
      </c>
      <c r="I20" s="213">
        <v>745930.69812254945</v>
      </c>
      <c r="J20" s="213"/>
      <c r="K20" s="214">
        <v>0</v>
      </c>
      <c r="L20" s="213">
        <v>206962.17303934298</v>
      </c>
      <c r="M20" s="213"/>
      <c r="N20" s="214">
        <v>327766.48646011145</v>
      </c>
      <c r="O20" s="213">
        <v>274235.10552840575</v>
      </c>
      <c r="P20" s="212">
        <v>98344697.642679825</v>
      </c>
    </row>
    <row r="21" spans="1:16" x14ac:dyDescent="0.2">
      <c r="A21" s="296"/>
      <c r="B21" s="212">
        <v>5</v>
      </c>
      <c r="C21" s="212">
        <v>99126669.18337217</v>
      </c>
      <c r="D21" s="213"/>
      <c r="E21" s="214">
        <v>69444.444444444453</v>
      </c>
      <c r="F21" s="213">
        <v>55990.3183790271</v>
      </c>
      <c r="G21" s="213"/>
      <c r="H21" s="214">
        <v>83114.289050937834</v>
      </c>
      <c r="I21" s="213">
        <v>744493.30343101604</v>
      </c>
      <c r="J21" s="213"/>
      <c r="K21" s="214">
        <v>0</v>
      </c>
      <c r="L21" s="213">
        <v>206535.6544098609</v>
      </c>
      <c r="M21" s="213"/>
      <c r="N21" s="214">
        <v>331960.34314971283</v>
      </c>
      <c r="O21" s="213">
        <v>325979.10645962745</v>
      </c>
      <c r="P21" s="212">
        <v>98070462.537151426</v>
      </c>
    </row>
    <row r="22" spans="1:16" x14ac:dyDescent="0.2">
      <c r="A22" s="296"/>
      <c r="B22" s="212">
        <v>6</v>
      </c>
      <c r="C22" s="212">
        <v>98901281.830140039</v>
      </c>
      <c r="D22" s="213"/>
      <c r="E22" s="214">
        <v>69444.444444444453</v>
      </c>
      <c r="F22" s="213">
        <v>56323.501543173566</v>
      </c>
      <c r="G22" s="213"/>
      <c r="H22" s="214">
        <v>99619.407244504313</v>
      </c>
      <c r="I22" s="213">
        <v>742929.18554195785</v>
      </c>
      <c r="J22" s="213"/>
      <c r="K22" s="214">
        <v>34722.222222222226</v>
      </c>
      <c r="L22" s="213">
        <v>206073.80802943336</v>
      </c>
      <c r="M22" s="213"/>
      <c r="N22" s="214">
        <v>335947.78955128771</v>
      </c>
      <c r="O22" s="213">
        <v>342950.88406598108</v>
      </c>
      <c r="P22" s="212">
        <v>97744483.430691794</v>
      </c>
    </row>
    <row r="23" spans="1:16" x14ac:dyDescent="0.2">
      <c r="A23" s="296"/>
      <c r="B23" s="212">
        <v>7</v>
      </c>
      <c r="C23" s="212">
        <v>98659123.022617117</v>
      </c>
      <c r="D23" s="213"/>
      <c r="E23" s="214">
        <v>69444.444444444453</v>
      </c>
      <c r="F23" s="213">
        <v>56649.022776593243</v>
      </c>
      <c r="G23" s="213"/>
      <c r="H23" s="214">
        <v>116065.34030187925</v>
      </c>
      <c r="I23" s="213">
        <v>741238.78039271687</v>
      </c>
      <c r="J23" s="213"/>
      <c r="K23" s="214">
        <v>34722.222222222226</v>
      </c>
      <c r="L23" s="213">
        <v>205562.33781302164</v>
      </c>
      <c r="M23" s="213"/>
      <c r="N23" s="214">
        <v>339842.06384955638</v>
      </c>
      <c r="O23" s="213">
        <v>359738.29565739969</v>
      </c>
      <c r="P23" s="212">
        <v>97401532.546625808</v>
      </c>
    </row>
    <row r="24" spans="1:16" x14ac:dyDescent="0.2">
      <c r="A24" s="296"/>
      <c r="B24" s="212">
        <v>8</v>
      </c>
      <c r="C24" s="212">
        <v>98400268.3086344</v>
      </c>
      <c r="D24" s="213"/>
      <c r="E24" s="214">
        <v>69444.444444444453</v>
      </c>
      <c r="F24" s="213">
        <v>56966.699913961515</v>
      </c>
      <c r="G24" s="213"/>
      <c r="H24" s="214">
        <v>132443.56962430818</v>
      </c>
      <c r="I24" s="213">
        <v>739422.58933629503</v>
      </c>
      <c r="J24" s="213"/>
      <c r="K24" s="214">
        <v>34722.222222222226</v>
      </c>
      <c r="L24" s="213">
        <v>205015.84359878924</v>
      </c>
      <c r="M24" s="213"/>
      <c r="N24" s="214">
        <v>343641.16707505431</v>
      </c>
      <c r="O24" s="213">
        <v>376336.68254876597</v>
      </c>
      <c r="P24" s="212">
        <v>97041794.250968412</v>
      </c>
    </row>
    <row r="25" spans="1:16" x14ac:dyDescent="0.2">
      <c r="A25" s="296"/>
      <c r="B25" s="212">
        <v>9</v>
      </c>
      <c r="C25" s="212">
        <v>98124801.907986954</v>
      </c>
      <c r="D25" s="213"/>
      <c r="E25" s="214">
        <v>69444.444444444453</v>
      </c>
      <c r="F25" s="213">
        <v>57276.353170444774</v>
      </c>
      <c r="G25" s="213"/>
      <c r="H25" s="214">
        <v>148745.60303256285</v>
      </c>
      <c r="I25" s="213">
        <v>737481.17898142466</v>
      </c>
      <c r="J25" s="213"/>
      <c r="K25" s="214">
        <v>34722.222222222226</v>
      </c>
      <c r="L25" s="213">
        <v>204434.52811896085</v>
      </c>
      <c r="M25" s="213"/>
      <c r="N25" s="214">
        <v>347343.15540772391</v>
      </c>
      <c r="O25" s="213">
        <v>392741.39401852019</v>
      </c>
      <c r="P25" s="212">
        <v>96665457.56841965</v>
      </c>
    </row>
    <row r="26" spans="1:16" x14ac:dyDescent="0.2">
      <c r="A26" s="297"/>
      <c r="B26" s="220">
        <v>10</v>
      </c>
      <c r="C26" s="220">
        <v>97832816.676151752</v>
      </c>
      <c r="D26" s="221"/>
      <c r="E26" s="222">
        <v>69444.444444444453</v>
      </c>
      <c r="F26" s="221">
        <v>57577.805292234465</v>
      </c>
      <c r="G26" s="221"/>
      <c r="H26" s="222">
        <v>164962.98209851369</v>
      </c>
      <c r="I26" s="221">
        <v>735415.18097656872</v>
      </c>
      <c r="J26" s="221"/>
      <c r="K26" s="222">
        <v>34722.222222222226</v>
      </c>
      <c r="L26" s="221">
        <v>203818.6105001531</v>
      </c>
      <c r="M26" s="221"/>
      <c r="N26" s="222">
        <v>350946.14136108366</v>
      </c>
      <c r="O26" s="221">
        <v>408947.79366682557</v>
      </c>
      <c r="P26" s="220">
        <v>96272716.174401134</v>
      </c>
    </row>
    <row r="27" spans="1:16" x14ac:dyDescent="0.2">
      <c r="A27" s="223"/>
      <c r="B27" s="224"/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5"/>
    </row>
    <row r="28" spans="1:16" x14ac:dyDescent="0.2">
      <c r="A28" s="295" t="s">
        <v>200</v>
      </c>
      <c r="B28" s="227">
        <v>350</v>
      </c>
      <c r="C28" s="228">
        <v>0</v>
      </c>
      <c r="D28" s="229"/>
      <c r="E28" s="230">
        <v>0</v>
      </c>
      <c r="F28" s="228">
        <v>0</v>
      </c>
      <c r="G28" s="231"/>
      <c r="H28" s="230">
        <v>0</v>
      </c>
      <c r="I28" s="228">
        <v>0</v>
      </c>
      <c r="J28" s="231"/>
      <c r="K28" s="230">
        <v>0</v>
      </c>
      <c r="L28" s="228">
        <v>0</v>
      </c>
      <c r="M28" s="231"/>
      <c r="N28" s="230">
        <v>362818.6164973969</v>
      </c>
      <c r="O28" s="228">
        <v>440057.92631706496</v>
      </c>
      <c r="P28" s="228">
        <v>9.9998951836823835E-3</v>
      </c>
    </row>
    <row r="29" spans="1:16" x14ac:dyDescent="0.2">
      <c r="A29" s="296"/>
      <c r="B29" s="203">
        <v>351</v>
      </c>
      <c r="C29" s="233">
        <v>0</v>
      </c>
      <c r="D29" s="234"/>
      <c r="E29" s="235">
        <v>0</v>
      </c>
      <c r="F29" s="233">
        <v>0</v>
      </c>
      <c r="G29" s="236"/>
      <c r="H29" s="235">
        <v>0</v>
      </c>
      <c r="I29" s="233">
        <v>0</v>
      </c>
      <c r="J29" s="236"/>
      <c r="K29" s="235">
        <v>0</v>
      </c>
      <c r="L29" s="233">
        <v>0</v>
      </c>
      <c r="M29" s="236"/>
      <c r="N29" s="235">
        <v>371041.4037011622</v>
      </c>
      <c r="O29" s="233">
        <v>454898.2843484194</v>
      </c>
      <c r="P29" s="233">
        <v>9.9998951836823835E-3</v>
      </c>
    </row>
    <row r="30" spans="1:16" x14ac:dyDescent="0.2">
      <c r="A30" s="296"/>
      <c r="B30" s="203">
        <v>352</v>
      </c>
      <c r="C30" s="233">
        <v>0</v>
      </c>
      <c r="D30" s="234"/>
      <c r="E30" s="235">
        <v>0</v>
      </c>
      <c r="F30" s="233">
        <v>0</v>
      </c>
      <c r="G30" s="236"/>
      <c r="H30" s="235">
        <v>0</v>
      </c>
      <c r="I30" s="233">
        <v>0</v>
      </c>
      <c r="J30" s="236"/>
      <c r="K30" s="235">
        <v>0</v>
      </c>
      <c r="L30" s="233">
        <v>0</v>
      </c>
      <c r="M30" s="236"/>
      <c r="N30" s="235">
        <v>379113.00357126887</v>
      </c>
      <c r="O30" s="233">
        <v>469471.2816593186</v>
      </c>
      <c r="P30" s="233">
        <v>9.9998951836823835E-3</v>
      </c>
    </row>
    <row r="31" spans="1:16" x14ac:dyDescent="0.2">
      <c r="A31" s="296"/>
      <c r="B31" s="203">
        <v>353</v>
      </c>
      <c r="C31" s="233">
        <v>0</v>
      </c>
      <c r="D31" s="234"/>
      <c r="E31" s="235">
        <v>0</v>
      </c>
      <c r="F31" s="233">
        <v>0</v>
      </c>
      <c r="G31" s="236"/>
      <c r="H31" s="235">
        <v>0</v>
      </c>
      <c r="I31" s="233">
        <v>0</v>
      </c>
      <c r="J31" s="236"/>
      <c r="K31" s="235">
        <v>0</v>
      </c>
      <c r="L31" s="233">
        <v>0</v>
      </c>
      <c r="M31" s="236"/>
      <c r="N31" s="235">
        <v>387029.87844011624</v>
      </c>
      <c r="O31" s="233">
        <v>483775.83376655966</v>
      </c>
      <c r="P31" s="233">
        <v>9.9998951836823835E-3</v>
      </c>
    </row>
    <row r="32" spans="1:16" x14ac:dyDescent="0.2">
      <c r="A32" s="296"/>
      <c r="B32" s="203">
        <v>354</v>
      </c>
      <c r="C32" s="233">
        <v>0</v>
      </c>
      <c r="D32" s="234"/>
      <c r="E32" s="235">
        <v>0</v>
      </c>
      <c r="F32" s="233">
        <v>0</v>
      </c>
      <c r="G32" s="236"/>
      <c r="H32" s="235">
        <v>0</v>
      </c>
      <c r="I32" s="233">
        <v>0</v>
      </c>
      <c r="J32" s="236"/>
      <c r="K32" s="235">
        <v>0</v>
      </c>
      <c r="L32" s="233">
        <v>0</v>
      </c>
      <c r="M32" s="236"/>
      <c r="N32" s="235">
        <v>394788.60661502479</v>
      </c>
      <c r="O32" s="233">
        <v>497810.83651314146</v>
      </c>
      <c r="P32" s="233">
        <v>9.9998951836823835E-3</v>
      </c>
    </row>
    <row r="33" spans="1:16" x14ac:dyDescent="0.2">
      <c r="A33" s="296"/>
      <c r="B33" s="203">
        <v>355</v>
      </c>
      <c r="C33" s="233">
        <v>0</v>
      </c>
      <c r="D33" s="234"/>
      <c r="E33" s="235">
        <v>0</v>
      </c>
      <c r="F33" s="233">
        <v>0</v>
      </c>
      <c r="G33" s="236"/>
      <c r="H33" s="235">
        <v>0</v>
      </c>
      <c r="I33" s="233">
        <v>0</v>
      </c>
      <c r="J33" s="236"/>
      <c r="K33" s="235">
        <v>0</v>
      </c>
      <c r="L33" s="233">
        <v>0</v>
      </c>
      <c r="M33" s="236"/>
      <c r="N33" s="235">
        <v>402385.88302811008</v>
      </c>
      <c r="O33" s="233">
        <v>511575.17260059057</v>
      </c>
      <c r="P33" s="233">
        <v>9.9998951836823835E-3</v>
      </c>
    </row>
    <row r="34" spans="1:16" x14ac:dyDescent="0.2">
      <c r="A34" s="296"/>
      <c r="B34" s="203">
        <v>356</v>
      </c>
      <c r="C34" s="233">
        <v>0</v>
      </c>
      <c r="D34" s="234"/>
      <c r="E34" s="235">
        <v>0</v>
      </c>
      <c r="F34" s="233">
        <v>0</v>
      </c>
      <c r="G34" s="236"/>
      <c r="H34" s="235">
        <v>0</v>
      </c>
      <c r="I34" s="233">
        <v>0</v>
      </c>
      <c r="J34" s="236"/>
      <c r="K34" s="235">
        <v>0</v>
      </c>
      <c r="L34" s="233">
        <v>0</v>
      </c>
      <c r="M34" s="236"/>
      <c r="N34" s="235">
        <v>409818.5198695361</v>
      </c>
      <c r="O34" s="233">
        <v>525067.71801851084</v>
      </c>
      <c r="P34" s="233">
        <v>9.9998951836823835E-3</v>
      </c>
    </row>
    <row r="35" spans="1:16" x14ac:dyDescent="0.2">
      <c r="A35" s="296"/>
      <c r="B35" s="203">
        <v>357</v>
      </c>
      <c r="C35" s="233">
        <v>0</v>
      </c>
      <c r="D35" s="234"/>
      <c r="E35" s="235">
        <v>0</v>
      </c>
      <c r="F35" s="233">
        <v>0</v>
      </c>
      <c r="G35" s="236"/>
      <c r="H35" s="235">
        <v>0</v>
      </c>
      <c r="I35" s="233">
        <v>0</v>
      </c>
      <c r="J35" s="236"/>
      <c r="K35" s="235">
        <v>0</v>
      </c>
      <c r="L35" s="233">
        <v>0</v>
      </c>
      <c r="M35" s="236"/>
      <c r="N35" s="235">
        <v>417083.44719985139</v>
      </c>
      <c r="O35" s="233">
        <v>538287.34836700768</v>
      </c>
      <c r="P35" s="233">
        <v>9.9998951836823835E-3</v>
      </c>
    </row>
    <row r="36" spans="1:16" x14ac:dyDescent="0.2">
      <c r="A36" s="296"/>
      <c r="B36" s="203">
        <v>358</v>
      </c>
      <c r="C36" s="233">
        <v>0</v>
      </c>
      <c r="D36" s="234"/>
      <c r="E36" s="235">
        <v>0</v>
      </c>
      <c r="F36" s="233">
        <v>0</v>
      </c>
      <c r="G36" s="236"/>
      <c r="H36" s="235">
        <v>0</v>
      </c>
      <c r="I36" s="233">
        <v>0</v>
      </c>
      <c r="J36" s="236"/>
      <c r="K36" s="235">
        <v>0</v>
      </c>
      <c r="L36" s="233">
        <v>0</v>
      </c>
      <c r="M36" s="236"/>
      <c r="N36" s="235">
        <v>424177.71353721671</v>
      </c>
      <c r="O36" s="233">
        <v>551232.94506824086</v>
      </c>
      <c r="P36" s="233">
        <v>9.9998951836823835E-3</v>
      </c>
    </row>
    <row r="37" spans="1:16" x14ac:dyDescent="0.2">
      <c r="A37" s="296"/>
      <c r="B37" s="203">
        <v>359</v>
      </c>
      <c r="C37" s="233">
        <v>0</v>
      </c>
      <c r="D37" s="234"/>
      <c r="E37" s="235">
        <v>0</v>
      </c>
      <c r="F37" s="233">
        <v>0</v>
      </c>
      <c r="G37" s="236"/>
      <c r="H37" s="235">
        <v>0</v>
      </c>
      <c r="I37" s="233">
        <v>0</v>
      </c>
      <c r="J37" s="236"/>
      <c r="K37" s="235">
        <v>0</v>
      </c>
      <c r="L37" s="233">
        <v>0</v>
      </c>
      <c r="M37" s="236"/>
      <c r="N37" s="235">
        <v>431098.48641543882</v>
      </c>
      <c r="O37" s="233">
        <v>563903.40146258543</v>
      </c>
      <c r="P37" s="233">
        <v>9.9998951836823835E-3</v>
      </c>
    </row>
    <row r="38" spans="1:16" x14ac:dyDescent="0.2">
      <c r="A38" s="297"/>
      <c r="B38" s="238">
        <v>360</v>
      </c>
      <c r="C38" s="239">
        <v>0</v>
      </c>
      <c r="D38" s="240"/>
      <c r="E38" s="241">
        <v>0</v>
      </c>
      <c r="F38" s="239">
        <v>0</v>
      </c>
      <c r="G38" s="242"/>
      <c r="H38" s="241">
        <v>0</v>
      </c>
      <c r="I38" s="239">
        <v>0</v>
      </c>
      <c r="J38" s="242"/>
      <c r="K38" s="241">
        <v>0</v>
      </c>
      <c r="L38" s="239">
        <v>0</v>
      </c>
      <c r="M38" s="242"/>
      <c r="N38" s="241">
        <v>437843.05290883972</v>
      </c>
      <c r="O38" s="239">
        <v>576297.62878596387</v>
      </c>
      <c r="P38" s="239">
        <v>9.9998951836823835E-3</v>
      </c>
    </row>
  </sheetData>
  <mergeCells count="8">
    <mergeCell ref="A16:A26"/>
    <mergeCell ref="A28:A38"/>
    <mergeCell ref="K1:P1"/>
    <mergeCell ref="A3:C3"/>
    <mergeCell ref="E3:F3"/>
    <mergeCell ref="H3:L3"/>
    <mergeCell ref="K6:K7"/>
    <mergeCell ref="A11:P11"/>
  </mergeCells>
  <phoneticPr fontId="0" type="noConversion"/>
  <conditionalFormatting sqref="O9">
    <cfRule type="cellIs" dxfId="2" priority="1" stopIfTrue="1" operator="equal">
      <formula>1000</formula>
    </cfRule>
  </conditionalFormatting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38"/>
  <sheetViews>
    <sheetView workbookViewId="0"/>
  </sheetViews>
  <sheetFormatPr defaultRowHeight="12.75" x14ac:dyDescent="0.2"/>
  <sheetData>
    <row r="1" spans="1:16" ht="19.5" thickBot="1" x14ac:dyDescent="0.35">
      <c r="A1" s="5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298" t="s">
        <v>189</v>
      </c>
      <c r="L1" s="298"/>
      <c r="M1" s="298"/>
      <c r="N1" s="298"/>
      <c r="O1" s="298"/>
      <c r="P1" s="298"/>
    </row>
    <row r="2" spans="1:16" x14ac:dyDescent="0.2">
      <c r="A2" s="14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41"/>
    </row>
    <row r="3" spans="1:16" x14ac:dyDescent="0.2">
      <c r="A3" s="299" t="s">
        <v>20</v>
      </c>
      <c r="B3" s="300"/>
      <c r="C3" s="301"/>
      <c r="D3" s="142"/>
      <c r="E3" s="300" t="s">
        <v>100</v>
      </c>
      <c r="F3" s="301"/>
      <c r="G3" s="142"/>
      <c r="H3" s="300" t="s">
        <v>108</v>
      </c>
      <c r="I3" s="300"/>
      <c r="J3" s="300"/>
      <c r="K3" s="300"/>
      <c r="L3" s="301"/>
      <c r="M3" s="142"/>
      <c r="N3" s="143" t="s">
        <v>190</v>
      </c>
      <c r="O3" s="144"/>
      <c r="P3" s="145"/>
    </row>
    <row r="4" spans="1:16" x14ac:dyDescent="0.2">
      <c r="A4" s="147" t="s">
        <v>23</v>
      </c>
      <c r="B4" s="148"/>
      <c r="C4" s="149">
        <v>100000000</v>
      </c>
      <c r="D4" s="150"/>
      <c r="E4" s="151" t="s">
        <v>122</v>
      </c>
      <c r="F4" s="152">
        <v>0.95017038653356756</v>
      </c>
      <c r="G4" s="153"/>
      <c r="H4" s="151" t="s">
        <v>67</v>
      </c>
      <c r="I4" s="154" t="s">
        <v>71</v>
      </c>
      <c r="J4" s="154"/>
      <c r="K4" s="148" t="s">
        <v>161</v>
      </c>
      <c r="L4" s="155">
        <v>0.01</v>
      </c>
      <c r="M4" s="156"/>
      <c r="N4" s="148" t="s">
        <v>191</v>
      </c>
      <c r="O4" s="154">
        <v>4.9829613466432443E-2</v>
      </c>
      <c r="P4" s="157"/>
    </row>
    <row r="5" spans="1:16" x14ac:dyDescent="0.2">
      <c r="A5" s="162" t="s">
        <v>24</v>
      </c>
      <c r="B5" s="2"/>
      <c r="C5" s="163" t="s">
        <v>36</v>
      </c>
      <c r="D5" s="150"/>
      <c r="E5" s="151" t="s">
        <v>29</v>
      </c>
      <c r="F5" s="164" t="s">
        <v>43</v>
      </c>
      <c r="G5" s="165"/>
      <c r="H5" s="166" t="s">
        <v>76</v>
      </c>
      <c r="I5" s="154">
        <v>0.29543926831521877</v>
      </c>
      <c r="J5" s="154"/>
      <c r="K5" s="166" t="s">
        <v>142</v>
      </c>
      <c r="L5" s="164" t="s">
        <v>141</v>
      </c>
      <c r="M5" s="167"/>
      <c r="N5" s="168" t="s">
        <v>192</v>
      </c>
      <c r="O5" s="169">
        <v>9.9231341440706071</v>
      </c>
      <c r="P5" s="157"/>
    </row>
    <row r="6" spans="1:16" x14ac:dyDescent="0.2">
      <c r="A6" s="147" t="s">
        <v>25</v>
      </c>
      <c r="B6" s="2"/>
      <c r="C6" s="152">
        <v>0.09</v>
      </c>
      <c r="D6" s="150"/>
      <c r="E6" s="151" t="s">
        <v>105</v>
      </c>
      <c r="F6" s="152">
        <v>5.0000000000000001E-3</v>
      </c>
      <c r="G6" s="153"/>
      <c r="H6" s="166" t="s">
        <v>77</v>
      </c>
      <c r="I6" s="170">
        <v>5</v>
      </c>
      <c r="J6" s="170"/>
      <c r="K6" s="291" t="s">
        <v>144</v>
      </c>
      <c r="L6" s="171">
        <v>3</v>
      </c>
      <c r="M6" s="167"/>
      <c r="N6" s="13" t="s">
        <v>193</v>
      </c>
      <c r="O6" s="169">
        <v>8.9087255116439827</v>
      </c>
      <c r="P6" s="172"/>
    </row>
    <row r="7" spans="1:16" x14ac:dyDescent="0.2">
      <c r="A7" s="147" t="s">
        <v>207</v>
      </c>
      <c r="B7" s="2"/>
      <c r="C7" s="163" t="s">
        <v>207</v>
      </c>
      <c r="D7" s="150"/>
      <c r="E7" s="151" t="s">
        <v>104</v>
      </c>
      <c r="F7" s="152">
        <v>0.01</v>
      </c>
      <c r="G7" s="153"/>
      <c r="H7" s="166" t="s">
        <v>80</v>
      </c>
      <c r="I7" s="154">
        <v>0.3</v>
      </c>
      <c r="J7" s="154"/>
      <c r="K7" s="291"/>
      <c r="L7" s="164"/>
      <c r="M7" s="167"/>
      <c r="N7" s="174" t="s">
        <v>194</v>
      </c>
      <c r="O7" s="175" t="s">
        <v>208</v>
      </c>
      <c r="P7" s="172"/>
    </row>
    <row r="8" spans="1:16" x14ac:dyDescent="0.2">
      <c r="A8" s="147" t="s">
        <v>26</v>
      </c>
      <c r="B8" s="2"/>
      <c r="C8" s="149">
        <v>360</v>
      </c>
      <c r="D8" s="150"/>
      <c r="E8" s="151"/>
      <c r="F8" s="152"/>
      <c r="G8" s="153"/>
      <c r="H8" s="166" t="s">
        <v>81</v>
      </c>
      <c r="I8" s="177">
        <v>5</v>
      </c>
      <c r="J8" s="177"/>
      <c r="K8" s="2"/>
      <c r="L8" s="178"/>
      <c r="M8" s="167"/>
      <c r="N8" s="179" t="s">
        <v>169</v>
      </c>
      <c r="O8" s="180">
        <v>0</v>
      </c>
      <c r="P8" s="172"/>
    </row>
    <row r="9" spans="1:16" x14ac:dyDescent="0.2">
      <c r="A9" s="182" t="s">
        <v>27</v>
      </c>
      <c r="B9" s="183"/>
      <c r="C9" s="184">
        <v>360</v>
      </c>
      <c r="D9" s="185"/>
      <c r="E9" s="186"/>
      <c r="F9" s="187"/>
      <c r="G9" s="188"/>
      <c r="H9" s="189"/>
      <c r="I9" s="190"/>
      <c r="J9" s="190"/>
      <c r="K9" s="183"/>
      <c r="L9" s="191"/>
      <c r="M9" s="183"/>
      <c r="N9" s="192" t="s">
        <v>195</v>
      </c>
      <c r="O9" s="193">
        <v>3</v>
      </c>
      <c r="P9" s="194"/>
    </row>
    <row r="10" spans="1:16" x14ac:dyDescent="0.2">
      <c r="A10" s="167"/>
      <c r="B10" s="2"/>
      <c r="C10" s="2"/>
      <c r="D10" s="19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72"/>
    </row>
    <row r="11" spans="1:16" x14ac:dyDescent="0.2">
      <c r="A11" s="292" t="s">
        <v>202</v>
      </c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3"/>
      <c r="O11" s="293"/>
      <c r="P11" s="294"/>
    </row>
    <row r="12" spans="1:16" x14ac:dyDescent="0.2">
      <c r="A12" s="167"/>
      <c r="B12" s="2"/>
      <c r="C12" s="2"/>
      <c r="D12" s="19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72"/>
    </row>
    <row r="13" spans="1:16" ht="51" x14ac:dyDescent="0.2">
      <c r="A13" s="244"/>
      <c r="B13" s="245"/>
      <c r="C13" s="246" t="s">
        <v>49</v>
      </c>
      <c r="D13" s="247"/>
      <c r="E13" s="248" t="s">
        <v>58</v>
      </c>
      <c r="F13" s="246" t="s">
        <v>62</v>
      </c>
      <c r="G13" s="247"/>
      <c r="H13" s="249" t="s">
        <v>61</v>
      </c>
      <c r="I13" s="246" t="s">
        <v>64</v>
      </c>
      <c r="J13" s="247"/>
      <c r="K13" s="248" t="s">
        <v>65</v>
      </c>
      <c r="L13" s="246" t="s">
        <v>110</v>
      </c>
      <c r="M13" s="247"/>
      <c r="N13" s="248" t="s">
        <v>128</v>
      </c>
      <c r="O13" s="246" t="s">
        <v>129</v>
      </c>
      <c r="P13" s="246" t="s">
        <v>127</v>
      </c>
    </row>
    <row r="14" spans="1:16" x14ac:dyDescent="0.2">
      <c r="A14" s="197" t="s">
        <v>196</v>
      </c>
      <c r="B14" s="71"/>
      <c r="C14" s="198"/>
      <c r="D14" s="199"/>
      <c r="E14" s="200">
        <v>29543926.83152188</v>
      </c>
      <c r="F14" s="198">
        <v>54569.511622747566</v>
      </c>
      <c r="G14" s="199"/>
      <c r="H14" s="200">
        <v>53827725.883575127</v>
      </c>
      <c r="I14" s="198">
        <v>0</v>
      </c>
      <c r="J14" s="199"/>
      <c r="K14" s="200">
        <v>0</v>
      </c>
      <c r="L14" s="198">
        <v>0</v>
      </c>
      <c r="M14" s="199"/>
      <c r="N14" s="200">
        <v>0</v>
      </c>
      <c r="O14" s="198">
        <v>0</v>
      </c>
      <c r="P14" s="198"/>
    </row>
    <row r="15" spans="1:16" x14ac:dyDescent="0.2">
      <c r="A15" s="201"/>
      <c r="B15" s="202" t="s">
        <v>40</v>
      </c>
      <c r="C15" s="203"/>
      <c r="D15" s="201"/>
      <c r="E15" s="204"/>
      <c r="F15" s="203"/>
      <c r="G15" s="201"/>
      <c r="H15" s="204"/>
      <c r="I15" s="203"/>
      <c r="J15" s="201"/>
      <c r="K15" s="204"/>
      <c r="L15" s="203"/>
      <c r="M15" s="201"/>
      <c r="N15" s="204"/>
      <c r="O15" s="203"/>
      <c r="P15" s="203"/>
    </row>
    <row r="16" spans="1:16" x14ac:dyDescent="0.2">
      <c r="A16" s="295" t="s">
        <v>201</v>
      </c>
      <c r="B16" s="209">
        <v>0</v>
      </c>
      <c r="C16" s="209">
        <v>100000000</v>
      </c>
      <c r="D16" s="210"/>
      <c r="E16" s="211">
        <v>0</v>
      </c>
      <c r="F16" s="210">
        <v>0</v>
      </c>
      <c r="G16" s="210"/>
      <c r="H16" s="211">
        <v>0</v>
      </c>
      <c r="I16" s="210">
        <v>0</v>
      </c>
      <c r="J16" s="210"/>
      <c r="K16" s="211">
        <v>0</v>
      </c>
      <c r="L16" s="210">
        <v>0</v>
      </c>
      <c r="M16" s="210"/>
      <c r="N16" s="211">
        <v>285051.11596007022</v>
      </c>
      <c r="O16" s="210">
        <v>160070.06052531322</v>
      </c>
      <c r="P16" s="209">
        <v>95017038.653356761</v>
      </c>
    </row>
    <row r="17" spans="1:16" x14ac:dyDescent="0.2">
      <c r="A17" s="296"/>
      <c r="B17" s="212">
        <v>1</v>
      </c>
      <c r="C17" s="212">
        <v>99831535.414285764</v>
      </c>
      <c r="D17" s="213"/>
      <c r="E17" s="214">
        <v>97222.222222222234</v>
      </c>
      <c r="F17" s="213">
        <v>54569.511622747566</v>
      </c>
      <c r="G17" s="213"/>
      <c r="H17" s="214">
        <v>16672.851869266513</v>
      </c>
      <c r="I17" s="213">
        <v>749270.83333333326</v>
      </c>
      <c r="J17" s="213"/>
      <c r="K17" s="214">
        <v>0</v>
      </c>
      <c r="L17" s="213">
        <v>206257.09943889864</v>
      </c>
      <c r="M17" s="213"/>
      <c r="N17" s="214">
        <v>301321.06548251183</v>
      </c>
      <c r="O17" s="213">
        <v>176216.96367535903</v>
      </c>
      <c r="P17" s="212">
        <v>94856968.592831448</v>
      </c>
    </row>
    <row r="18" spans="1:16" x14ac:dyDescent="0.2">
      <c r="A18" s="296"/>
      <c r="B18" s="212">
        <v>2</v>
      </c>
      <c r="C18" s="212">
        <v>99646077.136304438</v>
      </c>
      <c r="D18" s="213"/>
      <c r="E18" s="214">
        <v>97222.222222222234</v>
      </c>
      <c r="F18" s="213">
        <v>54916.069640690082</v>
      </c>
      <c r="G18" s="213"/>
      <c r="H18" s="214">
        <v>33319.986118405977</v>
      </c>
      <c r="I18" s="213">
        <v>748007.34894047654</v>
      </c>
      <c r="J18" s="213"/>
      <c r="K18" s="214">
        <v>0</v>
      </c>
      <c r="L18" s="213">
        <v>205909.62927082268</v>
      </c>
      <c r="M18" s="213"/>
      <c r="N18" s="214">
        <v>305692.58676000196</v>
      </c>
      <c r="O18" s="213">
        <v>254219.66615904612</v>
      </c>
      <c r="P18" s="212">
        <v>94680751.629156083</v>
      </c>
    </row>
    <row r="19" spans="1:16" x14ac:dyDescent="0.2">
      <c r="A19" s="296"/>
      <c r="B19" s="212">
        <v>3</v>
      </c>
      <c r="C19" s="212">
        <v>99443666.584153876</v>
      </c>
      <c r="D19" s="213"/>
      <c r="E19" s="214">
        <v>97222.222222222234</v>
      </c>
      <c r="F19" s="213">
        <v>55255.481543673734</v>
      </c>
      <c r="G19" s="213"/>
      <c r="H19" s="214">
        <v>49932.848384661898</v>
      </c>
      <c r="I19" s="213">
        <v>746616.41185561661</v>
      </c>
      <c r="J19" s="213"/>
      <c r="K19" s="214">
        <v>0</v>
      </c>
      <c r="L19" s="213">
        <v>205527.1084059891</v>
      </c>
      <c r="M19" s="213"/>
      <c r="N19" s="214">
        <v>309789.84473760251</v>
      </c>
      <c r="O19" s="213">
        <v>271660.22978454921</v>
      </c>
      <c r="P19" s="212">
        <v>94426531.962997034</v>
      </c>
    </row>
    <row r="20" spans="1:16" x14ac:dyDescent="0.2">
      <c r="A20" s="296"/>
      <c r="B20" s="212">
        <v>4</v>
      </c>
      <c r="C20" s="212">
        <v>99224353.921699584</v>
      </c>
      <c r="D20" s="213"/>
      <c r="E20" s="214">
        <v>97222.222222222234</v>
      </c>
      <c r="F20" s="213">
        <v>55587.559617767758</v>
      </c>
      <c r="G20" s="213"/>
      <c r="H20" s="214">
        <v>66502.880614295456</v>
      </c>
      <c r="I20" s="213">
        <v>745098.33271448733</v>
      </c>
      <c r="J20" s="213"/>
      <c r="K20" s="214">
        <v>0</v>
      </c>
      <c r="L20" s="213">
        <v>205083.83262483854</v>
      </c>
      <c r="M20" s="213"/>
      <c r="N20" s="214">
        <v>313802.49500817503</v>
      </c>
      <c r="O20" s="213">
        <v>288918.85488885979</v>
      </c>
      <c r="P20" s="212">
        <v>94154871.733212486</v>
      </c>
    </row>
    <row r="21" spans="1:16" x14ac:dyDescent="0.2">
      <c r="A21" s="296"/>
      <c r="B21" s="212">
        <v>5</v>
      </c>
      <c r="C21" s="212">
        <v>98988198.053105459</v>
      </c>
      <c r="D21" s="213"/>
      <c r="E21" s="214">
        <v>97222.222222222234</v>
      </c>
      <c r="F21" s="213">
        <v>55912.118063474554</v>
      </c>
      <c r="G21" s="213"/>
      <c r="H21" s="214">
        <v>83021.528308420937</v>
      </c>
      <c r="I21" s="213">
        <v>743453.48774608015</v>
      </c>
      <c r="J21" s="213"/>
      <c r="K21" s="214">
        <v>0</v>
      </c>
      <c r="L21" s="213">
        <v>204605.11975833785</v>
      </c>
      <c r="M21" s="213"/>
      <c r="N21" s="214">
        <v>317728.42833038565</v>
      </c>
      <c r="O21" s="213">
        <v>335157.57531659916</v>
      </c>
      <c r="P21" s="212">
        <v>93865952.878323629</v>
      </c>
    </row>
    <row r="22" spans="1:16" x14ac:dyDescent="0.2">
      <c r="A22" s="296"/>
      <c r="B22" s="212">
        <v>6</v>
      </c>
      <c r="C22" s="212">
        <v>98735266.609933645</v>
      </c>
      <c r="D22" s="213"/>
      <c r="E22" s="214">
        <v>97222.222222222234</v>
      </c>
      <c r="F22" s="213">
        <v>56228.973146547542</v>
      </c>
      <c r="G22" s="213"/>
      <c r="H22" s="214">
        <v>99480.247803041304</v>
      </c>
      <c r="I22" s="213">
        <v>741682.31873162428</v>
      </c>
      <c r="J22" s="213"/>
      <c r="K22" s="214">
        <v>29166.666666666668</v>
      </c>
      <c r="L22" s="213">
        <v>204091.14378781061</v>
      </c>
      <c r="M22" s="213"/>
      <c r="N22" s="214">
        <v>321465.34345643519</v>
      </c>
      <c r="O22" s="213">
        <v>352150.81638575875</v>
      </c>
      <c r="P22" s="212">
        <v>93530795.303007036</v>
      </c>
    </row>
    <row r="23" spans="1:16" x14ac:dyDescent="0.2">
      <c r="A23" s="296"/>
      <c r="B23" s="212">
        <v>7</v>
      </c>
      <c r="C23" s="212">
        <v>98465635.930787802</v>
      </c>
      <c r="D23" s="213"/>
      <c r="E23" s="214">
        <v>97222.222222222234</v>
      </c>
      <c r="F23" s="213">
        <v>56537.943348676643</v>
      </c>
      <c r="G23" s="213"/>
      <c r="H23" s="214">
        <v>115870.51357494522</v>
      </c>
      <c r="I23" s="213">
        <v>739785.3329078356</v>
      </c>
      <c r="J23" s="213"/>
      <c r="K23" s="214">
        <v>29166.666666666668</v>
      </c>
      <c r="L23" s="213">
        <v>203529.942392809</v>
      </c>
      <c r="M23" s="213"/>
      <c r="N23" s="214">
        <v>325108.05550086219</v>
      </c>
      <c r="O23" s="213">
        <v>368951.68265125714</v>
      </c>
      <c r="P23" s="212">
        <v>93178644.486621276</v>
      </c>
    </row>
    <row r="24" spans="1:16" x14ac:dyDescent="0.2">
      <c r="A24" s="296"/>
      <c r="B24" s="212">
        <v>8</v>
      </c>
      <c r="C24" s="212">
        <v>98179391.033482596</v>
      </c>
      <c r="D24" s="213"/>
      <c r="E24" s="214">
        <v>97222.222222222234</v>
      </c>
      <c r="F24" s="213">
        <v>56838.849518157513</v>
      </c>
      <c r="G24" s="213"/>
      <c r="H24" s="214">
        <v>132183.82556483356</v>
      </c>
      <c r="I24" s="213">
        <v>737763.10281424178</v>
      </c>
      <c r="J24" s="213"/>
      <c r="K24" s="214">
        <v>29166.666666666668</v>
      </c>
      <c r="L24" s="213">
        <v>202933.82842073851</v>
      </c>
      <c r="M24" s="213"/>
      <c r="N24" s="214">
        <v>328654.59050099185</v>
      </c>
      <c r="O24" s="213">
        <v>385555.57039159228</v>
      </c>
      <c r="P24" s="212">
        <v>92809692.803970024</v>
      </c>
    </row>
    <row r="25" spans="1:16" x14ac:dyDescent="0.2">
      <c r="A25" s="296"/>
      <c r="B25" s="212">
        <v>9</v>
      </c>
      <c r="C25" s="212">
        <v>97876625.579730913</v>
      </c>
      <c r="D25" s="213"/>
      <c r="E25" s="214">
        <v>97222.222222222234</v>
      </c>
      <c r="F25" s="213">
        <v>57131.515020315157</v>
      </c>
      <c r="G25" s="213"/>
      <c r="H25" s="214">
        <v>148411.71650914819</v>
      </c>
      <c r="I25" s="213">
        <v>735616.26608445274</v>
      </c>
      <c r="J25" s="213"/>
      <c r="K25" s="214">
        <v>29166.666666666668</v>
      </c>
      <c r="L25" s="213">
        <v>202303.02372412517</v>
      </c>
      <c r="M25" s="213"/>
      <c r="N25" s="214">
        <v>332103.03111455572</v>
      </c>
      <c r="O25" s="213">
        <v>401957.88874932384</v>
      </c>
      <c r="P25" s="212">
        <v>92424137.233578429</v>
      </c>
    </row>
    <row r="26" spans="1:16" x14ac:dyDescent="0.2">
      <c r="A26" s="297"/>
      <c r="B26" s="220">
        <v>10</v>
      </c>
      <c r="C26" s="220">
        <v>97557441.832349434</v>
      </c>
      <c r="D26" s="221"/>
      <c r="E26" s="222">
        <v>97222.222222222234</v>
      </c>
      <c r="F26" s="221">
        <v>57415.765887169677</v>
      </c>
      <c r="G26" s="221"/>
      <c r="H26" s="222">
        <v>164545.75927207919</v>
      </c>
      <c r="I26" s="221">
        <v>733345.52518131514</v>
      </c>
      <c r="J26" s="221"/>
      <c r="K26" s="222">
        <v>29166.666666666668</v>
      </c>
      <c r="L26" s="221">
        <v>201637.76648020919</v>
      </c>
      <c r="M26" s="221"/>
      <c r="N26" s="222">
        <v>335451.51777168369</v>
      </c>
      <c r="O26" s="221">
        <v>418154.06607839599</v>
      </c>
      <c r="P26" s="220">
        <v>92022179.344829097</v>
      </c>
    </row>
    <row r="27" spans="1:16" x14ac:dyDescent="0.2">
      <c r="A27" s="223"/>
      <c r="B27" s="224"/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5"/>
    </row>
    <row r="28" spans="1:16" x14ac:dyDescent="0.2">
      <c r="A28" s="295" t="s">
        <v>200</v>
      </c>
      <c r="B28" s="227">
        <v>350</v>
      </c>
      <c r="C28" s="228">
        <v>0</v>
      </c>
      <c r="D28" s="229"/>
      <c r="E28" s="230">
        <v>0</v>
      </c>
      <c r="F28" s="228">
        <v>0</v>
      </c>
      <c r="G28" s="231"/>
      <c r="H28" s="230">
        <v>0</v>
      </c>
      <c r="I28" s="228">
        <v>0</v>
      </c>
      <c r="J28" s="231"/>
      <c r="K28" s="230">
        <v>0</v>
      </c>
      <c r="L28" s="228">
        <v>0</v>
      </c>
      <c r="M28" s="231"/>
      <c r="N28" s="230">
        <v>346589.91806453984</v>
      </c>
      <c r="O28" s="228">
        <v>449442.89000761911</v>
      </c>
      <c r="P28" s="228">
        <v>9.9997780598641839E-3</v>
      </c>
    </row>
    <row r="29" spans="1:16" x14ac:dyDescent="0.2">
      <c r="A29" s="296"/>
      <c r="B29" s="203">
        <v>351</v>
      </c>
      <c r="C29" s="233">
        <v>0</v>
      </c>
      <c r="D29" s="234"/>
      <c r="E29" s="235">
        <v>0</v>
      </c>
      <c r="F29" s="233">
        <v>0</v>
      </c>
      <c r="G29" s="236"/>
      <c r="H29" s="235">
        <v>0</v>
      </c>
      <c r="I29" s="233">
        <v>0</v>
      </c>
      <c r="J29" s="236"/>
      <c r="K29" s="235">
        <v>0</v>
      </c>
      <c r="L29" s="233">
        <v>0</v>
      </c>
      <c r="M29" s="236"/>
      <c r="N29" s="235">
        <v>354331.36959298578</v>
      </c>
      <c r="O29" s="233">
        <v>464474.23091032024</v>
      </c>
      <c r="P29" s="233">
        <v>9.9997780598641839E-3</v>
      </c>
    </row>
    <row r="30" spans="1:16" x14ac:dyDescent="0.2">
      <c r="A30" s="296"/>
      <c r="B30" s="203">
        <v>352</v>
      </c>
      <c r="C30" s="233">
        <v>0</v>
      </c>
      <c r="D30" s="234"/>
      <c r="E30" s="235">
        <v>0</v>
      </c>
      <c r="F30" s="233">
        <v>0</v>
      </c>
      <c r="G30" s="236"/>
      <c r="H30" s="235">
        <v>0</v>
      </c>
      <c r="I30" s="233">
        <v>0</v>
      </c>
      <c r="J30" s="236"/>
      <c r="K30" s="235">
        <v>0</v>
      </c>
      <c r="L30" s="233">
        <v>0</v>
      </c>
      <c r="M30" s="236"/>
      <c r="N30" s="235">
        <v>361918.91276160534</v>
      </c>
      <c r="O30" s="233">
        <v>479232.67764858541</v>
      </c>
      <c r="P30" s="233">
        <v>9.9997780598641839E-3</v>
      </c>
    </row>
    <row r="31" spans="1:16" x14ac:dyDescent="0.2">
      <c r="A31" s="296"/>
      <c r="B31" s="203">
        <v>353</v>
      </c>
      <c r="C31" s="233">
        <v>0</v>
      </c>
      <c r="D31" s="234"/>
      <c r="E31" s="235">
        <v>0</v>
      </c>
      <c r="F31" s="233">
        <v>0</v>
      </c>
      <c r="G31" s="236"/>
      <c r="H31" s="235">
        <v>0</v>
      </c>
      <c r="I31" s="233">
        <v>0</v>
      </c>
      <c r="J31" s="236"/>
      <c r="K31" s="235">
        <v>0</v>
      </c>
      <c r="L31" s="233">
        <v>0</v>
      </c>
      <c r="M31" s="236"/>
      <c r="N31" s="235">
        <v>369348.97298570024</v>
      </c>
      <c r="O31" s="233">
        <v>493717.30692094099</v>
      </c>
      <c r="P31" s="233">
        <v>9.9997780598641839E-3</v>
      </c>
    </row>
    <row r="32" spans="1:16" x14ac:dyDescent="0.2">
      <c r="A32" s="296"/>
      <c r="B32" s="203">
        <v>354</v>
      </c>
      <c r="C32" s="233">
        <v>0</v>
      </c>
      <c r="D32" s="234"/>
      <c r="E32" s="235">
        <v>0</v>
      </c>
      <c r="F32" s="233">
        <v>0</v>
      </c>
      <c r="G32" s="236"/>
      <c r="H32" s="235">
        <v>0</v>
      </c>
      <c r="I32" s="233">
        <v>0</v>
      </c>
      <c r="J32" s="236"/>
      <c r="K32" s="235">
        <v>0</v>
      </c>
      <c r="L32" s="233">
        <v>0</v>
      </c>
      <c r="M32" s="236"/>
      <c r="N32" s="235">
        <v>376618.09328119009</v>
      </c>
      <c r="O32" s="233">
        <v>507927.18008856714</v>
      </c>
      <c r="P32" s="233">
        <v>9.9997780598641839E-3</v>
      </c>
    </row>
    <row r="33" spans="1:16" x14ac:dyDescent="0.2">
      <c r="A33" s="296"/>
      <c r="B33" s="203">
        <v>355</v>
      </c>
      <c r="C33" s="233">
        <v>0</v>
      </c>
      <c r="D33" s="234"/>
      <c r="E33" s="235">
        <v>0</v>
      </c>
      <c r="F33" s="233">
        <v>0</v>
      </c>
      <c r="G33" s="236"/>
      <c r="H33" s="235">
        <v>0</v>
      </c>
      <c r="I33" s="233">
        <v>0</v>
      </c>
      <c r="J33" s="236"/>
      <c r="K33" s="235">
        <v>0</v>
      </c>
      <c r="L33" s="233">
        <v>0</v>
      </c>
      <c r="M33" s="236"/>
      <c r="N33" s="235">
        <v>383722.93481179385</v>
      </c>
      <c r="O33" s="233">
        <v>521861.34972139366</v>
      </c>
      <c r="P33" s="233">
        <v>9.9997780598641839E-3</v>
      </c>
    </row>
    <row r="34" spans="1:16" x14ac:dyDescent="0.2">
      <c r="A34" s="296"/>
      <c r="B34" s="203">
        <v>356</v>
      </c>
      <c r="C34" s="233">
        <v>0</v>
      </c>
      <c r="D34" s="234"/>
      <c r="E34" s="235">
        <v>0</v>
      </c>
      <c r="F34" s="233">
        <v>0</v>
      </c>
      <c r="G34" s="236"/>
      <c r="H34" s="235">
        <v>0</v>
      </c>
      <c r="I34" s="233">
        <v>0</v>
      </c>
      <c r="J34" s="236"/>
      <c r="K34" s="235">
        <v>0</v>
      </c>
      <c r="L34" s="233">
        <v>0</v>
      </c>
      <c r="M34" s="236"/>
      <c r="N34" s="235">
        <v>390660.27741681872</v>
      </c>
      <c r="O34" s="233">
        <v>535518.86603788892</v>
      </c>
      <c r="P34" s="233">
        <v>9.9997780598641839E-3</v>
      </c>
    </row>
    <row r="35" spans="1:16" x14ac:dyDescent="0.2">
      <c r="A35" s="296"/>
      <c r="B35" s="203">
        <v>357</v>
      </c>
      <c r="C35" s="233">
        <v>0</v>
      </c>
      <c r="D35" s="234"/>
      <c r="E35" s="235">
        <v>0</v>
      </c>
      <c r="F35" s="233">
        <v>0</v>
      </c>
      <c r="G35" s="236"/>
      <c r="H35" s="235">
        <v>0</v>
      </c>
      <c r="I35" s="233">
        <v>0</v>
      </c>
      <c r="J35" s="236"/>
      <c r="K35" s="235">
        <v>0</v>
      </c>
      <c r="L35" s="233">
        <v>0</v>
      </c>
      <c r="M35" s="236"/>
      <c r="N35" s="235">
        <v>397427.02011526719</v>
      </c>
      <c r="O35" s="233">
        <v>548898.78323427984</v>
      </c>
      <c r="P35" s="233">
        <v>9.9997780598641839E-3</v>
      </c>
    </row>
    <row r="36" spans="1:16" x14ac:dyDescent="0.2">
      <c r="A36" s="296"/>
      <c r="B36" s="203">
        <v>358</v>
      </c>
      <c r="C36" s="233">
        <v>0</v>
      </c>
      <c r="D36" s="234"/>
      <c r="E36" s="235">
        <v>0</v>
      </c>
      <c r="F36" s="233">
        <v>0</v>
      </c>
      <c r="G36" s="236"/>
      <c r="H36" s="235">
        <v>0</v>
      </c>
      <c r="I36" s="233">
        <v>0</v>
      </c>
      <c r="J36" s="236"/>
      <c r="K36" s="235">
        <v>0</v>
      </c>
      <c r="L36" s="233">
        <v>0</v>
      </c>
      <c r="M36" s="236"/>
      <c r="N36" s="235">
        <v>404020.18158207898</v>
      </c>
      <c r="O36" s="233">
        <v>562000.16569952737</v>
      </c>
      <c r="P36" s="233">
        <v>9.9997780598641839E-3</v>
      </c>
    </row>
    <row r="37" spans="1:16" x14ac:dyDescent="0.2">
      <c r="A37" s="296"/>
      <c r="B37" s="203">
        <v>359</v>
      </c>
      <c r="C37" s="233">
        <v>0</v>
      </c>
      <c r="D37" s="234"/>
      <c r="E37" s="235">
        <v>0</v>
      </c>
      <c r="F37" s="233">
        <v>0</v>
      </c>
      <c r="G37" s="236"/>
      <c r="H37" s="235">
        <v>0</v>
      </c>
      <c r="I37" s="233">
        <v>0</v>
      </c>
      <c r="J37" s="236"/>
      <c r="K37" s="235">
        <v>0</v>
      </c>
      <c r="L37" s="233">
        <v>0</v>
      </c>
      <c r="M37" s="236"/>
      <c r="N37" s="235">
        <v>410436.90059243236</v>
      </c>
      <c r="O37" s="233">
        <v>574822.09411163209</v>
      </c>
      <c r="P37" s="233">
        <v>9.9997780598641839E-3</v>
      </c>
    </row>
    <row r="38" spans="1:16" x14ac:dyDescent="0.2">
      <c r="A38" s="297"/>
      <c r="B38" s="238">
        <v>360</v>
      </c>
      <c r="C38" s="239">
        <v>0</v>
      </c>
      <c r="D38" s="240"/>
      <c r="E38" s="241">
        <v>0</v>
      </c>
      <c r="F38" s="239">
        <v>0</v>
      </c>
      <c r="G38" s="242"/>
      <c r="H38" s="241">
        <v>0</v>
      </c>
      <c r="I38" s="239">
        <v>0</v>
      </c>
      <c r="J38" s="242"/>
      <c r="K38" s="241">
        <v>0</v>
      </c>
      <c r="L38" s="239">
        <v>0</v>
      </c>
      <c r="M38" s="242"/>
      <c r="N38" s="241">
        <v>416674.43643014965</v>
      </c>
      <c r="O38" s="239">
        <v>587363.6714119229</v>
      </c>
      <c r="P38" s="239">
        <v>9.9997780598641839E-3</v>
      </c>
    </row>
  </sheetData>
  <mergeCells count="8">
    <mergeCell ref="A16:A26"/>
    <mergeCell ref="A28:A38"/>
    <mergeCell ref="K1:P1"/>
    <mergeCell ref="A3:C3"/>
    <mergeCell ref="E3:F3"/>
    <mergeCell ref="H3:L3"/>
    <mergeCell ref="K6:K7"/>
    <mergeCell ref="A11:P11"/>
  </mergeCells>
  <phoneticPr fontId="0" type="noConversion"/>
  <conditionalFormatting sqref="O9">
    <cfRule type="cellIs" dxfId="1" priority="1" stopIfTrue="1" operator="equal">
      <formula>1000</formula>
    </cfRule>
  </conditionalFormatting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P38"/>
  <sheetViews>
    <sheetView workbookViewId="0"/>
  </sheetViews>
  <sheetFormatPr defaultRowHeight="12.75" x14ac:dyDescent="0.2"/>
  <sheetData>
    <row r="1" spans="1:16" ht="19.5" thickBot="1" x14ac:dyDescent="0.35">
      <c r="A1" s="5" t="s">
        <v>13</v>
      </c>
      <c r="B1" s="31"/>
      <c r="C1" s="31"/>
      <c r="D1" s="31"/>
      <c r="E1" s="31"/>
      <c r="F1" s="31"/>
      <c r="G1" s="31"/>
      <c r="H1" s="31"/>
      <c r="I1" s="31"/>
      <c r="J1" s="31"/>
      <c r="K1" s="298" t="s">
        <v>189</v>
      </c>
      <c r="L1" s="298"/>
      <c r="M1" s="298"/>
      <c r="N1" s="298"/>
      <c r="O1" s="298"/>
      <c r="P1" s="298"/>
    </row>
    <row r="2" spans="1:16" x14ac:dyDescent="0.2">
      <c r="A2" s="14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41"/>
    </row>
    <row r="3" spans="1:16" x14ac:dyDescent="0.2">
      <c r="A3" s="299" t="s">
        <v>20</v>
      </c>
      <c r="B3" s="300"/>
      <c r="C3" s="301"/>
      <c r="D3" s="142"/>
      <c r="E3" s="300" t="s">
        <v>100</v>
      </c>
      <c r="F3" s="301"/>
      <c r="G3" s="142"/>
      <c r="H3" s="300" t="s">
        <v>108</v>
      </c>
      <c r="I3" s="300"/>
      <c r="J3" s="300"/>
      <c r="K3" s="300"/>
      <c r="L3" s="301"/>
      <c r="M3" s="142"/>
      <c r="N3" s="143" t="s">
        <v>190</v>
      </c>
      <c r="O3" s="144"/>
      <c r="P3" s="145"/>
    </row>
    <row r="4" spans="1:16" x14ac:dyDescent="0.2">
      <c r="A4" s="147" t="s">
        <v>23</v>
      </c>
      <c r="B4" s="148"/>
      <c r="C4" s="149">
        <v>100000000</v>
      </c>
      <c r="D4" s="150"/>
      <c r="E4" s="151" t="s">
        <v>122</v>
      </c>
      <c r="F4" s="152">
        <v>0.76546084326153008</v>
      </c>
      <c r="G4" s="153"/>
      <c r="H4" s="151" t="s">
        <v>67</v>
      </c>
      <c r="I4" s="154" t="s">
        <v>71</v>
      </c>
      <c r="J4" s="154"/>
      <c r="K4" s="148" t="s">
        <v>161</v>
      </c>
      <c r="L4" s="155">
        <v>0.01</v>
      </c>
      <c r="M4" s="156"/>
      <c r="N4" s="148" t="s">
        <v>191</v>
      </c>
      <c r="O4" s="154">
        <v>0.23453915673846992</v>
      </c>
      <c r="P4" s="157"/>
    </row>
    <row r="5" spans="1:16" x14ac:dyDescent="0.2">
      <c r="A5" s="162" t="s">
        <v>24</v>
      </c>
      <c r="B5" s="2"/>
      <c r="C5" s="163" t="s">
        <v>36</v>
      </c>
      <c r="D5" s="150"/>
      <c r="E5" s="151" t="s">
        <v>29</v>
      </c>
      <c r="F5" s="164" t="s">
        <v>43</v>
      </c>
      <c r="G5" s="165"/>
      <c r="H5" s="166" t="s">
        <v>76</v>
      </c>
      <c r="I5" s="154">
        <v>0.5</v>
      </c>
      <c r="J5" s="154"/>
      <c r="K5" s="166" t="s">
        <v>142</v>
      </c>
      <c r="L5" s="164" t="s">
        <v>141</v>
      </c>
      <c r="M5" s="167"/>
      <c r="N5" s="168" t="s">
        <v>192</v>
      </c>
      <c r="O5" s="169">
        <v>6.7027771356911323</v>
      </c>
      <c r="P5" s="157"/>
    </row>
    <row r="6" spans="1:16" x14ac:dyDescent="0.2">
      <c r="A6" s="147" t="s">
        <v>25</v>
      </c>
      <c r="B6" s="2"/>
      <c r="C6" s="152">
        <v>0.09</v>
      </c>
      <c r="D6" s="150"/>
      <c r="E6" s="151" t="s">
        <v>105</v>
      </c>
      <c r="F6" s="152">
        <v>5.0000000000000001E-3</v>
      </c>
      <c r="G6" s="153"/>
      <c r="H6" s="166" t="s">
        <v>77</v>
      </c>
      <c r="I6" s="170">
        <v>5</v>
      </c>
      <c r="J6" s="170"/>
      <c r="K6" s="291" t="s">
        <v>144</v>
      </c>
      <c r="L6" s="171">
        <v>3</v>
      </c>
      <c r="M6" s="167"/>
      <c r="N6" s="13" t="s">
        <v>193</v>
      </c>
      <c r="O6" s="169">
        <v>8.0572357605802107</v>
      </c>
      <c r="P6" s="172"/>
    </row>
    <row r="7" spans="1:16" x14ac:dyDescent="0.2">
      <c r="A7" s="147" t="s">
        <v>207</v>
      </c>
      <c r="B7" s="2"/>
      <c r="C7" s="163" t="s">
        <v>207</v>
      </c>
      <c r="D7" s="150"/>
      <c r="E7" s="151" t="s">
        <v>104</v>
      </c>
      <c r="F7" s="152">
        <v>0.01</v>
      </c>
      <c r="G7" s="153"/>
      <c r="H7" s="166" t="s">
        <v>80</v>
      </c>
      <c r="I7" s="154">
        <v>0.3</v>
      </c>
      <c r="J7" s="154"/>
      <c r="K7" s="291"/>
      <c r="L7" s="164"/>
      <c r="M7" s="167"/>
      <c r="N7" s="174" t="s">
        <v>194</v>
      </c>
      <c r="O7" s="175" t="s">
        <v>208</v>
      </c>
      <c r="P7" s="172"/>
    </row>
    <row r="8" spans="1:16" x14ac:dyDescent="0.2">
      <c r="A8" s="147" t="s">
        <v>26</v>
      </c>
      <c r="B8" s="2"/>
      <c r="C8" s="149">
        <v>360</v>
      </c>
      <c r="D8" s="150"/>
      <c r="E8" s="151"/>
      <c r="F8" s="152"/>
      <c r="G8" s="153"/>
      <c r="H8" s="166" t="s">
        <v>81</v>
      </c>
      <c r="I8" s="177">
        <v>5</v>
      </c>
      <c r="J8" s="177"/>
      <c r="K8" s="2"/>
      <c r="L8" s="178"/>
      <c r="M8" s="167"/>
      <c r="N8" s="179" t="s">
        <v>169</v>
      </c>
      <c r="O8" s="180">
        <v>0</v>
      </c>
      <c r="P8" s="172"/>
    </row>
    <row r="9" spans="1:16" x14ac:dyDescent="0.2">
      <c r="A9" s="182" t="s">
        <v>27</v>
      </c>
      <c r="B9" s="183"/>
      <c r="C9" s="184">
        <v>360</v>
      </c>
      <c r="D9" s="185"/>
      <c r="E9" s="186"/>
      <c r="F9" s="187"/>
      <c r="G9" s="188"/>
      <c r="H9" s="189"/>
      <c r="I9" s="190"/>
      <c r="J9" s="190"/>
      <c r="K9" s="183"/>
      <c r="L9" s="191"/>
      <c r="M9" s="183"/>
      <c r="N9" s="192" t="s">
        <v>195</v>
      </c>
      <c r="O9" s="193">
        <v>3</v>
      </c>
      <c r="P9" s="194"/>
    </row>
    <row r="10" spans="1:16" x14ac:dyDescent="0.2">
      <c r="A10" s="167"/>
      <c r="B10" s="2"/>
      <c r="C10" s="2"/>
      <c r="D10" s="195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72"/>
    </row>
    <row r="11" spans="1:16" x14ac:dyDescent="0.2">
      <c r="A11" s="292" t="s">
        <v>202</v>
      </c>
      <c r="B11" s="293"/>
      <c r="C11" s="293"/>
      <c r="D11" s="293"/>
      <c r="E11" s="293"/>
      <c r="F11" s="293"/>
      <c r="G11" s="293"/>
      <c r="H11" s="293"/>
      <c r="I11" s="293"/>
      <c r="J11" s="293"/>
      <c r="K11" s="293"/>
      <c r="L11" s="293"/>
      <c r="M11" s="293"/>
      <c r="N11" s="293"/>
      <c r="O11" s="293"/>
      <c r="P11" s="294"/>
    </row>
    <row r="12" spans="1:16" x14ac:dyDescent="0.2">
      <c r="A12" s="167"/>
      <c r="B12" s="2"/>
      <c r="C12" s="2"/>
      <c r="D12" s="19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172"/>
    </row>
    <row r="13" spans="1:16" ht="51" x14ac:dyDescent="0.2">
      <c r="A13" s="244"/>
      <c r="B13" s="245"/>
      <c r="C13" s="246" t="s">
        <v>49</v>
      </c>
      <c r="D13" s="247"/>
      <c r="E13" s="248" t="s">
        <v>58</v>
      </c>
      <c r="F13" s="246" t="s">
        <v>62</v>
      </c>
      <c r="G13" s="247"/>
      <c r="H13" s="249" t="s">
        <v>61</v>
      </c>
      <c r="I13" s="246" t="s">
        <v>64</v>
      </c>
      <c r="J13" s="247"/>
      <c r="K13" s="248" t="s">
        <v>65</v>
      </c>
      <c r="L13" s="246" t="s">
        <v>110</v>
      </c>
      <c r="M13" s="247"/>
      <c r="N13" s="248" t="s">
        <v>128</v>
      </c>
      <c r="O13" s="246" t="s">
        <v>129</v>
      </c>
      <c r="P13" s="246" t="s">
        <v>127</v>
      </c>
    </row>
    <row r="14" spans="1:16" x14ac:dyDescent="0.2">
      <c r="A14" s="197" t="s">
        <v>196</v>
      </c>
      <c r="B14" s="71"/>
      <c r="C14" s="198"/>
      <c r="D14" s="199"/>
      <c r="E14" s="200">
        <v>50000000.00000003</v>
      </c>
      <c r="F14" s="198">
        <v>54167.428470237406</v>
      </c>
      <c r="G14" s="199"/>
      <c r="H14" s="200">
        <v>34469251.026803553</v>
      </c>
      <c r="I14" s="198">
        <v>0</v>
      </c>
      <c r="J14" s="199"/>
      <c r="K14" s="200">
        <v>0</v>
      </c>
      <c r="L14" s="198">
        <v>0</v>
      </c>
      <c r="M14" s="199"/>
      <c r="N14" s="200">
        <v>0</v>
      </c>
      <c r="O14" s="198">
        <v>0</v>
      </c>
      <c r="P14" s="198"/>
    </row>
    <row r="15" spans="1:16" x14ac:dyDescent="0.2">
      <c r="A15" s="201"/>
      <c r="B15" s="202" t="s">
        <v>40</v>
      </c>
      <c r="C15" s="203"/>
      <c r="D15" s="201"/>
      <c r="E15" s="204"/>
      <c r="F15" s="203"/>
      <c r="G15" s="201"/>
      <c r="H15" s="204"/>
      <c r="I15" s="203"/>
      <c r="J15" s="201"/>
      <c r="K15" s="204"/>
      <c r="L15" s="203"/>
      <c r="M15" s="201"/>
      <c r="N15" s="204"/>
      <c r="O15" s="203"/>
      <c r="P15" s="203"/>
    </row>
    <row r="16" spans="1:16" x14ac:dyDescent="0.2">
      <c r="A16" s="295" t="s">
        <v>201</v>
      </c>
      <c r="B16" s="209">
        <v>0</v>
      </c>
      <c r="C16" s="209">
        <v>100000000</v>
      </c>
      <c r="D16" s="210"/>
      <c r="E16" s="211">
        <v>0</v>
      </c>
      <c r="F16" s="210">
        <v>0</v>
      </c>
      <c r="G16" s="210"/>
      <c r="H16" s="211">
        <v>0</v>
      </c>
      <c r="I16" s="210">
        <v>0</v>
      </c>
      <c r="J16" s="210"/>
      <c r="K16" s="211">
        <v>0</v>
      </c>
      <c r="L16" s="210">
        <v>0</v>
      </c>
      <c r="M16" s="210"/>
      <c r="N16" s="211">
        <v>229638.252978459</v>
      </c>
      <c r="O16" s="210">
        <v>692109.49677683495</v>
      </c>
      <c r="P16" s="209">
        <v>76546084.32615301</v>
      </c>
    </row>
    <row r="17" spans="1:16" x14ac:dyDescent="0.2">
      <c r="A17" s="296"/>
      <c r="B17" s="212">
        <v>1</v>
      </c>
      <c r="C17" s="212">
        <v>99095826.386327162</v>
      </c>
      <c r="D17" s="213"/>
      <c r="E17" s="214">
        <v>833333.33333333337</v>
      </c>
      <c r="F17" s="213">
        <v>54167.428470237406</v>
      </c>
      <c r="G17" s="213"/>
      <c r="H17" s="214">
        <v>16672.851869266513</v>
      </c>
      <c r="I17" s="213">
        <v>743750</v>
      </c>
      <c r="J17" s="213"/>
      <c r="K17" s="214">
        <v>0</v>
      </c>
      <c r="L17" s="213">
        <v>198560.86846923042</v>
      </c>
      <c r="M17" s="213"/>
      <c r="N17" s="214">
        <v>240956.47221008255</v>
      </c>
      <c r="O17" s="213">
        <v>704616.97742828436</v>
      </c>
      <c r="P17" s="212">
        <v>75853974.829376176</v>
      </c>
    </row>
    <row r="18" spans="1:16" x14ac:dyDescent="0.2">
      <c r="A18" s="296"/>
      <c r="B18" s="212">
        <v>2</v>
      </c>
      <c r="C18" s="212">
        <v>98175312.967997372</v>
      </c>
      <c r="D18" s="213"/>
      <c r="E18" s="214">
        <v>833333.33333333337</v>
      </c>
      <c r="F18" s="213">
        <v>54105.650691896903</v>
      </c>
      <c r="G18" s="213"/>
      <c r="H18" s="214">
        <v>33074.434304572424</v>
      </c>
      <c r="I18" s="213">
        <v>736968.69789745368</v>
      </c>
      <c r="J18" s="213"/>
      <c r="K18" s="214">
        <v>0</v>
      </c>
      <c r="L18" s="213">
        <v>196765.53348945198</v>
      </c>
      <c r="M18" s="213"/>
      <c r="N18" s="214">
        <v>242632.22671798908</v>
      </c>
      <c r="O18" s="213">
        <v>309355.8672501744</v>
      </c>
      <c r="P18" s="212">
        <v>75149357.851947889</v>
      </c>
    </row>
    <row r="19" spans="1:16" x14ac:dyDescent="0.2">
      <c r="A19" s="296"/>
      <c r="B19" s="212">
        <v>3</v>
      </c>
      <c r="C19" s="212">
        <v>97238753.253445297</v>
      </c>
      <c r="D19" s="213"/>
      <c r="E19" s="214">
        <v>833333.33333333337</v>
      </c>
      <c r="F19" s="213">
        <v>54030.535697974905</v>
      </c>
      <c r="G19" s="213"/>
      <c r="H19" s="214">
        <v>49195.845520763767</v>
      </c>
      <c r="I19" s="213">
        <v>730064.84725998028</v>
      </c>
      <c r="J19" s="213"/>
      <c r="K19" s="214">
        <v>0</v>
      </c>
      <c r="L19" s="213">
        <v>194937.75405164057</v>
      </c>
      <c r="M19" s="213"/>
      <c r="N19" s="214">
        <v>245531.33651129701</v>
      </c>
      <c r="O19" s="213">
        <v>322576.83158200991</v>
      </c>
      <c r="P19" s="212">
        <v>74840001.984697714</v>
      </c>
    </row>
    <row r="20" spans="1:16" x14ac:dyDescent="0.2">
      <c r="A20" s="296"/>
      <c r="B20" s="212">
        <v>4</v>
      </c>
      <c r="C20" s="212">
        <v>96286449.612703919</v>
      </c>
      <c r="D20" s="213"/>
      <c r="E20" s="214">
        <v>833333.33333333337</v>
      </c>
      <c r="F20" s="213">
        <v>53941.961000253381</v>
      </c>
      <c r="G20" s="213"/>
      <c r="H20" s="214">
        <v>65028.346407806865</v>
      </c>
      <c r="I20" s="213">
        <v>723040.6494008397</v>
      </c>
      <c r="J20" s="213"/>
      <c r="K20" s="214">
        <v>0</v>
      </c>
      <c r="L20" s="213">
        <v>193247.92291603287</v>
      </c>
      <c r="M20" s="213"/>
      <c r="N20" s="214">
        <v>248354.1584644758</v>
      </c>
      <c r="O20" s="213">
        <v>335360.38433295116</v>
      </c>
      <c r="P20" s="212">
        <v>74517425.153115705</v>
      </c>
    </row>
    <row r="21" spans="1:16" x14ac:dyDescent="0.2">
      <c r="A21" s="296"/>
      <c r="B21" s="212">
        <v>5</v>
      </c>
      <c r="C21" s="212">
        <v>95318713.101037532</v>
      </c>
      <c r="D21" s="213"/>
      <c r="E21" s="214">
        <v>833333.33333333337</v>
      </c>
      <c r="F21" s="213">
        <v>53839.809701331971</v>
      </c>
      <c r="G21" s="213"/>
      <c r="H21" s="214">
        <v>80563.368631723119</v>
      </c>
      <c r="I21" s="213">
        <v>715898.3720952794</v>
      </c>
      <c r="J21" s="213"/>
      <c r="K21" s="214">
        <v>0</v>
      </c>
      <c r="L21" s="213">
        <v>191526.34316830471</v>
      </c>
      <c r="M21" s="213"/>
      <c r="N21" s="214">
        <v>251100.10740359887</v>
      </c>
      <c r="O21" s="213">
        <v>597701.95969260565</v>
      </c>
      <c r="P21" s="212">
        <v>74182064.76878275</v>
      </c>
    </row>
    <row r="22" spans="1:16" x14ac:dyDescent="0.2">
      <c r="A22" s="296"/>
      <c r="B22" s="212">
        <v>6</v>
      </c>
      <c r="C22" s="212">
        <v>94335863.274463981</v>
      </c>
      <c r="D22" s="213"/>
      <c r="E22" s="214">
        <v>833333.33333333337</v>
      </c>
      <c r="F22" s="213">
        <v>53723.970635957827</v>
      </c>
      <c r="G22" s="213"/>
      <c r="H22" s="214">
        <v>95792.522604271551</v>
      </c>
      <c r="I22" s="213">
        <v>708640.34825778147</v>
      </c>
      <c r="J22" s="213"/>
      <c r="K22" s="214">
        <v>250000</v>
      </c>
      <c r="L22" s="213">
        <v>189773.71548872202</v>
      </c>
      <c r="M22" s="213"/>
      <c r="N22" s="214">
        <v>252909.45497484281</v>
      </c>
      <c r="O22" s="213">
        <v>610560.51917936781</v>
      </c>
      <c r="P22" s="212">
        <v>73584362.809090137</v>
      </c>
    </row>
    <row r="23" spans="1:16" x14ac:dyDescent="0.2">
      <c r="A23" s="296"/>
      <c r="B23" s="212">
        <v>7</v>
      </c>
      <c r="C23" s="212">
        <v>93338227.997310564</v>
      </c>
      <c r="D23" s="213"/>
      <c r="E23" s="214">
        <v>833333.33333333337</v>
      </c>
      <c r="F23" s="213">
        <v>53594.338508886583</v>
      </c>
      <c r="G23" s="213"/>
      <c r="H23" s="214">
        <v>110707.60531119307</v>
      </c>
      <c r="I23" s="213">
        <v>701268.97455847985</v>
      </c>
      <c r="J23" s="213"/>
      <c r="K23" s="214">
        <v>250000</v>
      </c>
      <c r="L23" s="213">
        <v>187886.58996122752</v>
      </c>
      <c r="M23" s="213"/>
      <c r="N23" s="214">
        <v>254611.67733968952</v>
      </c>
      <c r="O23" s="213">
        <v>622998.11238422431</v>
      </c>
      <c r="P23" s="212">
        <v>72973802.289910764</v>
      </c>
    </row>
    <row r="24" spans="1:16" x14ac:dyDescent="0.2">
      <c r="A24" s="296"/>
      <c r="B24" s="212">
        <v>8</v>
      </c>
      <c r="C24" s="212">
        <v>92326143.241959125</v>
      </c>
      <c r="D24" s="213"/>
      <c r="E24" s="214">
        <v>833333.33333333337</v>
      </c>
      <c r="F24" s="213">
        <v>53450.814029351139</v>
      </c>
      <c r="G24" s="213"/>
      <c r="H24" s="214">
        <v>125300.60798875554</v>
      </c>
      <c r="I24" s="213">
        <v>693786.70997982926</v>
      </c>
      <c r="J24" s="213"/>
      <c r="K24" s="214">
        <v>250000</v>
      </c>
      <c r="L24" s="213">
        <v>185969.46428298039</v>
      </c>
      <c r="M24" s="213"/>
      <c r="N24" s="214">
        <v>256206.25605998439</v>
      </c>
      <c r="O24" s="213">
        <v>635010.79246080504</v>
      </c>
      <c r="P24" s="212">
        <v>72350804.177526534</v>
      </c>
    </row>
    <row r="25" spans="1:16" x14ac:dyDescent="0.2">
      <c r="A25" s="296"/>
      <c r="B25" s="212">
        <v>9</v>
      </c>
      <c r="C25" s="212">
        <v>91299952.880945265</v>
      </c>
      <c r="D25" s="213"/>
      <c r="E25" s="214">
        <v>833333.33333333337</v>
      </c>
      <c r="F25" s="213">
        <v>53293.30404187995</v>
      </c>
      <c r="G25" s="213"/>
      <c r="H25" s="214">
        <v>139563.72363865739</v>
      </c>
      <c r="I25" s="213">
        <v>686196.07431469345</v>
      </c>
      <c r="J25" s="213"/>
      <c r="K25" s="214">
        <v>250000</v>
      </c>
      <c r="L25" s="213">
        <v>184023.07381056793</v>
      </c>
      <c r="M25" s="213"/>
      <c r="N25" s="214">
        <v>257692.77458088746</v>
      </c>
      <c r="O25" s="213">
        <v>646594.74867555685</v>
      </c>
      <c r="P25" s="212">
        <v>71715793.385065734</v>
      </c>
    </row>
    <row r="26" spans="1:16" x14ac:dyDescent="0.2">
      <c r="A26" s="297"/>
      <c r="B26" s="220">
        <v>10</v>
      </c>
      <c r="C26" s="220">
        <v>90260008.47158742</v>
      </c>
      <c r="D26" s="221"/>
      <c r="E26" s="222">
        <v>833333.33333333337</v>
      </c>
      <c r="F26" s="221">
        <v>53121.721652952387</v>
      </c>
      <c r="G26" s="221"/>
      <c r="H26" s="222">
        <v>153489.35437156388</v>
      </c>
      <c r="I26" s="221">
        <v>678499.64660708955</v>
      </c>
      <c r="J26" s="221"/>
      <c r="K26" s="222">
        <v>250000</v>
      </c>
      <c r="L26" s="221">
        <v>182048.16871201948</v>
      </c>
      <c r="M26" s="221"/>
      <c r="N26" s="222">
        <v>259070.91876252103</v>
      </c>
      <c r="O26" s="221">
        <v>657746.31223261508</v>
      </c>
      <c r="P26" s="220">
        <v>71069198.636390179</v>
      </c>
    </row>
    <row r="27" spans="1:16" x14ac:dyDescent="0.2">
      <c r="A27" s="223"/>
      <c r="B27" s="224"/>
      <c r="C27" s="224"/>
      <c r="D27" s="224"/>
      <c r="E27" s="224"/>
      <c r="F27" s="224"/>
      <c r="G27" s="224"/>
      <c r="H27" s="224"/>
      <c r="I27" s="224"/>
      <c r="J27" s="224"/>
      <c r="K27" s="224"/>
      <c r="L27" s="224"/>
      <c r="M27" s="224"/>
      <c r="N27" s="224"/>
      <c r="O27" s="224"/>
      <c r="P27" s="225"/>
    </row>
    <row r="28" spans="1:16" x14ac:dyDescent="0.2">
      <c r="A28" s="295" t="s">
        <v>200</v>
      </c>
      <c r="B28" s="227">
        <v>350</v>
      </c>
      <c r="C28" s="228">
        <v>600761.830751159</v>
      </c>
      <c r="D28" s="229"/>
      <c r="E28" s="230">
        <v>0</v>
      </c>
      <c r="F28" s="228">
        <v>57942.050668573909</v>
      </c>
      <c r="G28" s="231"/>
      <c r="H28" s="230">
        <v>3105.6984514100309</v>
      </c>
      <c r="I28" s="228">
        <v>4963.5718490335721</v>
      </c>
      <c r="J28" s="231"/>
      <c r="K28" s="230">
        <v>0</v>
      </c>
      <c r="L28" s="228">
        <v>1376.8568812613989</v>
      </c>
      <c r="M28" s="231"/>
      <c r="N28" s="230">
        <v>265133.78977789381</v>
      </c>
      <c r="O28" s="228">
        <v>679387.35878675559</v>
      </c>
      <c r="P28" s="228">
        <v>596930.62736853235</v>
      </c>
    </row>
    <row r="29" spans="1:16" x14ac:dyDescent="0.2">
      <c r="A29" s="296"/>
      <c r="B29" s="203">
        <v>351</v>
      </c>
      <c r="C29" s="233">
        <v>539894.40817357029</v>
      </c>
      <c r="D29" s="234"/>
      <c r="E29" s="235">
        <v>0</v>
      </c>
      <c r="F29" s="233">
        <v>58076.38436317171</v>
      </c>
      <c r="G29" s="236"/>
      <c r="H29" s="235">
        <v>2791.0382144169821</v>
      </c>
      <c r="I29" s="233">
        <v>4505.7137306336926</v>
      </c>
      <c r="J29" s="236"/>
      <c r="K29" s="235">
        <v>0</v>
      </c>
      <c r="L29" s="233">
        <v>1249.9908126554867</v>
      </c>
      <c r="M29" s="236"/>
      <c r="N29" s="235">
        <v>269745.16743071174</v>
      </c>
      <c r="O29" s="233">
        <v>689846.60881438386</v>
      </c>
      <c r="P29" s="233">
        <v>536755.63078659982</v>
      </c>
    </row>
    <row r="30" spans="1:16" x14ac:dyDescent="0.2">
      <c r="A30" s="296"/>
      <c r="B30" s="203">
        <v>352</v>
      </c>
      <c r="C30" s="233">
        <v>479206.07487720612</v>
      </c>
      <c r="D30" s="234"/>
      <c r="E30" s="235">
        <v>0</v>
      </c>
      <c r="F30" s="233">
        <v>58211.029498964926</v>
      </c>
      <c r="G30" s="236"/>
      <c r="H30" s="235">
        <v>2477.3037973993269</v>
      </c>
      <c r="I30" s="233">
        <v>4049.208061301777</v>
      </c>
      <c r="J30" s="236"/>
      <c r="K30" s="235">
        <v>0</v>
      </c>
      <c r="L30" s="233">
        <v>1123.4721931170338</v>
      </c>
      <c r="M30" s="236"/>
      <c r="N30" s="235">
        <v>274173.06532944244</v>
      </c>
      <c r="O30" s="233">
        <v>699839.77880582749</v>
      </c>
      <c r="P30" s="233">
        <v>476691.70809370931</v>
      </c>
    </row>
    <row r="31" spans="1:16" x14ac:dyDescent="0.2">
      <c r="A31" s="296"/>
      <c r="B31" s="203">
        <v>353</v>
      </c>
      <c r="C31" s="233">
        <v>418695.59924580983</v>
      </c>
      <c r="D31" s="234"/>
      <c r="E31" s="235">
        <v>0</v>
      </c>
      <c r="F31" s="233">
        <v>58345.986798002799</v>
      </c>
      <c r="G31" s="236"/>
      <c r="H31" s="235">
        <v>2164.4888333934782</v>
      </c>
      <c r="I31" s="233">
        <v>3594.0455615790456</v>
      </c>
      <c r="J31" s="236"/>
      <c r="K31" s="235">
        <v>0</v>
      </c>
      <c r="L31" s="233">
        <v>997.2983365010557</v>
      </c>
      <c r="M31" s="236"/>
      <c r="N31" s="235">
        <v>278416.13245056127</v>
      </c>
      <c r="O31" s="233">
        <v>709366.99551551696</v>
      </c>
      <c r="P31" s="233">
        <v>416737.36391887587</v>
      </c>
    </row>
    <row r="32" spans="1:16" x14ac:dyDescent="0.2">
      <c r="A32" s="296"/>
      <c r="B32" s="203">
        <v>354</v>
      </c>
      <c r="C32" s="233">
        <v>358361.75527734141</v>
      </c>
      <c r="D32" s="234"/>
      <c r="E32" s="235">
        <v>0</v>
      </c>
      <c r="F32" s="233">
        <v>58481.256984009357</v>
      </c>
      <c r="G32" s="236"/>
      <c r="H32" s="235">
        <v>1852.5869844591025</v>
      </c>
      <c r="I32" s="233">
        <v>3140.2169943435738</v>
      </c>
      <c r="J32" s="236"/>
      <c r="K32" s="235">
        <v>0</v>
      </c>
      <c r="L32" s="233">
        <v>871.46656704254792</v>
      </c>
      <c r="M32" s="236"/>
      <c r="N32" s="235">
        <v>282473.21143587655</v>
      </c>
      <c r="O32" s="233">
        <v>718428.45095057553</v>
      </c>
      <c r="P32" s="233">
        <v>356891.1051761795</v>
      </c>
    </row>
    <row r="33" spans="1:16" x14ac:dyDescent="0.2">
      <c r="A33" s="296"/>
      <c r="B33" s="203">
        <v>355</v>
      </c>
      <c r="C33" s="233">
        <v>298203.32255343377</v>
      </c>
      <c r="D33" s="234"/>
      <c r="E33" s="235">
        <v>0</v>
      </c>
      <c r="F33" s="233">
        <v>58616.840782386425</v>
      </c>
      <c r="G33" s="236"/>
      <c r="H33" s="235">
        <v>1541.591941521225</v>
      </c>
      <c r="I33" s="233">
        <v>2687.7131645800605</v>
      </c>
      <c r="J33" s="236"/>
      <c r="K33" s="235">
        <v>0</v>
      </c>
      <c r="L33" s="233">
        <v>745.97421928564381</v>
      </c>
      <c r="M33" s="236"/>
      <c r="N33" s="235">
        <v>286343.33824446262</v>
      </c>
      <c r="O33" s="233">
        <v>727024.40744136588</v>
      </c>
      <c r="P33" s="233">
        <v>297151.44101753808</v>
      </c>
    </row>
    <row r="34" spans="1:16" x14ac:dyDescent="0.2">
      <c r="A34" s="296"/>
      <c r="B34" s="203">
        <v>356</v>
      </c>
      <c r="C34" s="233">
        <v>238219.08620900335</v>
      </c>
      <c r="D34" s="234"/>
      <c r="E34" s="235">
        <v>0</v>
      </c>
      <c r="F34" s="233">
        <v>58752.738920217322</v>
      </c>
      <c r="G34" s="236"/>
      <c r="H34" s="235">
        <v>1231.4974242131257</v>
      </c>
      <c r="I34" s="233">
        <v>2236.5249191507532</v>
      </c>
      <c r="J34" s="236"/>
      <c r="K34" s="235">
        <v>0</v>
      </c>
      <c r="L34" s="233">
        <v>620.81863801303041</v>
      </c>
      <c r="M34" s="236"/>
      <c r="N34" s="235">
        <v>290025.74174136453</v>
      </c>
      <c r="O34" s="233">
        <v>735155.20248192805</v>
      </c>
      <c r="P34" s="233">
        <v>237516.88278547997</v>
      </c>
    </row>
    <row r="35" spans="1:16" x14ac:dyDescent="0.2">
      <c r="A35" s="296"/>
      <c r="B35" s="203">
        <v>357</v>
      </c>
      <c r="C35" s="233">
        <v>178407.83690201209</v>
      </c>
      <c r="D35" s="234"/>
      <c r="E35" s="235">
        <v>0</v>
      </c>
      <c r="F35" s="233">
        <v>58888.95212627123</v>
      </c>
      <c r="G35" s="236"/>
      <c r="H35" s="235">
        <v>922.29718072002072</v>
      </c>
      <c r="I35" s="233">
        <v>1786.643146567525</v>
      </c>
      <c r="J35" s="236"/>
      <c r="K35" s="235">
        <v>0</v>
      </c>
      <c r="L35" s="233">
        <v>495.9971781756222</v>
      </c>
      <c r="M35" s="236"/>
      <c r="N35" s="235">
        <v>293519.84322041943</v>
      </c>
      <c r="O35" s="233">
        <v>742821.25333657325</v>
      </c>
      <c r="P35" s="233">
        <v>177985.94396591355</v>
      </c>
    </row>
    <row r="36" spans="1:16" x14ac:dyDescent="0.2">
      <c r="A36" s="296"/>
      <c r="B36" s="203">
        <v>358</v>
      </c>
      <c r="C36" s="233">
        <v>118768.3707833816</v>
      </c>
      <c r="D36" s="234"/>
      <c r="E36" s="235">
        <v>0</v>
      </c>
      <c r="F36" s="233">
        <v>59025.481131006956</v>
      </c>
      <c r="G36" s="236"/>
      <c r="H36" s="235">
        <v>613.98498762353154</v>
      </c>
      <c r="I36" s="233">
        <v>1338.0587767650907</v>
      </c>
      <c r="J36" s="236"/>
      <c r="K36" s="235">
        <v>0</v>
      </c>
      <c r="L36" s="233">
        <v>371.50720482248408</v>
      </c>
      <c r="M36" s="236"/>
      <c r="N36" s="235">
        <v>296825.25585875026</v>
      </c>
      <c r="O36" s="233">
        <v>750023.06140956306</v>
      </c>
      <c r="P36" s="233">
        <v>118557.140140893</v>
      </c>
    </row>
    <row r="37" spans="1:16" x14ac:dyDescent="0.2">
      <c r="A37" s="296"/>
      <c r="B37" s="203">
        <v>359</v>
      </c>
      <c r="C37" s="233">
        <v>59299.489467057887</v>
      </c>
      <c r="D37" s="234"/>
      <c r="E37" s="235">
        <v>0</v>
      </c>
      <c r="F37" s="233">
        <v>59162.326666576781</v>
      </c>
      <c r="G37" s="236"/>
      <c r="H37" s="235">
        <v>306.55464974693183</v>
      </c>
      <c r="I37" s="233">
        <v>890.76278087536195</v>
      </c>
      <c r="J37" s="236"/>
      <c r="K37" s="235">
        <v>0</v>
      </c>
      <c r="L37" s="233">
        <v>247.34609303100805</v>
      </c>
      <c r="M37" s="236"/>
      <c r="N37" s="235">
        <v>299941.78410069406</v>
      </c>
      <c r="O37" s="233">
        <v>756761.21637427527</v>
      </c>
      <c r="P37" s="233">
        <v>59228.988941378477</v>
      </c>
    </row>
    <row r="38" spans="1:16" x14ac:dyDescent="0.2">
      <c r="A38" s="297"/>
      <c r="B38" s="238">
        <v>360</v>
      </c>
      <c r="C38" s="239">
        <v>0</v>
      </c>
      <c r="D38" s="240"/>
      <c r="E38" s="241">
        <v>0</v>
      </c>
      <c r="F38" s="239">
        <v>59299.489467057887</v>
      </c>
      <c r="G38" s="242"/>
      <c r="H38" s="241">
        <v>0</v>
      </c>
      <c r="I38" s="239">
        <v>444.74617100293415</v>
      </c>
      <c r="J38" s="242"/>
      <c r="K38" s="241">
        <v>0</v>
      </c>
      <c r="L38" s="239">
        <v>123.5112278373375</v>
      </c>
      <c r="M38" s="242"/>
      <c r="N38" s="241">
        <v>302869.42296914459</v>
      </c>
      <c r="O38" s="239">
        <v>763036.40005933354</v>
      </c>
      <c r="P38" s="239">
        <v>9.9997623474337161E-3</v>
      </c>
    </row>
  </sheetData>
  <mergeCells count="8">
    <mergeCell ref="A16:A26"/>
    <mergeCell ref="A28:A38"/>
    <mergeCell ref="K1:P1"/>
    <mergeCell ref="A3:C3"/>
    <mergeCell ref="E3:F3"/>
    <mergeCell ref="H3:L3"/>
    <mergeCell ref="K6:K7"/>
    <mergeCell ref="A11:P11"/>
  </mergeCells>
  <phoneticPr fontId="0" type="noConversion"/>
  <conditionalFormatting sqref="O9">
    <cfRule type="cellIs" dxfId="0" priority="1" stopIfTrue="1" operator="equal">
      <formula>1000</formula>
    </cfRule>
  </conditionalFormatting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27"/>
  <sheetViews>
    <sheetView workbookViewId="0"/>
  </sheetViews>
  <sheetFormatPr defaultRowHeight="12.75" x14ac:dyDescent="0.2"/>
  <cols>
    <col min="1" max="1" width="20.140625" customWidth="1"/>
  </cols>
  <sheetData>
    <row r="1" spans="1:3" s="5" customFormat="1" ht="19.5" thickBot="1" x14ac:dyDescent="0.35">
      <c r="A1" s="5" t="s">
        <v>14</v>
      </c>
    </row>
    <row r="5" spans="1:3" x14ac:dyDescent="0.2">
      <c r="A5" s="1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15</v>
      </c>
    </row>
    <row r="10" spans="1:3" x14ac:dyDescent="0.2">
      <c r="A10" s="1" t="s">
        <v>3</v>
      </c>
      <c r="C10" s="4" t="s">
        <v>11</v>
      </c>
    </row>
    <row r="11" spans="1:3" x14ac:dyDescent="0.2">
      <c r="A11" t="s">
        <v>7</v>
      </c>
      <c r="C11" s="2">
        <f>IF(PmtFreq="Monthly",1,IF(PmtFreq="Quarterly",3,IF(PmtFreq="Semi-Annual",6,12)))</f>
        <v>1</v>
      </c>
    </row>
    <row r="12" spans="1:3" x14ac:dyDescent="0.2">
      <c r="A12" t="s">
        <v>8</v>
      </c>
    </row>
    <row r="13" spans="1:3" x14ac:dyDescent="0.2">
      <c r="A13" t="s">
        <v>213</v>
      </c>
    </row>
    <row r="14" spans="1:3" x14ac:dyDescent="0.2">
      <c r="A14" t="s">
        <v>9</v>
      </c>
    </row>
    <row r="16" spans="1:3" x14ac:dyDescent="0.2">
      <c r="A16" s="1" t="s">
        <v>37</v>
      </c>
    </row>
    <row r="17" spans="1:1" x14ac:dyDescent="0.2">
      <c r="A17" t="s">
        <v>36</v>
      </c>
    </row>
    <row r="18" spans="1:1" x14ac:dyDescent="0.2">
      <c r="A18" t="s">
        <v>38</v>
      </c>
    </row>
    <row r="19" spans="1:1" x14ac:dyDescent="0.2">
      <c r="A19" t="s">
        <v>39</v>
      </c>
    </row>
    <row r="21" spans="1:1" x14ac:dyDescent="0.2">
      <c r="A21" s="1" t="s">
        <v>123</v>
      </c>
    </row>
    <row r="22" spans="1:1" x14ac:dyDescent="0.2">
      <c r="A22" t="s">
        <v>124</v>
      </c>
    </row>
    <row r="23" spans="1:1" x14ac:dyDescent="0.2">
      <c r="A23" t="s">
        <v>214</v>
      </c>
    </row>
    <row r="25" spans="1:1" x14ac:dyDescent="0.2">
      <c r="A25" s="1" t="s">
        <v>139</v>
      </c>
    </row>
    <row r="26" spans="1:1" x14ac:dyDescent="0.2">
      <c r="A26" t="s">
        <v>140</v>
      </c>
    </row>
    <row r="27" spans="1:1" x14ac:dyDescent="0.2">
      <c r="A27" t="s">
        <v>141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74</vt:i4>
      </vt:variant>
    </vt:vector>
  </HeadingPairs>
  <TitlesOfParts>
    <vt:vector size="86" baseType="lpstr">
      <vt:lpstr>Inputs</vt:lpstr>
      <vt:lpstr>Vectors</vt:lpstr>
      <vt:lpstr>Cash Flow</vt:lpstr>
      <vt:lpstr>Loss Timing</vt:lpstr>
      <vt:lpstr>Analytics</vt:lpstr>
      <vt:lpstr>Output</vt:lpstr>
      <vt:lpstr>Scen Output 1</vt:lpstr>
      <vt:lpstr>Scen Output 2</vt:lpstr>
      <vt:lpstr>Scen Output 3</vt:lpstr>
      <vt:lpstr>Scen Output 4</vt:lpstr>
      <vt:lpstr>Scen Output 5</vt:lpstr>
      <vt:lpstr>Hidden</vt:lpstr>
      <vt:lpstr>Age1</vt:lpstr>
      <vt:lpstr>AssetCurBal1</vt:lpstr>
      <vt:lpstr>AssetDes1</vt:lpstr>
      <vt:lpstr>AssetFee</vt:lpstr>
      <vt:lpstr>AssetFltIndx1</vt:lpstr>
      <vt:lpstr>AssetFxdRate1</vt:lpstr>
      <vt:lpstr>AssetIntType1</vt:lpstr>
      <vt:lpstr>AssetLifeCap1</vt:lpstr>
      <vt:lpstr>AssetLifeFloor1</vt:lpstr>
      <vt:lpstr>AssetMarg1</vt:lpstr>
      <vt:lpstr>AssetOrgBal1</vt:lpstr>
      <vt:lpstr>AssetPdCapFl1</vt:lpstr>
      <vt:lpstr>AssetRateReset1</vt:lpstr>
      <vt:lpstr>ClosingDate</vt:lpstr>
      <vt:lpstr>DayCountSys</vt:lpstr>
      <vt:lpstr>FinalLoanBal</vt:lpstr>
      <vt:lpstr>FirstPayDate</vt:lpstr>
      <vt:lpstr>GlobalTrigger</vt:lpstr>
      <vt:lpstr>LiabAdvRate1</vt:lpstr>
      <vt:lpstr>LiabAdvRate2</vt:lpstr>
      <vt:lpstr>LiabDes1</vt:lpstr>
      <vt:lpstr>LiabDes2</vt:lpstr>
      <vt:lpstr>LiabFees1</vt:lpstr>
      <vt:lpstr>LiabFees2</vt:lpstr>
      <vt:lpstr>LiabFxdRate1</vt:lpstr>
      <vt:lpstr>LiabFxdRate2</vt:lpstr>
      <vt:lpstr>LiabIntType1</vt:lpstr>
      <vt:lpstr>LiabIntType2</vt:lpstr>
      <vt:lpstr>LiabLoanIndex1</vt:lpstr>
      <vt:lpstr>LiabLoanIndex2</vt:lpstr>
      <vt:lpstr>LiabMarg1</vt:lpstr>
      <vt:lpstr>LiabMarg2</vt:lpstr>
      <vt:lpstr>LiabPrinType1</vt:lpstr>
      <vt:lpstr>LiabPrinType2</vt:lpstr>
      <vt:lpstr>LiabReserveOnOff1</vt:lpstr>
      <vt:lpstr>LiabReserveOnOff2</vt:lpstr>
      <vt:lpstr>lstDayCountSys</vt:lpstr>
      <vt:lpstr>lstDefaultCurve</vt:lpstr>
      <vt:lpstr>lstInterestRates</vt:lpstr>
      <vt:lpstr>lstIntType</vt:lpstr>
      <vt:lpstr>lstPaymentFreq</vt:lpstr>
      <vt:lpstr>lstPrepayCurve</vt:lpstr>
      <vt:lpstr>lstPrinType</vt:lpstr>
      <vt:lpstr>lstSDA</vt:lpstr>
      <vt:lpstr>lstYesNo</vt:lpstr>
      <vt:lpstr>OrgTerm1</vt:lpstr>
      <vt:lpstr>pdrCumLoss1</vt:lpstr>
      <vt:lpstr>pdrDes1</vt:lpstr>
      <vt:lpstr>pdrLossStress1</vt:lpstr>
      <vt:lpstr>pdrLossTime1</vt:lpstr>
      <vt:lpstr>pdrPrepay1</vt:lpstr>
      <vt:lpstr>pdrPrepayStress1</vt:lpstr>
      <vt:lpstr>pdrRecovLag1</vt:lpstr>
      <vt:lpstr>pdrRecovRate1</vt:lpstr>
      <vt:lpstr>PmtFreq</vt:lpstr>
      <vt:lpstr>PmtFreqAdd</vt:lpstr>
      <vt:lpstr>PostDefTriggerMo</vt:lpstr>
      <vt:lpstr>Output!Print_Area</vt:lpstr>
      <vt:lpstr>ProjName</vt:lpstr>
      <vt:lpstr>RemTerm1</vt:lpstr>
      <vt:lpstr>rng_ScenGen1</vt:lpstr>
      <vt:lpstr>rng_ScenGen2</vt:lpstr>
      <vt:lpstr>rng_ScenGen3</vt:lpstr>
      <vt:lpstr>rngYieldChange</vt:lpstr>
      <vt:lpstr>rngYieldTarget</vt:lpstr>
      <vt:lpstr>RsrvPercent</vt:lpstr>
      <vt:lpstr>ScenName</vt:lpstr>
      <vt:lpstr>SDA_Loss</vt:lpstr>
      <vt:lpstr>SnapshotEnd</vt:lpstr>
      <vt:lpstr>SnapshotStart</vt:lpstr>
      <vt:lpstr>Swap_Active</vt:lpstr>
      <vt:lpstr>Swap_In</vt:lpstr>
      <vt:lpstr>Swap_Out</vt:lpstr>
      <vt:lpstr>Trigger_Def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Allman</dc:creator>
  <cp:lastModifiedBy>SADEQ</cp:lastModifiedBy>
  <cp:lastPrinted>2006-11-05T15:02:12Z</cp:lastPrinted>
  <dcterms:created xsi:type="dcterms:W3CDTF">2004-08-07T22:24:44Z</dcterms:created>
  <dcterms:modified xsi:type="dcterms:W3CDTF">2020-09-28T14:45:19Z</dcterms:modified>
</cp:coreProperties>
</file>