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met\Desktop\Semester 8\IT Management\"/>
    </mc:Choice>
  </mc:AlternateContent>
  <xr:revisionPtr revIDLastSave="0" documentId="13_ncr:1_{71003441-3EF2-47D6-8840-A6143E07EB4B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Summary" sheetId="1" r:id="rId1"/>
    <sheet name="Transport1 (3p)" sheetId="2" r:id="rId2"/>
    <sheet name="Transport2 (3p)" sheetId="9" r:id="rId3"/>
    <sheet name="Transport3 (9p)" sheetId="4" r:id="rId4"/>
    <sheet name="Knapsack (9p)" sheetId="5" r:id="rId5"/>
    <sheet name="Facility (9p)" sheetId="6" r:id="rId6"/>
  </sheets>
  <externalReferences>
    <externalReference r:id="rId7"/>
  </externalReferences>
  <definedNames>
    <definedName name="_scenchg_count" localSheetId="4" hidden="1">24</definedName>
    <definedName name="_scenchg1" localSheetId="4" hidden="1">'Knapsack (9p)'!$B$17</definedName>
    <definedName name="_scenchg10" localSheetId="4" hidden="1">'Knapsack (9p)'!$C$19</definedName>
    <definedName name="_scenchg11" localSheetId="4" hidden="1">'Knapsack (9p)'!$D$19</definedName>
    <definedName name="_scenchg12" localSheetId="4" hidden="1">'Knapsack (9p)'!$E$19</definedName>
    <definedName name="_scenchg13" localSheetId="4" hidden="1">'Knapsack (9p)'!$B$11</definedName>
    <definedName name="_scenchg14" localSheetId="4" hidden="1">'Knapsack (9p)'!$C$11</definedName>
    <definedName name="_scenchg15" localSheetId="4" hidden="1">'Knapsack (9p)'!$D$11</definedName>
    <definedName name="_scenchg16" localSheetId="4" hidden="1">'Knapsack (9p)'!$E$11</definedName>
    <definedName name="_scenchg17" localSheetId="4" hidden="1">'Knapsack (9p)'!$B$12</definedName>
    <definedName name="_scenchg18" localSheetId="4" hidden="1">'Knapsack (9p)'!$C$12</definedName>
    <definedName name="_scenchg19" localSheetId="4" hidden="1">'Knapsack (9p)'!$D$12</definedName>
    <definedName name="_scenchg2" localSheetId="4" hidden="1">'Knapsack (9p)'!$C$17</definedName>
    <definedName name="_scenchg20" localSheetId="4" hidden="1">'Knapsack (9p)'!$E$12</definedName>
    <definedName name="_scenchg21" localSheetId="4" hidden="1">'Knapsack (9p)'!$B$13</definedName>
    <definedName name="_scenchg22" localSheetId="4" hidden="1">'Knapsack (9p)'!$C$13</definedName>
    <definedName name="_scenchg23" localSheetId="4" hidden="1">'Knapsack (9p)'!$D$13</definedName>
    <definedName name="_scenchg24" localSheetId="4" hidden="1">'Knapsack (9p)'!$E$13</definedName>
    <definedName name="_scenchg3" localSheetId="4" hidden="1">'Knapsack (9p)'!$D$17</definedName>
    <definedName name="_scenchg4" localSheetId="4" hidden="1">'Knapsack (9p)'!$E$17</definedName>
    <definedName name="_scenchg5" localSheetId="4" hidden="1">'Knapsack (9p)'!$B$18</definedName>
    <definedName name="_scenchg6" localSheetId="4" hidden="1">'Knapsack (9p)'!$C$18</definedName>
    <definedName name="_scenchg7" localSheetId="4" hidden="1">'Knapsack (9p)'!$D$18</definedName>
    <definedName name="_scenchg8" localSheetId="4" hidden="1">'Knapsack (9p)'!$E$18</definedName>
    <definedName name="_scenchg9" localSheetId="4" hidden="1">'Knapsack (9p)'!$B$19</definedName>
    <definedName name="Capacity" localSheetId="5">'Facility (9p)'!$B$24:$F$24</definedName>
    <definedName name="Capacity">'Transport1 (3p)'!$H$14:$H$15</definedName>
    <definedName name="Demand" localSheetId="5">'Facility (9p)'!$H$19:$H$22</definedName>
    <definedName name="Demand" localSheetId="4">'Knapsack (9p)'!$G$17:$G$19</definedName>
    <definedName name="Demand" localSheetId="1">'Transport1 (3p)'!$B$17:$F$17</definedName>
    <definedName name="Demand" localSheetId="2">'Transport2 (3p)'!$B$42:$F$42</definedName>
    <definedName name="Demand">'Transport3 (9p)'!$C$87:$G$89</definedName>
    <definedName name="Factory_capacity" localSheetId="2">'Transport2 (3p)'!$H$33:$H$34</definedName>
    <definedName name="Factory_capacity">'Transport3 (9p)'!$H$63:$H$68</definedName>
    <definedName name="Factory_to_customer" localSheetId="2">'Transport2 (3p)'!$B$31:$F$32</definedName>
    <definedName name="Factory_to_customer">'Transport3 (9p)'!$C$55:$G$60</definedName>
    <definedName name="Factory_to_warehouse" localSheetId="2">'Transport2 (3p)'!$B$25:$E$26</definedName>
    <definedName name="Factory_to_warehouse">'Transport3 (9p)'!$C$41:$F$46</definedName>
    <definedName name="Gallons_loaded">'Knapsack (9p)'!$B$17:$E$19</definedName>
    <definedName name="Loading_decisions">'Knapsack (9p)'!$B$11:$E$13</definedName>
    <definedName name="lssolver_est" localSheetId="5" hidden="1">1</definedName>
    <definedName name="lssolver_est" localSheetId="4" hidden="1">2</definedName>
    <definedName name="lssolver_est" localSheetId="1" hidden="1">1</definedName>
    <definedName name="lssolver_est" localSheetId="2" hidden="1">1</definedName>
    <definedName name="lssolver_est" localSheetId="3" hidden="1">1</definedName>
    <definedName name="lssolver_itr" localSheetId="5" hidden="1">100</definedName>
    <definedName name="lssolver_itr" localSheetId="4" hidden="1">1000</definedName>
    <definedName name="lssolver_itr" localSheetId="1" hidden="1">100</definedName>
    <definedName name="lssolver_itr" localSheetId="2" hidden="1">100</definedName>
    <definedName name="lssolver_itr" localSheetId="3" hidden="1">100</definedName>
    <definedName name="lssolver_neg" localSheetId="5" hidden="1">1</definedName>
    <definedName name="lssolver_neg" localSheetId="4" hidden="1">1</definedName>
    <definedName name="lssolver_neg" localSheetId="1" hidden="1">1</definedName>
    <definedName name="lssolver_neg" localSheetId="2" hidden="1">1</definedName>
    <definedName name="lssolver_neg" localSheetId="3" hidden="1">1</definedName>
    <definedName name="lssolver_piv" localSheetId="5" hidden="1">0.000001</definedName>
    <definedName name="lssolver_piv" localSheetId="4" hidden="1">0.000001</definedName>
    <definedName name="lssolver_piv" localSheetId="1" hidden="1">0.000001</definedName>
    <definedName name="lssolver_piv" localSheetId="2" hidden="1">0.000001</definedName>
    <definedName name="lssolver_piv" localSheetId="3" hidden="1">0.000001</definedName>
    <definedName name="lssolver_pre" localSheetId="5" hidden="1">0.001</definedName>
    <definedName name="lssolver_pre" localSheetId="4" hidden="1">0.00000001</definedName>
    <definedName name="lssolver_pre" localSheetId="1" hidden="1">0.00000001</definedName>
    <definedName name="lssolver_pre" localSheetId="2" hidden="1">0.001</definedName>
    <definedName name="lssolver_pre" localSheetId="3" hidden="1">0.001</definedName>
    <definedName name="lssolver_red" localSheetId="5" hidden="1">0.000001</definedName>
    <definedName name="lssolver_red" localSheetId="4" hidden="1">0.00001</definedName>
    <definedName name="lssolver_red" localSheetId="1" hidden="1">0.000001</definedName>
    <definedName name="lssolver_red" localSheetId="2" hidden="1">0.000001</definedName>
    <definedName name="lssolver_red" localSheetId="3" hidden="1">0.000001</definedName>
    <definedName name="lssolver_rep" localSheetId="5" hidden="1">2</definedName>
    <definedName name="lssolver_rep" localSheetId="4" hidden="1">2</definedName>
    <definedName name="lssolver_rep" localSheetId="1" hidden="1">2</definedName>
    <definedName name="lssolver_rep" localSheetId="2" hidden="1">2</definedName>
    <definedName name="lssolver_rep" localSheetId="3" hidden="1">2</definedName>
    <definedName name="lssolver_scl" localSheetId="5" hidden="1">0</definedName>
    <definedName name="lssolver_scl" localSheetId="4" hidden="1">0</definedName>
    <definedName name="lssolver_scl" localSheetId="1" hidden="1">0</definedName>
    <definedName name="lssolver_scl" localSheetId="2" hidden="1">0</definedName>
    <definedName name="lssolver_scl" localSheetId="3" hidden="1">2</definedName>
    <definedName name="lssolver_sho" localSheetId="5" hidden="1">2</definedName>
    <definedName name="lssolver_sho" localSheetId="4" hidden="1">2</definedName>
    <definedName name="lssolver_sho" localSheetId="1" hidden="1">2</definedName>
    <definedName name="lssolver_sho" localSheetId="2" hidden="1">2</definedName>
    <definedName name="lssolver_sho" localSheetId="3" hidden="1">2</definedName>
    <definedName name="lssolver_sol" localSheetId="5" hidden="1">0.0001</definedName>
    <definedName name="lssolver_sol" localSheetId="4" hidden="1">0.0001</definedName>
    <definedName name="lssolver_sol" localSheetId="1" hidden="1">0.0001</definedName>
    <definedName name="lssolver_sol" localSheetId="2" hidden="1">0.0001</definedName>
    <definedName name="lssolver_sol" localSheetId="3" hidden="1">0.0001</definedName>
    <definedName name="lssolver_tim" localSheetId="5" hidden="1">100</definedName>
    <definedName name="lssolver_tim" localSheetId="4" hidden="1">1000</definedName>
    <definedName name="lssolver_tim" localSheetId="1" hidden="1">100</definedName>
    <definedName name="lssolver_tim" localSheetId="2" hidden="1">100</definedName>
    <definedName name="lssolver_tim" localSheetId="3" hidden="1">100</definedName>
    <definedName name="lssolver_tol" localSheetId="5" hidden="1">0</definedName>
    <definedName name="lssolver_tol" localSheetId="4" hidden="1">0</definedName>
    <definedName name="lssolver_tol" localSheetId="1" hidden="1">0.05</definedName>
    <definedName name="lssolver_tol" localSheetId="2" hidden="1">0.05</definedName>
    <definedName name="lssolver_tol" localSheetId="3" hidden="1">0.05</definedName>
    <definedName name="Maximum_gallons">'Knapsack (9p)'!$B$23:$E$25</definedName>
    <definedName name="Open_or_close">'Facility (9p)'!$B$15:$F$15</definedName>
    <definedName name="Products_made" localSheetId="5">'Facility (9p)'!$B$23:$F$23</definedName>
    <definedName name="Products_made">#REF!</definedName>
    <definedName name="Products_shipped" localSheetId="5">'Facility (9p)'!$B$19:$F$22</definedName>
    <definedName name="Products_shipped">'Transport1 (3p)'!$B$14:$F$15</definedName>
    <definedName name="qpsolver_itr" localSheetId="5" hidden="1">100</definedName>
    <definedName name="qpsolver_itr" localSheetId="4" hidden="1">1000</definedName>
    <definedName name="qpsolver_itr" localSheetId="1" hidden="1">100</definedName>
    <definedName name="qpsolver_itr" localSheetId="2" hidden="1">100</definedName>
    <definedName name="qpsolver_itr" localSheetId="3" hidden="1">100</definedName>
    <definedName name="qpsolver_lin" localSheetId="5" hidden="1">1</definedName>
    <definedName name="qpsolver_lin" localSheetId="4" hidden="1">1</definedName>
    <definedName name="qpsolver_lin" localSheetId="1" hidden="1">1</definedName>
    <definedName name="qpsolver_lin" localSheetId="2" hidden="1">1</definedName>
    <definedName name="qpsolver_lin" localSheetId="3" hidden="1">1</definedName>
    <definedName name="qpsolver_neg" localSheetId="5" hidden="1">1</definedName>
    <definedName name="qpsolver_neg" localSheetId="4" hidden="1">1</definedName>
    <definedName name="qpsolver_neg" localSheetId="1" hidden="1">1</definedName>
    <definedName name="qpsolver_neg" localSheetId="2" hidden="1">1</definedName>
    <definedName name="qpsolver_neg" localSheetId="3" hidden="1">1</definedName>
    <definedName name="qpsolver_piv" localSheetId="5" hidden="1">0.000001</definedName>
    <definedName name="qpsolver_piv" localSheetId="4" hidden="1">0.000001</definedName>
    <definedName name="qpsolver_piv" localSheetId="1" hidden="1">0.000001</definedName>
    <definedName name="qpsolver_piv" localSheetId="2" hidden="1">0.000001</definedName>
    <definedName name="qpsolver_piv" localSheetId="3" hidden="1">0.000001</definedName>
    <definedName name="qpsolver_pre" localSheetId="5" hidden="1">0.001</definedName>
    <definedName name="qpsolver_pre" localSheetId="4" hidden="1">0.00000001</definedName>
    <definedName name="qpsolver_pre" localSheetId="1" hidden="1">0.00000001</definedName>
    <definedName name="qpsolver_pre" localSheetId="2" hidden="1">0.001</definedName>
    <definedName name="qpsolver_pre" localSheetId="3" hidden="1">0.001</definedName>
    <definedName name="qpsolver_red" localSheetId="5" hidden="1">0.000001</definedName>
    <definedName name="qpsolver_red" localSheetId="4" hidden="1">0.00001</definedName>
    <definedName name="qpsolver_red" localSheetId="1" hidden="1">0.000001</definedName>
    <definedName name="qpsolver_red" localSheetId="2" hidden="1">0.000001</definedName>
    <definedName name="qpsolver_red" localSheetId="3" hidden="1">0.000001</definedName>
    <definedName name="qpsolver_rep" localSheetId="5" hidden="1">2</definedName>
    <definedName name="qpsolver_rep" localSheetId="4" hidden="1">2</definedName>
    <definedName name="qpsolver_rep" localSheetId="1" hidden="1">2</definedName>
    <definedName name="qpsolver_rep" localSheetId="2" hidden="1">2</definedName>
    <definedName name="qpsolver_rep" localSheetId="3" hidden="1">2</definedName>
    <definedName name="qpsolver_scl" localSheetId="5" hidden="1">2</definedName>
    <definedName name="qpsolver_scl" localSheetId="4" hidden="1">2</definedName>
    <definedName name="qpsolver_scl" localSheetId="1" hidden="1">2</definedName>
    <definedName name="qpsolver_scl" localSheetId="2" hidden="1">2</definedName>
    <definedName name="qpsolver_scl" localSheetId="3" hidden="1">2</definedName>
    <definedName name="qpsolver_sho" localSheetId="5" hidden="1">2</definedName>
    <definedName name="qpsolver_sho" localSheetId="4" hidden="1">2</definedName>
    <definedName name="qpsolver_sho" localSheetId="1" hidden="1">2</definedName>
    <definedName name="qpsolver_sho" localSheetId="2" hidden="1">2</definedName>
    <definedName name="qpsolver_sho" localSheetId="3" hidden="1">2</definedName>
    <definedName name="qpsolver_tim" localSheetId="5" hidden="1">100</definedName>
    <definedName name="qpsolver_tim" localSheetId="4" hidden="1">1000</definedName>
    <definedName name="qpsolver_tim" localSheetId="1" hidden="1">100</definedName>
    <definedName name="qpsolver_tim" localSheetId="2" hidden="1">100</definedName>
    <definedName name="qpsolver_tim" localSheetId="3" hidden="1">100</definedName>
    <definedName name="qpsolver_tol" localSheetId="5" hidden="1">0</definedName>
    <definedName name="qpsolver_tol" localSheetId="4" hidden="1">0</definedName>
    <definedName name="qpsolver_tol" localSheetId="1" hidden="1">0.05</definedName>
    <definedName name="qpsolver_tol" localSheetId="2" hidden="1">0.05</definedName>
    <definedName name="qpsolver_tol" localSheetId="3" hidden="1">0.05</definedName>
    <definedName name="scen_change" localSheetId="4" hidden="1">'Knapsack (9p)'!$B$17:$E$19,'Knapsack (9p)'!$B$11:$E$13</definedName>
    <definedName name="scen_result" localSheetId="4" hidden="1">'Knapsack (9p)'!$F$17:$F$19,'Knapsack (9p)'!$B$14:$E$14</definedName>
    <definedName name="scen_result" localSheetId="1" hidden="1">#VALUE!</definedName>
    <definedName name="scen_result" localSheetId="2" hidden="1">#VALUE!</definedName>
    <definedName name="scen_result" localSheetId="3" hidden="1">#VALUE!</definedName>
    <definedName name="sencount" hidden="1">2</definedName>
    <definedName name="solver_adj" localSheetId="5" hidden="1">'Facility (9p)'!$B$15:$F$15,'Facility (9p)'!$B$19:$F$22</definedName>
    <definedName name="solver_adj" localSheetId="4" hidden="1">'Knapsack (9p)'!$B$11:$E$13,'Knapsack (9p)'!$B$17:$E$19</definedName>
    <definedName name="solver_adj" localSheetId="1" hidden="1">'Transport1 (3p)'!$B$14:$F$15</definedName>
    <definedName name="solver_adj" localSheetId="2" hidden="1">'Transport2 (3p)'!$B$25:$E$26,'Transport2 (3p)'!$B$31:$F$32,'Transport2 (3p)'!$B$37:$F$40</definedName>
    <definedName name="solver_adj" localSheetId="3" hidden="1">'Transport3 (9p)'!$C$41:$F$46,'Transport3 (9p)'!$C$55:$G$60,'Transport3 (9p)'!$C$72:$G$83</definedName>
    <definedName name="solver_cvg" localSheetId="5" hidden="1">0.0001</definedName>
    <definedName name="solver_cvg" localSheetId="4" hidden="1">0.0001</definedName>
    <definedName name="solver_cvg" localSheetId="1" hidden="1">0.0001</definedName>
    <definedName name="solver_cvg" localSheetId="2" hidden="1">0.001</definedName>
    <definedName name="solver_cvg" localSheetId="3" hidden="1">0.0001</definedName>
    <definedName name="solver_drv" localSheetId="5" hidden="1">1</definedName>
    <definedName name="solver_drv" localSheetId="4" hidden="1">1</definedName>
    <definedName name="solver_drv" localSheetId="1" hidden="1">1</definedName>
    <definedName name="solver_drv" localSheetId="2" hidden="1">1</definedName>
    <definedName name="solver_drv" localSheetId="3" hidden="1">1</definedName>
    <definedName name="solver_eng" localSheetId="5" hidden="1">2</definedName>
    <definedName name="solver_eng" localSheetId="4" hidden="1">2</definedName>
    <definedName name="solver_eng" localSheetId="1" hidden="1">2</definedName>
    <definedName name="solver_eng" localSheetId="2" hidden="1">2</definedName>
    <definedName name="solver_eng" localSheetId="3" hidden="1">2</definedName>
    <definedName name="solver_est" localSheetId="5" hidden="1">1</definedName>
    <definedName name="solver_est" localSheetId="4" hidden="1">1</definedName>
    <definedName name="solver_est" localSheetId="1" hidden="1">1</definedName>
    <definedName name="solver_est" localSheetId="2" hidden="1">1</definedName>
    <definedName name="solver_est" localSheetId="3" hidden="1">1</definedName>
    <definedName name="solver_ibd" localSheetId="1" hidden="1">2</definedName>
    <definedName name="solver_ibd" localSheetId="2" hidden="1">2</definedName>
    <definedName name="solver_ibd" localSheetId="3" hidden="1">2</definedName>
    <definedName name="solver_itr" localSheetId="5" hidden="1">100</definedName>
    <definedName name="solver_itr" localSheetId="4" hidden="1">2147483647</definedName>
    <definedName name="solver_itr" localSheetId="1" hidden="1">100</definedName>
    <definedName name="solver_itr" localSheetId="2" hidden="1">100</definedName>
    <definedName name="solver_itr" localSheetId="3" hidden="1">100</definedName>
    <definedName name="solver_lhs1" localSheetId="5" hidden="1">'Facility (9p)'!$B$15:$F$15</definedName>
    <definedName name="solver_lhs1" localSheetId="4" hidden="1">'Knapsack (9p)'!$B$17:$E$19</definedName>
    <definedName name="solver_lhs1" localSheetId="1" hidden="1">'Transport1 (3p)'!$G$14</definedName>
    <definedName name="solver_lhs1" localSheetId="2" hidden="1">'Transport2 (3p)'!$B$27</definedName>
    <definedName name="solver_lhs1" localSheetId="3" hidden="1">'Transport3 (9p)'!$C$47:$F$49</definedName>
    <definedName name="solver_lhs10" localSheetId="2" hidden="1">'Transport2 (3p)'!$E$27</definedName>
    <definedName name="solver_lhs10" localSheetId="3" hidden="1">'Transport3 (9p)'!$H$72:$H$83</definedName>
    <definedName name="solver_lhs11" localSheetId="2" hidden="1">'Transport2 (3p)'!$E$27</definedName>
    <definedName name="solver_lhs11" localSheetId="3" hidden="1">'Transport3 (9p)'!$C$84:$G$86</definedName>
    <definedName name="solver_lhs12" localSheetId="2" hidden="1">'Transport2 (3p)'!$E$41</definedName>
    <definedName name="solver_lhs13" localSheetId="2" hidden="1">'Transport2 (3p)'!$F$41</definedName>
    <definedName name="solver_lhs14" localSheetId="2" hidden="1">'Transport2 (3p)'!$G$33</definedName>
    <definedName name="solver_lhs15" localSheetId="2" hidden="1">'Transport2 (3p)'!$G$34</definedName>
    <definedName name="solver_lhs16" localSheetId="2" hidden="1">'Transport2 (3p)'!$B$31:$F$32</definedName>
    <definedName name="solver_lhs17" localSheetId="2" hidden="1">'Transport2 (3p)'!$B$25:$E$26</definedName>
    <definedName name="solver_lhs18" localSheetId="2" hidden="1">'Transport2 (3p)'!$B$37:$F$40</definedName>
    <definedName name="solver_lhs2" localSheetId="5" hidden="1">'Facility (9p)'!$B$23:$F$23</definedName>
    <definedName name="solver_lhs2" localSheetId="4" hidden="1">'Knapsack (9p)'!$B$17:$E$19</definedName>
    <definedName name="solver_lhs2" localSheetId="1" hidden="1">'Transport1 (3p)'!$G$15</definedName>
    <definedName name="solver_lhs2" localSheetId="2" hidden="1">'Transport2 (3p)'!$B$27</definedName>
    <definedName name="solver_lhs2" localSheetId="3" hidden="1">'Transport3 (9p)'!$G$41:$G$46</definedName>
    <definedName name="solver_lhs3" localSheetId="5" hidden="1">'Facility (9p)'!$B$19:$F$22</definedName>
    <definedName name="solver_lhs3" localSheetId="4" hidden="1">'Knapsack (9p)'!$B$11:$E$13</definedName>
    <definedName name="solver_lhs3" localSheetId="1" hidden="1">'Transport1 (3p)'!$B$16:$F$16</definedName>
    <definedName name="solver_lhs3" localSheetId="2" hidden="1">'Transport2 (3p)'!$B$41</definedName>
    <definedName name="solver_lhs3" localSheetId="3" hidden="1">'Transport3 (9p)'!$G$63</definedName>
    <definedName name="solver_lhs4" localSheetId="5" hidden="1">'Facility (9p)'!$G$19:$G$22</definedName>
    <definedName name="solver_lhs4" localSheetId="4" hidden="1">'Knapsack (9p)'!$B$14:$E$14</definedName>
    <definedName name="solver_lhs4" localSheetId="1" hidden="1">'Transport1 (3p)'!#REF!</definedName>
    <definedName name="solver_lhs4" localSheetId="2" hidden="1">'Transport2 (3p)'!$C$27</definedName>
    <definedName name="solver_lhs4" localSheetId="3" hidden="1">'Transport3 (9p)'!$G$64</definedName>
    <definedName name="solver_lhs5" localSheetId="5" hidden="1">'Facility (9p)'!$G$19:$G$22</definedName>
    <definedName name="solver_lhs5" localSheetId="4" hidden="1">'Knapsack (9p)'!$F$17:$F$19</definedName>
    <definedName name="solver_lhs5" localSheetId="1" hidden="1">'Transport1 (3p)'!$B$14:$G$15</definedName>
    <definedName name="solver_lhs5" localSheetId="2" hidden="1">'Transport2 (3p)'!$C$27</definedName>
    <definedName name="solver_lhs5" localSheetId="3" hidden="1">'Transport3 (9p)'!$G$65</definedName>
    <definedName name="solver_lhs6" localSheetId="5" hidden="1">'Facility (9p)'!$B$23:$F$23</definedName>
    <definedName name="solver_lhs6" localSheetId="4" hidden="1">'Knapsack (9p)'!$B$11:$E$13</definedName>
    <definedName name="solver_lhs6" localSheetId="1" hidden="1">'Transport1 (3p)'!#REF!</definedName>
    <definedName name="solver_lhs6" localSheetId="2" hidden="1">'Transport2 (3p)'!$C$41</definedName>
    <definedName name="solver_lhs6" localSheetId="3" hidden="1">'Transport3 (9p)'!$G$66</definedName>
    <definedName name="solver_lhs7" localSheetId="4" hidden="1">'Knapsack (9p)'!$B$11:$E$13</definedName>
    <definedName name="solver_lhs7" localSheetId="2" hidden="1">'Transport2 (3p)'!$D$27</definedName>
    <definedName name="solver_lhs7" localSheetId="3" hidden="1">'Transport3 (9p)'!$G$67</definedName>
    <definedName name="solver_lhs8" localSheetId="2" hidden="1">'Transport2 (3p)'!$D$27</definedName>
    <definedName name="solver_lhs8" localSheetId="3" hidden="1">'Transport3 (9p)'!$G$68</definedName>
    <definedName name="solver_lhs9" localSheetId="2" hidden="1">'Transport2 (3p)'!$D$41</definedName>
    <definedName name="solver_lhs9" localSheetId="3" hidden="1">'Transport3 (9p)'!$H$55:$H$60</definedName>
    <definedName name="solver_lin" localSheetId="5" hidden="1">1</definedName>
    <definedName name="solver_lin" localSheetId="4" hidden="1">1</definedName>
    <definedName name="solver_lin" localSheetId="1" hidden="1">1</definedName>
    <definedName name="solver_lin" localSheetId="2" hidden="1">1</definedName>
    <definedName name="solver_lin" localSheetId="3" hidden="1">1</definedName>
    <definedName name="solver_mip" localSheetId="5" hidden="1">2147483647</definedName>
    <definedName name="solver_mip" localSheetId="4" hidden="1">2147483647</definedName>
    <definedName name="solver_mip" localSheetId="1" hidden="1">1000</definedName>
    <definedName name="solver_mip" localSheetId="2" hidden="1">1000</definedName>
    <definedName name="solver_mip" localSheetId="3" hidden="1">1000</definedName>
    <definedName name="solver_mni" localSheetId="5" hidden="1">30</definedName>
    <definedName name="solver_mni" localSheetId="4" hidden="1">30</definedName>
    <definedName name="solver_mni" localSheetId="1" hidden="1">30</definedName>
    <definedName name="solver_mni" localSheetId="2" hidden="1">30</definedName>
    <definedName name="solver_mni" localSheetId="3" hidden="1">30</definedName>
    <definedName name="solver_mrt" localSheetId="5" hidden="1">0.075</definedName>
    <definedName name="solver_mrt" localSheetId="4" hidden="1">0.075</definedName>
    <definedName name="solver_mrt" localSheetId="1" hidden="1">0.075</definedName>
    <definedName name="solver_mrt" localSheetId="2" hidden="1">0.075</definedName>
    <definedName name="solver_mrt" localSheetId="3" hidden="1">0.075</definedName>
    <definedName name="solver_msl" localSheetId="5" hidden="1">2</definedName>
    <definedName name="solver_msl" localSheetId="4" hidden="1">2</definedName>
    <definedName name="solver_msl" localSheetId="1" hidden="1">2</definedName>
    <definedName name="solver_msl" localSheetId="2" hidden="1">2</definedName>
    <definedName name="solver_msl" localSheetId="3" hidden="1">2</definedName>
    <definedName name="solver_neg" localSheetId="5" hidden="1">1</definedName>
    <definedName name="solver_neg" localSheetId="4" hidden="1">1</definedName>
    <definedName name="solver_neg" localSheetId="1" hidden="1">1</definedName>
    <definedName name="solver_neg" localSheetId="2" hidden="1">1</definedName>
    <definedName name="solver_neg" localSheetId="3" hidden="1">1</definedName>
    <definedName name="solver_nod" localSheetId="5" hidden="1">2147483647</definedName>
    <definedName name="solver_nod" localSheetId="4" hidden="1">2147483647</definedName>
    <definedName name="solver_nod" localSheetId="1" hidden="1">1000</definedName>
    <definedName name="solver_nod" localSheetId="2" hidden="1">1000</definedName>
    <definedName name="solver_nod" localSheetId="3" hidden="1">1000</definedName>
    <definedName name="solver_num" localSheetId="5" hidden="1">4</definedName>
    <definedName name="solver_num" localSheetId="4" hidden="1">5</definedName>
    <definedName name="solver_num" localSheetId="1" hidden="1">3</definedName>
    <definedName name="solver_num" localSheetId="2" hidden="1">18</definedName>
    <definedName name="solver_num" localSheetId="3" hidden="1">11</definedName>
    <definedName name="solver_nwt" localSheetId="5" hidden="1">1</definedName>
    <definedName name="solver_nwt" localSheetId="4" hidden="1">1</definedName>
    <definedName name="solver_nwt" localSheetId="1" hidden="1">1</definedName>
    <definedName name="solver_nwt" localSheetId="2" hidden="1">1</definedName>
    <definedName name="solver_nwt" localSheetId="3" hidden="1">1</definedName>
    <definedName name="solver_ofx" localSheetId="1" hidden="1">2</definedName>
    <definedName name="solver_ofx" localSheetId="2" hidden="1">2</definedName>
    <definedName name="solver_ofx" localSheetId="3" hidden="1">2</definedName>
    <definedName name="solver_opt" localSheetId="5" hidden="1">'Facility (9p)'!$G$27</definedName>
    <definedName name="solver_opt" localSheetId="4" hidden="1">'Knapsack (9p)'!$H$20</definedName>
    <definedName name="solver_opt" localSheetId="1" hidden="1">'Transport1 (3p)'!$C$19</definedName>
    <definedName name="solver_opt" localSheetId="2" hidden="1">'Transport2 (3p)'!$C$44</definedName>
    <definedName name="solver_opt" localSheetId="3" hidden="1">'Transport3 (9p)'!$C$91</definedName>
    <definedName name="solver_piv" localSheetId="5" hidden="1">0.000001</definedName>
    <definedName name="solver_piv" localSheetId="4" hidden="1">0.000001</definedName>
    <definedName name="solver_piv" localSheetId="1" hidden="1">0.000001</definedName>
    <definedName name="solver_piv" localSheetId="2" hidden="1">0.000001</definedName>
    <definedName name="solver_piv" localSheetId="3" hidden="1">0.000001</definedName>
    <definedName name="solver_pre" localSheetId="5" hidden="1">0.001</definedName>
    <definedName name="solver_pre" localSheetId="4" hidden="1">0.000001</definedName>
    <definedName name="solver_pre" localSheetId="1" hidden="1">0.00000001</definedName>
    <definedName name="solver_pre" localSheetId="2" hidden="1">0.001</definedName>
    <definedName name="solver_pre" localSheetId="3" hidden="1">0.001</definedName>
    <definedName name="solver_pro" localSheetId="1" hidden="1">2</definedName>
    <definedName name="solver_pro" localSheetId="2" hidden="1">2</definedName>
    <definedName name="solver_pro" localSheetId="3" hidden="1">2</definedName>
    <definedName name="solver_rbv" localSheetId="5" hidden="1">1</definedName>
    <definedName name="solver_rbv" localSheetId="4" hidden="1">1</definedName>
    <definedName name="solver_rbv" localSheetId="1" hidden="1">1</definedName>
    <definedName name="solver_rbv" localSheetId="2" hidden="1">1</definedName>
    <definedName name="solver_rbv" localSheetId="3" hidden="1">1</definedName>
    <definedName name="solver_red" localSheetId="5" hidden="1">0.000001</definedName>
    <definedName name="solver_red" localSheetId="4" hidden="1">0.00001</definedName>
    <definedName name="solver_red" localSheetId="1" hidden="1">0.000001</definedName>
    <definedName name="solver_red" localSheetId="2" hidden="1">0.000001</definedName>
    <definedName name="solver_red" localSheetId="3" hidden="1">0.000001</definedName>
    <definedName name="solver_rel1" localSheetId="5" hidden="1">5</definedName>
    <definedName name="solver_rel1" localSheetId="4" hidden="1">1</definedName>
    <definedName name="solver_rel1" localSheetId="1" hidden="1">1</definedName>
    <definedName name="solver_rel1" localSheetId="2" hidden="1">1</definedName>
    <definedName name="solver_rel1" localSheetId="3" hidden="1">1</definedName>
    <definedName name="solver_rel10" localSheetId="2" hidden="1">1</definedName>
    <definedName name="solver_rel10" localSheetId="3" hidden="1">3</definedName>
    <definedName name="solver_rel11" localSheetId="2" hidden="1">2</definedName>
    <definedName name="solver_rel11" localSheetId="3" hidden="1">3</definedName>
    <definedName name="solver_rel12" localSheetId="2" hidden="1">3</definedName>
    <definedName name="solver_rel13" localSheetId="2" hidden="1">3</definedName>
    <definedName name="solver_rel14" localSheetId="2" hidden="1">1</definedName>
    <definedName name="solver_rel15" localSheetId="2" hidden="1">1</definedName>
    <definedName name="solver_rel16" localSheetId="2" hidden="1">3</definedName>
    <definedName name="solver_rel17" localSheetId="2" hidden="1">3</definedName>
    <definedName name="solver_rel18" localSheetId="2" hidden="1">3</definedName>
    <definedName name="solver_rel2" localSheetId="5" hidden="1">1</definedName>
    <definedName name="solver_rel2" localSheetId="4" hidden="1">3</definedName>
    <definedName name="solver_rel2" localSheetId="1" hidden="1">1</definedName>
    <definedName name="solver_rel2" localSheetId="2" hidden="1">2</definedName>
    <definedName name="solver_rel2" localSheetId="3" hidden="1">3</definedName>
    <definedName name="solver_rel3" localSheetId="5" hidden="1">3</definedName>
    <definedName name="solver_rel3" localSheetId="4" hidden="1">5</definedName>
    <definedName name="solver_rel3" localSheetId="1" hidden="1">3</definedName>
    <definedName name="solver_rel3" localSheetId="2" hidden="1">3</definedName>
    <definedName name="solver_rel3" localSheetId="3" hidden="1">1</definedName>
    <definedName name="solver_rel4" localSheetId="5" hidden="1">3</definedName>
    <definedName name="solver_rel4" localSheetId="4" hidden="1">1</definedName>
    <definedName name="solver_rel4" localSheetId="1" hidden="1">3</definedName>
    <definedName name="solver_rel4" localSheetId="2" hidden="1">1</definedName>
    <definedName name="solver_rel4" localSheetId="3" hidden="1">1</definedName>
    <definedName name="solver_rel5" localSheetId="5" hidden="1">3</definedName>
    <definedName name="solver_rel5" localSheetId="4" hidden="1">1</definedName>
    <definedName name="solver_rel5" localSheetId="1" hidden="1">3</definedName>
    <definedName name="solver_rel5" localSheetId="2" hidden="1">2</definedName>
    <definedName name="solver_rel5" localSheetId="3" hidden="1">1</definedName>
    <definedName name="solver_rel6" localSheetId="5" hidden="1">1</definedName>
    <definedName name="solver_rel6" localSheetId="4" hidden="1">4</definedName>
    <definedName name="solver_rel6" localSheetId="1" hidden="1">3</definedName>
    <definedName name="solver_rel6" localSheetId="2" hidden="1">3</definedName>
    <definedName name="solver_rel6" localSheetId="3" hidden="1">1</definedName>
    <definedName name="solver_rel7" localSheetId="4" hidden="1">4</definedName>
    <definedName name="solver_rel7" localSheetId="2" hidden="1">1</definedName>
    <definedName name="solver_rel7" localSheetId="3" hidden="1">1</definedName>
    <definedName name="solver_rel8" localSheetId="2" hidden="1">2</definedName>
    <definedName name="solver_rel8" localSheetId="3" hidden="1">1</definedName>
    <definedName name="solver_rel9" localSheetId="2" hidden="1">3</definedName>
    <definedName name="solver_rel9" localSheetId="3" hidden="1">3</definedName>
    <definedName name="solver_reo" localSheetId="1" hidden="1">2</definedName>
    <definedName name="solver_reo" localSheetId="2" hidden="1">2</definedName>
    <definedName name="solver_reo" localSheetId="3" hidden="1">2</definedName>
    <definedName name="solver_rep" localSheetId="5" hidden="1">2</definedName>
    <definedName name="solver_rep" localSheetId="4" hidden="1">2</definedName>
    <definedName name="solver_rep" localSheetId="1" hidden="1">2</definedName>
    <definedName name="solver_rep" localSheetId="2" hidden="1">2</definedName>
    <definedName name="solver_rep" localSheetId="3" hidden="1">2</definedName>
    <definedName name="solver_rhs1" localSheetId="5" hidden="1">"binary"</definedName>
    <definedName name="solver_rhs1" localSheetId="4" hidden="1">Maximum_gallons</definedName>
    <definedName name="solver_rhs1" localSheetId="1" hidden="1">'Transport1 (3p)'!$H$14</definedName>
    <definedName name="solver_rhs1" localSheetId="2" hidden="1">'Transport2 (3p)'!$B$28</definedName>
    <definedName name="solver_rhs1" localSheetId="3" hidden="1">Warehouse_capacity</definedName>
    <definedName name="solver_rhs10" localSheetId="2" hidden="1">'Transport2 (3p)'!$E$28</definedName>
    <definedName name="solver_rhs10" localSheetId="3" hidden="1">0</definedName>
    <definedName name="solver_rhs11" localSheetId="2" hidden="1">'Transport2 (3p)'!$G$40</definedName>
    <definedName name="solver_rhs11" localSheetId="3" hidden="1">Demand</definedName>
    <definedName name="solver_rhs12" localSheetId="2" hidden="1">'Transport2 (3p)'!$E$42</definedName>
    <definedName name="solver_rhs13" localSheetId="2" hidden="1">'Transport2 (3p)'!$F$42</definedName>
    <definedName name="solver_rhs14" localSheetId="2" hidden="1">'Transport2 (3p)'!$H$33</definedName>
    <definedName name="solver_rhs15" localSheetId="2" hidden="1">'Transport2 (3p)'!$H$34</definedName>
    <definedName name="solver_rhs16" localSheetId="2" hidden="1">0</definedName>
    <definedName name="solver_rhs17" localSheetId="2" hidden="1">0</definedName>
    <definedName name="solver_rhs18" localSheetId="2" hidden="1">0</definedName>
    <definedName name="solver_rhs2" localSheetId="5" hidden="1">'Facility (9p)'!$B$24:$F$24</definedName>
    <definedName name="solver_rhs2" localSheetId="4" hidden="1">0</definedName>
    <definedName name="solver_rhs2" localSheetId="1" hidden="1">'Transport1 (3p)'!$H$15</definedName>
    <definedName name="solver_rhs2" localSheetId="2" hidden="1">'Transport2 (3p)'!$G$37</definedName>
    <definedName name="solver_rhs2" localSheetId="3" hidden="1">1</definedName>
    <definedName name="solver_rhs3" localSheetId="5" hidden="1">0</definedName>
    <definedName name="solver_rhs3" localSheetId="4" hidden="1">"binary"</definedName>
    <definedName name="solver_rhs3" localSheetId="1" hidden="1">'Transport1 (3p)'!$B$17:$F$17</definedName>
    <definedName name="solver_rhs3" localSheetId="2" hidden="1">'Transport2 (3p)'!$B$42</definedName>
    <definedName name="solver_rhs3" localSheetId="3" hidden="1">'Transport3 (9p)'!$H$63</definedName>
    <definedName name="solver_rhs4" localSheetId="5" hidden="1">'Facility (9p)'!$H$19:$H$22</definedName>
    <definedName name="solver_rhs4" localSheetId="4" hidden="1">1</definedName>
    <definedName name="solver_rhs4" localSheetId="1" hidden="1">0</definedName>
    <definedName name="solver_rhs4" localSheetId="2" hidden="1">'Transport2 (3p)'!$C$28</definedName>
    <definedName name="solver_rhs4" localSheetId="3" hidden="1">'Transport3 (9p)'!$H$64</definedName>
    <definedName name="solver_rhs5" localSheetId="5" hidden="1">'Facility (9p)'!Demand</definedName>
    <definedName name="solver_rhs5" localSheetId="4" hidden="1">'Knapsack (9p)'!$G$17:$G$19</definedName>
    <definedName name="solver_rhs5" localSheetId="1" hidden="1">0</definedName>
    <definedName name="solver_rhs5" localSheetId="2" hidden="1">'Transport2 (3p)'!$G$38</definedName>
    <definedName name="solver_rhs5" localSheetId="3" hidden="1">'Transport3 (9p)'!$H$65</definedName>
    <definedName name="solver_rhs6" localSheetId="5" hidden="1">'Facility (9p)'!Capacity</definedName>
    <definedName name="solver_rhs6" localSheetId="4" hidden="1">0</definedName>
    <definedName name="solver_rhs6" localSheetId="1" hidden="1">0</definedName>
    <definedName name="solver_rhs6" localSheetId="2" hidden="1">'Transport2 (3p)'!$C$42</definedName>
    <definedName name="solver_rhs6" localSheetId="3" hidden="1">'Transport3 (9p)'!$H$66</definedName>
    <definedName name="solver_rhs7" localSheetId="4" hidden="1">[1]!INTEGER</definedName>
    <definedName name="solver_rhs7" localSheetId="2" hidden="1">'Transport2 (3p)'!$D$28</definedName>
    <definedName name="solver_rhs7" localSheetId="3" hidden="1">'Transport3 (9p)'!$H$67</definedName>
    <definedName name="solver_rhs8" localSheetId="2" hidden="1">'Transport2 (3p)'!$G$39</definedName>
    <definedName name="solver_rhs8" localSheetId="3" hidden="1">'Transport3 (9p)'!$H$68</definedName>
    <definedName name="solver_rhs9" localSheetId="2" hidden="1">'Transport2 (3p)'!$D$42</definedName>
    <definedName name="solver_rhs9" localSheetId="3" hidden="1">0</definedName>
    <definedName name="solver_rlx" localSheetId="5" hidden="1">2</definedName>
    <definedName name="solver_rlx" localSheetId="4" hidden="1">2</definedName>
    <definedName name="solver_rlx" localSheetId="1" hidden="1">2</definedName>
    <definedName name="solver_rlx" localSheetId="2" hidden="1">2</definedName>
    <definedName name="solver_rlx" localSheetId="3" hidden="1">2</definedName>
    <definedName name="solver_rsd" localSheetId="5" hidden="1">0</definedName>
    <definedName name="solver_rsd" localSheetId="4" hidden="1">0</definedName>
    <definedName name="solver_rsd" localSheetId="1" hidden="1">0</definedName>
    <definedName name="solver_rsd" localSheetId="2" hidden="1">0</definedName>
    <definedName name="solver_rsd" localSheetId="3" hidden="1">0</definedName>
    <definedName name="solver_scl" localSheetId="5" hidden="1">2</definedName>
    <definedName name="solver_scl" localSheetId="4" hidden="1">1</definedName>
    <definedName name="solver_scl" localSheetId="1" hidden="1">2</definedName>
    <definedName name="solver_scl" localSheetId="2" hidden="1">2</definedName>
    <definedName name="solver_scl" localSheetId="3" hidden="1">2</definedName>
    <definedName name="solver_sho" localSheetId="5" hidden="1">2</definedName>
    <definedName name="solver_sho" localSheetId="4" hidden="1">2</definedName>
    <definedName name="solver_sho" localSheetId="1" hidden="1">2</definedName>
    <definedName name="solver_sho" localSheetId="2" hidden="1">2</definedName>
    <definedName name="solver_sho" localSheetId="3" hidden="1">2</definedName>
    <definedName name="solver_sol" localSheetId="4" hidden="1">0.0001</definedName>
    <definedName name="solver_ssz" localSheetId="5" hidden="1">100</definedName>
    <definedName name="solver_ssz" localSheetId="4" hidden="1">100</definedName>
    <definedName name="solver_ssz" localSheetId="1" hidden="1">100</definedName>
    <definedName name="solver_ssz" localSheetId="2" hidden="1">100</definedName>
    <definedName name="solver_ssz" localSheetId="3" hidden="1">100</definedName>
    <definedName name="solver_tim" localSheetId="5" hidden="1">100</definedName>
    <definedName name="solver_tim" localSheetId="4" hidden="1">2147483647</definedName>
    <definedName name="solver_tim" localSheetId="1" hidden="1">100</definedName>
    <definedName name="solver_tim" localSheetId="2" hidden="1">100</definedName>
    <definedName name="solver_tim" localSheetId="3" hidden="1">100</definedName>
    <definedName name="solver_tmp" localSheetId="5" hidden="1">'Facility (9p)'!Demand</definedName>
    <definedName name="solver_tmp" localSheetId="4" hidden="1">0</definedName>
    <definedName name="solver_tmp" localSheetId="1" hidden="1">Capacity</definedName>
    <definedName name="solver_tmp" localSheetId="2" hidden="1">'Transport2 (3p)'!Total_from_warehouse</definedName>
    <definedName name="solver_tmp" localSheetId="3" hidden="1">Demand</definedName>
    <definedName name="solver_tol" localSheetId="5" hidden="1">0</definedName>
    <definedName name="solver_tol" localSheetId="4" hidden="1">0.01</definedName>
    <definedName name="solver_tol" localSheetId="1" hidden="1">0.05</definedName>
    <definedName name="solver_tol" localSheetId="2" hidden="1">0.05</definedName>
    <definedName name="solver_tol" localSheetId="3" hidden="1">0.05</definedName>
    <definedName name="solver_typ" localSheetId="5" hidden="1">2</definedName>
    <definedName name="solver_typ" localSheetId="4" hidden="1">2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val" localSheetId="5" hidden="1">0</definedName>
    <definedName name="solver_val" localSheetId="4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er" localSheetId="5" hidden="1">3</definedName>
    <definedName name="solver_ver" localSheetId="4" hidden="1">3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>1.2</definedName>
    <definedName name="sssolver_drv" localSheetId="5" hidden="1">1</definedName>
    <definedName name="sssolver_drv" localSheetId="4" hidden="1">0</definedName>
    <definedName name="sssolver_drv" localSheetId="1" hidden="1">1</definedName>
    <definedName name="sssolver_drv" localSheetId="2" hidden="1">1</definedName>
    <definedName name="sssolver_drv" localSheetId="3" hidden="1">1</definedName>
    <definedName name="sssolver_est" localSheetId="5" hidden="1">1</definedName>
    <definedName name="sssolver_est" localSheetId="4" hidden="1">0</definedName>
    <definedName name="sssolver_est" localSheetId="1" hidden="1">1</definedName>
    <definedName name="sssolver_est" localSheetId="2" hidden="1">1</definedName>
    <definedName name="sssolver_est" localSheetId="3" hidden="1">1</definedName>
    <definedName name="sssolver_itr" localSheetId="5" hidden="1">100</definedName>
    <definedName name="sssolver_itr" localSheetId="4" hidden="1">1000</definedName>
    <definedName name="sssolver_itr" localSheetId="1" hidden="1">100</definedName>
    <definedName name="sssolver_itr" localSheetId="2" hidden="1">100</definedName>
    <definedName name="sssolver_itr" localSheetId="3" hidden="1">100</definedName>
    <definedName name="sssolver_lin" localSheetId="5" hidden="1">1</definedName>
    <definedName name="sssolver_lin" localSheetId="4" hidden="1">1</definedName>
    <definedName name="sssolver_lin" localSheetId="1" hidden="1">1</definedName>
    <definedName name="sssolver_lin" localSheetId="2" hidden="1">1</definedName>
    <definedName name="sssolver_lin" localSheetId="3" hidden="1">1</definedName>
    <definedName name="sssolver_neg" localSheetId="5" hidden="1">1</definedName>
    <definedName name="sssolver_neg" localSheetId="4" hidden="1">1</definedName>
    <definedName name="sssolver_neg" localSheetId="1" hidden="1">1</definedName>
    <definedName name="sssolver_neg" localSheetId="2" hidden="1">1</definedName>
    <definedName name="sssolver_neg" localSheetId="3" hidden="1">1</definedName>
    <definedName name="sssolver_nwt" localSheetId="5" hidden="1">1</definedName>
    <definedName name="sssolver_nwt" localSheetId="4" hidden="1">1</definedName>
    <definedName name="sssolver_nwt" localSheetId="1" hidden="1">1</definedName>
    <definedName name="sssolver_nwt" localSheetId="2" hidden="1">1</definedName>
    <definedName name="sssolver_nwt" localSheetId="3" hidden="1">1</definedName>
    <definedName name="sssolver_pre" localSheetId="5" hidden="1">0.001</definedName>
    <definedName name="sssolver_pre" localSheetId="4" hidden="1">0.00000001</definedName>
    <definedName name="sssolver_pre" localSheetId="1" hidden="1">0.000001</definedName>
    <definedName name="sssolver_pre" localSheetId="2" hidden="1">0.001</definedName>
    <definedName name="sssolver_pre" localSheetId="3" hidden="1">0.001</definedName>
    <definedName name="sssolver_rep" localSheetId="5" hidden="1">2</definedName>
    <definedName name="sssolver_rep" localSheetId="4" hidden="1">2</definedName>
    <definedName name="sssolver_rep" localSheetId="1" hidden="1">2</definedName>
    <definedName name="sssolver_rep" localSheetId="2" hidden="1">2</definedName>
    <definedName name="sssolver_rep" localSheetId="3" hidden="1">2</definedName>
    <definedName name="sssolver_scl" localSheetId="5" hidden="1">2</definedName>
    <definedName name="sssolver_scl" localSheetId="4" hidden="1">2</definedName>
    <definedName name="sssolver_scl" localSheetId="1" hidden="1">2</definedName>
    <definedName name="sssolver_scl" localSheetId="2" hidden="1">2</definedName>
    <definedName name="sssolver_scl" localSheetId="3" hidden="1">2</definedName>
    <definedName name="sssolver_sho" localSheetId="5" hidden="1">2</definedName>
    <definedName name="sssolver_sho" localSheetId="4" hidden="1">2</definedName>
    <definedName name="sssolver_sho" localSheetId="1" hidden="1">2</definedName>
    <definedName name="sssolver_sho" localSheetId="2" hidden="1">2</definedName>
    <definedName name="sssolver_sho" localSheetId="3" hidden="1">2</definedName>
    <definedName name="sssolver_tim" localSheetId="5" hidden="1">100</definedName>
    <definedName name="sssolver_tim" localSheetId="4" hidden="1">1000</definedName>
    <definedName name="sssolver_tim" localSheetId="1" hidden="1">100</definedName>
    <definedName name="sssolver_tim" localSheetId="2" hidden="1">100</definedName>
    <definedName name="sssolver_tim" localSheetId="3" hidden="1">100</definedName>
    <definedName name="sssolver_tol" localSheetId="5" hidden="1">0</definedName>
    <definedName name="sssolver_tol" localSheetId="4" hidden="1">0</definedName>
    <definedName name="sssolver_tol" localSheetId="1" hidden="1">0.05</definedName>
    <definedName name="sssolver_tol" localSheetId="2" hidden="1">0.05</definedName>
    <definedName name="sssolver_tol" localSheetId="3" hidden="1">0.05</definedName>
    <definedName name="Total_cost" localSheetId="5">'Facility (9p)'!$G$27</definedName>
    <definedName name="Total_cost" localSheetId="1">'Transport1 (3p)'!$C$19</definedName>
    <definedName name="Total_cost" localSheetId="2">'Transport2 (3p)'!$C$44</definedName>
    <definedName name="Total_cost">'Transport3 (9p)'!$C$91</definedName>
    <definedName name="Total_decisions">'Knapsack (9p)'!$B$14:$E$14</definedName>
    <definedName name="Total_from_factory" localSheetId="2">'Transport2 (3p)'!$G$33:$G$34</definedName>
    <definedName name="Total_from_factory">'Transport3 (9p)'!$G$63:$G$68</definedName>
    <definedName name="Total_from_warehouse" localSheetId="2">'Transport2 (3p)'!$G$37:$G$40</definedName>
    <definedName name="Total_from_warehouse">'Transport3 (9p)'!$H$72:$H$83</definedName>
    <definedName name="Total_from_warehouse1">#REF!</definedName>
    <definedName name="Total_from_warehouse2">#REF!</definedName>
    <definedName name="Total_from_warehouse3">#REF!</definedName>
    <definedName name="Total_from_warehouse4">#REF!</definedName>
    <definedName name="Total_gallons">'Knapsack (9p)'!$F$17:$F$19</definedName>
    <definedName name="Total_loss">'Knapsack (9p)'!$H$20</definedName>
    <definedName name="Total_received">'Transport1 (3p)'!$B$16:$F$16</definedName>
    <definedName name="Total_shipped" localSheetId="5">'Facility (9p)'!$G$19:$G$22</definedName>
    <definedName name="Total_shipped">'Transport1 (3p)'!$G$14:$G$15</definedName>
    <definedName name="Total_to_customer" localSheetId="2">'Transport2 (3p)'!$B$41:$F$41</definedName>
    <definedName name="Total_to_customer">'Transport3 (9p)'!$C$84:$G$86</definedName>
    <definedName name="Total_to_warehouse" localSheetId="2">'Transport2 (3p)'!$B$27:$E$27</definedName>
    <definedName name="Total_to_warehouse">'Transport3 (9p)'!$I$72:$I$83</definedName>
    <definedName name="Total_to_warehouse1">#REF!</definedName>
    <definedName name="Total_to_warehouse2">#REF!</definedName>
    <definedName name="Total_to_warehouse3">#REF!</definedName>
    <definedName name="Total_to_warehouse4">#REF!</definedName>
    <definedName name="Warehouse_capacity" localSheetId="2">'Transport2 (3p)'!$B$28:$E$28</definedName>
    <definedName name="Warehouse_capacity">'Transport3 (9p)'!$C$50:$F$52</definedName>
    <definedName name="Warehouse_customer" localSheetId="2">'Transport2 (3p)'!$B$37:$F$40</definedName>
    <definedName name="Warehouse_customer">'Transport3 (9p)'!$C$72:$G$83</definedName>
    <definedName name="Warehouse_to_customer" localSheetId="2">'Transport2 (3p)'!$B$37:$F$40</definedName>
    <definedName name="Warehouse_to_customer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7" i="6" l="1"/>
  <c r="M26" i="6"/>
  <c r="M25" i="6" a="1"/>
  <c r="M25" i="6" s="1"/>
  <c r="M24" i="6" a="1"/>
  <c r="M24" i="6" s="1"/>
  <c r="M23" i="6" a="1"/>
  <c r="M23" i="6" s="1"/>
  <c r="M22" i="6" a="1"/>
  <c r="M22" i="6" s="1"/>
  <c r="M21" i="6"/>
  <c r="M20" i="6"/>
  <c r="K16" i="5"/>
  <c r="K15" i="5"/>
  <c r="K14" i="5" a="1"/>
  <c r="K13" i="5" a="1"/>
  <c r="K12" i="5" a="1"/>
  <c r="K12" i="5" s="1"/>
  <c r="K11" i="5" a="1"/>
  <c r="K11" i="5" s="1"/>
  <c r="K10" i="5" a="1"/>
  <c r="K9" i="5"/>
  <c r="J23" i="4"/>
  <c r="J22" i="4"/>
  <c r="J21" i="4" a="1"/>
  <c r="J20" i="4" a="1"/>
  <c r="J19" i="4" a="1"/>
  <c r="J12" i="4" a="1"/>
  <c r="J11" i="4" a="1"/>
  <c r="J10" i="4"/>
  <c r="L26" i="2"/>
  <c r="L25" i="2"/>
  <c r="L24" i="2" a="1"/>
  <c r="L24" i="2" s="1"/>
  <c r="L23" i="2"/>
  <c r="L22" i="2"/>
  <c r="L21" i="2"/>
  <c r="L20" i="2"/>
  <c r="L32" i="9"/>
  <c r="L31" i="9"/>
  <c r="L30" i="9" a="1"/>
  <c r="L30" i="9" s="1"/>
  <c r="L29" i="9" a="1"/>
  <c r="L29" i="9" s="1"/>
  <c r="L28" i="9" a="1"/>
  <c r="L28" i="9" s="1"/>
  <c r="L12" i="9"/>
  <c r="C44" i="9"/>
  <c r="F41" i="9"/>
  <c r="E41" i="9"/>
  <c r="D41" i="9"/>
  <c r="C41" i="9"/>
  <c r="B41" i="9"/>
  <c r="G40" i="9"/>
  <c r="G39" i="9"/>
  <c r="G38" i="9"/>
  <c r="G37" i="9"/>
  <c r="G32" i="9"/>
  <c r="G31" i="9"/>
  <c r="E27" i="9"/>
  <c r="D27" i="9"/>
  <c r="C27" i="9"/>
  <c r="B27" i="9"/>
  <c r="L13" i="9" s="1"/>
  <c r="F26" i="9"/>
  <c r="F25" i="9"/>
  <c r="B16" i="1"/>
  <c r="L20" i="9" l="1"/>
  <c r="L21" i="9"/>
  <c r="L18" i="9"/>
  <c r="L14" i="9"/>
  <c r="L22" i="9"/>
  <c r="L23" i="9"/>
  <c r="L24" i="9"/>
  <c r="L11" i="9"/>
  <c r="L25" i="9"/>
  <c r="L15" i="9"/>
  <c r="L16" i="9"/>
  <c r="L17" i="9"/>
  <c r="L19" i="9"/>
  <c r="G33" i="9"/>
  <c r="G34" i="9"/>
  <c r="G19" i="6"/>
  <c r="G20" i="6"/>
  <c r="G21" i="6"/>
  <c r="G22" i="6"/>
  <c r="B23" i="6"/>
  <c r="C23" i="6"/>
  <c r="D23" i="6"/>
  <c r="E23" i="6"/>
  <c r="F23" i="6"/>
  <c r="B24" i="6"/>
  <c r="C24" i="6"/>
  <c r="D24" i="6"/>
  <c r="E24" i="6"/>
  <c r="F24" i="6"/>
  <c r="B25" i="6"/>
  <c r="C25" i="6"/>
  <c r="D25" i="6"/>
  <c r="E25" i="6"/>
  <c r="F25" i="6"/>
  <c r="B26" i="6"/>
  <c r="C26" i="6"/>
  <c r="D26" i="6"/>
  <c r="E26" i="6"/>
  <c r="F26" i="6"/>
  <c r="B14" i="5"/>
  <c r="K13" i="5" s="1"/>
  <c r="C14" i="5"/>
  <c r="D14" i="5"/>
  <c r="E14" i="5"/>
  <c r="F17" i="5"/>
  <c r="H17" i="5" s="1"/>
  <c r="F18" i="5"/>
  <c r="H18" i="5" s="1"/>
  <c r="F19" i="5"/>
  <c r="H19" i="5" s="1"/>
  <c r="B23" i="5"/>
  <c r="K10" i="5" s="1"/>
  <c r="C23" i="5"/>
  <c r="D23" i="5"/>
  <c r="E23" i="5"/>
  <c r="B24" i="5"/>
  <c r="C24" i="5"/>
  <c r="D24" i="5"/>
  <c r="E24" i="5"/>
  <c r="B25" i="5"/>
  <c r="C25" i="5"/>
  <c r="D25" i="5"/>
  <c r="E25" i="5"/>
  <c r="G14" i="2"/>
  <c r="G15" i="2"/>
  <c r="B16" i="2"/>
  <c r="C16" i="2"/>
  <c r="D16" i="2"/>
  <c r="E16" i="2"/>
  <c r="F16" i="2"/>
  <c r="C19" i="2"/>
  <c r="G41" i="4"/>
  <c r="J12" i="4" s="1"/>
  <c r="G42" i="4"/>
  <c r="G43" i="4"/>
  <c r="G44" i="4"/>
  <c r="G45" i="4"/>
  <c r="G46" i="4"/>
  <c r="C47" i="4"/>
  <c r="I72" i="4" s="1"/>
  <c r="D47" i="4"/>
  <c r="I75" i="4" s="1"/>
  <c r="E47" i="4"/>
  <c r="I78" i="4" s="1"/>
  <c r="F47" i="4"/>
  <c r="I81" i="4" s="1"/>
  <c r="C48" i="4"/>
  <c r="I73" i="4" s="1"/>
  <c r="D48" i="4"/>
  <c r="I76" i="4" s="1"/>
  <c r="E48" i="4"/>
  <c r="I79" i="4" s="1"/>
  <c r="F48" i="4"/>
  <c r="I82" i="4" s="1"/>
  <c r="C49" i="4"/>
  <c r="I74" i="4" s="1"/>
  <c r="D49" i="4"/>
  <c r="I77" i="4" s="1"/>
  <c r="E49" i="4"/>
  <c r="I80" i="4" s="1"/>
  <c r="F49" i="4"/>
  <c r="I83" i="4" s="1"/>
  <c r="H55" i="4"/>
  <c r="J19" i="4" s="1"/>
  <c r="H56" i="4"/>
  <c r="H57" i="4"/>
  <c r="H58" i="4"/>
  <c r="H59" i="4"/>
  <c r="H60" i="4"/>
  <c r="H72" i="4"/>
  <c r="J20" i="4" s="1"/>
  <c r="H73" i="4"/>
  <c r="H74" i="4"/>
  <c r="H75" i="4"/>
  <c r="H76" i="4"/>
  <c r="H77" i="4"/>
  <c r="H78" i="4"/>
  <c r="H79" i="4"/>
  <c r="H80" i="4"/>
  <c r="H81" i="4"/>
  <c r="H82" i="4"/>
  <c r="H83" i="4"/>
  <c r="C84" i="4"/>
  <c r="J21" i="4" s="1"/>
  <c r="D84" i="4"/>
  <c r="E84" i="4"/>
  <c r="F84" i="4"/>
  <c r="G84" i="4"/>
  <c r="C85" i="4"/>
  <c r="D85" i="4"/>
  <c r="E85" i="4"/>
  <c r="F85" i="4"/>
  <c r="G85" i="4"/>
  <c r="C86" i="4"/>
  <c r="D86" i="4"/>
  <c r="E86" i="4"/>
  <c r="F86" i="4"/>
  <c r="G86" i="4"/>
  <c r="C91" i="4"/>
  <c r="J9" i="4" s="1"/>
  <c r="K14" i="5" l="1"/>
  <c r="J11" i="4"/>
  <c r="G66" i="4"/>
  <c r="J16" i="4" s="1"/>
  <c r="G67" i="4"/>
  <c r="J17" i="4" s="1"/>
  <c r="G63" i="4"/>
  <c r="J13" i="4" s="1"/>
  <c r="L26" i="9"/>
  <c r="L27" i="9"/>
  <c r="H20" i="5"/>
  <c r="K8" i="5" s="1"/>
  <c r="G65" i="4"/>
  <c r="J15" i="4" s="1"/>
  <c r="G68" i="4"/>
  <c r="J18" i="4" s="1"/>
  <c r="G64" i="4"/>
  <c r="J14" i="4" s="1"/>
  <c r="C27" i="6"/>
  <c r="F27" i="6"/>
  <c r="B27" i="6"/>
  <c r="E27" i="6"/>
  <c r="D27" i="6"/>
  <c r="G27" i="6" l="1"/>
</calcChain>
</file>

<file path=xl/sharedStrings.xml><?xml version="1.0" encoding="utf-8"?>
<sst xmlns="http://schemas.openxmlformats.org/spreadsheetml/2006/main" count="413" uniqueCount="170">
  <si>
    <t>Transportation Problem 1</t>
  </si>
  <si>
    <t xml:space="preserve">Minimize the costs of shipping goods from factories to customers, while not exceeding   </t>
  </si>
  <si>
    <t>the supply available from each factory and meeting the demand of each customer.</t>
  </si>
  <si>
    <t>Cost of shipping ($ per product)</t>
  </si>
  <si>
    <t>Destinations</t>
  </si>
  <si>
    <t>Customer 1</t>
  </si>
  <si>
    <t>Customer 2</t>
  </si>
  <si>
    <t>Customer 3</t>
  </si>
  <si>
    <t>Customer 4</t>
  </si>
  <si>
    <t>Customer 5</t>
  </si>
  <si>
    <t>Factory 1</t>
  </si>
  <si>
    <t>Factory 2</t>
  </si>
  <si>
    <t>Number of products shipped</t>
  </si>
  <si>
    <t>Total</t>
  </si>
  <si>
    <t>Capacity</t>
  </si>
  <si>
    <t>Demand</t>
  </si>
  <si>
    <t>Total cost of shipping</t>
  </si>
  <si>
    <t>Problem</t>
  </si>
  <si>
    <t xml:space="preserve">A company wants to minimize the cost of shipping a product from 2 different factories to 5 different customers. </t>
  </si>
  <si>
    <t xml:space="preserve">Each factory has a limited supply and each customer a certain demand. How should the company distribute the </t>
  </si>
  <si>
    <t>product?</t>
  </si>
  <si>
    <t>Solution</t>
  </si>
  <si>
    <t xml:space="preserve">1) The variables are the number of products to ship from each factory to the customers. These are given the </t>
  </si>
  <si>
    <t xml:space="preserve">name Products_shipped in worksheet Transport1. </t>
  </si>
  <si>
    <t>2) The logical constraint is</t>
  </si>
  <si>
    <t>Products_shipped &gt;= 0  via the Assume Non-Negative option</t>
  </si>
  <si>
    <t>The other two constraints are</t>
  </si>
  <si>
    <t>Total_received &gt;= Demand</t>
  </si>
  <si>
    <t>Total_shipped &lt;= Capacity</t>
  </si>
  <si>
    <t>3) The objective is to minimize cost. This is given the name Total_cost.</t>
  </si>
  <si>
    <t>Remarks</t>
  </si>
  <si>
    <t xml:space="preserve">This is a transportation problem in its simplest form. Still, this type of model is widely used to save many </t>
  </si>
  <si>
    <r>
      <rPr>
        <sz val="8"/>
        <rFont val="MS Sans Serif"/>
        <family val="2"/>
      </rPr>
      <t>t</t>
    </r>
    <r>
      <rPr>
        <sz val="8"/>
        <rFont val="MS Sans Serif"/>
        <family val="2"/>
      </rPr>
      <t>housands of dollars each year.</t>
    </r>
  </si>
  <si>
    <t xml:space="preserve">In worksheet Transport2 we will consider a 2-level transportation, and in worksheet Transport3 we expand this to </t>
  </si>
  <si>
    <t>a multi-product, 2-level transportation problem.</t>
  </si>
  <si>
    <t>Transportation Problem 2 (2-stage-transport)</t>
  </si>
  <si>
    <t xml:space="preserve">Minimize the costs of shipping goods from factories to warehouses and customers, and   </t>
  </si>
  <si>
    <t xml:space="preserve">warehouses to customers, while not exceeding the supply available from each factory or </t>
  </si>
  <si>
    <t>the capacity of each warehouse, and meeting the demand from each customer.</t>
  </si>
  <si>
    <t>Warehouse 1</t>
  </si>
  <si>
    <t>Warehouse 2</t>
  </si>
  <si>
    <t>Warehouse 3</t>
  </si>
  <si>
    <t>Warehouse 4</t>
  </si>
  <si>
    <t>Factory</t>
  </si>
  <si>
    <t>Total products shipped out of factory 1</t>
  </si>
  <si>
    <t>Total products shipped out of factory 2</t>
  </si>
  <si>
    <t>Demands</t>
  </si>
  <si>
    <t xml:space="preserve">A company has 2 factories, 4 warehouses and 5 customers. It wants to minimize the cost of shipping its </t>
  </si>
  <si>
    <t xml:space="preserve">product from the factories to the warehouses, the factories to the customers, and the warehouses to the </t>
  </si>
  <si>
    <t>customers. The number of products received by a warehouse from the factory should be the same as the</t>
  </si>
  <si>
    <t>number of products leaving the warehouse to the customers. How should the company distribute the products?</t>
  </si>
  <si>
    <t xml:space="preserve">1) The variables are the number of products to ship from the factories to the warehouses, the factories to the </t>
  </si>
  <si>
    <t xml:space="preserve">customers, and the warehouses to the customers. These are defined in worksheet Transport2 as </t>
  </si>
  <si>
    <t xml:space="preserve">Factory_to_warehouse, Factory_to_customer, Warehouse_customer. </t>
  </si>
  <si>
    <t>2) The logical constraints are all defined via the Assume Non-Negative option:</t>
  </si>
  <si>
    <t>Factory_to_warehouse &gt;= 0</t>
  </si>
  <si>
    <t>Factory_to_customer &gt;= 0</t>
  </si>
  <si>
    <t>Warehouse_customer &gt;= 0</t>
  </si>
  <si>
    <t>The other constraints are</t>
  </si>
  <si>
    <t>Total_from_factory &lt;= Factory_capacity</t>
  </si>
  <si>
    <t>Total_to_customer &gt;= Demand</t>
  </si>
  <si>
    <t>Total_to_warehouse &lt;= Warehouse_capacity</t>
  </si>
  <si>
    <t>Total_to_warehouse = Total_from_warehouse</t>
  </si>
  <si>
    <t>3) The objective is to minimize cost, given by Total_cost.</t>
  </si>
  <si>
    <t xml:space="preserve">Please note that the last constraint must be an '=' , because otherwise products would start piling up at the </t>
  </si>
  <si>
    <t xml:space="preserve">warehouse. It would be possible to make this a multi-period model where storage at the warehouses would be </t>
  </si>
  <si>
    <t xml:space="preserve">possible and even desired, if transportation prices would fluctuate during the different time periods.  In </t>
  </si>
  <si>
    <t>worksheet Transport3 we will look at a multi-product situation.</t>
  </si>
  <si>
    <t>Transportation Problem 3 (2-stage-transport, multi-commodity)</t>
  </si>
  <si>
    <t xml:space="preserve">Minimize the costs of shipping 3 different goods from factories to warehouses and customers, and   </t>
  </si>
  <si>
    <t>Product 1</t>
  </si>
  <si>
    <t>Product 2</t>
  </si>
  <si>
    <t>Product 3</t>
  </si>
  <si>
    <t xml:space="preserve">This model builds on model Transport2. Again, a company wants to minimize cost of shipping, but this time </t>
  </si>
  <si>
    <t>there are 3 products to distribute. How should the company distribute the products?</t>
  </si>
  <si>
    <t xml:space="preserve">The solution to the problem is identical to the one in Transport2. Notice that we have used the 'Insert Name </t>
  </si>
  <si>
    <t xml:space="preserve">Define' command to extend the model to a multiproduct problem. This way the variables and constraints are </t>
  </si>
  <si>
    <t xml:space="preserve">still the same as in Transport2. </t>
  </si>
  <si>
    <t xml:space="preserve">Notice that this model delivers the same result as three separate models for the three products. There will be </t>
  </si>
  <si>
    <t xml:space="preserve">times however, that there are constraints that apply to more than one product. In that case it would not be </t>
  </si>
  <si>
    <t xml:space="preserve">desirable to have three different models and maybe even impossible. For an extension of this model, where the </t>
  </si>
  <si>
    <t xml:space="preserve">number of products made in the factories depends on the demand and distribution rather than being constant, </t>
  </si>
  <si>
    <t>see the worksheet Prodtran in this workbook.</t>
  </si>
  <si>
    <t>Partial Loading (Knapsack Problem)</t>
  </si>
  <si>
    <t xml:space="preserve">A fuel truck with 4 compartments needs to supply 3 different types of gas to a customer. </t>
  </si>
  <si>
    <t>When demand is not filled, the company loses $0.25 per gallon that is not delivered.</t>
  </si>
  <si>
    <t>How should the truck be loaded to minimize loss?</t>
  </si>
  <si>
    <t>Truck Specifications</t>
  </si>
  <si>
    <t>Comp. 1</t>
  </si>
  <si>
    <t>Comp. 2</t>
  </si>
  <si>
    <t>Comp. 3</t>
  </si>
  <si>
    <t>Comp. 4</t>
  </si>
  <si>
    <t>Size (gallons)</t>
  </si>
  <si>
    <t>Loading of Compartments (1=yes, 0=no)</t>
  </si>
  <si>
    <t>Gas 1</t>
  </si>
  <si>
    <t>Gas 2</t>
  </si>
  <si>
    <t>Gas 3</t>
  </si>
  <si>
    <t>Amount (gallons)</t>
  </si>
  <si>
    <t>Loss</t>
  </si>
  <si>
    <t>Total Loss</t>
  </si>
  <si>
    <t>Maximum Amount (gallons)</t>
  </si>
  <si>
    <t xml:space="preserve">A fuel truck needs to supply 3 different kinds of gas to a customer. When demand is not filled the company </t>
  </si>
  <si>
    <t xml:space="preserve">loses $0.25 per gallon that is not delivered. The truck has 4 separate compartments of different size. How </t>
  </si>
  <si>
    <t>should the truck be loaded to minimize loss?</t>
  </si>
  <si>
    <t>1) The variables are the decisions to fill the compartments for each type of gas, and the amounts to be put in</t>
  </si>
  <si>
    <t xml:space="preserve">if the compartment is filled.  In worksheet Knapsack, these are given the name Gallons_loaded and </t>
  </si>
  <si>
    <t>Loading_decisions.</t>
  </si>
  <si>
    <t>2) The logical constraints are</t>
  </si>
  <si>
    <t>Gallons_loaded &gt;= 0  via the Assume Non-Negative option</t>
  </si>
  <si>
    <t>Loading_decisions = binary</t>
  </si>
  <si>
    <t>Since there can only be one kind of gas in any compartment we have</t>
  </si>
  <si>
    <t>Total_decisions &lt;= 1</t>
  </si>
  <si>
    <t>The size limitations of the truck give</t>
  </si>
  <si>
    <t>Gallons_loaded &lt;= Maximum_gallons</t>
  </si>
  <si>
    <t>We don't want to load more than needed. This gives</t>
  </si>
  <si>
    <t>Total_gallons &lt;= Demand</t>
  </si>
  <si>
    <t>3) The objective is to minimize the loss. This is given the name Total_loss.</t>
  </si>
  <si>
    <t xml:space="preserve">It is often possible to have different objectives in these types of problems. We might, for instance, want to </t>
  </si>
  <si>
    <t>minimize the wasted space in the truck in this example. Knapsack problems are characterized by a series of</t>
  </si>
  <si>
    <t xml:space="preserve">0-1 integer variables with a single capacity constraint. If someone goes camping and his backpack can hold </t>
  </si>
  <si>
    <t xml:space="preserve">only a certain amount of weight, what items should the camper bring?  He should try to optimize the value </t>
  </si>
  <si>
    <t xml:space="preserve">of the items while not exceeding the weight allowed by the backpack. There is a wide set of problems that </t>
  </si>
  <si>
    <t xml:space="preserve">fall into this category. </t>
  </si>
  <si>
    <t>Facility Location</t>
  </si>
  <si>
    <t xml:space="preserve">A company currently ships its product from 5 plants to 4 warehouses. It is considering closing </t>
  </si>
  <si>
    <t>one or more plants to reduce cost. What plant(s) should the company close, in order to</t>
  </si>
  <si>
    <t>minimize transportation and fixed costs?</t>
  </si>
  <si>
    <t>Transportation Costs (per 1000 products)</t>
  </si>
  <si>
    <t>Plant 1</t>
  </si>
  <si>
    <t>Plant 2</t>
  </si>
  <si>
    <t>Plant 3</t>
  </si>
  <si>
    <t>Plant 4</t>
  </si>
  <si>
    <t>Plant 5</t>
  </si>
  <si>
    <t>Open/close decision variables</t>
  </si>
  <si>
    <t>Decision</t>
  </si>
  <si>
    <t>Number of products to ship (per 1000)</t>
  </si>
  <si>
    <t>Distr. Cost</t>
  </si>
  <si>
    <t>Fixed Cost</t>
  </si>
  <si>
    <t>Total Cost</t>
  </si>
  <si>
    <t xml:space="preserve">A company currently ships products from 5 plants to 4 warehouses. The company is considering the option of  </t>
  </si>
  <si>
    <t xml:space="preserve">closing down one or more plants. This would increase distribution cost but perhaps lower overall cost. What </t>
  </si>
  <si>
    <t>plants, if any, should the company close?</t>
  </si>
  <si>
    <t xml:space="preserve">1) The variables are the decisions to open or close the plants, and the number of products that should be </t>
  </si>
  <si>
    <t xml:space="preserve">shipped from the plants that are open to the warehouses.  In worksheet Facility these are given the names </t>
  </si>
  <si>
    <t>Open_or_close and Products_shipped.</t>
  </si>
  <si>
    <t>Open_or_close = binary</t>
  </si>
  <si>
    <t xml:space="preserve">The products made can not exceed the capacity of the plants and the number shipped should meet the </t>
  </si>
  <si>
    <t>demand.  This gives</t>
  </si>
  <si>
    <t>Products_made &lt;= Capacity</t>
  </si>
  <si>
    <t>Total_shipped &gt;= Demand</t>
  </si>
  <si>
    <t>3) The objective is to minimize cost. This is given the name Total_cost on the worksheet.</t>
  </si>
  <si>
    <t xml:space="preserve">It is often possible to increase the capacity of a plant. This could be worked into the model with additional 0-1 </t>
  </si>
  <si>
    <t xml:space="preserve">or binary integer variables. The Solver would find out if it would be profitable to extend the capacity of a plant. </t>
  </si>
  <si>
    <t xml:space="preserve">It could also be interesting to see if it would be profitable to open another warehouse. An example of this can </t>
  </si>
  <si>
    <t>be found, in somewhat modified form, in the capacity planning model in the Finance Examples workbook.</t>
  </si>
  <si>
    <t>Please solve every spreadsheet and keep the optymised results. Please leave solver scenario for check.</t>
  </si>
  <si>
    <t>Transport1</t>
  </si>
  <si>
    <t>Transport2</t>
  </si>
  <si>
    <t>Transport3</t>
  </si>
  <si>
    <t>Points</t>
  </si>
  <si>
    <t>Knapsack</t>
  </si>
  <si>
    <t xml:space="preserve">Bussines problem </t>
  </si>
  <si>
    <t>Facilty</t>
  </si>
  <si>
    <t>TOTAL</t>
  </si>
  <si>
    <t>To find the optimal solution use Selver in Ad-onns avaliable in web and desktop Excel</t>
  </si>
  <si>
    <t>Distribution/Logistics Tasks</t>
  </si>
  <si>
    <t>On each task worksheet, read the comments at the bottom of the sheet, then</t>
  </si>
  <si>
    <t xml:space="preserve">use Tools Solver... to examine the decision variables, constraints, and objective. </t>
  </si>
  <si>
    <t xml:space="preserve"> - Models can be both linear Simplex and non linear</t>
  </si>
  <si>
    <t>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</si>
</sst>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5" formatCode="&quot;$&quot;#,##0_);\(&quot;$&quot;#,##0\)"/>
    <numFmt numFmtId="7" formatCode="&quot;$&quot;#,##0.00_);\(&quot;$&quot;#,##0.00\)"/>
  </numFmts>
  <fonts count="14">
    <font>
      <sz val="10"/>
      <name val="MS Sans Serif"/>
    </font>
    <font>
      <b/>
      <sz val="10"/>
      <name val="MS Sans Serif"/>
    </font>
    <font>
      <sz val="8"/>
      <name val="MS Sans Serif"/>
      <family val="2"/>
    </font>
    <font>
      <b/>
      <i/>
      <sz val="8"/>
      <name val="MS Sans Serif"/>
      <family val="2"/>
    </font>
    <font>
      <i/>
      <sz val="8"/>
      <name val="MS Sans Serif"/>
      <family val="2"/>
    </font>
    <font>
      <sz val="8"/>
      <name val="MS Sans Serif"/>
      <family val="2"/>
    </font>
    <font>
      <b/>
      <sz val="8"/>
      <name val="MS Sans Serif"/>
      <family val="2"/>
    </font>
    <font>
      <b/>
      <sz val="10"/>
      <name val="MS Sans Serif"/>
      <family val="2"/>
    </font>
    <font>
      <b/>
      <sz val="10"/>
      <name val="Helv"/>
    </font>
    <font>
      <sz val="8"/>
      <name val="Helv"/>
    </font>
    <font>
      <sz val="10"/>
      <name val="Helv"/>
    </font>
    <font>
      <b/>
      <sz val="8"/>
      <name val="MS Sans Serif"/>
      <family val="2"/>
    </font>
    <font>
      <sz val="8"/>
      <name val="MS Sans Serif"/>
    </font>
    <font>
      <b/>
      <sz val="10"/>
      <name val="MS Sans Serif"/>
      <charset val="238"/>
    </font>
  </fonts>
  <fills count="8">
    <fill>
      <patternFill patternType="none"/>
    </fill>
    <fill>
      <patternFill patternType="gray125"/>
    </fill>
    <fill>
      <patternFill patternType="lightGray">
        <fgColor indexed="13"/>
        <bgColor indexed="9"/>
      </patternFill>
    </fill>
    <fill>
      <patternFill patternType="darkTrellis">
        <fgColor indexed="9"/>
        <bgColor indexed="13"/>
      </patternFill>
    </fill>
    <fill>
      <patternFill patternType="lightGray">
        <fgColor indexed="13"/>
      </patternFill>
    </fill>
    <fill>
      <patternFill patternType="gray125">
        <fgColor indexed="9"/>
      </patternFill>
    </fill>
    <fill>
      <patternFill patternType="solid">
        <fgColor indexed="26"/>
        <bgColor indexed="64"/>
      </patternFill>
    </fill>
    <fill>
      <patternFill patternType="solid">
        <fgColor theme="0" tint="-4.9989318521683403E-2"/>
        <bgColor indexed="64"/>
      </patternFill>
    </fill>
  </fills>
  <borders count="78">
    <border>
      <left/>
      <right/>
      <top/>
      <bottom/>
      <diagonal/>
    </border>
    <border>
      <left style="thick">
        <color indexed="12"/>
      </left>
      <right/>
      <top style="thick">
        <color indexed="12"/>
      </top>
      <bottom/>
      <diagonal/>
    </border>
    <border>
      <left/>
      <right/>
      <top style="thick">
        <color indexed="12"/>
      </top>
      <bottom/>
      <diagonal/>
    </border>
    <border>
      <left/>
      <right style="thick">
        <color indexed="12"/>
      </right>
      <top style="thick">
        <color indexed="12"/>
      </top>
      <bottom/>
      <diagonal/>
    </border>
    <border>
      <left style="thick">
        <color indexed="12"/>
      </left>
      <right/>
      <top/>
      <bottom/>
      <diagonal/>
    </border>
    <border>
      <left/>
      <right style="thick">
        <color indexed="12"/>
      </right>
      <top/>
      <bottom/>
      <diagonal/>
    </border>
    <border>
      <left style="thick">
        <color indexed="12"/>
      </left>
      <right/>
      <top/>
      <bottom style="thick">
        <color indexed="12"/>
      </bottom>
      <diagonal/>
    </border>
    <border>
      <left/>
      <right/>
      <top/>
      <bottom style="thick">
        <color indexed="12"/>
      </bottom>
      <diagonal/>
    </border>
    <border>
      <left/>
      <right style="thick">
        <color indexed="12"/>
      </right>
      <top/>
      <bottom style="thick">
        <color indexed="12"/>
      </bottom>
      <diagonal/>
    </border>
    <border>
      <left style="medium">
        <color indexed="17"/>
      </left>
      <right/>
      <top style="medium">
        <color indexed="17"/>
      </top>
      <bottom/>
      <diagonal/>
    </border>
    <border>
      <left/>
      <right/>
      <top style="medium">
        <color indexed="17"/>
      </top>
      <bottom/>
      <diagonal/>
    </border>
    <border>
      <left/>
      <right style="medium">
        <color indexed="17"/>
      </right>
      <top style="medium">
        <color indexed="17"/>
      </top>
      <bottom/>
      <diagonal/>
    </border>
    <border>
      <left style="medium">
        <color indexed="18"/>
      </left>
      <right style="medium">
        <color indexed="18"/>
      </right>
      <top style="medium">
        <color indexed="18"/>
      </top>
      <bottom/>
      <diagonal/>
    </border>
    <border>
      <left style="medium">
        <color indexed="17"/>
      </left>
      <right/>
      <top/>
      <bottom/>
      <diagonal/>
    </border>
    <border>
      <left/>
      <right style="medium">
        <color indexed="17"/>
      </right>
      <top/>
      <bottom/>
      <diagonal/>
    </border>
    <border>
      <left style="medium">
        <color indexed="18"/>
      </left>
      <right style="medium">
        <color indexed="18"/>
      </right>
      <top/>
      <bottom/>
      <diagonal/>
    </border>
    <border>
      <left style="medium">
        <color indexed="17"/>
      </left>
      <right/>
      <top/>
      <bottom style="medium">
        <color indexed="17"/>
      </bottom>
      <diagonal/>
    </border>
    <border>
      <left/>
      <right/>
      <top/>
      <bottom style="medium">
        <color indexed="17"/>
      </bottom>
      <diagonal/>
    </border>
    <border>
      <left/>
      <right style="medium">
        <color indexed="17"/>
      </right>
      <top/>
      <bottom style="medium">
        <color indexed="17"/>
      </bottom>
      <diagonal/>
    </border>
    <border>
      <left style="medium">
        <color indexed="18"/>
      </left>
      <right style="medium">
        <color indexed="18"/>
      </right>
      <top/>
      <bottom style="medium">
        <color indexed="18"/>
      </bottom>
      <diagonal/>
    </border>
    <border>
      <left style="medium">
        <color indexed="10"/>
      </left>
      <right/>
      <top style="medium">
        <color indexed="10"/>
      </top>
      <bottom/>
      <diagonal/>
    </border>
    <border>
      <left/>
      <right/>
      <top style="medium">
        <color indexed="10"/>
      </top>
      <bottom/>
      <diagonal/>
    </border>
    <border>
      <left/>
      <right style="medium">
        <color indexed="10"/>
      </right>
      <top style="medium">
        <color indexed="10"/>
      </top>
      <bottom/>
      <diagonal/>
    </border>
    <border>
      <left style="medium">
        <color indexed="10"/>
      </left>
      <right/>
      <top/>
      <bottom/>
      <diagonal/>
    </border>
    <border>
      <left/>
      <right style="medium">
        <color indexed="10"/>
      </right>
      <top/>
      <bottom/>
      <diagonal/>
    </border>
    <border>
      <left style="medium">
        <color indexed="10"/>
      </left>
      <right/>
      <top/>
      <bottom style="medium">
        <color indexed="10"/>
      </bottom>
      <diagonal/>
    </border>
    <border>
      <left/>
      <right/>
      <top/>
      <bottom style="medium">
        <color indexed="10"/>
      </bottom>
      <diagonal/>
    </border>
    <border>
      <left/>
      <right style="medium">
        <color indexed="10"/>
      </right>
      <top/>
      <bottom style="medium">
        <color indexed="10"/>
      </bottom>
      <diagonal/>
    </border>
    <border>
      <left style="thick">
        <color indexed="18"/>
      </left>
      <right style="thick">
        <color indexed="18"/>
      </right>
      <top style="thick">
        <color indexed="18"/>
      </top>
      <bottom/>
      <diagonal/>
    </border>
    <border>
      <left style="thick">
        <color indexed="18"/>
      </left>
      <right style="thick">
        <color indexed="18"/>
      </right>
      <top/>
      <bottom/>
      <diagonal/>
    </border>
    <border>
      <left style="thick">
        <color indexed="18"/>
      </left>
      <right style="thick">
        <color indexed="18"/>
      </right>
      <top/>
      <bottom style="thick">
        <color indexed="18"/>
      </bottom>
      <diagonal/>
    </border>
    <border>
      <left style="medium">
        <color indexed="10"/>
      </left>
      <right style="medium">
        <color indexed="10"/>
      </right>
      <top style="medium">
        <color indexed="10"/>
      </top>
      <bottom/>
      <diagonal/>
    </border>
    <border>
      <left style="medium">
        <color indexed="10"/>
      </left>
      <right style="medium">
        <color indexed="10"/>
      </right>
      <top/>
      <bottom/>
      <diagonal/>
    </border>
    <border>
      <left style="medium">
        <color indexed="10"/>
      </left>
      <right style="medium">
        <color indexed="10"/>
      </right>
      <top/>
      <bottom style="medium">
        <color indexed="10"/>
      </bottom>
      <diagonal/>
    </border>
    <border>
      <left style="medium">
        <color indexed="12"/>
      </left>
      <right style="thick">
        <color indexed="12"/>
      </right>
      <top style="medium">
        <color indexed="12"/>
      </top>
      <bottom/>
      <diagonal/>
    </border>
    <border>
      <left style="medium">
        <color indexed="12"/>
      </left>
      <right style="thick">
        <color indexed="12"/>
      </right>
      <top/>
      <bottom/>
      <diagonal/>
    </border>
    <border>
      <left style="medium">
        <color indexed="12"/>
      </left>
      <right style="thick">
        <color indexed="12"/>
      </right>
      <top/>
      <bottom style="medium">
        <color indexed="12"/>
      </bottom>
      <diagonal/>
    </border>
    <border>
      <left style="medium">
        <color indexed="18"/>
      </left>
      <right/>
      <top style="medium">
        <color indexed="18"/>
      </top>
      <bottom/>
      <diagonal/>
    </border>
    <border>
      <left/>
      <right/>
      <top style="medium">
        <color indexed="18"/>
      </top>
      <bottom/>
      <diagonal/>
    </border>
    <border>
      <left/>
      <right style="medium">
        <color indexed="18"/>
      </right>
      <top style="medium">
        <color indexed="18"/>
      </top>
      <bottom/>
      <diagonal/>
    </border>
    <border>
      <left style="medium">
        <color indexed="18"/>
      </left>
      <right/>
      <top/>
      <bottom/>
      <diagonal/>
    </border>
    <border>
      <left/>
      <right style="medium">
        <color indexed="18"/>
      </right>
      <top/>
      <bottom/>
      <diagonal/>
    </border>
    <border>
      <left style="medium">
        <color indexed="18"/>
      </left>
      <right/>
      <top/>
      <bottom style="medium">
        <color indexed="18"/>
      </bottom>
      <diagonal/>
    </border>
    <border>
      <left/>
      <right/>
      <top/>
      <bottom style="medium">
        <color indexed="18"/>
      </bottom>
      <diagonal/>
    </border>
    <border>
      <left/>
      <right style="medium">
        <color indexed="18"/>
      </right>
      <top/>
      <bottom style="medium">
        <color indexed="18"/>
      </bottom>
      <diagonal/>
    </border>
    <border>
      <left style="thick">
        <color indexed="21"/>
      </left>
      <right style="thick">
        <color indexed="21"/>
      </right>
      <top style="thick">
        <color indexed="21"/>
      </top>
      <bottom style="thick">
        <color indexed="21"/>
      </bottom>
      <diagonal/>
    </border>
    <border>
      <left style="medium">
        <color indexed="10"/>
      </left>
      <right/>
      <top style="medium">
        <color indexed="10"/>
      </top>
      <bottom style="medium">
        <color indexed="10"/>
      </bottom>
      <diagonal/>
    </border>
    <border>
      <left/>
      <right/>
      <top style="medium">
        <color indexed="10"/>
      </top>
      <bottom style="medium">
        <color indexed="10"/>
      </bottom>
      <diagonal/>
    </border>
    <border>
      <left/>
      <right style="medium">
        <color indexed="10"/>
      </right>
      <top style="medium">
        <color indexed="10"/>
      </top>
      <bottom style="medium">
        <color indexed="10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ck">
        <color indexed="17"/>
      </left>
      <right/>
      <top style="thick">
        <color indexed="17"/>
      </top>
      <bottom/>
      <diagonal/>
    </border>
    <border>
      <left/>
      <right/>
      <top style="thick">
        <color indexed="17"/>
      </top>
      <bottom/>
      <diagonal/>
    </border>
    <border>
      <left/>
      <right style="thick">
        <color indexed="17"/>
      </right>
      <top style="thick">
        <color indexed="17"/>
      </top>
      <bottom/>
      <diagonal/>
    </border>
    <border>
      <left style="thick">
        <color indexed="16"/>
      </left>
      <right style="thick">
        <color indexed="16"/>
      </right>
      <top style="thick">
        <color indexed="16"/>
      </top>
      <bottom/>
      <diagonal/>
    </border>
    <border>
      <left style="thick">
        <color indexed="17"/>
      </left>
      <right/>
      <top/>
      <bottom style="thick">
        <color indexed="17"/>
      </bottom>
      <diagonal/>
    </border>
    <border>
      <left/>
      <right/>
      <top/>
      <bottom style="thick">
        <color indexed="17"/>
      </bottom>
      <diagonal/>
    </border>
    <border>
      <left/>
      <right style="thick">
        <color indexed="17"/>
      </right>
      <top/>
      <bottom style="thick">
        <color indexed="17"/>
      </bottom>
      <diagonal/>
    </border>
    <border>
      <left style="thick">
        <color indexed="16"/>
      </left>
      <right style="thick">
        <color indexed="16"/>
      </right>
      <top/>
      <bottom style="thick">
        <color indexed="16"/>
      </bottom>
      <diagonal/>
    </border>
    <border>
      <left style="thick">
        <color indexed="16"/>
      </left>
      <right/>
      <top style="thick">
        <color indexed="16"/>
      </top>
      <bottom style="thick">
        <color indexed="16"/>
      </bottom>
      <diagonal/>
    </border>
    <border>
      <left/>
      <right/>
      <top style="thick">
        <color indexed="16"/>
      </top>
      <bottom style="thick">
        <color indexed="16"/>
      </bottom>
      <diagonal/>
    </border>
    <border>
      <left/>
      <right style="thick">
        <color indexed="16"/>
      </right>
      <top style="thick">
        <color indexed="16"/>
      </top>
      <bottom style="thick">
        <color indexed="16"/>
      </bottom>
      <diagonal/>
    </border>
    <border>
      <left style="thick">
        <color indexed="17"/>
      </left>
      <right/>
      <top/>
      <bottom/>
      <diagonal/>
    </border>
    <border>
      <left/>
      <right style="thick">
        <color indexed="17"/>
      </right>
      <top/>
      <bottom/>
      <diagonal/>
    </border>
    <border>
      <left/>
      <right style="thick">
        <color indexed="12"/>
      </right>
      <top/>
      <bottom style="thick">
        <color indexed="17"/>
      </bottom>
      <diagonal/>
    </border>
    <border>
      <left style="thick">
        <color indexed="16"/>
      </left>
      <right style="thick">
        <color indexed="16"/>
      </right>
      <top/>
      <bottom/>
      <diagonal/>
    </border>
    <border>
      <left style="thick">
        <color indexed="16"/>
      </left>
      <right/>
      <top style="thick">
        <color indexed="16"/>
      </top>
      <bottom/>
      <diagonal/>
    </border>
    <border>
      <left/>
      <right/>
      <top style="thick">
        <color indexed="16"/>
      </top>
      <bottom/>
      <diagonal/>
    </border>
    <border>
      <left/>
      <right style="thick">
        <color indexed="16"/>
      </right>
      <top style="thick">
        <color indexed="16"/>
      </top>
      <bottom/>
      <diagonal/>
    </border>
    <border>
      <left style="thick">
        <color indexed="16"/>
      </left>
      <right/>
      <top/>
      <bottom/>
      <diagonal/>
    </border>
    <border>
      <left/>
      <right style="thick">
        <color indexed="16"/>
      </right>
      <top/>
      <bottom/>
      <diagonal/>
    </border>
    <border>
      <left style="thick">
        <color indexed="16"/>
      </left>
      <right/>
      <top/>
      <bottom style="thick">
        <color indexed="16"/>
      </bottom>
      <diagonal/>
    </border>
    <border>
      <left/>
      <right/>
      <top/>
      <bottom style="thick">
        <color indexed="16"/>
      </bottom>
      <diagonal/>
    </border>
    <border>
      <left/>
      <right style="thick">
        <color indexed="16"/>
      </right>
      <top/>
      <bottom style="thick">
        <color indexed="16"/>
      </bottom>
      <diagonal/>
    </border>
    <border>
      <left style="thick">
        <color indexed="17"/>
      </left>
      <right/>
      <top style="thick">
        <color indexed="17"/>
      </top>
      <bottom style="thick">
        <color indexed="17"/>
      </bottom>
      <diagonal/>
    </border>
    <border>
      <left/>
      <right/>
      <top style="thick">
        <color indexed="17"/>
      </top>
      <bottom style="thick">
        <color indexed="17"/>
      </bottom>
      <diagonal/>
    </border>
    <border>
      <left/>
      <right style="thick">
        <color indexed="17"/>
      </right>
      <top style="thick">
        <color indexed="17"/>
      </top>
      <bottom style="thick">
        <color indexed="17"/>
      </bottom>
      <diagonal/>
    </border>
  </borders>
  <cellStyleXfs count="2">
    <xf numFmtId="0" fontId="0" fillId="0" borderId="0"/>
    <xf numFmtId="0" fontId="9" fillId="0" borderId="0">
      <alignment horizontal="left"/>
    </xf>
  </cellStyleXfs>
  <cellXfs count="205">
    <xf numFmtId="0" fontId="0" fillId="0" borderId="0" xfId="0"/>
    <xf numFmtId="0" fontId="1" fillId="0" borderId="0" xfId="0" quotePrefix="1" applyFont="1" applyAlignment="1">
      <alignment horizontal="left"/>
    </xf>
    <xf numFmtId="0" fontId="2" fillId="2" borderId="1" xfId="0" quotePrefix="1" applyFont="1" applyFill="1" applyBorder="1" applyAlignment="1">
      <alignment horizontal="left"/>
    </xf>
    <xf numFmtId="0" fontId="2" fillId="2" borderId="2" xfId="0" quotePrefix="1" applyFont="1" applyFill="1" applyBorder="1" applyAlignment="1">
      <alignment horizontal="left"/>
    </xf>
    <xf numFmtId="0" fontId="0" fillId="2" borderId="2" xfId="0" applyFill="1" applyBorder="1"/>
    <xf numFmtId="0" fontId="0" fillId="2" borderId="3" xfId="0" applyFill="1" applyBorder="1"/>
    <xf numFmtId="0" fontId="2" fillId="2" borderId="4" xfId="0" quotePrefix="1" applyFont="1" applyFill="1" applyBorder="1" applyAlignment="1">
      <alignment horizontal="left"/>
    </xf>
    <xf numFmtId="0" fontId="2" fillId="2" borderId="0" xfId="0" quotePrefix="1" applyFont="1" applyFill="1" applyAlignment="1">
      <alignment horizontal="left"/>
    </xf>
    <xf numFmtId="0" fontId="0" fillId="2" borderId="0" xfId="0" applyFill="1"/>
    <xf numFmtId="0" fontId="0" fillId="2" borderId="5" xfId="0" applyFill="1" applyBorder="1"/>
    <xf numFmtId="0" fontId="2" fillId="2" borderId="6" xfId="0" quotePrefix="1" applyFont="1" applyFill="1" applyBorder="1" applyAlignment="1">
      <alignment horizontal="left"/>
    </xf>
    <xf numFmtId="0" fontId="2" fillId="2" borderId="7" xfId="0" quotePrefix="1" applyFont="1" applyFill="1" applyBorder="1" applyAlignment="1">
      <alignment horizontal="left"/>
    </xf>
    <xf numFmtId="0" fontId="0" fillId="2" borderId="7" xfId="0" applyFill="1" applyBorder="1"/>
    <xf numFmtId="0" fontId="0" fillId="2" borderId="8" xfId="0" applyFill="1" applyBorder="1"/>
    <xf numFmtId="0" fontId="2" fillId="0" borderId="0" xfId="0" quotePrefix="1" applyFont="1" applyAlignment="1">
      <alignment horizontal="left"/>
    </xf>
    <xf numFmtId="0" fontId="3" fillId="0" borderId="1" xfId="0" quotePrefix="1" applyFont="1" applyBorder="1" applyAlignment="1">
      <alignment horizontal="left"/>
    </xf>
    <xf numFmtId="0" fontId="3" fillId="0" borderId="2" xfId="0" quotePrefix="1" applyFont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3" fillId="0" borderId="4" xfId="0" quotePrefix="1" applyFont="1" applyBorder="1" applyAlignment="1">
      <alignment horizontal="left"/>
    </xf>
    <xf numFmtId="0" fontId="3" fillId="0" borderId="0" xfId="0" quotePrefix="1" applyFont="1" applyAlignment="1">
      <alignment horizontal="left"/>
    </xf>
    <xf numFmtId="0" fontId="4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4" xfId="0" applyBorder="1"/>
    <xf numFmtId="0" fontId="2" fillId="0" borderId="0" xfId="0" quotePrefix="1" applyFont="1" applyAlignment="1">
      <alignment horizontal="center"/>
    </xf>
    <xf numFmtId="0" fontId="2" fillId="0" borderId="4" xfId="0" applyFont="1" applyBorder="1"/>
    <xf numFmtId="0" fontId="2" fillId="0" borderId="0" xfId="0" applyFont="1"/>
    <xf numFmtId="7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right"/>
    </xf>
    <xf numFmtId="7" fontId="0" fillId="0" borderId="5" xfId="0" applyNumberFormat="1" applyBorder="1" applyAlignment="1">
      <alignment horizontal="center"/>
    </xf>
    <xf numFmtId="7" fontId="0" fillId="0" borderId="0" xfId="0" applyNumberFormat="1"/>
    <xf numFmtId="1" fontId="0" fillId="0" borderId="0" xfId="0" applyNumberFormat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0" xfId="0" applyNumberFormat="1"/>
    <xf numFmtId="0" fontId="2" fillId="0" borderId="6" xfId="0" applyFont="1" applyBorder="1"/>
    <xf numFmtId="0" fontId="2" fillId="0" borderId="7" xfId="0" applyFont="1" applyBorder="1"/>
    <xf numFmtId="7" fontId="0" fillId="0" borderId="7" xfId="0" applyNumberFormat="1" applyBorder="1" applyAlignment="1">
      <alignment horizontal="center"/>
    </xf>
    <xf numFmtId="7" fontId="0" fillId="0" borderId="8" xfId="0" applyNumberFormat="1" applyBorder="1" applyAlignment="1">
      <alignment horizontal="center"/>
    </xf>
    <xf numFmtId="0" fontId="3" fillId="0" borderId="1" xfId="0" applyFont="1" applyBorder="1"/>
    <xf numFmtId="0" fontId="3" fillId="0" borderId="2" xfId="0" applyFont="1" applyBorder="1"/>
    <xf numFmtId="3" fontId="0" fillId="0" borderId="9" xfId="0" applyNumberFormat="1" applyBorder="1" applyAlignment="1">
      <alignment horizontal="center"/>
    </xf>
    <xf numFmtId="3" fontId="0" fillId="0" borderId="10" xfId="0" applyNumberFormat="1" applyBorder="1" applyAlignment="1">
      <alignment horizontal="center"/>
    </xf>
    <xf numFmtId="3" fontId="0" fillId="0" borderId="11" xfId="0" applyNumberFormat="1" applyBorder="1" applyAlignment="1">
      <alignment horizontal="center"/>
    </xf>
    <xf numFmtId="3" fontId="0" fillId="0" borderId="12" xfId="0" applyNumberFormat="1" applyBorder="1" applyAlignment="1">
      <alignment horizontal="center"/>
    </xf>
    <xf numFmtId="3" fontId="0" fillId="0" borderId="13" xfId="0" applyNumberFormat="1" applyBorder="1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14" xfId="0" applyNumberFormat="1" applyBorder="1" applyAlignment="1">
      <alignment horizontal="center"/>
    </xf>
    <xf numFmtId="3" fontId="0" fillId="0" borderId="15" xfId="0" applyNumberFormat="1" applyBorder="1" applyAlignment="1">
      <alignment horizontal="center"/>
    </xf>
    <xf numFmtId="3" fontId="0" fillId="0" borderId="16" xfId="0" applyNumberFormat="1" applyBorder="1" applyAlignment="1">
      <alignment horizontal="center"/>
    </xf>
    <xf numFmtId="3" fontId="0" fillId="0" borderId="17" xfId="0" applyNumberFormat="1" applyBorder="1" applyAlignment="1">
      <alignment horizontal="center"/>
    </xf>
    <xf numFmtId="3" fontId="0" fillId="0" borderId="18" xfId="0" applyNumberFormat="1" applyBorder="1" applyAlignment="1">
      <alignment horizontal="center"/>
    </xf>
    <xf numFmtId="3" fontId="0" fillId="0" borderId="19" xfId="0" applyNumberFormat="1" applyBorder="1" applyAlignment="1">
      <alignment horizontal="center"/>
    </xf>
    <xf numFmtId="0" fontId="2" fillId="0" borderId="4" xfId="0" quotePrefix="1" applyFont="1" applyBorder="1" applyAlignment="1">
      <alignment horizontal="left"/>
    </xf>
    <xf numFmtId="1" fontId="0" fillId="0" borderId="5" xfId="0" applyNumberFormat="1" applyBorder="1"/>
    <xf numFmtId="3" fontId="0" fillId="0" borderId="20" xfId="0" applyNumberFormat="1" applyBorder="1" applyAlignment="1">
      <alignment horizontal="center"/>
    </xf>
    <xf numFmtId="3" fontId="0" fillId="0" borderId="21" xfId="0" applyNumberFormat="1" applyBorder="1" applyAlignment="1">
      <alignment horizontal="center"/>
    </xf>
    <xf numFmtId="3" fontId="0" fillId="0" borderId="22" xfId="0" applyNumberFormat="1" applyBorder="1" applyAlignment="1">
      <alignment horizontal="center"/>
    </xf>
    <xf numFmtId="3" fontId="0" fillId="0" borderId="23" xfId="0" applyNumberFormat="1" applyBorder="1" applyAlignment="1">
      <alignment horizontal="center"/>
    </xf>
    <xf numFmtId="3" fontId="0" fillId="0" borderId="24" xfId="0" applyNumberFormat="1" applyBorder="1" applyAlignment="1">
      <alignment horizontal="center"/>
    </xf>
    <xf numFmtId="3" fontId="0" fillId="0" borderId="25" xfId="0" applyNumberFormat="1" applyBorder="1" applyAlignment="1">
      <alignment horizontal="center"/>
    </xf>
    <xf numFmtId="3" fontId="0" fillId="0" borderId="26" xfId="0" applyNumberFormat="1" applyBorder="1" applyAlignment="1">
      <alignment horizontal="center"/>
    </xf>
    <xf numFmtId="3" fontId="0" fillId="0" borderId="27" xfId="0" applyNumberFormat="1" applyBorder="1" applyAlignment="1">
      <alignment horizontal="center"/>
    </xf>
    <xf numFmtId="3" fontId="0" fillId="0" borderId="28" xfId="0" applyNumberFormat="1" applyBorder="1" applyAlignment="1">
      <alignment horizontal="center"/>
    </xf>
    <xf numFmtId="3" fontId="0" fillId="0" borderId="29" xfId="0" applyNumberFormat="1" applyBorder="1" applyAlignment="1">
      <alignment horizontal="center"/>
    </xf>
    <xf numFmtId="3" fontId="0" fillId="0" borderId="30" xfId="0" applyNumberFormat="1" applyBorder="1" applyAlignment="1">
      <alignment horizontal="center"/>
    </xf>
    <xf numFmtId="0" fontId="0" fillId="0" borderId="0" xfId="0" applyAlignment="1">
      <alignment horizontal="center"/>
    </xf>
    <xf numFmtId="3" fontId="0" fillId="0" borderId="31" xfId="0" applyNumberFormat="1" applyBorder="1" applyAlignment="1">
      <alignment horizontal="center"/>
    </xf>
    <xf numFmtId="3" fontId="0" fillId="0" borderId="32" xfId="0" applyNumberFormat="1" applyBorder="1" applyAlignment="1">
      <alignment horizontal="center"/>
    </xf>
    <xf numFmtId="3" fontId="0" fillId="0" borderId="33" xfId="0" applyNumberFormat="1" applyBorder="1" applyAlignment="1">
      <alignment horizontal="center"/>
    </xf>
    <xf numFmtId="3" fontId="0" fillId="0" borderId="34" xfId="0" applyNumberFormat="1" applyBorder="1" applyAlignment="1">
      <alignment horizontal="center"/>
    </xf>
    <xf numFmtId="3" fontId="0" fillId="0" borderId="0" xfId="0" applyNumberFormat="1"/>
    <xf numFmtId="3" fontId="0" fillId="0" borderId="35" xfId="0" applyNumberFormat="1" applyBorder="1" applyAlignment="1">
      <alignment horizontal="center"/>
    </xf>
    <xf numFmtId="3" fontId="0" fillId="0" borderId="36" xfId="0" applyNumberFormat="1" applyBorder="1" applyAlignment="1">
      <alignment horizontal="center"/>
    </xf>
    <xf numFmtId="3" fontId="0" fillId="0" borderId="37" xfId="0" applyNumberFormat="1" applyBorder="1" applyAlignment="1">
      <alignment horizontal="center"/>
    </xf>
    <xf numFmtId="3" fontId="0" fillId="0" borderId="38" xfId="0" applyNumberFormat="1" applyBorder="1" applyAlignment="1">
      <alignment horizontal="center"/>
    </xf>
    <xf numFmtId="3" fontId="0" fillId="0" borderId="39" xfId="0" applyNumberFormat="1" applyBorder="1" applyAlignment="1">
      <alignment horizontal="center"/>
    </xf>
    <xf numFmtId="3" fontId="0" fillId="0" borderId="5" xfId="0" applyNumberFormat="1" applyBorder="1" applyAlignment="1">
      <alignment horizontal="center"/>
    </xf>
    <xf numFmtId="3" fontId="0" fillId="0" borderId="40" xfId="0" applyNumberFormat="1" applyBorder="1" applyAlignment="1">
      <alignment horizontal="center"/>
    </xf>
    <xf numFmtId="3" fontId="0" fillId="0" borderId="41" xfId="0" applyNumberFormat="1" applyBorder="1" applyAlignment="1">
      <alignment horizontal="center"/>
    </xf>
    <xf numFmtId="3" fontId="0" fillId="0" borderId="42" xfId="0" applyNumberFormat="1" applyBorder="1" applyAlignment="1">
      <alignment horizontal="center"/>
    </xf>
    <xf numFmtId="3" fontId="0" fillId="0" borderId="43" xfId="0" applyNumberFormat="1" applyBorder="1" applyAlignment="1">
      <alignment horizontal="center"/>
    </xf>
    <xf numFmtId="3" fontId="0" fillId="0" borderId="44" xfId="0" applyNumberForma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/>
    <xf numFmtId="5" fontId="0" fillId="0" borderId="45" xfId="0" applyNumberFormat="1" applyBorder="1"/>
    <xf numFmtId="0" fontId="0" fillId="0" borderId="7" xfId="0" applyBorder="1"/>
    <xf numFmtId="0" fontId="0" fillId="0" borderId="8" xfId="0" applyBorder="1"/>
    <xf numFmtId="0" fontId="2" fillId="3" borderId="1" xfId="0" quotePrefix="1" applyFont="1" applyFill="1" applyBorder="1" applyAlignment="1">
      <alignment horizontal="left"/>
    </xf>
    <xf numFmtId="0" fontId="0" fillId="3" borderId="2" xfId="0" applyFill="1" applyBorder="1"/>
    <xf numFmtId="0" fontId="0" fillId="3" borderId="3" xfId="0" applyFill="1" applyBorder="1"/>
    <xf numFmtId="0" fontId="2" fillId="3" borderId="4" xfId="0" quotePrefix="1" applyFont="1" applyFill="1" applyBorder="1" applyAlignment="1">
      <alignment horizontal="left"/>
    </xf>
    <xf numFmtId="0" fontId="0" fillId="3" borderId="0" xfId="0" applyFill="1"/>
    <xf numFmtId="0" fontId="0" fillId="3" borderId="5" xfId="0" applyFill="1" applyBorder="1"/>
    <xf numFmtId="0" fontId="2" fillId="3" borderId="6" xfId="0" quotePrefix="1" applyFont="1" applyFill="1" applyBorder="1" applyAlignment="1">
      <alignment horizontal="left"/>
    </xf>
    <xf numFmtId="0" fontId="0" fillId="3" borderId="7" xfId="0" applyFill="1" applyBorder="1"/>
    <xf numFmtId="0" fontId="0" fillId="3" borderId="8" xfId="0" applyFill="1" applyBorder="1"/>
    <xf numFmtId="0" fontId="0" fillId="0" borderId="5" xfId="0" applyBorder="1" applyAlignment="1">
      <alignment horizontal="center"/>
    </xf>
    <xf numFmtId="3" fontId="0" fillId="0" borderId="46" xfId="0" applyNumberFormat="1" applyBorder="1" applyAlignment="1">
      <alignment horizontal="center"/>
    </xf>
    <xf numFmtId="3" fontId="0" fillId="0" borderId="47" xfId="0" applyNumberFormat="1" applyBorder="1" applyAlignment="1">
      <alignment horizontal="center"/>
    </xf>
    <xf numFmtId="3" fontId="0" fillId="0" borderId="48" xfId="0" applyNumberFormat="1" applyBorder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3" fontId="0" fillId="0" borderId="49" xfId="0" applyNumberFormat="1" applyBorder="1" applyAlignment="1">
      <alignment horizontal="center"/>
    </xf>
    <xf numFmtId="3" fontId="0" fillId="0" borderId="50" xfId="0" applyNumberFormat="1" applyBorder="1" applyAlignment="1">
      <alignment horizontal="center"/>
    </xf>
    <xf numFmtId="3" fontId="0" fillId="0" borderId="51" xfId="0" applyNumberFormat="1" applyBorder="1" applyAlignment="1">
      <alignment horizontal="center"/>
    </xf>
    <xf numFmtId="3" fontId="0" fillId="0" borderId="7" xfId="0" applyNumberFormat="1" applyBorder="1" applyAlignment="1">
      <alignment horizontal="center"/>
    </xf>
    <xf numFmtId="1" fontId="0" fillId="0" borderId="8" xfId="0" applyNumberFormat="1" applyBorder="1"/>
    <xf numFmtId="0" fontId="0" fillId="0" borderId="1" xfId="0" applyBorder="1"/>
    <xf numFmtId="3" fontId="0" fillId="0" borderId="52" xfId="0" applyNumberFormat="1" applyBorder="1" applyAlignment="1">
      <alignment horizontal="center"/>
    </xf>
    <xf numFmtId="3" fontId="0" fillId="0" borderId="53" xfId="0" applyNumberFormat="1" applyBorder="1" applyAlignment="1">
      <alignment horizontal="center"/>
    </xf>
    <xf numFmtId="3" fontId="0" fillId="0" borderId="54" xfId="0" applyNumberFormat="1" applyBorder="1" applyAlignment="1">
      <alignment horizontal="center"/>
    </xf>
    <xf numFmtId="3" fontId="0" fillId="0" borderId="55" xfId="0" applyNumberFormat="1" applyBorder="1" applyAlignment="1">
      <alignment horizontal="center"/>
    </xf>
    <xf numFmtId="3" fontId="0" fillId="0" borderId="56" xfId="0" applyNumberFormat="1" applyBorder="1" applyAlignment="1">
      <alignment horizontal="center"/>
    </xf>
    <xf numFmtId="3" fontId="0" fillId="0" borderId="57" xfId="0" applyNumberFormat="1" applyBorder="1" applyAlignment="1">
      <alignment horizontal="center"/>
    </xf>
    <xf numFmtId="3" fontId="0" fillId="0" borderId="58" xfId="0" applyNumberFormat="1" applyBorder="1" applyAlignment="1">
      <alignment horizontal="center"/>
    </xf>
    <xf numFmtId="3" fontId="0" fillId="0" borderId="59" xfId="0" applyNumberFormat="1" applyBorder="1" applyAlignment="1">
      <alignment horizontal="center"/>
    </xf>
    <xf numFmtId="3" fontId="0" fillId="0" borderId="60" xfId="0" applyNumberFormat="1" applyBorder="1" applyAlignment="1">
      <alignment horizontal="center"/>
    </xf>
    <xf numFmtId="3" fontId="0" fillId="0" borderId="61" xfId="0" applyNumberFormat="1" applyBorder="1" applyAlignment="1">
      <alignment horizontal="center"/>
    </xf>
    <xf numFmtId="3" fontId="0" fillId="0" borderId="62" xfId="0" applyNumberFormat="1" applyBorder="1" applyAlignment="1">
      <alignment horizontal="center"/>
    </xf>
    <xf numFmtId="3" fontId="0" fillId="0" borderId="8" xfId="0" applyNumberFormat="1" applyBorder="1" applyAlignment="1">
      <alignment horizontal="center"/>
    </xf>
    <xf numFmtId="0" fontId="6" fillId="0" borderId="7" xfId="0" applyFont="1" applyBorder="1"/>
    <xf numFmtId="0" fontId="0" fillId="0" borderId="6" xfId="0" applyBorder="1"/>
    <xf numFmtId="5" fontId="0" fillId="0" borderId="0" xfId="0" applyNumberFormat="1"/>
    <xf numFmtId="0" fontId="1" fillId="0" borderId="0" xfId="0" applyFont="1"/>
    <xf numFmtId="0" fontId="2" fillId="4" borderId="1" xfId="0" quotePrefix="1" applyFont="1" applyFill="1" applyBorder="1" applyAlignment="1">
      <alignment horizontal="left"/>
    </xf>
    <xf numFmtId="0" fontId="0" fillId="4" borderId="2" xfId="0" applyFill="1" applyBorder="1"/>
    <xf numFmtId="0" fontId="0" fillId="4" borderId="3" xfId="0" applyFill="1" applyBorder="1"/>
    <xf numFmtId="0" fontId="2" fillId="4" borderId="4" xfId="0" quotePrefix="1" applyFont="1" applyFill="1" applyBorder="1" applyAlignment="1">
      <alignment horizontal="left"/>
    </xf>
    <xf numFmtId="0" fontId="0" fillId="4" borderId="0" xfId="0" applyFill="1"/>
    <xf numFmtId="0" fontId="0" fillId="4" borderId="5" xfId="0" applyFill="1" applyBorder="1"/>
    <xf numFmtId="0" fontId="2" fillId="4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6" fillId="0" borderId="4" xfId="0" applyFont="1" applyBorder="1"/>
    <xf numFmtId="0" fontId="6" fillId="0" borderId="0" xfId="0" applyFont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quotePrefix="1" applyFont="1" applyBorder="1" applyAlignment="1">
      <alignment horizontal="left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54" xfId="0" applyBorder="1" applyAlignment="1">
      <alignment horizontal="center"/>
    </xf>
    <xf numFmtId="0" fontId="0" fillId="0" borderId="63" xfId="0" applyBorder="1" applyAlignment="1">
      <alignment horizontal="center"/>
    </xf>
    <xf numFmtId="0" fontId="0" fillId="0" borderId="64" xfId="0" applyBorder="1" applyAlignment="1">
      <alignment horizontal="center"/>
    </xf>
    <xf numFmtId="0" fontId="0" fillId="0" borderId="56" xfId="0" applyBorder="1" applyAlignment="1">
      <alignment horizontal="center"/>
    </xf>
    <xf numFmtId="0" fontId="0" fillId="0" borderId="57" xfId="0" applyBorder="1" applyAlignment="1">
      <alignment horizontal="center"/>
    </xf>
    <xf numFmtId="0" fontId="0" fillId="0" borderId="58" xfId="0" applyBorder="1" applyAlignment="1">
      <alignment horizontal="center"/>
    </xf>
    <xf numFmtId="0" fontId="6" fillId="0" borderId="6" xfId="0" applyFont="1" applyBorder="1"/>
    <xf numFmtId="0" fontId="0" fillId="0" borderId="65" xfId="0" applyBorder="1" applyAlignment="1">
      <alignment horizontal="center"/>
    </xf>
    <xf numFmtId="1" fontId="0" fillId="0" borderId="52" xfId="0" applyNumberFormat="1" applyBorder="1" applyAlignment="1">
      <alignment horizontal="center"/>
    </xf>
    <xf numFmtId="1" fontId="0" fillId="0" borderId="53" xfId="0" applyNumberFormat="1" applyBorder="1" applyAlignment="1">
      <alignment horizontal="center"/>
    </xf>
    <xf numFmtId="1" fontId="0" fillId="0" borderId="54" xfId="0" applyNumberFormat="1" applyBorder="1" applyAlignment="1">
      <alignment horizontal="center"/>
    </xf>
    <xf numFmtId="0" fontId="0" fillId="0" borderId="55" xfId="0" applyBorder="1" applyAlignment="1">
      <alignment horizontal="center"/>
    </xf>
    <xf numFmtId="7" fontId="0" fillId="0" borderId="5" xfId="0" applyNumberFormat="1" applyBorder="1"/>
    <xf numFmtId="1" fontId="0" fillId="0" borderId="63" xfId="0" applyNumberFormat="1" applyBorder="1" applyAlignment="1">
      <alignment horizontal="center"/>
    </xf>
    <xf numFmtId="1" fontId="0" fillId="0" borderId="64" xfId="0" applyNumberFormat="1" applyBorder="1" applyAlignment="1">
      <alignment horizontal="center"/>
    </xf>
    <xf numFmtId="0" fontId="0" fillId="0" borderId="66" xfId="0" applyBorder="1" applyAlignment="1">
      <alignment horizontal="center"/>
    </xf>
    <xf numFmtId="1" fontId="0" fillId="0" borderId="56" xfId="0" applyNumberFormat="1" applyBorder="1" applyAlignment="1">
      <alignment horizontal="center"/>
    </xf>
    <xf numFmtId="1" fontId="0" fillId="0" borderId="57" xfId="0" applyNumberFormat="1" applyBorder="1" applyAlignment="1">
      <alignment horizontal="center"/>
    </xf>
    <xf numFmtId="1" fontId="0" fillId="0" borderId="58" xfId="0" applyNumberFormat="1" applyBorder="1" applyAlignment="1">
      <alignment horizontal="center"/>
    </xf>
    <xf numFmtId="0" fontId="0" fillId="0" borderId="59" xfId="0" applyBorder="1" applyAlignment="1">
      <alignment horizontal="center"/>
    </xf>
    <xf numFmtId="7" fontId="0" fillId="0" borderId="45" xfId="0" applyNumberFormat="1" applyBorder="1"/>
    <xf numFmtId="0" fontId="0" fillId="0" borderId="67" xfId="0" applyBorder="1" applyAlignment="1">
      <alignment horizontal="center"/>
    </xf>
    <xf numFmtId="0" fontId="0" fillId="0" borderId="68" xfId="0" applyBorder="1" applyAlignment="1">
      <alignment horizontal="center"/>
    </xf>
    <xf numFmtId="0" fontId="0" fillId="0" borderId="69" xfId="0" applyBorder="1" applyAlignment="1">
      <alignment horizontal="center"/>
    </xf>
    <xf numFmtId="0" fontId="0" fillId="0" borderId="70" xfId="0" applyBorder="1" applyAlignment="1">
      <alignment horizontal="center"/>
    </xf>
    <xf numFmtId="0" fontId="0" fillId="0" borderId="71" xfId="0" applyBorder="1" applyAlignment="1">
      <alignment horizontal="center"/>
    </xf>
    <xf numFmtId="0" fontId="0" fillId="0" borderId="72" xfId="0" applyBorder="1" applyAlignment="1">
      <alignment horizontal="center"/>
    </xf>
    <xf numFmtId="0" fontId="0" fillId="0" borderId="73" xfId="0" applyBorder="1" applyAlignment="1">
      <alignment horizontal="center"/>
    </xf>
    <xf numFmtId="0" fontId="0" fillId="0" borderId="74" xfId="0" applyBorder="1" applyAlignment="1">
      <alignment horizontal="center"/>
    </xf>
    <xf numFmtId="0" fontId="2" fillId="4" borderId="6" xfId="0" quotePrefix="1" applyFont="1" applyFill="1" applyBorder="1" applyAlignment="1">
      <alignment horizontal="left"/>
    </xf>
    <xf numFmtId="5" fontId="0" fillId="0" borderId="0" xfId="0" applyNumberFormat="1" applyAlignment="1">
      <alignment horizontal="center"/>
    </xf>
    <xf numFmtId="5" fontId="0" fillId="0" borderId="5" xfId="0" applyNumberFormat="1" applyBorder="1" applyAlignment="1">
      <alignment horizontal="center"/>
    </xf>
    <xf numFmtId="5" fontId="0" fillId="0" borderId="7" xfId="0" applyNumberFormat="1" applyBorder="1" applyAlignment="1">
      <alignment horizontal="center"/>
    </xf>
    <xf numFmtId="5" fontId="0" fillId="0" borderId="8" xfId="0" applyNumberFormat="1" applyBorder="1" applyAlignment="1">
      <alignment horizontal="center"/>
    </xf>
    <xf numFmtId="0" fontId="0" fillId="0" borderId="75" xfId="0" applyBorder="1" applyAlignment="1">
      <alignment horizontal="center"/>
    </xf>
    <xf numFmtId="0" fontId="0" fillId="0" borderId="76" xfId="0" applyBorder="1" applyAlignment="1">
      <alignment horizontal="center"/>
    </xf>
    <xf numFmtId="0" fontId="0" fillId="0" borderId="77" xfId="0" applyBorder="1" applyAlignment="1">
      <alignment horizontal="center"/>
    </xf>
    <xf numFmtId="0" fontId="6" fillId="0" borderId="4" xfId="0" quotePrefix="1" applyFont="1" applyBorder="1" applyAlignment="1">
      <alignment horizontal="left"/>
    </xf>
    <xf numFmtId="0" fontId="0" fillId="0" borderId="60" xfId="0" applyBorder="1" applyAlignment="1">
      <alignment horizontal="center"/>
    </xf>
    <xf numFmtId="0" fontId="0" fillId="0" borderId="61" xfId="0" applyBorder="1" applyAlignment="1">
      <alignment horizontal="center"/>
    </xf>
    <xf numFmtId="0" fontId="0" fillId="0" borderId="62" xfId="0" applyBorder="1" applyAlignment="1">
      <alignment horizontal="center"/>
    </xf>
    <xf numFmtId="5" fontId="0" fillId="0" borderId="45" xfId="0" applyNumberFormat="1" applyBorder="1" applyAlignment="1">
      <alignment horizontal="center"/>
    </xf>
    <xf numFmtId="0" fontId="7" fillId="0" borderId="0" xfId="0" applyFont="1"/>
    <xf numFmtId="0" fontId="8" fillId="5" borderId="0" xfId="1" applyFont="1" applyFill="1">
      <alignment horizontal="left"/>
    </xf>
    <xf numFmtId="0" fontId="10" fillId="5" borderId="0" xfId="1" applyFont="1" applyFill="1">
      <alignment horizontal="left"/>
    </xf>
    <xf numFmtId="0" fontId="0" fillId="6" borderId="2" xfId="0" applyFill="1" applyBorder="1"/>
    <xf numFmtId="0" fontId="0" fillId="6" borderId="3" xfId="0" applyFill="1" applyBorder="1"/>
    <xf numFmtId="0" fontId="0" fillId="6" borderId="0" xfId="0" applyFill="1"/>
    <xf numFmtId="0" fontId="0" fillId="6" borderId="5" xfId="0" applyFill="1" applyBorder="1"/>
    <xf numFmtId="0" fontId="0" fillId="6" borderId="7" xfId="0" applyFill="1" applyBorder="1"/>
    <xf numFmtId="0" fontId="0" fillId="6" borderId="8" xfId="0" applyFill="1" applyBorder="1"/>
    <xf numFmtId="0" fontId="5" fillId="6" borderId="2" xfId="0" applyFont="1" applyFill="1" applyBorder="1"/>
    <xf numFmtId="0" fontId="5" fillId="6" borderId="4" xfId="0" applyFont="1" applyFill="1" applyBorder="1"/>
    <xf numFmtId="0" fontId="5" fillId="6" borderId="0" xfId="0" applyFont="1" applyFill="1"/>
    <xf numFmtId="0" fontId="5" fillId="6" borderId="6" xfId="0" applyFont="1" applyFill="1" applyBorder="1"/>
    <xf numFmtId="0" fontId="5" fillId="6" borderId="7" xfId="0" applyFont="1" applyFill="1" applyBorder="1"/>
    <xf numFmtId="0" fontId="11" fillId="6" borderId="1" xfId="0" applyFont="1" applyFill="1" applyBorder="1"/>
    <xf numFmtId="0" fontId="11" fillId="6" borderId="4" xfId="0" applyFont="1" applyFill="1" applyBorder="1"/>
    <xf numFmtId="5" fontId="11" fillId="6" borderId="1" xfId="0" applyNumberFormat="1" applyFont="1" applyFill="1" applyBorder="1"/>
    <xf numFmtId="0" fontId="2" fillId="6" borderId="4" xfId="0" applyFont="1" applyFill="1" applyBorder="1"/>
    <xf numFmtId="0" fontId="13" fillId="7" borderId="0" xfId="0" applyFont="1" applyFill="1"/>
  </cellXfs>
  <cellStyles count="2">
    <cellStyle name="Normal" xfId="0" builtinId="0"/>
    <cellStyle name="Normal_FINANCE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Startup" Target="WB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B"/>
    </sheetNames>
    <definedNames>
      <definedName name="INTEGER" refersTo="='WB'!$BN$2"/>
    </definedNames>
    <sheetDataSet>
      <sheetData sheetId="0">
        <row r="2">
          <cell r="BN2" t="b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showGridLines="0" workbookViewId="0">
      <selection activeCell="K22" sqref="K22"/>
    </sheetView>
  </sheetViews>
  <sheetFormatPr defaultColWidth="8.7109375" defaultRowHeight="12.75"/>
  <cols>
    <col min="1" max="1" width="20.7109375" customWidth="1"/>
    <col min="8" max="8" width="13" customWidth="1"/>
  </cols>
  <sheetData>
    <row r="1" spans="1:8">
      <c r="A1" s="186" t="s">
        <v>165</v>
      </c>
    </row>
    <row r="2" spans="1:8" ht="6.75" customHeight="1">
      <c r="A2" s="187"/>
    </row>
    <row r="3" spans="1:8">
      <c r="A3" s="188" t="s">
        <v>166</v>
      </c>
    </row>
    <row r="4" spans="1:8">
      <c r="A4" s="188" t="s">
        <v>167</v>
      </c>
    </row>
    <row r="5" spans="1:8">
      <c r="A5" s="188" t="s">
        <v>164</v>
      </c>
      <c r="H5" t="s">
        <v>168</v>
      </c>
    </row>
    <row r="6" spans="1:8" ht="6" customHeight="1"/>
    <row r="8" spans="1:8">
      <c r="A8" s="188" t="s">
        <v>155</v>
      </c>
    </row>
    <row r="10" spans="1:8">
      <c r="A10" t="s">
        <v>161</v>
      </c>
      <c r="B10" t="s">
        <v>159</v>
      </c>
    </row>
    <row r="11" spans="1:8">
      <c r="A11" t="s">
        <v>156</v>
      </c>
      <c r="B11">
        <v>3</v>
      </c>
    </row>
    <row r="12" spans="1:8">
      <c r="A12" t="s">
        <v>157</v>
      </c>
      <c r="B12">
        <v>3</v>
      </c>
    </row>
    <row r="13" spans="1:8">
      <c r="A13" t="s">
        <v>158</v>
      </c>
      <c r="B13">
        <v>9</v>
      </c>
    </row>
    <row r="14" spans="1:8">
      <c r="A14" t="s">
        <v>160</v>
      </c>
      <c r="B14">
        <v>9</v>
      </c>
    </row>
    <row r="15" spans="1:8">
      <c r="A15" t="s">
        <v>162</v>
      </c>
      <c r="B15">
        <v>9</v>
      </c>
    </row>
    <row r="16" spans="1:8">
      <c r="A16" s="204" t="s">
        <v>163</v>
      </c>
      <c r="B16" s="204">
        <f>SUM(B11:B15)</f>
        <v>33</v>
      </c>
    </row>
  </sheetData>
  <phoneticPr fontId="1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42"/>
  <sheetViews>
    <sheetView showGridLines="0" tabSelected="1" workbookViewId="0">
      <selection activeCell="L20" sqref="L20"/>
    </sheetView>
  </sheetViews>
  <sheetFormatPr defaultColWidth="8.7109375" defaultRowHeight="12.75"/>
  <cols>
    <col min="1" max="5" width="10.140625" customWidth="1"/>
  </cols>
  <sheetData>
    <row r="1" spans="1:21">
      <c r="A1" s="1" t="s">
        <v>0</v>
      </c>
    </row>
    <row r="2" spans="1:21" ht="3.75" customHeight="1" thickBot="1"/>
    <row r="3" spans="1:21" ht="13.5" thickTop="1">
      <c r="A3" s="90" t="s">
        <v>1</v>
      </c>
      <c r="B3" s="91"/>
      <c r="C3" s="91"/>
      <c r="D3" s="91"/>
      <c r="E3" s="91"/>
      <c r="F3" s="92"/>
    </row>
    <row r="4" spans="1:21" ht="13.5" thickBot="1">
      <c r="A4" s="96" t="s">
        <v>2</v>
      </c>
      <c r="B4" s="97"/>
      <c r="C4" s="97"/>
      <c r="D4" s="97"/>
      <c r="E4" s="97"/>
      <c r="F4" s="98"/>
    </row>
    <row r="5" spans="1:21" ht="3.75" customHeight="1" thickTop="1" thickBot="1">
      <c r="A5" s="14"/>
    </row>
    <row r="6" spans="1:21" ht="13.5" thickTop="1">
      <c r="A6" s="15" t="s">
        <v>3</v>
      </c>
      <c r="B6" s="17"/>
      <c r="C6" s="17"/>
      <c r="D6" s="17"/>
      <c r="E6" s="17"/>
      <c r="F6" s="18"/>
    </row>
    <row r="7" spans="1:21">
      <c r="A7" s="19"/>
      <c r="B7" s="21" t="s">
        <v>4</v>
      </c>
      <c r="C7" s="22"/>
      <c r="D7" s="22"/>
      <c r="E7" s="22"/>
      <c r="F7" s="23"/>
    </row>
    <row r="8" spans="1:21">
      <c r="A8" s="24"/>
      <c r="B8" s="29" t="s">
        <v>5</v>
      </c>
      <c r="C8" s="29" t="s">
        <v>6</v>
      </c>
      <c r="D8" s="29" t="s">
        <v>7</v>
      </c>
      <c r="E8" s="29" t="s">
        <v>8</v>
      </c>
      <c r="F8" s="30" t="s">
        <v>9</v>
      </c>
      <c r="G8" s="31"/>
    </row>
    <row r="9" spans="1:21">
      <c r="A9" s="26" t="s">
        <v>10</v>
      </c>
      <c r="B9" s="28">
        <v>1.75</v>
      </c>
      <c r="C9" s="28">
        <v>2.25</v>
      </c>
      <c r="D9" s="28">
        <v>1.5</v>
      </c>
      <c r="E9" s="28">
        <v>2</v>
      </c>
      <c r="F9" s="32">
        <v>1.5</v>
      </c>
      <c r="G9" s="33"/>
    </row>
    <row r="10" spans="1:21" ht="13.5" thickBot="1">
      <c r="A10" s="37" t="s">
        <v>11</v>
      </c>
      <c r="B10" s="39">
        <v>2</v>
      </c>
      <c r="C10" s="39">
        <v>2.5</v>
      </c>
      <c r="D10" s="39">
        <v>2.5</v>
      </c>
      <c r="E10" s="39">
        <v>1.5</v>
      </c>
      <c r="F10" s="40">
        <v>1</v>
      </c>
      <c r="G10" s="33"/>
    </row>
    <row r="11" spans="1:21" ht="6" customHeight="1" thickTop="1" thickBot="1"/>
    <row r="12" spans="1:21" ht="13.5" thickTop="1">
      <c r="A12" s="41" t="s">
        <v>12</v>
      </c>
      <c r="B12" s="17"/>
      <c r="C12" s="17"/>
      <c r="D12" s="17"/>
      <c r="E12" s="17"/>
      <c r="F12" s="17"/>
      <c r="G12" s="17"/>
      <c r="H12" s="18"/>
    </row>
    <row r="13" spans="1:21" ht="13.5" thickBot="1">
      <c r="A13" s="24"/>
      <c r="B13" s="29" t="s">
        <v>5</v>
      </c>
      <c r="C13" s="29" t="s">
        <v>6</v>
      </c>
      <c r="D13" s="29" t="s">
        <v>7</v>
      </c>
      <c r="E13" s="29" t="s">
        <v>8</v>
      </c>
      <c r="F13" s="29" t="s">
        <v>9</v>
      </c>
      <c r="G13" s="29" t="s">
        <v>13</v>
      </c>
      <c r="H13" s="30" t="s">
        <v>14</v>
      </c>
    </row>
    <row r="14" spans="1:21" ht="13.5" thickTop="1">
      <c r="A14" s="26" t="s">
        <v>10</v>
      </c>
      <c r="B14" s="111">
        <v>30000</v>
      </c>
      <c r="C14" s="112">
        <v>15000</v>
      </c>
      <c r="D14" s="112">
        <v>15000</v>
      </c>
      <c r="E14" s="112">
        <v>0</v>
      </c>
      <c r="F14" s="113">
        <v>0</v>
      </c>
      <c r="G14" s="48">
        <f>SUM(B14:F14)</f>
        <v>60000</v>
      </c>
      <c r="H14" s="114">
        <v>60000</v>
      </c>
      <c r="I14" s="31"/>
      <c r="U14" s="125"/>
    </row>
    <row r="15" spans="1:21" ht="13.5" thickBot="1">
      <c r="A15" s="26" t="s">
        <v>11</v>
      </c>
      <c r="B15" s="115">
        <v>0</v>
      </c>
      <c r="C15" s="116">
        <v>8000</v>
      </c>
      <c r="D15" s="116">
        <v>0</v>
      </c>
      <c r="E15" s="116">
        <v>32000</v>
      </c>
      <c r="F15" s="117">
        <v>16000</v>
      </c>
      <c r="G15" s="48">
        <f>SUM(B15:F15)</f>
        <v>56000</v>
      </c>
      <c r="H15" s="118">
        <v>60000</v>
      </c>
      <c r="I15" s="31"/>
    </row>
    <row r="16" spans="1:21" ht="14.25" thickTop="1" thickBot="1">
      <c r="A16" s="26" t="s">
        <v>13</v>
      </c>
      <c r="B16" s="48">
        <f>SUM(B14:B15)</f>
        <v>30000</v>
      </c>
      <c r="C16" s="48">
        <f>SUM(C14:C15)</f>
        <v>23000</v>
      </c>
      <c r="D16" s="48">
        <f>SUM(D14:D15)</f>
        <v>15000</v>
      </c>
      <c r="E16" s="48">
        <f>SUM(E14:E15)</f>
        <v>32000</v>
      </c>
      <c r="F16" s="48">
        <f>SUM(F14:F15)</f>
        <v>16000</v>
      </c>
      <c r="G16" s="48"/>
      <c r="H16" s="79"/>
      <c r="I16" s="31"/>
    </row>
    <row r="17" spans="1:14" ht="14.25" thickTop="1" thickBot="1">
      <c r="A17" s="37" t="s">
        <v>15</v>
      </c>
      <c r="B17" s="119">
        <v>30000</v>
      </c>
      <c r="C17" s="120">
        <v>23000</v>
      </c>
      <c r="D17" s="120">
        <v>15000</v>
      </c>
      <c r="E17" s="120">
        <v>32000</v>
      </c>
      <c r="F17" s="121">
        <v>16000</v>
      </c>
      <c r="G17" s="108"/>
      <c r="H17" s="122"/>
      <c r="I17" s="31"/>
    </row>
    <row r="18" spans="1:14" ht="4.5" customHeight="1" thickTop="1" thickBot="1">
      <c r="A18" s="110"/>
      <c r="B18" s="17"/>
      <c r="C18" s="17"/>
      <c r="D18" s="17"/>
      <c r="E18" s="17"/>
      <c r="F18" s="17"/>
      <c r="G18" s="17"/>
      <c r="H18" s="18"/>
    </row>
    <row r="19" spans="1:14" ht="14.25" thickTop="1" thickBot="1">
      <c r="A19" s="85" t="s">
        <v>16</v>
      </c>
      <c r="B19" s="88"/>
      <c r="C19" s="87">
        <f>SUMPRODUCT(B9:F10,B14:F15)</f>
        <v>192750</v>
      </c>
      <c r="D19" s="88"/>
      <c r="E19" s="88"/>
      <c r="F19" s="88"/>
      <c r="G19" s="88"/>
      <c r="H19" s="89"/>
      <c r="L19" s="126" t="s">
        <v>169</v>
      </c>
    </row>
    <row r="20" spans="1:14" ht="13.5" thickTop="1">
      <c r="L20" s="125">
        <f>MIN($C$19)</f>
        <v>192750</v>
      </c>
    </row>
    <row r="21" spans="1:14" ht="13.5" thickBot="1">
      <c r="L21">
        <f>COUNT($B$14:$F$15)</f>
        <v>10</v>
      </c>
    </row>
    <row r="22" spans="1:14" ht="13.5" thickTop="1">
      <c r="A22" s="200" t="s">
        <v>17</v>
      </c>
      <c r="B22" s="195"/>
      <c r="C22" s="189"/>
      <c r="D22" s="189"/>
      <c r="E22" s="189"/>
      <c r="F22" s="189"/>
      <c r="G22" s="189"/>
      <c r="H22" s="190"/>
      <c r="L22" t="b">
        <f>$G$14&lt;=$H$14</f>
        <v>1</v>
      </c>
    </row>
    <row r="23" spans="1:14">
      <c r="A23" s="196" t="s">
        <v>18</v>
      </c>
      <c r="B23" s="197"/>
      <c r="C23" s="191"/>
      <c r="D23" s="191"/>
      <c r="E23" s="191"/>
      <c r="F23" s="191"/>
      <c r="G23" s="191"/>
      <c r="H23" s="192"/>
      <c r="L23" t="b">
        <f>$G$15&lt;=$H$15</f>
        <v>1</v>
      </c>
    </row>
    <row r="24" spans="1:14">
      <c r="A24" s="196" t="s">
        <v>19</v>
      </c>
      <c r="B24" s="197"/>
      <c r="C24" s="191"/>
      <c r="D24" s="191"/>
      <c r="E24" s="191"/>
      <c r="F24" s="191"/>
      <c r="G24" s="191"/>
      <c r="H24" s="192"/>
      <c r="L24" t="b">
        <f t="array" ref="L24">Total_received&gt;=Demand</f>
        <v>1</v>
      </c>
    </row>
    <row r="25" spans="1:14">
      <c r="A25" s="196" t="s">
        <v>20</v>
      </c>
      <c r="B25" s="197"/>
      <c r="C25" s="191"/>
      <c r="D25" s="191"/>
      <c r="E25" s="191"/>
      <c r="F25" s="191"/>
      <c r="G25" s="191"/>
      <c r="H25" s="192"/>
      <c r="L25">
        <f>{100,100,0.00000001,0.05,TRUE,FALSE,FALSE,1,1,1,0.0001,TRUE}</f>
        <v>100</v>
      </c>
    </row>
    <row r="26" spans="1:14">
      <c r="A26" s="196"/>
      <c r="B26" s="197"/>
      <c r="C26" s="191"/>
      <c r="D26" s="191"/>
      <c r="E26" s="191"/>
      <c r="F26" s="191"/>
      <c r="G26" s="191"/>
      <c r="H26" s="192"/>
      <c r="L26">
        <f>{100,100,2,100,0,FALSE,TRUE,0.075,1000,1000,FALSE,30}</f>
        <v>100</v>
      </c>
      <c r="N26" s="125"/>
    </row>
    <row r="27" spans="1:14">
      <c r="A27" s="201" t="s">
        <v>21</v>
      </c>
      <c r="B27" s="197"/>
      <c r="C27" s="191"/>
      <c r="D27" s="191"/>
      <c r="E27" s="191"/>
      <c r="F27" s="191"/>
      <c r="G27" s="191"/>
      <c r="H27" s="192"/>
    </row>
    <row r="28" spans="1:14">
      <c r="A28" s="196" t="s">
        <v>22</v>
      </c>
      <c r="B28" s="197"/>
      <c r="C28" s="191"/>
      <c r="D28" s="191"/>
      <c r="E28" s="191"/>
      <c r="F28" s="191"/>
      <c r="G28" s="191"/>
      <c r="H28" s="192"/>
    </row>
    <row r="29" spans="1:14">
      <c r="A29" s="196" t="s">
        <v>23</v>
      </c>
      <c r="B29" s="197"/>
      <c r="C29" s="191"/>
      <c r="D29" s="191"/>
      <c r="E29" s="191"/>
      <c r="F29" s="191"/>
      <c r="G29" s="191"/>
      <c r="H29" s="192"/>
    </row>
    <row r="30" spans="1:14">
      <c r="A30" s="196" t="s">
        <v>24</v>
      </c>
      <c r="B30" s="197"/>
      <c r="C30" s="191"/>
      <c r="D30" s="191"/>
      <c r="E30" s="191"/>
      <c r="F30" s="191"/>
      <c r="G30" s="191"/>
      <c r="H30" s="192"/>
    </row>
    <row r="31" spans="1:14">
      <c r="A31" s="196"/>
      <c r="B31" s="197" t="s">
        <v>25</v>
      </c>
      <c r="C31" s="191"/>
      <c r="D31" s="191"/>
      <c r="E31" s="191"/>
      <c r="F31" s="191"/>
      <c r="G31" s="191"/>
      <c r="H31" s="192"/>
    </row>
    <row r="32" spans="1:14">
      <c r="A32" s="196" t="s">
        <v>26</v>
      </c>
      <c r="B32" s="197"/>
      <c r="C32" s="191"/>
      <c r="D32" s="191"/>
      <c r="E32" s="191"/>
      <c r="F32" s="191"/>
      <c r="G32" s="191"/>
      <c r="H32" s="192"/>
    </row>
    <row r="33" spans="1:8">
      <c r="A33" s="196"/>
      <c r="B33" s="197" t="s">
        <v>27</v>
      </c>
      <c r="C33" s="191"/>
      <c r="D33" s="191"/>
      <c r="E33" s="191"/>
      <c r="F33" s="191"/>
      <c r="G33" s="191"/>
      <c r="H33" s="192"/>
    </row>
    <row r="34" spans="1:8">
      <c r="A34" s="196"/>
      <c r="B34" s="197" t="s">
        <v>28</v>
      </c>
      <c r="C34" s="191"/>
      <c r="D34" s="191"/>
      <c r="E34" s="191"/>
      <c r="F34" s="191"/>
      <c r="G34" s="191"/>
      <c r="H34" s="192"/>
    </row>
    <row r="35" spans="1:8">
      <c r="A35" s="196" t="s">
        <v>29</v>
      </c>
      <c r="B35" s="197"/>
      <c r="C35" s="191"/>
      <c r="D35" s="191"/>
      <c r="E35" s="191"/>
      <c r="F35" s="191"/>
      <c r="G35" s="191"/>
      <c r="H35" s="192"/>
    </row>
    <row r="36" spans="1:8">
      <c r="A36" s="196"/>
      <c r="B36" s="197"/>
      <c r="C36" s="191"/>
      <c r="D36" s="191"/>
      <c r="E36" s="191"/>
      <c r="F36" s="191"/>
      <c r="G36" s="191"/>
      <c r="H36" s="192"/>
    </row>
    <row r="37" spans="1:8">
      <c r="A37" s="201" t="s">
        <v>30</v>
      </c>
      <c r="B37" s="197"/>
      <c r="C37" s="191"/>
      <c r="D37" s="191"/>
      <c r="E37" s="191"/>
      <c r="F37" s="191"/>
      <c r="G37" s="191"/>
      <c r="H37" s="192"/>
    </row>
    <row r="38" spans="1:8">
      <c r="A38" s="196" t="s">
        <v>31</v>
      </c>
      <c r="B38" s="197"/>
      <c r="C38" s="191"/>
      <c r="D38" s="191"/>
      <c r="E38" s="191"/>
      <c r="F38" s="191"/>
      <c r="G38" s="191"/>
      <c r="H38" s="192"/>
    </row>
    <row r="39" spans="1:8">
      <c r="A39" s="203" t="s">
        <v>32</v>
      </c>
      <c r="B39" s="197"/>
      <c r="C39" s="191"/>
      <c r="D39" s="191"/>
      <c r="E39" s="191"/>
      <c r="F39" s="191"/>
      <c r="G39" s="191"/>
      <c r="H39" s="192"/>
    </row>
    <row r="40" spans="1:8">
      <c r="A40" s="196" t="s">
        <v>33</v>
      </c>
      <c r="B40" s="197"/>
      <c r="C40" s="191"/>
      <c r="D40" s="191"/>
      <c r="E40" s="191"/>
      <c r="F40" s="191"/>
      <c r="G40" s="191"/>
      <c r="H40" s="192"/>
    </row>
    <row r="41" spans="1:8" ht="13.5" thickBot="1">
      <c r="A41" s="198" t="s">
        <v>34</v>
      </c>
      <c r="B41" s="199"/>
      <c r="C41" s="193"/>
      <c r="D41" s="193"/>
      <c r="E41" s="193"/>
      <c r="F41" s="193"/>
      <c r="G41" s="193"/>
      <c r="H41" s="194"/>
    </row>
    <row r="42" spans="1:8" ht="13.5" thickTop="1"/>
  </sheetData>
  <scenarios current="0" show="0" sqref="G14 B16 C19">
    <scenario name="scenario-1" count="10" user="Ahmet" comment="Created by Ahmet on 5/11/2025">
      <inputCells r="B14" val="30000" numFmtId="3"/>
      <inputCells r="C14" val="15000" numFmtId="3"/>
      <inputCells r="D14" val="15000" numFmtId="3"/>
      <inputCells r="E14" val="0" numFmtId="3"/>
      <inputCells r="F14" val="0" numFmtId="3"/>
      <inputCells r="B15" val="0" numFmtId="3"/>
      <inputCells r="C15" val="8000" numFmtId="3"/>
      <inputCells r="D15" val="0" numFmtId="3"/>
      <inputCells r="E15" val="32000" numFmtId="3"/>
      <inputCells r="F15" val="16000" numFmtId="3"/>
    </scenario>
  </scenarios>
  <printOptions gridLinesSet="0"/>
  <pageMargins left="0.75" right="0.75" top="1" bottom="1" header="0.5" footer="0.5"/>
  <pageSetup orientation="portrait" horizontalDpi="0" verticalDpi="4294967292" copies="0"/>
  <headerFooter alignWithMargins="0">
    <oddHeader>&amp;F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64B82-50A8-4B44-9569-EEAA1BE3EDF2}">
  <dimension ref="A1:L73"/>
  <sheetViews>
    <sheetView showGridLines="0" topLeftCell="A8" zoomScaleNormal="100" workbookViewId="0">
      <selection activeCell="L11" sqref="L11"/>
    </sheetView>
  </sheetViews>
  <sheetFormatPr defaultColWidth="8.7109375" defaultRowHeight="12.75"/>
  <cols>
    <col min="1" max="5" width="10.140625" customWidth="1"/>
    <col min="12" max="12" width="10.85546875" bestFit="1" customWidth="1"/>
  </cols>
  <sheetData>
    <row r="1" spans="1:12">
      <c r="A1" s="1" t="s">
        <v>35</v>
      </c>
    </row>
    <row r="2" spans="1:12" ht="3.75" customHeight="1" thickBot="1"/>
    <row r="3" spans="1:12" ht="13.5" thickTop="1">
      <c r="A3" s="90" t="s">
        <v>36</v>
      </c>
      <c r="B3" s="91"/>
      <c r="C3" s="91"/>
      <c r="D3" s="91"/>
      <c r="E3" s="91"/>
      <c r="F3" s="92"/>
    </row>
    <row r="4" spans="1:12">
      <c r="A4" s="93" t="s">
        <v>37</v>
      </c>
      <c r="B4" s="94"/>
      <c r="C4" s="94"/>
      <c r="D4" s="94"/>
      <c r="E4" s="94"/>
      <c r="F4" s="95"/>
    </row>
    <row r="5" spans="1:12" ht="13.5" thickBot="1">
      <c r="A5" s="96" t="s">
        <v>38</v>
      </c>
      <c r="B5" s="97"/>
      <c r="C5" s="97"/>
      <c r="D5" s="97"/>
      <c r="E5" s="97"/>
      <c r="F5" s="98"/>
    </row>
    <row r="6" spans="1:12" ht="3.75" customHeight="1" thickTop="1" thickBot="1">
      <c r="A6" s="14"/>
    </row>
    <row r="7" spans="1:12" ht="13.5" thickTop="1">
      <c r="A7" s="15" t="s">
        <v>3</v>
      </c>
      <c r="B7" s="17"/>
      <c r="C7" s="17"/>
      <c r="D7" s="17"/>
      <c r="E7" s="17"/>
      <c r="F7" s="18"/>
    </row>
    <row r="8" spans="1:12">
      <c r="A8" s="19"/>
      <c r="B8" s="21" t="s">
        <v>4</v>
      </c>
      <c r="C8" s="22"/>
      <c r="D8" s="22"/>
      <c r="E8" s="22"/>
      <c r="F8" s="23"/>
    </row>
    <row r="9" spans="1:12">
      <c r="A9" s="24"/>
      <c r="B9" s="25" t="s">
        <v>39</v>
      </c>
      <c r="C9" s="25" t="s">
        <v>40</v>
      </c>
      <c r="D9" s="25" t="s">
        <v>41</v>
      </c>
      <c r="E9" s="25" t="s">
        <v>42</v>
      </c>
      <c r="F9" s="99"/>
    </row>
    <row r="10" spans="1:12">
      <c r="A10" s="26" t="s">
        <v>10</v>
      </c>
      <c r="B10" s="28">
        <v>0.5</v>
      </c>
      <c r="C10" s="28">
        <v>0.5</v>
      </c>
      <c r="D10" s="28">
        <v>1</v>
      </c>
      <c r="E10" s="28">
        <v>0.2</v>
      </c>
      <c r="F10" s="99"/>
      <c r="L10" s="126" t="s">
        <v>169</v>
      </c>
    </row>
    <row r="11" spans="1:12">
      <c r="A11" s="26" t="s">
        <v>11</v>
      </c>
      <c r="B11" s="28">
        <v>1.5</v>
      </c>
      <c r="C11" s="28">
        <v>0.3</v>
      </c>
      <c r="D11" s="28">
        <v>0.5</v>
      </c>
      <c r="E11" s="28">
        <v>0.2</v>
      </c>
      <c r="F11" s="99"/>
      <c r="L11" s="125">
        <f>MIN($C$44)</f>
        <v>145500</v>
      </c>
    </row>
    <row r="12" spans="1:12">
      <c r="A12" s="24"/>
      <c r="B12" s="68"/>
      <c r="C12" s="68"/>
      <c r="D12" s="68"/>
      <c r="E12" s="68"/>
      <c r="F12" s="99"/>
      <c r="L12">
        <f>COUNT($B$25:$E$26,$B$31:$F$32,$B$37:$F$40)</f>
        <v>38</v>
      </c>
    </row>
    <row r="13" spans="1:12">
      <c r="A13" s="24"/>
      <c r="B13" s="29" t="s">
        <v>5</v>
      </c>
      <c r="C13" s="29" t="s">
        <v>6</v>
      </c>
      <c r="D13" s="29" t="s">
        <v>7</v>
      </c>
      <c r="E13" s="29" t="s">
        <v>8</v>
      </c>
      <c r="F13" s="30" t="s">
        <v>9</v>
      </c>
      <c r="G13" s="31"/>
      <c r="L13" t="b">
        <f>$B$27&lt;=$B$28</f>
        <v>1</v>
      </c>
    </row>
    <row r="14" spans="1:12">
      <c r="A14" s="26" t="s">
        <v>10</v>
      </c>
      <c r="B14" s="28">
        <v>1.75</v>
      </c>
      <c r="C14" s="28">
        <v>2.5</v>
      </c>
      <c r="D14" s="28">
        <v>1.5</v>
      </c>
      <c r="E14" s="28">
        <v>2</v>
      </c>
      <c r="F14" s="32">
        <v>1.5</v>
      </c>
      <c r="G14" s="33"/>
      <c r="L14" t="b">
        <f>$B$27=$G$37</f>
        <v>1</v>
      </c>
    </row>
    <row r="15" spans="1:12">
      <c r="A15" s="26" t="s">
        <v>11</v>
      </c>
      <c r="B15" s="28">
        <v>2</v>
      </c>
      <c r="C15" s="28">
        <v>2.5</v>
      </c>
      <c r="D15" s="28">
        <v>2.5</v>
      </c>
      <c r="E15" s="28">
        <v>1.5</v>
      </c>
      <c r="F15" s="32">
        <v>1</v>
      </c>
      <c r="G15" s="33"/>
      <c r="L15" t="b">
        <f>$B$41&gt;=$B$42</f>
        <v>1</v>
      </c>
    </row>
    <row r="16" spans="1:12">
      <c r="A16" s="24"/>
      <c r="B16" s="34"/>
      <c r="C16" s="34"/>
      <c r="D16" s="34"/>
      <c r="E16" s="34"/>
      <c r="F16" s="35"/>
      <c r="G16" s="36"/>
      <c r="L16" t="b">
        <f>$C$27&lt;=$C$28</f>
        <v>1</v>
      </c>
    </row>
    <row r="17" spans="1:12">
      <c r="A17" s="24"/>
      <c r="B17" s="29" t="s">
        <v>5</v>
      </c>
      <c r="C17" s="29" t="s">
        <v>6</v>
      </c>
      <c r="D17" s="29" t="s">
        <v>7</v>
      </c>
      <c r="E17" s="29" t="s">
        <v>8</v>
      </c>
      <c r="F17" s="30" t="s">
        <v>9</v>
      </c>
      <c r="G17" s="31"/>
      <c r="L17" t="b">
        <f>$C$27=$G$38</f>
        <v>1</v>
      </c>
    </row>
    <row r="18" spans="1:12">
      <c r="A18" s="26" t="s">
        <v>39</v>
      </c>
      <c r="B18" s="28">
        <v>1.5</v>
      </c>
      <c r="C18" s="28">
        <v>1.5</v>
      </c>
      <c r="D18" s="28">
        <v>0.5</v>
      </c>
      <c r="E18" s="28">
        <v>1.5</v>
      </c>
      <c r="F18" s="32">
        <v>3</v>
      </c>
      <c r="G18" s="33"/>
      <c r="L18" t="b">
        <f>$C$41&gt;=$C$42</f>
        <v>1</v>
      </c>
    </row>
    <row r="19" spans="1:12">
      <c r="A19" s="26" t="s">
        <v>40</v>
      </c>
      <c r="B19" s="28">
        <v>1</v>
      </c>
      <c r="C19" s="28">
        <v>0.5</v>
      </c>
      <c r="D19" s="28">
        <v>0.5</v>
      </c>
      <c r="E19" s="28">
        <v>1</v>
      </c>
      <c r="F19" s="32">
        <v>0.5</v>
      </c>
      <c r="G19" s="33"/>
      <c r="L19" t="b">
        <f>$D$27&lt;=$D$28</f>
        <v>1</v>
      </c>
    </row>
    <row r="20" spans="1:12">
      <c r="A20" s="26" t="s">
        <v>41</v>
      </c>
      <c r="B20" s="28">
        <v>1</v>
      </c>
      <c r="C20" s="28">
        <v>1.5</v>
      </c>
      <c r="D20" s="28">
        <v>2</v>
      </c>
      <c r="E20" s="28">
        <v>2</v>
      </c>
      <c r="F20" s="32">
        <v>0.5</v>
      </c>
      <c r="G20" s="33"/>
      <c r="L20" t="b">
        <f>$D$27=$G$39</f>
        <v>1</v>
      </c>
    </row>
    <row r="21" spans="1:12" ht="13.5" thickBot="1">
      <c r="A21" s="37" t="s">
        <v>42</v>
      </c>
      <c r="B21" s="39">
        <v>2.5</v>
      </c>
      <c r="C21" s="39">
        <v>1.5</v>
      </c>
      <c r="D21" s="39">
        <v>0.2</v>
      </c>
      <c r="E21" s="39">
        <v>1.5</v>
      </c>
      <c r="F21" s="40">
        <v>0.5</v>
      </c>
      <c r="G21" s="33"/>
      <c r="L21" t="b">
        <f>$D$41&gt;=$D$42</f>
        <v>1</v>
      </c>
    </row>
    <row r="22" spans="1:12" ht="3.75" customHeight="1" thickTop="1" thickBot="1">
      <c r="L22" t="b">
        <f>$E$27&lt;=$E$28</f>
        <v>1</v>
      </c>
    </row>
    <row r="23" spans="1:12" ht="13.5" thickTop="1">
      <c r="A23" s="41" t="s">
        <v>12</v>
      </c>
      <c r="B23" s="17"/>
      <c r="C23" s="17"/>
      <c r="D23" s="17"/>
      <c r="E23" s="17"/>
      <c r="F23" s="17"/>
      <c r="G23" s="17"/>
      <c r="H23" s="18"/>
      <c r="L23" t="b">
        <f>$E$27=$G$40</f>
        <v>1</v>
      </c>
    </row>
    <row r="24" spans="1:12" ht="13.5" thickBot="1">
      <c r="A24" s="24"/>
      <c r="B24" s="25" t="s">
        <v>39</v>
      </c>
      <c r="C24" s="25" t="s">
        <v>40</v>
      </c>
      <c r="D24" s="25" t="s">
        <v>41</v>
      </c>
      <c r="E24" s="25" t="s">
        <v>42</v>
      </c>
      <c r="F24" s="25" t="s">
        <v>13</v>
      </c>
      <c r="H24" s="23"/>
      <c r="L24" t="b">
        <f>$E$41&gt;=$E$42</f>
        <v>1</v>
      </c>
    </row>
    <row r="25" spans="1:12">
      <c r="A25" s="26" t="s">
        <v>10</v>
      </c>
      <c r="B25" s="43">
        <v>3000</v>
      </c>
      <c r="C25" s="44">
        <v>20000</v>
      </c>
      <c r="D25" s="44">
        <v>0</v>
      </c>
      <c r="E25" s="45">
        <v>15000</v>
      </c>
      <c r="F25" s="46">
        <f>SUM(B25:E25)</f>
        <v>38000</v>
      </c>
      <c r="H25" s="23"/>
      <c r="L25" t="b">
        <f>$F$41&gt;=$F$42</f>
        <v>1</v>
      </c>
    </row>
    <row r="26" spans="1:12" ht="13.5" thickBot="1">
      <c r="A26" s="26" t="s">
        <v>11</v>
      </c>
      <c r="B26" s="51">
        <v>0</v>
      </c>
      <c r="C26" s="52">
        <v>0</v>
      </c>
      <c r="D26" s="52">
        <v>12000</v>
      </c>
      <c r="E26" s="53">
        <v>0</v>
      </c>
      <c r="F26" s="54">
        <f>SUM(B26:E26)</f>
        <v>12000</v>
      </c>
      <c r="H26" s="23"/>
      <c r="L26" t="b">
        <f>$G$33&lt;=$H$33</f>
        <v>1</v>
      </c>
    </row>
    <row r="27" spans="1:12" ht="13.5" thickBot="1">
      <c r="A27" s="55" t="s">
        <v>13</v>
      </c>
      <c r="B27" s="52">
        <f>SUM(B25:B26)</f>
        <v>3000</v>
      </c>
      <c r="C27" s="52">
        <f>SUM(C25:C26)</f>
        <v>20000</v>
      </c>
      <c r="D27" s="52">
        <f>SUM(D25:D26)</f>
        <v>12000</v>
      </c>
      <c r="E27" s="52">
        <f>SUM(E25:E26)</f>
        <v>15000</v>
      </c>
      <c r="F27" s="48"/>
      <c r="G27" s="36"/>
      <c r="H27" s="23"/>
      <c r="L27" t="b">
        <f>$G$34&lt;=$H$34</f>
        <v>1</v>
      </c>
    </row>
    <row r="28" spans="1:12" ht="13.5" thickBot="1">
      <c r="A28" s="26" t="s">
        <v>14</v>
      </c>
      <c r="B28" s="100">
        <v>45000</v>
      </c>
      <c r="C28" s="101">
        <v>20000</v>
      </c>
      <c r="D28" s="101">
        <v>30000</v>
      </c>
      <c r="E28" s="102">
        <v>15000</v>
      </c>
      <c r="F28" s="48"/>
      <c r="G28" s="36"/>
      <c r="H28" s="23"/>
      <c r="L28" t="b">
        <f t="array" ref="L28">Factory_to_customer&gt;=0</f>
        <v>1</v>
      </c>
    </row>
    <row r="29" spans="1:12">
      <c r="A29" s="24"/>
      <c r="H29" s="23"/>
      <c r="L29" t="b">
        <f t="array" ref="L29">Factory_to_warehouse&gt;=0</f>
        <v>1</v>
      </c>
    </row>
    <row r="30" spans="1:12" ht="13.5" thickBot="1">
      <c r="A30" s="24"/>
      <c r="B30" s="29" t="s">
        <v>5</v>
      </c>
      <c r="C30" s="29" t="s">
        <v>6</v>
      </c>
      <c r="D30" s="29" t="s">
        <v>7</v>
      </c>
      <c r="E30" s="29" t="s">
        <v>8</v>
      </c>
      <c r="F30" s="29" t="s">
        <v>9</v>
      </c>
      <c r="G30" s="29" t="s">
        <v>13</v>
      </c>
      <c r="H30" s="99"/>
      <c r="L30" t="b">
        <f t="array" ref="L30">Warehouse_customer&gt;=0</f>
        <v>1</v>
      </c>
    </row>
    <row r="31" spans="1:12">
      <c r="A31" s="26" t="s">
        <v>10</v>
      </c>
      <c r="B31" s="43">
        <v>18000</v>
      </c>
      <c r="C31" s="44">
        <v>0</v>
      </c>
      <c r="D31" s="44">
        <v>0</v>
      </c>
      <c r="E31" s="44">
        <v>0</v>
      </c>
      <c r="F31" s="45">
        <v>0</v>
      </c>
      <c r="G31" s="46">
        <f>SUM(B31:F31)</f>
        <v>18000</v>
      </c>
      <c r="H31" s="30" t="s">
        <v>43</v>
      </c>
      <c r="L31">
        <f>{100,100,0.001,0.05,TRUE,FALSE,FALSE,1,1,1,0.001,TRUE}</f>
        <v>100</v>
      </c>
    </row>
    <row r="32" spans="1:12" ht="13.5" thickBot="1">
      <c r="A32" s="26" t="s">
        <v>11</v>
      </c>
      <c r="B32" s="51">
        <v>0</v>
      </c>
      <c r="C32" s="52">
        <v>0</v>
      </c>
      <c r="D32" s="52">
        <v>0</v>
      </c>
      <c r="E32" s="52">
        <v>32000</v>
      </c>
      <c r="F32" s="53">
        <v>16000</v>
      </c>
      <c r="G32" s="54">
        <f>SUM(B32:F32)</f>
        <v>48000</v>
      </c>
      <c r="H32" s="30" t="s">
        <v>14</v>
      </c>
      <c r="L32">
        <f>{100,100,2,100,0,FALSE,TRUE,0.075,1000,1000,FALSE,30}</f>
        <v>100</v>
      </c>
    </row>
    <row r="33" spans="1:8">
      <c r="A33" s="24"/>
      <c r="D33" s="14" t="s">
        <v>44</v>
      </c>
      <c r="G33" s="48">
        <f>SUM(F25,G31)</f>
        <v>56000</v>
      </c>
      <c r="H33" s="69">
        <v>60000</v>
      </c>
    </row>
    <row r="34" spans="1:8" ht="13.5" thickBot="1">
      <c r="A34" s="24"/>
      <c r="D34" s="14" t="s">
        <v>45</v>
      </c>
      <c r="G34" s="48">
        <f>SUM(F26,G32)</f>
        <v>60000</v>
      </c>
      <c r="H34" s="71">
        <v>60000</v>
      </c>
    </row>
    <row r="35" spans="1:8">
      <c r="A35" s="24"/>
      <c r="B35" s="103"/>
      <c r="C35" s="103"/>
      <c r="D35" s="103"/>
      <c r="E35" s="103"/>
      <c r="F35" s="103"/>
      <c r="G35" s="103"/>
      <c r="H35" s="23"/>
    </row>
    <row r="36" spans="1:8" ht="13.5" thickBot="1">
      <c r="A36" s="24"/>
      <c r="B36" s="104" t="s">
        <v>5</v>
      </c>
      <c r="C36" s="104" t="s">
        <v>6</v>
      </c>
      <c r="D36" s="104" t="s">
        <v>7</v>
      </c>
      <c r="E36" s="104" t="s">
        <v>8</v>
      </c>
      <c r="F36" s="104" t="s">
        <v>9</v>
      </c>
      <c r="G36" s="104" t="s">
        <v>13</v>
      </c>
      <c r="H36" s="23"/>
    </row>
    <row r="37" spans="1:8">
      <c r="A37" s="26" t="s">
        <v>39</v>
      </c>
      <c r="B37" s="43">
        <v>0</v>
      </c>
      <c r="C37" s="44">
        <v>3000</v>
      </c>
      <c r="D37" s="44">
        <v>0</v>
      </c>
      <c r="E37" s="44">
        <v>0</v>
      </c>
      <c r="F37" s="45">
        <v>0</v>
      </c>
      <c r="G37" s="46">
        <f>SUM(B37:F37)</f>
        <v>3000</v>
      </c>
      <c r="H37" s="23"/>
    </row>
    <row r="38" spans="1:8">
      <c r="A38" s="26" t="s">
        <v>40</v>
      </c>
      <c r="B38" s="47">
        <v>0</v>
      </c>
      <c r="C38" s="48">
        <v>20000</v>
      </c>
      <c r="D38" s="48">
        <v>0</v>
      </c>
      <c r="E38" s="48">
        <v>0</v>
      </c>
      <c r="F38" s="49">
        <v>0</v>
      </c>
      <c r="G38" s="50">
        <f>SUM(B38:F38)</f>
        <v>20000</v>
      </c>
      <c r="H38" s="23"/>
    </row>
    <row r="39" spans="1:8">
      <c r="A39" s="26" t="s">
        <v>41</v>
      </c>
      <c r="B39" s="47">
        <v>12000</v>
      </c>
      <c r="C39" s="48">
        <v>0</v>
      </c>
      <c r="D39" s="48">
        <v>0</v>
      </c>
      <c r="E39" s="48">
        <v>0</v>
      </c>
      <c r="F39" s="49">
        <v>0</v>
      </c>
      <c r="G39" s="50">
        <f>SUM(B39:F39)</f>
        <v>12000</v>
      </c>
      <c r="H39" s="23"/>
    </row>
    <row r="40" spans="1:8" ht="13.5" thickBot="1">
      <c r="A40" s="26" t="s">
        <v>42</v>
      </c>
      <c r="B40" s="51">
        <v>0</v>
      </c>
      <c r="C40" s="52">
        <v>0</v>
      </c>
      <c r="D40" s="52">
        <v>15000</v>
      </c>
      <c r="E40" s="52">
        <v>0</v>
      </c>
      <c r="F40" s="53">
        <v>0</v>
      </c>
      <c r="G40" s="54">
        <f>SUM(B40:F40)</f>
        <v>15000</v>
      </c>
      <c r="H40" s="23"/>
    </row>
    <row r="41" spans="1:8" ht="13.5" thickBot="1">
      <c r="A41" s="55" t="s">
        <v>13</v>
      </c>
      <c r="B41" s="105">
        <f>SUM(B31:B32,B37:B40)</f>
        <v>30000</v>
      </c>
      <c r="C41" s="106">
        <f>SUM(C31:C32,C37:C40)</f>
        <v>23000</v>
      </c>
      <c r="D41" s="106">
        <f>SUM(D31:D32,D37:D40)</f>
        <v>15000</v>
      </c>
      <c r="E41" s="106">
        <f>SUM(E31:E32,E37:E40)</f>
        <v>32000</v>
      </c>
      <c r="F41" s="107">
        <f>SUM(F31:F32,F37:F40)</f>
        <v>16000</v>
      </c>
      <c r="G41" s="48"/>
      <c r="H41" s="56"/>
    </row>
    <row r="42" spans="1:8" ht="13.5" thickBot="1">
      <c r="A42" s="37" t="s">
        <v>46</v>
      </c>
      <c r="B42" s="100">
        <v>30000</v>
      </c>
      <c r="C42" s="101">
        <v>23000</v>
      </c>
      <c r="D42" s="101">
        <v>15000</v>
      </c>
      <c r="E42" s="101">
        <v>32000</v>
      </c>
      <c r="F42" s="102">
        <v>16000</v>
      </c>
      <c r="G42" s="108"/>
      <c r="H42" s="109"/>
    </row>
    <row r="43" spans="1:8" ht="5.25" customHeight="1" thickTop="1" thickBot="1">
      <c r="A43" s="110"/>
      <c r="B43" s="17"/>
      <c r="C43" s="17"/>
      <c r="D43" s="17"/>
      <c r="E43" s="17"/>
      <c r="F43" s="17"/>
      <c r="G43" s="17"/>
      <c r="H43" s="18"/>
    </row>
    <row r="44" spans="1:8" ht="14.25" thickTop="1" thickBot="1">
      <c r="A44" s="85" t="s">
        <v>16</v>
      </c>
      <c r="B44" s="88"/>
      <c r="C44" s="87">
        <f>SUMPRODUCT(B10:E11,B25:E26)+SUMPRODUCT(B14:F15,B31:F32)+SUMPRODUCT(B18:F21,B37:F40)</f>
        <v>145500</v>
      </c>
      <c r="D44" s="88"/>
      <c r="E44" s="88"/>
      <c r="F44" s="88"/>
      <c r="G44" s="88"/>
      <c r="H44" s="89"/>
    </row>
    <row r="45" spans="1:8" ht="13.5" thickTop="1"/>
    <row r="46" spans="1:8" ht="13.5" thickBot="1"/>
    <row r="47" spans="1:8" ht="13.5" thickTop="1">
      <c r="A47" s="200" t="s">
        <v>17</v>
      </c>
      <c r="B47" s="195"/>
      <c r="C47" s="189"/>
      <c r="D47" s="189"/>
      <c r="E47" s="189"/>
      <c r="F47" s="189"/>
      <c r="G47" s="189"/>
      <c r="H47" s="190"/>
    </row>
    <row r="48" spans="1:8">
      <c r="A48" s="196" t="s">
        <v>47</v>
      </c>
      <c r="B48" s="197"/>
      <c r="C48" s="191"/>
      <c r="D48" s="191"/>
      <c r="E48" s="191"/>
      <c r="F48" s="191"/>
      <c r="G48" s="191"/>
      <c r="H48" s="192"/>
    </row>
    <row r="49" spans="1:12">
      <c r="A49" s="196" t="s">
        <v>48</v>
      </c>
      <c r="B49" s="197"/>
      <c r="C49" s="191"/>
      <c r="D49" s="191"/>
      <c r="E49" s="191"/>
      <c r="F49" s="191"/>
      <c r="G49" s="191"/>
      <c r="H49" s="192"/>
    </row>
    <row r="50" spans="1:12">
      <c r="A50" s="196" t="s">
        <v>49</v>
      </c>
      <c r="B50" s="197"/>
      <c r="C50" s="191"/>
      <c r="D50" s="191"/>
      <c r="E50" s="191"/>
      <c r="F50" s="191"/>
      <c r="G50" s="191"/>
      <c r="H50" s="192"/>
      <c r="L50" s="125"/>
    </row>
    <row r="51" spans="1:12">
      <c r="A51" s="196" t="s">
        <v>50</v>
      </c>
      <c r="B51" s="197"/>
      <c r="C51" s="191"/>
      <c r="D51" s="191"/>
      <c r="E51" s="191"/>
      <c r="F51" s="191"/>
      <c r="G51" s="191"/>
      <c r="H51" s="192"/>
    </row>
    <row r="52" spans="1:12">
      <c r="A52" s="196"/>
      <c r="B52" s="197"/>
      <c r="C52" s="191"/>
      <c r="D52" s="191"/>
      <c r="E52" s="191"/>
      <c r="F52" s="191"/>
      <c r="G52" s="191"/>
      <c r="H52" s="192"/>
    </row>
    <row r="53" spans="1:12">
      <c r="A53" s="201" t="s">
        <v>21</v>
      </c>
      <c r="B53" s="197"/>
      <c r="C53" s="191"/>
      <c r="D53" s="191"/>
      <c r="E53" s="191"/>
      <c r="F53" s="191"/>
      <c r="G53" s="191"/>
      <c r="H53" s="192"/>
    </row>
    <row r="54" spans="1:12">
      <c r="A54" s="196" t="s">
        <v>51</v>
      </c>
      <c r="B54" s="197"/>
      <c r="C54" s="191"/>
      <c r="D54" s="191"/>
      <c r="E54" s="191"/>
      <c r="F54" s="191"/>
      <c r="G54" s="191"/>
      <c r="H54" s="192"/>
    </row>
    <row r="55" spans="1:12">
      <c r="A55" s="196" t="s">
        <v>52</v>
      </c>
      <c r="B55" s="197"/>
      <c r="C55" s="191"/>
      <c r="D55" s="191"/>
      <c r="E55" s="191"/>
      <c r="F55" s="191"/>
      <c r="G55" s="191"/>
      <c r="H55" s="192"/>
    </row>
    <row r="56" spans="1:12">
      <c r="A56" s="196" t="s">
        <v>53</v>
      </c>
      <c r="B56" s="197"/>
      <c r="C56" s="191"/>
      <c r="D56" s="191"/>
      <c r="E56" s="191"/>
      <c r="F56" s="191"/>
      <c r="G56" s="191"/>
      <c r="H56" s="192"/>
    </row>
    <row r="57" spans="1:12">
      <c r="A57" s="196" t="s">
        <v>54</v>
      </c>
      <c r="B57" s="197"/>
      <c r="C57" s="191"/>
      <c r="D57" s="191"/>
      <c r="E57" s="191"/>
      <c r="F57" s="191"/>
      <c r="G57" s="191"/>
      <c r="H57" s="192"/>
    </row>
    <row r="58" spans="1:12">
      <c r="A58" s="196"/>
      <c r="B58" s="197" t="s">
        <v>55</v>
      </c>
      <c r="C58" s="191"/>
      <c r="D58" s="191"/>
      <c r="E58" s="191"/>
      <c r="F58" s="191"/>
      <c r="G58" s="191"/>
      <c r="H58" s="192"/>
    </row>
    <row r="59" spans="1:12">
      <c r="A59" s="196"/>
      <c r="B59" s="197" t="s">
        <v>56</v>
      </c>
      <c r="C59" s="191"/>
      <c r="D59" s="191"/>
      <c r="E59" s="191"/>
      <c r="F59" s="191"/>
      <c r="G59" s="191"/>
      <c r="H59" s="192"/>
    </row>
    <row r="60" spans="1:12">
      <c r="A60" s="196"/>
      <c r="B60" s="197" t="s">
        <v>57</v>
      </c>
      <c r="C60" s="191"/>
      <c r="D60" s="191"/>
      <c r="E60" s="191"/>
      <c r="F60" s="191"/>
      <c r="G60" s="191"/>
      <c r="H60" s="192"/>
    </row>
    <row r="61" spans="1:12">
      <c r="A61" s="196" t="s">
        <v>58</v>
      </c>
      <c r="B61" s="197"/>
      <c r="C61" s="191"/>
      <c r="D61" s="191"/>
      <c r="E61" s="191"/>
      <c r="F61" s="191"/>
      <c r="G61" s="191"/>
      <c r="H61" s="192"/>
    </row>
    <row r="62" spans="1:12">
      <c r="A62" s="196"/>
      <c r="B62" s="197" t="s">
        <v>59</v>
      </c>
      <c r="C62" s="191"/>
      <c r="D62" s="191"/>
      <c r="E62" s="191"/>
      <c r="F62" s="191"/>
      <c r="G62" s="191"/>
      <c r="H62" s="192"/>
    </row>
    <row r="63" spans="1:12">
      <c r="A63" s="196"/>
      <c r="B63" s="197" t="s">
        <v>60</v>
      </c>
      <c r="C63" s="191"/>
      <c r="D63" s="191"/>
      <c r="E63" s="191"/>
      <c r="F63" s="191"/>
      <c r="G63" s="191"/>
      <c r="H63" s="192"/>
    </row>
    <row r="64" spans="1:12">
      <c r="A64" s="196"/>
      <c r="B64" s="197" t="s">
        <v>61</v>
      </c>
      <c r="C64" s="191"/>
      <c r="D64" s="191"/>
      <c r="E64" s="191"/>
      <c r="F64" s="191"/>
      <c r="G64" s="191"/>
      <c r="H64" s="192"/>
    </row>
    <row r="65" spans="1:8">
      <c r="A65" s="196"/>
      <c r="B65" s="197" t="s">
        <v>62</v>
      </c>
      <c r="C65" s="191"/>
      <c r="D65" s="191"/>
      <c r="E65" s="191"/>
      <c r="F65" s="191"/>
      <c r="G65" s="191"/>
      <c r="H65" s="192"/>
    </row>
    <row r="66" spans="1:8">
      <c r="A66" s="196" t="s">
        <v>63</v>
      </c>
      <c r="B66" s="197"/>
      <c r="C66" s="191"/>
      <c r="D66" s="191"/>
      <c r="E66" s="191"/>
      <c r="F66" s="191"/>
      <c r="G66" s="191"/>
      <c r="H66" s="192"/>
    </row>
    <row r="67" spans="1:8">
      <c r="A67" s="196"/>
      <c r="B67" s="197"/>
      <c r="C67" s="191"/>
      <c r="D67" s="191"/>
      <c r="E67" s="191"/>
      <c r="F67" s="191"/>
      <c r="G67" s="191"/>
      <c r="H67" s="192"/>
    </row>
    <row r="68" spans="1:8">
      <c r="A68" s="201" t="s">
        <v>30</v>
      </c>
      <c r="B68" s="197"/>
      <c r="C68" s="191"/>
      <c r="D68" s="191"/>
      <c r="E68" s="191"/>
      <c r="F68" s="191"/>
      <c r="G68" s="191"/>
      <c r="H68" s="192"/>
    </row>
    <row r="69" spans="1:8">
      <c r="A69" s="196" t="s">
        <v>64</v>
      </c>
      <c r="B69" s="197"/>
      <c r="C69" s="191"/>
      <c r="D69" s="191"/>
      <c r="E69" s="191"/>
      <c r="F69" s="191"/>
      <c r="G69" s="191"/>
      <c r="H69" s="192"/>
    </row>
    <row r="70" spans="1:8">
      <c r="A70" s="196" t="s">
        <v>65</v>
      </c>
      <c r="B70" s="197"/>
      <c r="C70" s="191"/>
      <c r="D70" s="191"/>
      <c r="E70" s="191"/>
      <c r="F70" s="191"/>
      <c r="G70" s="191"/>
      <c r="H70" s="192"/>
    </row>
    <row r="71" spans="1:8">
      <c r="A71" s="196" t="s">
        <v>66</v>
      </c>
      <c r="B71" s="197"/>
      <c r="C71" s="191"/>
      <c r="D71" s="191"/>
      <c r="E71" s="191"/>
      <c r="F71" s="191"/>
      <c r="G71" s="191"/>
      <c r="H71" s="192"/>
    </row>
    <row r="72" spans="1:8" ht="13.5" thickBot="1">
      <c r="A72" s="198" t="s">
        <v>67</v>
      </c>
      <c r="B72" s="199"/>
      <c r="C72" s="193"/>
      <c r="D72" s="193"/>
      <c r="E72" s="193"/>
      <c r="F72" s="193"/>
      <c r="G72" s="193"/>
      <c r="H72" s="194"/>
    </row>
    <row r="73" spans="1:8" ht="13.5" thickTop="1"/>
  </sheetData>
  <printOptions gridLinesSet="0"/>
  <pageMargins left="0.75" right="0.75" top="1" bottom="1" header="0.5" footer="0.5"/>
  <pageSetup orientation="portrait" horizontalDpi="0" verticalDpi="4294967292" copies="0"/>
  <headerFooter alignWithMargins="0">
    <oddHeader>&amp;F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9"/>
  <sheetViews>
    <sheetView showGridLines="0" workbookViewId="0">
      <selection activeCell="L14" sqref="L14"/>
    </sheetView>
  </sheetViews>
  <sheetFormatPr defaultColWidth="8.7109375" defaultRowHeight="12.75"/>
  <cols>
    <col min="1" max="1" width="10.140625" customWidth="1"/>
    <col min="3" max="6" width="10.140625" customWidth="1"/>
  </cols>
  <sheetData>
    <row r="1" spans="1:11">
      <c r="A1" s="1" t="s">
        <v>68</v>
      </c>
      <c r="B1" s="1"/>
    </row>
    <row r="2" spans="1:11" ht="3.75" customHeight="1" thickBot="1"/>
    <row r="3" spans="1:11" ht="13.5" thickTop="1">
      <c r="A3" s="2" t="s">
        <v>69</v>
      </c>
      <c r="B3" s="3"/>
      <c r="C3" s="4"/>
      <c r="D3" s="4"/>
      <c r="E3" s="4"/>
      <c r="F3" s="4"/>
      <c r="G3" s="5"/>
    </row>
    <row r="4" spans="1:11">
      <c r="A4" s="6" t="s">
        <v>37</v>
      </c>
      <c r="B4" s="7"/>
      <c r="C4" s="8"/>
      <c r="D4" s="8"/>
      <c r="E4" s="8"/>
      <c r="F4" s="8"/>
      <c r="G4" s="9"/>
    </row>
    <row r="5" spans="1:11" ht="13.5" thickBot="1">
      <c r="A5" s="10" t="s">
        <v>38</v>
      </c>
      <c r="B5" s="11"/>
      <c r="C5" s="12"/>
      <c r="D5" s="12"/>
      <c r="E5" s="12"/>
      <c r="F5" s="12"/>
      <c r="G5" s="13"/>
    </row>
    <row r="6" spans="1:11" ht="3.75" customHeight="1" thickTop="1" thickBot="1">
      <c r="A6" s="14"/>
      <c r="B6" s="14"/>
    </row>
    <row r="7" spans="1:11" ht="13.5" thickTop="1">
      <c r="A7" s="15" t="s">
        <v>3</v>
      </c>
      <c r="B7" s="16"/>
      <c r="C7" s="17"/>
      <c r="D7" s="17"/>
      <c r="E7" s="17"/>
      <c r="F7" s="17"/>
      <c r="G7" s="18"/>
    </row>
    <row r="8" spans="1:11">
      <c r="A8" s="19"/>
      <c r="B8" s="20"/>
      <c r="C8" s="21" t="s">
        <v>4</v>
      </c>
      <c r="D8" s="22"/>
      <c r="E8" s="22"/>
      <c r="F8" s="22"/>
      <c r="G8" s="23"/>
      <c r="J8" s="126" t="s">
        <v>169</v>
      </c>
      <c r="K8" s="125"/>
    </row>
    <row r="9" spans="1:11">
      <c r="A9" s="24"/>
      <c r="C9" s="25" t="s">
        <v>39</v>
      </c>
      <c r="D9" s="25" t="s">
        <v>40</v>
      </c>
      <c r="E9" s="25" t="s">
        <v>41</v>
      </c>
      <c r="F9" s="25" t="s">
        <v>42</v>
      </c>
      <c r="G9" s="23"/>
      <c r="J9" s="125">
        <f>MIN($C$91)</f>
        <v>259253.55</v>
      </c>
    </row>
    <row r="10" spans="1:11">
      <c r="A10" s="26" t="s">
        <v>10</v>
      </c>
      <c r="B10" s="27" t="s">
        <v>70</v>
      </c>
      <c r="C10" s="28">
        <v>0.5</v>
      </c>
      <c r="D10" s="28">
        <v>0.5</v>
      </c>
      <c r="E10" s="28">
        <v>1</v>
      </c>
      <c r="F10" s="28">
        <v>0.2</v>
      </c>
      <c r="G10" s="23"/>
      <c r="J10">
        <f>COUNT($C$41:$F$46,$C$55:$G$60,$C$72:$G$83)</f>
        <v>114</v>
      </c>
    </row>
    <row r="11" spans="1:11">
      <c r="A11" s="26"/>
      <c r="B11" s="27" t="s">
        <v>71</v>
      </c>
      <c r="C11" s="28">
        <v>1</v>
      </c>
      <c r="D11" s="28">
        <v>0.75</v>
      </c>
      <c r="E11" s="28">
        <v>1.25</v>
      </c>
      <c r="F11" s="28">
        <v>1.25</v>
      </c>
      <c r="G11" s="23"/>
      <c r="J11" t="b">
        <f t="array" ref="J11">$C$47:$F$49&lt;=Warehouse_capacity</f>
        <v>1</v>
      </c>
    </row>
    <row r="12" spans="1:11">
      <c r="A12" s="26"/>
      <c r="B12" s="27" t="s">
        <v>72</v>
      </c>
      <c r="C12" s="28">
        <v>0.75</v>
      </c>
      <c r="D12" s="28">
        <v>1.25</v>
      </c>
      <c r="E12" s="28">
        <v>1</v>
      </c>
      <c r="F12" s="28">
        <v>0.8</v>
      </c>
      <c r="G12" s="23"/>
      <c r="J12" t="b">
        <f t="array" ref="J12">$G$41:$G$46&gt;=1</f>
        <v>1</v>
      </c>
    </row>
    <row r="13" spans="1:11">
      <c r="A13" s="26" t="s">
        <v>11</v>
      </c>
      <c r="B13" s="27" t="s">
        <v>70</v>
      </c>
      <c r="C13" s="28">
        <v>1.5</v>
      </c>
      <c r="D13" s="28">
        <v>0.3</v>
      </c>
      <c r="E13" s="28">
        <v>0.5</v>
      </c>
      <c r="F13" s="28">
        <v>0.2</v>
      </c>
      <c r="G13" s="23"/>
      <c r="J13" t="b">
        <f>$G$63&lt;=$H$63</f>
        <v>1</v>
      </c>
    </row>
    <row r="14" spans="1:11">
      <c r="A14" s="26"/>
      <c r="B14" s="27" t="s">
        <v>71</v>
      </c>
      <c r="C14" s="28">
        <v>1.25</v>
      </c>
      <c r="D14" s="28">
        <v>0.8</v>
      </c>
      <c r="E14" s="28">
        <v>1</v>
      </c>
      <c r="F14" s="28">
        <v>0.75</v>
      </c>
      <c r="G14" s="23"/>
      <c r="J14" t="b">
        <f>$G$64&lt;=$H$64</f>
        <v>1</v>
      </c>
    </row>
    <row r="15" spans="1:11">
      <c r="A15" s="26"/>
      <c r="B15" s="27" t="s">
        <v>72</v>
      </c>
      <c r="C15" s="28">
        <v>1.4</v>
      </c>
      <c r="D15" s="28">
        <v>0.9</v>
      </c>
      <c r="E15" s="28">
        <v>0.95</v>
      </c>
      <c r="F15" s="28">
        <v>1.1000000000000001</v>
      </c>
      <c r="G15" s="23"/>
      <c r="J15" t="b">
        <f>$G$65&lt;=$H$65</f>
        <v>1</v>
      </c>
    </row>
    <row r="16" spans="1:11">
      <c r="A16" s="24"/>
      <c r="G16" s="23"/>
      <c r="J16" t="b">
        <f>$G$66&lt;=$H$66</f>
        <v>1</v>
      </c>
    </row>
    <row r="17" spans="1:10">
      <c r="A17" s="24"/>
      <c r="C17" s="29" t="s">
        <v>5</v>
      </c>
      <c r="D17" s="29" t="s">
        <v>6</v>
      </c>
      <c r="E17" s="29" t="s">
        <v>7</v>
      </c>
      <c r="F17" s="29" t="s">
        <v>8</v>
      </c>
      <c r="G17" s="30" t="s">
        <v>9</v>
      </c>
      <c r="H17" s="31"/>
      <c r="J17" t="b">
        <f>$G$67&lt;=$H$67</f>
        <v>1</v>
      </c>
    </row>
    <row r="18" spans="1:10">
      <c r="A18" s="26" t="s">
        <v>10</v>
      </c>
      <c r="B18" s="27" t="s">
        <v>70</v>
      </c>
      <c r="C18" s="28">
        <v>2.75</v>
      </c>
      <c r="D18" s="28">
        <v>3.5</v>
      </c>
      <c r="E18" s="28">
        <v>2.5</v>
      </c>
      <c r="F18" s="28">
        <v>3</v>
      </c>
      <c r="G18" s="32">
        <v>2.5</v>
      </c>
      <c r="H18" s="33"/>
      <c r="J18" t="b">
        <f>$G$68&lt;=$H$68</f>
        <v>1</v>
      </c>
    </row>
    <row r="19" spans="1:10">
      <c r="A19" s="26"/>
      <c r="B19" s="27" t="s">
        <v>71</v>
      </c>
      <c r="C19" s="28">
        <v>2.5</v>
      </c>
      <c r="D19" s="28">
        <v>3</v>
      </c>
      <c r="E19" s="28">
        <v>2</v>
      </c>
      <c r="F19" s="28">
        <v>2.75</v>
      </c>
      <c r="G19" s="32">
        <v>2.6</v>
      </c>
      <c r="H19" s="33"/>
      <c r="J19" t="b">
        <f t="array" ref="J19">$H$55:$H$60&gt;=0</f>
        <v>1</v>
      </c>
    </row>
    <row r="20" spans="1:10">
      <c r="A20" s="26"/>
      <c r="B20" s="27" t="s">
        <v>72</v>
      </c>
      <c r="C20" s="28">
        <v>2.9</v>
      </c>
      <c r="D20" s="28">
        <v>3</v>
      </c>
      <c r="E20" s="28">
        <v>2.25</v>
      </c>
      <c r="F20" s="28">
        <v>2.8</v>
      </c>
      <c r="G20" s="32">
        <v>2.35</v>
      </c>
      <c r="H20" s="33"/>
      <c r="J20" t="b">
        <f t="array" ref="J20">Total_from_warehouse&gt;=0</f>
        <v>1</v>
      </c>
    </row>
    <row r="21" spans="1:10">
      <c r="A21" s="26" t="s">
        <v>11</v>
      </c>
      <c r="B21" s="27" t="s">
        <v>70</v>
      </c>
      <c r="C21" s="28">
        <v>3</v>
      </c>
      <c r="D21" s="28">
        <v>3.5</v>
      </c>
      <c r="E21" s="28">
        <v>3.5</v>
      </c>
      <c r="F21" s="28">
        <v>2.5</v>
      </c>
      <c r="G21" s="32">
        <v>2</v>
      </c>
      <c r="H21" s="33"/>
      <c r="J21" t="b">
        <f t="array" ref="J21">Total_to_customer&gt;=Demand</f>
        <v>1</v>
      </c>
    </row>
    <row r="22" spans="1:10">
      <c r="A22" s="26"/>
      <c r="B22" s="27" t="s">
        <v>71</v>
      </c>
      <c r="C22" s="28">
        <v>2.25</v>
      </c>
      <c r="D22" s="28">
        <v>2.95</v>
      </c>
      <c r="E22" s="28">
        <v>2.2000000000000002</v>
      </c>
      <c r="F22" s="28">
        <v>2.5</v>
      </c>
      <c r="G22" s="32">
        <v>2.1</v>
      </c>
      <c r="H22" s="33"/>
      <c r="J22">
        <f>{100,100,0.001,0.05,TRUE,FALSE,FALSE,1,1,1,0.0001,TRUE}</f>
        <v>100</v>
      </c>
    </row>
    <row r="23" spans="1:10">
      <c r="A23" s="26"/>
      <c r="B23" s="27" t="s">
        <v>72</v>
      </c>
      <c r="C23" s="28">
        <v>2.4500000000000002</v>
      </c>
      <c r="D23" s="28">
        <v>2.75</v>
      </c>
      <c r="E23" s="28">
        <v>2.35</v>
      </c>
      <c r="F23" s="28">
        <v>2.85</v>
      </c>
      <c r="G23" s="32">
        <v>2.4500000000000002</v>
      </c>
      <c r="H23" s="33"/>
      <c r="J23">
        <f>{100,100,2,100,0,FALSE,TRUE,0.075,1000,1000,FALSE,30}</f>
        <v>100</v>
      </c>
    </row>
    <row r="24" spans="1:10">
      <c r="A24" s="24"/>
      <c r="C24" s="34"/>
      <c r="D24" s="34"/>
      <c r="E24" s="34"/>
      <c r="F24" s="34"/>
      <c r="G24" s="35"/>
      <c r="H24" s="36"/>
    </row>
    <row r="25" spans="1:10">
      <c r="A25" s="24"/>
      <c r="C25" s="29" t="s">
        <v>5</v>
      </c>
      <c r="D25" s="29" t="s">
        <v>6</v>
      </c>
      <c r="E25" s="29" t="s">
        <v>7</v>
      </c>
      <c r="F25" s="29" t="s">
        <v>8</v>
      </c>
      <c r="G25" s="30" t="s">
        <v>9</v>
      </c>
      <c r="H25" s="31"/>
    </row>
    <row r="26" spans="1:10">
      <c r="A26" s="26" t="s">
        <v>39</v>
      </c>
      <c r="B26" s="27" t="s">
        <v>70</v>
      </c>
      <c r="C26" s="28">
        <v>1.5</v>
      </c>
      <c r="D26" s="28">
        <v>0.8</v>
      </c>
      <c r="E26" s="28">
        <v>0.5</v>
      </c>
      <c r="F26" s="28">
        <v>1.5</v>
      </c>
      <c r="G26" s="32">
        <v>3</v>
      </c>
      <c r="H26" s="33"/>
    </row>
    <row r="27" spans="1:10">
      <c r="A27" s="26"/>
      <c r="B27" s="27" t="s">
        <v>71</v>
      </c>
      <c r="C27" s="28">
        <v>1</v>
      </c>
      <c r="D27" s="28">
        <v>0.9</v>
      </c>
      <c r="E27" s="28">
        <v>1.2</v>
      </c>
      <c r="F27" s="28">
        <v>1.3</v>
      </c>
      <c r="G27" s="32">
        <v>2.1</v>
      </c>
      <c r="H27" s="33"/>
    </row>
    <row r="28" spans="1:10">
      <c r="A28" s="26"/>
      <c r="B28" s="27" t="s">
        <v>72</v>
      </c>
      <c r="C28" s="28">
        <v>1.25</v>
      </c>
      <c r="D28" s="28">
        <v>0.7</v>
      </c>
      <c r="E28" s="28">
        <v>1.1000000000000001</v>
      </c>
      <c r="F28" s="28">
        <v>0.8</v>
      </c>
      <c r="G28" s="32">
        <v>1.6</v>
      </c>
      <c r="H28" s="33"/>
    </row>
    <row r="29" spans="1:10">
      <c r="A29" s="26" t="s">
        <v>40</v>
      </c>
      <c r="B29" s="27" t="s">
        <v>70</v>
      </c>
      <c r="C29" s="28">
        <v>1</v>
      </c>
      <c r="D29" s="28">
        <v>0.5</v>
      </c>
      <c r="E29" s="28">
        <v>0.5</v>
      </c>
      <c r="F29" s="28">
        <v>1</v>
      </c>
      <c r="G29" s="32">
        <v>0.5</v>
      </c>
      <c r="H29" s="33"/>
    </row>
    <row r="30" spans="1:10">
      <c r="A30" s="26"/>
      <c r="B30" s="27" t="s">
        <v>71</v>
      </c>
      <c r="C30" s="28">
        <v>1.25</v>
      </c>
      <c r="D30" s="28">
        <v>1</v>
      </c>
      <c r="E30" s="28">
        <v>1</v>
      </c>
      <c r="F30" s="28">
        <v>0.9</v>
      </c>
      <c r="G30" s="32">
        <v>1.5</v>
      </c>
      <c r="H30" s="33"/>
    </row>
    <row r="31" spans="1:10">
      <c r="A31" s="26"/>
      <c r="B31" s="27" t="s">
        <v>72</v>
      </c>
      <c r="C31" s="28">
        <v>1.1000000000000001</v>
      </c>
      <c r="D31" s="28">
        <v>1.1000000000000001</v>
      </c>
      <c r="E31" s="28">
        <v>0.9</v>
      </c>
      <c r="F31" s="28">
        <v>1.4</v>
      </c>
      <c r="G31" s="32">
        <v>1.75</v>
      </c>
      <c r="H31" s="33"/>
    </row>
    <row r="32" spans="1:10">
      <c r="A32" s="26" t="s">
        <v>41</v>
      </c>
      <c r="B32" s="27" t="s">
        <v>70</v>
      </c>
      <c r="C32" s="28">
        <v>1</v>
      </c>
      <c r="D32" s="28">
        <v>1.5</v>
      </c>
      <c r="E32" s="28">
        <v>2</v>
      </c>
      <c r="F32" s="28">
        <v>2</v>
      </c>
      <c r="G32" s="32">
        <v>0.5</v>
      </c>
      <c r="H32" s="33"/>
    </row>
    <row r="33" spans="1:8">
      <c r="A33" s="26"/>
      <c r="B33" s="27" t="s">
        <v>71</v>
      </c>
      <c r="C33" s="28">
        <v>0.9</v>
      </c>
      <c r="D33" s="28">
        <v>1.35</v>
      </c>
      <c r="E33" s="28">
        <v>1.45</v>
      </c>
      <c r="F33" s="28">
        <v>1.8</v>
      </c>
      <c r="G33" s="32">
        <v>1</v>
      </c>
      <c r="H33" s="33"/>
    </row>
    <row r="34" spans="1:8">
      <c r="A34" s="26"/>
      <c r="B34" s="27" t="s">
        <v>72</v>
      </c>
      <c r="C34" s="28">
        <v>1.25</v>
      </c>
      <c r="D34" s="28">
        <v>1.2</v>
      </c>
      <c r="E34" s="28">
        <v>1.75</v>
      </c>
      <c r="F34" s="28">
        <v>1.7</v>
      </c>
      <c r="G34" s="32">
        <v>0.85</v>
      </c>
      <c r="H34" s="33"/>
    </row>
    <row r="35" spans="1:8">
      <c r="A35" s="26" t="s">
        <v>42</v>
      </c>
      <c r="B35" s="27" t="s">
        <v>70</v>
      </c>
      <c r="C35" s="28">
        <v>2.5</v>
      </c>
      <c r="D35" s="28">
        <v>1.5</v>
      </c>
      <c r="E35" s="28">
        <v>0.6</v>
      </c>
      <c r="F35" s="28">
        <v>1.5</v>
      </c>
      <c r="G35" s="32">
        <v>0.5</v>
      </c>
      <c r="H35" s="33"/>
    </row>
    <row r="36" spans="1:8">
      <c r="A36" s="26"/>
      <c r="B36" s="27" t="s">
        <v>71</v>
      </c>
      <c r="C36" s="28">
        <v>1.75</v>
      </c>
      <c r="D36" s="28">
        <v>1.3</v>
      </c>
      <c r="E36" s="28">
        <v>0.7</v>
      </c>
      <c r="F36" s="28">
        <v>1.25</v>
      </c>
      <c r="G36" s="32">
        <v>1.1000000000000001</v>
      </c>
      <c r="H36" s="33"/>
    </row>
    <row r="37" spans="1:8" ht="13.5" thickBot="1">
      <c r="A37" s="37"/>
      <c r="B37" s="38" t="s">
        <v>72</v>
      </c>
      <c r="C37" s="39">
        <v>1.5</v>
      </c>
      <c r="D37" s="39">
        <v>1.1000000000000001</v>
      </c>
      <c r="E37" s="39">
        <v>1.5</v>
      </c>
      <c r="F37" s="39">
        <v>1.1000000000000001</v>
      </c>
      <c r="G37" s="40">
        <v>0.9</v>
      </c>
      <c r="H37" s="33"/>
    </row>
    <row r="38" spans="1:8" ht="4.5" customHeight="1" thickTop="1" thickBot="1"/>
    <row r="39" spans="1:8" ht="13.5" thickTop="1">
      <c r="A39" s="41" t="s">
        <v>12</v>
      </c>
      <c r="B39" s="42"/>
      <c r="C39" s="17"/>
      <c r="D39" s="17"/>
      <c r="E39" s="17"/>
      <c r="F39" s="17"/>
      <c r="G39" s="17"/>
      <c r="H39" s="18"/>
    </row>
    <row r="40" spans="1:8" ht="13.5" thickBot="1">
      <c r="A40" s="24"/>
      <c r="C40" s="25" t="s">
        <v>39</v>
      </c>
      <c r="D40" s="25" t="s">
        <v>40</v>
      </c>
      <c r="E40" s="25" t="s">
        <v>41</v>
      </c>
      <c r="F40" s="25" t="s">
        <v>42</v>
      </c>
      <c r="G40" s="25" t="s">
        <v>13</v>
      </c>
      <c r="H40" s="23"/>
    </row>
    <row r="41" spans="1:8">
      <c r="A41" s="26" t="s">
        <v>10</v>
      </c>
      <c r="B41" s="27" t="s">
        <v>70</v>
      </c>
      <c r="C41" s="43">
        <v>0</v>
      </c>
      <c r="D41" s="44">
        <v>0</v>
      </c>
      <c r="E41" s="44">
        <v>0</v>
      </c>
      <c r="F41" s="45">
        <v>1</v>
      </c>
      <c r="G41" s="46">
        <f t="shared" ref="G41:G46" si="0">SUM(C41:F41)</f>
        <v>1</v>
      </c>
      <c r="H41" s="23"/>
    </row>
    <row r="42" spans="1:8">
      <c r="A42" s="26"/>
      <c r="B42" s="27" t="s">
        <v>71</v>
      </c>
      <c r="C42" s="47">
        <v>0</v>
      </c>
      <c r="D42" s="48">
        <v>1</v>
      </c>
      <c r="E42" s="48">
        <v>0</v>
      </c>
      <c r="F42" s="49">
        <v>0</v>
      </c>
      <c r="G42" s="50">
        <f t="shared" si="0"/>
        <v>1</v>
      </c>
      <c r="H42" s="23"/>
    </row>
    <row r="43" spans="1:8">
      <c r="A43" s="26"/>
      <c r="B43" s="27" t="s">
        <v>72</v>
      </c>
      <c r="C43" s="47">
        <v>1</v>
      </c>
      <c r="D43" s="48">
        <v>0</v>
      </c>
      <c r="E43" s="48">
        <v>0</v>
      </c>
      <c r="F43" s="49">
        <v>0</v>
      </c>
      <c r="G43" s="50">
        <f t="shared" si="0"/>
        <v>1</v>
      </c>
      <c r="H43" s="23"/>
    </row>
    <row r="44" spans="1:8">
      <c r="A44" s="26" t="s">
        <v>11</v>
      </c>
      <c r="B44" s="27" t="s">
        <v>70</v>
      </c>
      <c r="C44" s="47">
        <v>0</v>
      </c>
      <c r="D44" s="48">
        <v>0</v>
      </c>
      <c r="E44" s="48">
        <v>0</v>
      </c>
      <c r="F44" s="49">
        <v>1</v>
      </c>
      <c r="G44" s="50">
        <f t="shared" si="0"/>
        <v>1</v>
      </c>
      <c r="H44" s="23"/>
    </row>
    <row r="45" spans="1:8">
      <c r="A45" s="26"/>
      <c r="B45" s="27" t="s">
        <v>71</v>
      </c>
      <c r="C45" s="47">
        <v>0</v>
      </c>
      <c r="D45" s="48">
        <v>0</v>
      </c>
      <c r="E45" s="48">
        <v>0</v>
      </c>
      <c r="F45" s="49">
        <v>1</v>
      </c>
      <c r="G45" s="50">
        <f t="shared" si="0"/>
        <v>1</v>
      </c>
      <c r="H45" s="23"/>
    </row>
    <row r="46" spans="1:8" ht="13.5" thickBot="1">
      <c r="A46" s="26"/>
      <c r="B46" s="27" t="s">
        <v>72</v>
      </c>
      <c r="C46" s="51">
        <v>0</v>
      </c>
      <c r="D46" s="52">
        <v>1</v>
      </c>
      <c r="E46" s="52">
        <v>0</v>
      </c>
      <c r="F46" s="53">
        <v>0</v>
      </c>
      <c r="G46" s="54">
        <f t="shared" si="0"/>
        <v>1</v>
      </c>
      <c r="H46" s="23"/>
    </row>
    <row r="47" spans="1:8">
      <c r="A47" s="55" t="s">
        <v>13</v>
      </c>
      <c r="B47" s="27" t="s">
        <v>70</v>
      </c>
      <c r="C47" s="48">
        <f t="shared" ref="C47:F49" si="1">SUM(C41,C44)</f>
        <v>0</v>
      </c>
      <c r="D47" s="48">
        <f t="shared" si="1"/>
        <v>0</v>
      </c>
      <c r="E47" s="48">
        <f t="shared" si="1"/>
        <v>0</v>
      </c>
      <c r="F47" s="48">
        <f t="shared" si="1"/>
        <v>2</v>
      </c>
      <c r="G47" s="48"/>
      <c r="H47" s="56"/>
    </row>
    <row r="48" spans="1:8">
      <c r="A48" s="55"/>
      <c r="B48" s="27" t="s">
        <v>71</v>
      </c>
      <c r="C48" s="48">
        <f t="shared" si="1"/>
        <v>0</v>
      </c>
      <c r="D48" s="48">
        <f t="shared" si="1"/>
        <v>1</v>
      </c>
      <c r="E48" s="48">
        <f t="shared" si="1"/>
        <v>0</v>
      </c>
      <c r="F48" s="48">
        <f t="shared" si="1"/>
        <v>1</v>
      </c>
      <c r="G48" s="48"/>
      <c r="H48" s="56"/>
    </row>
    <row r="49" spans="1:9" ht="13.5" thickBot="1">
      <c r="A49" s="55"/>
      <c r="B49" s="27" t="s">
        <v>72</v>
      </c>
      <c r="C49" s="52">
        <f t="shared" si="1"/>
        <v>1</v>
      </c>
      <c r="D49" s="52">
        <f t="shared" si="1"/>
        <v>1</v>
      </c>
      <c r="E49" s="52">
        <f t="shared" si="1"/>
        <v>0</v>
      </c>
      <c r="F49" s="52">
        <f t="shared" si="1"/>
        <v>0</v>
      </c>
      <c r="G49" s="48"/>
      <c r="H49" s="56"/>
    </row>
    <row r="50" spans="1:9">
      <c r="A50" s="26" t="s">
        <v>14</v>
      </c>
      <c r="B50" s="27" t="s">
        <v>70</v>
      </c>
      <c r="C50" s="57">
        <v>35000</v>
      </c>
      <c r="D50" s="58">
        <v>20000</v>
      </c>
      <c r="E50" s="58">
        <v>30000</v>
      </c>
      <c r="F50" s="59">
        <v>15000</v>
      </c>
      <c r="G50" s="48"/>
      <c r="H50" s="56"/>
    </row>
    <row r="51" spans="1:9">
      <c r="A51" s="26"/>
      <c r="B51" s="27" t="s">
        <v>71</v>
      </c>
      <c r="C51" s="60">
        <v>30000</v>
      </c>
      <c r="D51" s="48">
        <v>25000</v>
      </c>
      <c r="E51" s="48">
        <v>15000</v>
      </c>
      <c r="F51" s="61">
        <v>24000</v>
      </c>
      <c r="G51" s="48"/>
      <c r="H51" s="56"/>
    </row>
    <row r="52" spans="1:9" ht="13.5" thickBot="1">
      <c r="A52" s="26"/>
      <c r="B52" s="27" t="s">
        <v>72</v>
      </c>
      <c r="C52" s="62">
        <v>20000</v>
      </c>
      <c r="D52" s="63">
        <v>20000</v>
      </c>
      <c r="E52" s="63">
        <v>25000</v>
      </c>
      <c r="F52" s="64">
        <v>20000</v>
      </c>
      <c r="G52" s="48"/>
      <c r="H52" s="56"/>
    </row>
    <row r="53" spans="1:9">
      <c r="A53" s="24"/>
      <c r="H53" s="23"/>
    </row>
    <row r="54" spans="1:9" ht="13.5" thickBot="1">
      <c r="A54" s="24"/>
      <c r="C54" s="29" t="s">
        <v>5</v>
      </c>
      <c r="D54" s="29" t="s">
        <v>6</v>
      </c>
      <c r="E54" s="29" t="s">
        <v>7</v>
      </c>
      <c r="F54" s="29" t="s">
        <v>8</v>
      </c>
      <c r="G54" s="29" t="s">
        <v>9</v>
      </c>
      <c r="H54" s="30" t="s">
        <v>13</v>
      </c>
    </row>
    <row r="55" spans="1:9" ht="13.5" thickTop="1">
      <c r="A55" s="26" t="s">
        <v>10</v>
      </c>
      <c r="B55" s="27" t="s">
        <v>70</v>
      </c>
      <c r="C55" s="43">
        <v>0</v>
      </c>
      <c r="D55" s="44">
        <v>0</v>
      </c>
      <c r="E55" s="44">
        <v>0</v>
      </c>
      <c r="F55" s="44">
        <v>0</v>
      </c>
      <c r="G55" s="45">
        <v>0</v>
      </c>
      <c r="H55" s="65">
        <f t="shared" ref="H55:H60" si="2">SUM(C55:G55)</f>
        <v>0</v>
      </c>
      <c r="I55" s="31"/>
    </row>
    <row r="56" spans="1:9">
      <c r="A56" s="26"/>
      <c r="B56" s="27" t="s">
        <v>71</v>
      </c>
      <c r="C56" s="47">
        <v>0</v>
      </c>
      <c r="D56" s="48">
        <v>0</v>
      </c>
      <c r="E56" s="48">
        <v>0</v>
      </c>
      <c r="F56" s="48">
        <v>0</v>
      </c>
      <c r="G56" s="49">
        <v>0</v>
      </c>
      <c r="H56" s="66">
        <f t="shared" si="2"/>
        <v>0</v>
      </c>
      <c r="I56" s="31"/>
    </row>
    <row r="57" spans="1:9">
      <c r="A57" s="26"/>
      <c r="B57" s="27" t="s">
        <v>72</v>
      </c>
      <c r="C57" s="47">
        <v>0</v>
      </c>
      <c r="D57" s="48">
        <v>0</v>
      </c>
      <c r="E57" s="48">
        <v>0</v>
      </c>
      <c r="F57" s="48">
        <v>0</v>
      </c>
      <c r="G57" s="49">
        <v>0</v>
      </c>
      <c r="H57" s="66">
        <f t="shared" si="2"/>
        <v>0</v>
      </c>
      <c r="I57" s="31"/>
    </row>
    <row r="58" spans="1:9">
      <c r="A58" s="26" t="s">
        <v>11</v>
      </c>
      <c r="B58" s="27" t="s">
        <v>70</v>
      </c>
      <c r="C58" s="47">
        <v>0</v>
      </c>
      <c r="D58" s="48">
        <v>0</v>
      </c>
      <c r="E58" s="48">
        <v>0</v>
      </c>
      <c r="F58" s="48">
        <v>0</v>
      </c>
      <c r="G58" s="49">
        <v>0</v>
      </c>
      <c r="H58" s="66">
        <f t="shared" si="2"/>
        <v>0</v>
      </c>
    </row>
    <row r="59" spans="1:9">
      <c r="A59" s="26"/>
      <c r="B59" s="27" t="s">
        <v>71</v>
      </c>
      <c r="C59" s="47">
        <v>0</v>
      </c>
      <c r="D59" s="48">
        <v>0</v>
      </c>
      <c r="E59" s="48">
        <v>0</v>
      </c>
      <c r="F59" s="48">
        <v>0</v>
      </c>
      <c r="G59" s="49">
        <v>0</v>
      </c>
      <c r="H59" s="66">
        <f t="shared" si="2"/>
        <v>0</v>
      </c>
      <c r="I59" s="31"/>
    </row>
    <row r="60" spans="1:9" ht="13.5" thickBot="1">
      <c r="A60" s="26"/>
      <c r="B60" s="27" t="s">
        <v>72</v>
      </c>
      <c r="C60" s="51">
        <v>0</v>
      </c>
      <c r="D60" s="52">
        <v>0</v>
      </c>
      <c r="E60" s="52">
        <v>0</v>
      </c>
      <c r="F60" s="52">
        <v>0</v>
      </c>
      <c r="G60" s="53">
        <v>0</v>
      </c>
      <c r="H60" s="67">
        <f t="shared" si="2"/>
        <v>0</v>
      </c>
      <c r="I60" s="31"/>
    </row>
    <row r="61" spans="1:9" ht="13.5" thickTop="1">
      <c r="A61" s="24"/>
      <c r="H61" s="23"/>
      <c r="I61" s="36"/>
    </row>
    <row r="62" spans="1:9" ht="13.5" thickBot="1">
      <c r="A62" s="24"/>
      <c r="E62" s="14"/>
      <c r="G62" s="68"/>
      <c r="H62" s="30" t="s">
        <v>14</v>
      </c>
      <c r="I62" s="36"/>
    </row>
    <row r="63" spans="1:9">
      <c r="A63" s="24"/>
      <c r="C63" s="14" t="s">
        <v>44</v>
      </c>
      <c r="E63" s="14"/>
      <c r="F63" s="27" t="s">
        <v>70</v>
      </c>
      <c r="G63" s="48">
        <f t="shared" ref="G63:G68" si="3">SUM(G41,H55)</f>
        <v>1</v>
      </c>
      <c r="H63" s="69">
        <v>90000</v>
      </c>
      <c r="I63" s="36"/>
    </row>
    <row r="64" spans="1:9">
      <c r="A64" s="24"/>
      <c r="E64" s="14"/>
      <c r="F64" s="27" t="s">
        <v>71</v>
      </c>
      <c r="G64" s="48">
        <f t="shared" si="3"/>
        <v>1</v>
      </c>
      <c r="H64" s="70">
        <v>100000</v>
      </c>
      <c r="I64" s="36"/>
    </row>
    <row r="65" spans="1:9">
      <c r="A65" s="24"/>
      <c r="E65" s="14"/>
      <c r="F65" s="27" t="s">
        <v>72</v>
      </c>
      <c r="G65" s="48">
        <f t="shared" si="3"/>
        <v>1</v>
      </c>
      <c r="H65" s="70">
        <v>80000</v>
      </c>
      <c r="I65" s="36"/>
    </row>
    <row r="66" spans="1:9">
      <c r="A66" s="24"/>
      <c r="C66" s="14" t="s">
        <v>45</v>
      </c>
      <c r="F66" s="27" t="s">
        <v>70</v>
      </c>
      <c r="G66" s="48">
        <f t="shared" si="3"/>
        <v>1</v>
      </c>
      <c r="H66" s="70">
        <v>75000</v>
      </c>
      <c r="I66" s="36"/>
    </row>
    <row r="67" spans="1:9">
      <c r="A67" s="24"/>
      <c r="C67" s="14"/>
      <c r="F67" s="27" t="s">
        <v>71</v>
      </c>
      <c r="G67" s="48">
        <f t="shared" si="3"/>
        <v>1</v>
      </c>
      <c r="H67" s="70">
        <v>65000</v>
      </c>
      <c r="I67" s="36"/>
    </row>
    <row r="68" spans="1:9" ht="13.5" thickBot="1">
      <c r="A68" s="24"/>
      <c r="C68" s="14"/>
      <c r="F68" s="27" t="s">
        <v>72</v>
      </c>
      <c r="G68" s="48">
        <f t="shared" si="3"/>
        <v>1</v>
      </c>
      <c r="H68" s="71">
        <v>90000</v>
      </c>
      <c r="I68" s="36"/>
    </row>
    <row r="69" spans="1:9">
      <c r="A69" s="24"/>
      <c r="C69" s="14"/>
      <c r="H69" s="23"/>
      <c r="I69" s="36"/>
    </row>
    <row r="70" spans="1:9">
      <c r="A70" s="24"/>
      <c r="H70" s="23"/>
    </row>
    <row r="71" spans="1:9" ht="13.5" thickBot="1">
      <c r="A71" s="24"/>
      <c r="C71" s="29" t="s">
        <v>5</v>
      </c>
      <c r="D71" s="29" t="s">
        <v>6</v>
      </c>
      <c r="E71" s="29" t="s">
        <v>7</v>
      </c>
      <c r="F71" s="29" t="s">
        <v>8</v>
      </c>
      <c r="G71" s="29" t="s">
        <v>9</v>
      </c>
      <c r="H71" s="30" t="s">
        <v>13</v>
      </c>
    </row>
    <row r="72" spans="1:9">
      <c r="A72" s="26" t="s">
        <v>39</v>
      </c>
      <c r="B72" s="27" t="s">
        <v>70</v>
      </c>
      <c r="C72" s="43">
        <v>0</v>
      </c>
      <c r="D72" s="44">
        <v>0</v>
      </c>
      <c r="E72" s="44">
        <v>0</v>
      </c>
      <c r="F72" s="44">
        <v>0</v>
      </c>
      <c r="G72" s="45">
        <v>0</v>
      </c>
      <c r="H72" s="72">
        <f t="shared" ref="H72:H83" si="4">SUM(C72:G72)</f>
        <v>0</v>
      </c>
      <c r="I72" s="73">
        <f>C47</f>
        <v>0</v>
      </c>
    </row>
    <row r="73" spans="1:9">
      <c r="A73" s="26"/>
      <c r="B73" s="27" t="s">
        <v>71</v>
      </c>
      <c r="C73" s="47">
        <v>0</v>
      </c>
      <c r="D73" s="48">
        <v>15000</v>
      </c>
      <c r="E73" s="48">
        <v>0</v>
      </c>
      <c r="F73" s="48">
        <v>0</v>
      </c>
      <c r="G73" s="49">
        <v>0</v>
      </c>
      <c r="H73" s="74">
        <f t="shared" si="4"/>
        <v>15000</v>
      </c>
      <c r="I73" s="73">
        <f>C48</f>
        <v>0</v>
      </c>
    </row>
    <row r="74" spans="1:9">
      <c r="A74" s="26"/>
      <c r="B74" s="27" t="s">
        <v>72</v>
      </c>
      <c r="C74" s="47">
        <v>0</v>
      </c>
      <c r="D74" s="48">
        <v>22000</v>
      </c>
      <c r="E74" s="48">
        <v>0</v>
      </c>
      <c r="F74" s="48">
        <v>20000</v>
      </c>
      <c r="G74" s="49">
        <v>0</v>
      </c>
      <c r="H74" s="74">
        <f t="shared" si="4"/>
        <v>42000</v>
      </c>
      <c r="I74" s="73">
        <f>C49</f>
        <v>1</v>
      </c>
    </row>
    <row r="75" spans="1:9">
      <c r="A75" s="26" t="s">
        <v>40</v>
      </c>
      <c r="B75" s="27" t="s">
        <v>70</v>
      </c>
      <c r="C75" s="47">
        <v>30000</v>
      </c>
      <c r="D75" s="48">
        <v>23000</v>
      </c>
      <c r="E75" s="48">
        <v>15000</v>
      </c>
      <c r="F75" s="48">
        <v>32000</v>
      </c>
      <c r="G75" s="49">
        <v>16000</v>
      </c>
      <c r="H75" s="74">
        <f t="shared" si="4"/>
        <v>116000</v>
      </c>
      <c r="I75" s="73">
        <f>D47</f>
        <v>0</v>
      </c>
    </row>
    <row r="76" spans="1:9">
      <c r="A76" s="26"/>
      <c r="B76" s="27" t="s">
        <v>71</v>
      </c>
      <c r="C76" s="47">
        <v>0</v>
      </c>
      <c r="D76" s="48">
        <v>0</v>
      </c>
      <c r="E76" s="48">
        <v>0</v>
      </c>
      <c r="F76" s="48">
        <v>12000</v>
      </c>
      <c r="G76" s="49">
        <v>0</v>
      </c>
      <c r="H76" s="74">
        <f t="shared" si="4"/>
        <v>12000</v>
      </c>
      <c r="I76" s="73">
        <f>D48</f>
        <v>1</v>
      </c>
    </row>
    <row r="77" spans="1:9">
      <c r="A77" s="26"/>
      <c r="B77" s="27" t="s">
        <v>72</v>
      </c>
      <c r="C77" s="47">
        <v>25000</v>
      </c>
      <c r="D77" s="48">
        <v>0</v>
      </c>
      <c r="E77" s="48">
        <v>16000</v>
      </c>
      <c r="F77" s="48">
        <v>0</v>
      </c>
      <c r="G77" s="49">
        <v>0</v>
      </c>
      <c r="H77" s="74">
        <f t="shared" si="4"/>
        <v>41000</v>
      </c>
      <c r="I77" s="73">
        <f>D49</f>
        <v>1</v>
      </c>
    </row>
    <row r="78" spans="1:9">
      <c r="A78" s="26" t="s">
        <v>41</v>
      </c>
      <c r="B78" s="27" t="s">
        <v>70</v>
      </c>
      <c r="C78" s="47">
        <v>0</v>
      </c>
      <c r="D78" s="48">
        <v>0</v>
      </c>
      <c r="E78" s="48">
        <v>0</v>
      </c>
      <c r="F78" s="48">
        <v>0</v>
      </c>
      <c r="G78" s="49">
        <v>0</v>
      </c>
      <c r="H78" s="74">
        <f t="shared" si="4"/>
        <v>0</v>
      </c>
      <c r="I78" s="73">
        <f>E47</f>
        <v>0</v>
      </c>
    </row>
    <row r="79" spans="1:9">
      <c r="A79" s="26"/>
      <c r="B79" s="27" t="s">
        <v>71</v>
      </c>
      <c r="C79" s="47">
        <v>20000</v>
      </c>
      <c r="D79" s="48">
        <v>0</v>
      </c>
      <c r="E79" s="48">
        <v>0</v>
      </c>
      <c r="F79" s="48">
        <v>0</v>
      </c>
      <c r="G79" s="49">
        <v>18000</v>
      </c>
      <c r="H79" s="74">
        <f t="shared" si="4"/>
        <v>38000</v>
      </c>
      <c r="I79" s="73">
        <f>E48</f>
        <v>0</v>
      </c>
    </row>
    <row r="80" spans="1:9">
      <c r="A80" s="26"/>
      <c r="B80" s="27" t="s">
        <v>72</v>
      </c>
      <c r="C80" s="47">
        <v>0</v>
      </c>
      <c r="D80" s="48">
        <v>0</v>
      </c>
      <c r="E80" s="48">
        <v>0</v>
      </c>
      <c r="F80" s="48">
        <v>0</v>
      </c>
      <c r="G80" s="49">
        <v>25000</v>
      </c>
      <c r="H80" s="74">
        <f t="shared" si="4"/>
        <v>25000</v>
      </c>
      <c r="I80" s="73">
        <f>E49</f>
        <v>0</v>
      </c>
    </row>
    <row r="81" spans="1:9">
      <c r="A81" s="26" t="s">
        <v>42</v>
      </c>
      <c r="B81" s="27" t="s">
        <v>70</v>
      </c>
      <c r="C81" s="47">
        <v>0</v>
      </c>
      <c r="D81" s="48">
        <v>0</v>
      </c>
      <c r="E81" s="48">
        <v>0</v>
      </c>
      <c r="F81" s="48">
        <v>0</v>
      </c>
      <c r="G81" s="49">
        <v>0</v>
      </c>
      <c r="H81" s="74">
        <f t="shared" si="4"/>
        <v>0</v>
      </c>
      <c r="I81" s="73">
        <f>F47</f>
        <v>2</v>
      </c>
    </row>
    <row r="82" spans="1:9">
      <c r="A82" s="26"/>
      <c r="B82" s="27" t="s">
        <v>71</v>
      </c>
      <c r="C82" s="47">
        <v>0</v>
      </c>
      <c r="D82" s="48">
        <v>0</v>
      </c>
      <c r="E82" s="48">
        <v>22000</v>
      </c>
      <c r="F82" s="48">
        <v>0</v>
      </c>
      <c r="G82" s="49">
        <v>0</v>
      </c>
      <c r="H82" s="74">
        <f t="shared" si="4"/>
        <v>22000</v>
      </c>
      <c r="I82" s="73">
        <f>F48</f>
        <v>1</v>
      </c>
    </row>
    <row r="83" spans="1:9" ht="13.5" thickBot="1">
      <c r="A83" s="26"/>
      <c r="B83" s="27" t="s">
        <v>72</v>
      </c>
      <c r="C83" s="51">
        <v>0</v>
      </c>
      <c r="D83" s="52">
        <v>0</v>
      </c>
      <c r="E83" s="52">
        <v>0</v>
      </c>
      <c r="F83" s="52">
        <v>0</v>
      </c>
      <c r="G83" s="53">
        <v>0</v>
      </c>
      <c r="H83" s="75">
        <f t="shared" si="4"/>
        <v>0</v>
      </c>
      <c r="I83" s="73">
        <f>F49</f>
        <v>0</v>
      </c>
    </row>
    <row r="84" spans="1:9">
      <c r="A84" s="55" t="s">
        <v>13</v>
      </c>
      <c r="B84" s="27" t="s">
        <v>70</v>
      </c>
      <c r="C84" s="76">
        <f t="shared" ref="C84:G86" si="5">SUM(C55,C58,C72,C75,C78,C81)</f>
        <v>30000</v>
      </c>
      <c r="D84" s="77">
        <f t="shared" si="5"/>
        <v>23000</v>
      </c>
      <c r="E84" s="77">
        <f t="shared" si="5"/>
        <v>15000</v>
      </c>
      <c r="F84" s="77">
        <f t="shared" si="5"/>
        <v>32000</v>
      </c>
      <c r="G84" s="78">
        <f t="shared" si="5"/>
        <v>16000</v>
      </c>
      <c r="H84" s="79"/>
      <c r="I84" s="36"/>
    </row>
    <row r="85" spans="1:9">
      <c r="A85" s="55"/>
      <c r="B85" s="27" t="s">
        <v>71</v>
      </c>
      <c r="C85" s="80">
        <f t="shared" si="5"/>
        <v>20000</v>
      </c>
      <c r="D85" s="48">
        <f t="shared" si="5"/>
        <v>15000</v>
      </c>
      <c r="E85" s="48">
        <f t="shared" si="5"/>
        <v>22000</v>
      </c>
      <c r="F85" s="48">
        <f t="shared" si="5"/>
        <v>12000</v>
      </c>
      <c r="G85" s="81">
        <f t="shared" si="5"/>
        <v>18000</v>
      </c>
      <c r="H85" s="79"/>
      <c r="I85" s="36"/>
    </row>
    <row r="86" spans="1:9" ht="13.5" thickBot="1">
      <c r="A86" s="55"/>
      <c r="B86" s="27" t="s">
        <v>72</v>
      </c>
      <c r="C86" s="82">
        <f t="shared" si="5"/>
        <v>25000</v>
      </c>
      <c r="D86" s="83">
        <f t="shared" si="5"/>
        <v>22000</v>
      </c>
      <c r="E86" s="83">
        <f t="shared" si="5"/>
        <v>16000</v>
      </c>
      <c r="F86" s="83">
        <f t="shared" si="5"/>
        <v>20000</v>
      </c>
      <c r="G86" s="84">
        <f t="shared" si="5"/>
        <v>25000</v>
      </c>
      <c r="H86" s="79"/>
      <c r="I86" s="36"/>
    </row>
    <row r="87" spans="1:9">
      <c r="A87" s="26" t="s">
        <v>46</v>
      </c>
      <c r="B87" s="27" t="s">
        <v>70</v>
      </c>
      <c r="C87" s="57">
        <v>30000</v>
      </c>
      <c r="D87" s="58">
        <v>23000</v>
      </c>
      <c r="E87" s="58">
        <v>15000</v>
      </c>
      <c r="F87" s="58">
        <v>32000</v>
      </c>
      <c r="G87" s="59">
        <v>16000</v>
      </c>
      <c r="H87" s="79"/>
      <c r="I87" s="36"/>
    </row>
    <row r="88" spans="1:9">
      <c r="A88" s="26"/>
      <c r="B88" s="27" t="s">
        <v>71</v>
      </c>
      <c r="C88" s="60">
        <v>20000</v>
      </c>
      <c r="D88" s="48">
        <v>15000</v>
      </c>
      <c r="E88" s="48">
        <v>22000</v>
      </c>
      <c r="F88" s="48">
        <v>12000</v>
      </c>
      <c r="G88" s="61">
        <v>18000</v>
      </c>
      <c r="H88" s="79"/>
      <c r="I88" s="36"/>
    </row>
    <row r="89" spans="1:9" ht="13.5" thickBot="1">
      <c r="A89" s="26"/>
      <c r="B89" s="27" t="s">
        <v>72</v>
      </c>
      <c r="C89" s="62">
        <v>25000</v>
      </c>
      <c r="D89" s="63">
        <v>22000</v>
      </c>
      <c r="E89" s="63">
        <v>16000</v>
      </c>
      <c r="F89" s="63">
        <v>20000</v>
      </c>
      <c r="G89" s="64">
        <v>25000</v>
      </c>
      <c r="H89" s="79"/>
      <c r="I89" s="36"/>
    </row>
    <row r="90" spans="1:9" ht="13.5" thickBot="1">
      <c r="A90" s="24"/>
      <c r="H90" s="23"/>
    </row>
    <row r="91" spans="1:9" ht="14.25" thickTop="1" thickBot="1">
      <c r="A91" s="85" t="s">
        <v>16</v>
      </c>
      <c r="B91" s="86"/>
      <c r="C91" s="87">
        <f>SUMPRODUCT(C10:F15,C41:F46)+SUMPRODUCT(C18:G23,C55:G60)+SUMPRODUCT(C26:G37,C72:G83)</f>
        <v>259253.55</v>
      </c>
      <c r="D91" s="88"/>
      <c r="E91" s="88"/>
      <c r="F91" s="88"/>
      <c r="G91" s="88"/>
      <c r="H91" s="89"/>
    </row>
    <row r="92" spans="1:9" ht="13.5" thickTop="1"/>
    <row r="93" spans="1:9" ht="13.5" thickBot="1"/>
    <row r="94" spans="1:9" ht="13.5" thickTop="1">
      <c r="A94" s="200" t="s">
        <v>17</v>
      </c>
      <c r="B94" s="189"/>
      <c r="C94" s="189"/>
      <c r="D94" s="189"/>
      <c r="E94" s="189"/>
      <c r="F94" s="189"/>
      <c r="G94" s="189"/>
      <c r="H94" s="190"/>
    </row>
    <row r="95" spans="1:9">
      <c r="A95" s="196" t="s">
        <v>73</v>
      </c>
      <c r="B95" s="191"/>
      <c r="C95" s="191"/>
      <c r="D95" s="191"/>
      <c r="E95" s="191"/>
      <c r="F95" s="191"/>
      <c r="G95" s="191"/>
      <c r="H95" s="192"/>
    </row>
    <row r="96" spans="1:9">
      <c r="A96" s="196" t="s">
        <v>74</v>
      </c>
      <c r="B96" s="191"/>
      <c r="C96" s="191"/>
      <c r="D96" s="191"/>
      <c r="E96" s="191"/>
      <c r="F96" s="191"/>
      <c r="G96" s="191"/>
      <c r="H96" s="192"/>
    </row>
    <row r="97" spans="1:8">
      <c r="A97" s="196"/>
      <c r="B97" s="191"/>
      <c r="C97" s="191"/>
      <c r="D97" s="191"/>
      <c r="E97" s="191"/>
      <c r="F97" s="191"/>
      <c r="G97" s="191"/>
      <c r="H97" s="192"/>
    </row>
    <row r="98" spans="1:8">
      <c r="A98" s="201" t="s">
        <v>21</v>
      </c>
      <c r="B98" s="191"/>
      <c r="C98" s="191"/>
      <c r="D98" s="191"/>
      <c r="E98" s="191"/>
      <c r="F98" s="191"/>
      <c r="G98" s="191"/>
      <c r="H98" s="192"/>
    </row>
    <row r="99" spans="1:8">
      <c r="A99" s="196" t="s">
        <v>75</v>
      </c>
      <c r="B99" s="191"/>
      <c r="C99" s="191"/>
      <c r="D99" s="191"/>
      <c r="E99" s="191"/>
      <c r="F99" s="191"/>
      <c r="G99" s="191"/>
      <c r="H99" s="192"/>
    </row>
    <row r="100" spans="1:8">
      <c r="A100" s="196" t="s">
        <v>76</v>
      </c>
      <c r="B100" s="191"/>
      <c r="C100" s="191"/>
      <c r="D100" s="191"/>
      <c r="E100" s="191"/>
      <c r="F100" s="191"/>
      <c r="G100" s="191"/>
      <c r="H100" s="192"/>
    </row>
    <row r="101" spans="1:8">
      <c r="A101" s="196" t="s">
        <v>77</v>
      </c>
      <c r="B101" s="191"/>
      <c r="C101" s="191"/>
      <c r="D101" s="191"/>
      <c r="E101" s="191"/>
      <c r="F101" s="191"/>
      <c r="G101" s="191"/>
      <c r="H101" s="192"/>
    </row>
    <row r="102" spans="1:8">
      <c r="A102" s="196"/>
      <c r="B102" s="191"/>
      <c r="C102" s="191"/>
      <c r="D102" s="191"/>
      <c r="E102" s="191"/>
      <c r="F102" s="191"/>
      <c r="G102" s="191"/>
      <c r="H102" s="192"/>
    </row>
    <row r="103" spans="1:8">
      <c r="A103" s="201" t="s">
        <v>30</v>
      </c>
      <c r="B103" s="191"/>
      <c r="C103" s="191"/>
      <c r="D103" s="191"/>
      <c r="E103" s="191"/>
      <c r="F103" s="191"/>
      <c r="G103" s="191"/>
      <c r="H103" s="192"/>
    </row>
    <row r="104" spans="1:8">
      <c r="A104" s="196" t="s">
        <v>78</v>
      </c>
      <c r="B104" s="191"/>
      <c r="C104" s="191"/>
      <c r="D104" s="191"/>
      <c r="E104" s="191"/>
      <c r="F104" s="191"/>
      <c r="G104" s="191"/>
      <c r="H104" s="192"/>
    </row>
    <row r="105" spans="1:8">
      <c r="A105" s="196" t="s">
        <v>79</v>
      </c>
      <c r="B105" s="191"/>
      <c r="C105" s="191"/>
      <c r="D105" s="191"/>
      <c r="E105" s="191"/>
      <c r="F105" s="191"/>
      <c r="G105" s="191"/>
      <c r="H105" s="192"/>
    </row>
    <row r="106" spans="1:8">
      <c r="A106" s="196" t="s">
        <v>80</v>
      </c>
      <c r="B106" s="191"/>
      <c r="C106" s="191"/>
      <c r="D106" s="191"/>
      <c r="E106" s="191"/>
      <c r="F106" s="191"/>
      <c r="G106" s="191"/>
      <c r="H106" s="192"/>
    </row>
    <row r="107" spans="1:8">
      <c r="A107" s="196" t="s">
        <v>81</v>
      </c>
      <c r="B107" s="191"/>
      <c r="C107" s="191"/>
      <c r="D107" s="191"/>
      <c r="E107" s="191"/>
      <c r="F107" s="191"/>
      <c r="G107" s="191"/>
      <c r="H107" s="192"/>
    </row>
    <row r="108" spans="1:8" ht="13.5" thickBot="1">
      <c r="A108" s="198" t="s">
        <v>82</v>
      </c>
      <c r="B108" s="193"/>
      <c r="C108" s="193"/>
      <c r="D108" s="193"/>
      <c r="E108" s="193"/>
      <c r="F108" s="193"/>
      <c r="G108" s="193"/>
      <c r="H108" s="194"/>
    </row>
    <row r="109" spans="1:8" ht="13.5" thickTop="1"/>
  </sheetData>
  <printOptions gridLinesSet="0"/>
  <pageMargins left="0.75" right="0.75" top="1" bottom="1" header="0.5" footer="0.5"/>
  <pageSetup orientation="portrait" horizontalDpi="0" verticalDpi="4294967292" copies="0"/>
  <headerFooter alignWithMargins="0">
    <oddHeader>&amp;F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55"/>
  <sheetViews>
    <sheetView showGridLines="0" workbookViewId="0">
      <selection activeCell="M27" sqref="M27"/>
    </sheetView>
  </sheetViews>
  <sheetFormatPr defaultColWidth="8.7109375" defaultRowHeight="12.75"/>
  <cols>
    <col min="1" max="1" width="12.140625" customWidth="1"/>
    <col min="7" max="7" width="10" customWidth="1"/>
    <col min="8" max="8" width="11.28515625" customWidth="1"/>
  </cols>
  <sheetData>
    <row r="1" spans="1:11" ht="13.5" thickBot="1">
      <c r="A1" s="126" t="s">
        <v>83</v>
      </c>
    </row>
    <row r="2" spans="1:11" ht="13.5" thickTop="1">
      <c r="A2" s="127" t="s">
        <v>84</v>
      </c>
      <c r="B2" s="128"/>
      <c r="C2" s="128"/>
      <c r="D2" s="128"/>
      <c r="E2" s="128"/>
      <c r="F2" s="128"/>
      <c r="G2" s="129"/>
    </row>
    <row r="3" spans="1:11">
      <c r="A3" s="130" t="s">
        <v>85</v>
      </c>
      <c r="B3" s="131"/>
      <c r="C3" s="131"/>
      <c r="D3" s="131"/>
      <c r="E3" s="131"/>
      <c r="F3" s="131"/>
      <c r="G3" s="132"/>
    </row>
    <row r="4" spans="1:11" ht="13.5" thickBot="1">
      <c r="A4" s="133" t="s">
        <v>86</v>
      </c>
      <c r="B4" s="134"/>
      <c r="C4" s="134"/>
      <c r="D4" s="134"/>
      <c r="E4" s="134"/>
      <c r="F4" s="134"/>
      <c r="G4" s="135"/>
    </row>
    <row r="5" spans="1:11" ht="5.25" customHeight="1" thickTop="1" thickBot="1"/>
    <row r="6" spans="1:11" ht="13.5" thickTop="1">
      <c r="A6" s="41" t="s">
        <v>87</v>
      </c>
      <c r="B6" s="17"/>
      <c r="C6" s="17"/>
      <c r="D6" s="17"/>
      <c r="E6" s="18"/>
    </row>
    <row r="7" spans="1:11">
      <c r="A7" s="136"/>
      <c r="B7" s="137" t="s">
        <v>88</v>
      </c>
      <c r="C7" s="137" t="s">
        <v>89</v>
      </c>
      <c r="D7" s="137" t="s">
        <v>90</v>
      </c>
      <c r="E7" s="138" t="s">
        <v>91</v>
      </c>
      <c r="K7" s="126" t="s">
        <v>169</v>
      </c>
    </row>
    <row r="8" spans="1:11" ht="13.5" thickBot="1">
      <c r="A8" s="139" t="s">
        <v>92</v>
      </c>
      <c r="B8" s="140">
        <v>1200</v>
      </c>
      <c r="C8" s="140">
        <v>800</v>
      </c>
      <c r="D8" s="140">
        <v>1300</v>
      </c>
      <c r="E8" s="141">
        <v>700</v>
      </c>
      <c r="K8" s="33">
        <f>MIN($H$20)</f>
        <v>100</v>
      </c>
    </row>
    <row r="9" spans="1:11" ht="13.5" thickTop="1">
      <c r="A9" s="15" t="s">
        <v>93</v>
      </c>
      <c r="B9" s="17"/>
      <c r="C9" s="17"/>
      <c r="D9" s="17"/>
      <c r="E9" s="18"/>
      <c r="K9">
        <f>COUNT($B$11:$E$13,$B$17:$E$19)</f>
        <v>24</v>
      </c>
    </row>
    <row r="10" spans="1:11" ht="13.5" thickBot="1">
      <c r="A10" s="24"/>
      <c r="B10" s="137" t="s">
        <v>88</v>
      </c>
      <c r="C10" s="137" t="s">
        <v>89</v>
      </c>
      <c r="D10" s="137" t="s">
        <v>90</v>
      </c>
      <c r="E10" s="138" t="s">
        <v>91</v>
      </c>
      <c r="K10" t="b">
        <f t="array" ref="K10">Gallons_loaded&lt;=Maximum_gallons</f>
        <v>1</v>
      </c>
    </row>
    <row r="11" spans="1:11" ht="13.5" thickTop="1">
      <c r="A11" s="136" t="s">
        <v>94</v>
      </c>
      <c r="B11" s="142">
        <v>1</v>
      </c>
      <c r="C11" s="143">
        <v>0</v>
      </c>
      <c r="D11" s="143">
        <v>0</v>
      </c>
      <c r="E11" s="144">
        <v>1</v>
      </c>
      <c r="K11" t="b">
        <f t="array" ref="K11">Gallons_loaded&gt;=0</f>
        <v>1</v>
      </c>
    </row>
    <row r="12" spans="1:11">
      <c r="A12" s="136" t="s">
        <v>95</v>
      </c>
      <c r="B12" s="145">
        <v>0</v>
      </c>
      <c r="C12" s="68">
        <v>0</v>
      </c>
      <c r="D12" s="68">
        <v>1</v>
      </c>
      <c r="E12" s="146">
        <v>0</v>
      </c>
      <c r="K12" t="b">
        <f t="array" ref="K12">($B$11:$E$13=0)+($B$11:$E$13=1)=1</f>
        <v>1</v>
      </c>
    </row>
    <row r="13" spans="1:11" ht="13.5" thickBot="1">
      <c r="A13" s="136" t="s">
        <v>96</v>
      </c>
      <c r="B13" s="147">
        <v>0</v>
      </c>
      <c r="C13" s="148">
        <v>1</v>
      </c>
      <c r="D13" s="148">
        <v>0</v>
      </c>
      <c r="E13" s="149">
        <v>0</v>
      </c>
      <c r="K13" t="b">
        <f t="array" ref="K13">Total_decisions&lt;=1</f>
        <v>1</v>
      </c>
    </row>
    <row r="14" spans="1:11" ht="14.25" thickTop="1" thickBot="1">
      <c r="A14" s="150" t="s">
        <v>13</v>
      </c>
      <c r="B14" s="148">
        <f>SUM(B11:B13)</f>
        <v>1</v>
      </c>
      <c r="C14" s="148">
        <f>SUM(C11:C13)</f>
        <v>1</v>
      </c>
      <c r="D14" s="148">
        <f>SUM(D11:D13)</f>
        <v>1</v>
      </c>
      <c r="E14" s="151">
        <f>SUM(E11:E13)</f>
        <v>1</v>
      </c>
      <c r="K14" t="b">
        <f t="array" ref="K14">Total_gallons&lt;=Demand</f>
        <v>1</v>
      </c>
    </row>
    <row r="15" spans="1:11" ht="13.5" thickTop="1">
      <c r="A15" s="15" t="s">
        <v>97</v>
      </c>
      <c r="B15" s="17"/>
      <c r="C15" s="17"/>
      <c r="D15" s="17"/>
      <c r="E15" s="17"/>
      <c r="F15" s="17"/>
      <c r="G15" s="17"/>
      <c r="H15" s="18"/>
      <c r="K15">
        <f>{32767,32767,0.000001,0.01,TRUE,FALSE,TRUE,1,1,1,0.0001,TRUE}</f>
        <v>32767</v>
      </c>
    </row>
    <row r="16" spans="1:11" ht="13.5" thickBot="1">
      <c r="A16" s="24"/>
      <c r="B16" s="137" t="s">
        <v>88</v>
      </c>
      <c r="C16" s="137" t="s">
        <v>89</v>
      </c>
      <c r="D16" s="137" t="s">
        <v>90</v>
      </c>
      <c r="E16" s="137" t="s">
        <v>91</v>
      </c>
      <c r="F16" s="137" t="s">
        <v>13</v>
      </c>
      <c r="G16" s="137" t="s">
        <v>15</v>
      </c>
      <c r="H16" s="138" t="s">
        <v>98</v>
      </c>
      <c r="K16">
        <f>{0,0,2,100,0,FALSE,TRUE,0.075,0,0,FALSE,30}</f>
        <v>0</v>
      </c>
    </row>
    <row r="17" spans="1:8" ht="13.5" thickTop="1">
      <c r="A17" s="136" t="s">
        <v>94</v>
      </c>
      <c r="B17" s="152">
        <v>1100</v>
      </c>
      <c r="C17" s="153">
        <v>0</v>
      </c>
      <c r="D17" s="153">
        <v>0</v>
      </c>
      <c r="E17" s="154">
        <v>700</v>
      </c>
      <c r="F17" s="68">
        <f>SUM(B17:E17)</f>
        <v>1800</v>
      </c>
      <c r="G17" s="155">
        <v>1800</v>
      </c>
      <c r="H17" s="156">
        <f>(G17-F17)*0.25</f>
        <v>0</v>
      </c>
    </row>
    <row r="18" spans="1:8">
      <c r="A18" s="136" t="s">
        <v>95</v>
      </c>
      <c r="B18" s="157">
        <v>0</v>
      </c>
      <c r="C18" s="34">
        <v>0</v>
      </c>
      <c r="D18" s="34">
        <v>1300</v>
      </c>
      <c r="E18" s="158">
        <v>6.4837024638109104E-14</v>
      </c>
      <c r="F18" s="68">
        <f>SUM(B18:E18)</f>
        <v>1300</v>
      </c>
      <c r="G18" s="159">
        <v>1500</v>
      </c>
      <c r="H18" s="156">
        <f>(G18-F18)*0.25</f>
        <v>50</v>
      </c>
    </row>
    <row r="19" spans="1:8" ht="13.5" thickBot="1">
      <c r="A19" s="136" t="s">
        <v>96</v>
      </c>
      <c r="B19" s="160">
        <v>2.8421709430404001E-14</v>
      </c>
      <c r="C19" s="161">
        <v>800</v>
      </c>
      <c r="D19" s="161">
        <v>0</v>
      </c>
      <c r="E19" s="162">
        <v>0</v>
      </c>
      <c r="F19" s="68">
        <f>SUM(B19:E19)</f>
        <v>800</v>
      </c>
      <c r="G19" s="163">
        <v>1000</v>
      </c>
      <c r="H19" s="156">
        <f>(G19-F19)*0.25</f>
        <v>50</v>
      </c>
    </row>
    <row r="20" spans="1:8" ht="14.25" thickTop="1" thickBot="1">
      <c r="A20" s="124"/>
      <c r="B20" s="88"/>
      <c r="C20" s="88"/>
      <c r="D20" s="88"/>
      <c r="E20" s="88"/>
      <c r="F20" s="88"/>
      <c r="G20" s="123" t="s">
        <v>99</v>
      </c>
      <c r="H20" s="164">
        <f>SUM(H17:H19)</f>
        <v>100</v>
      </c>
    </row>
    <row r="21" spans="1:8" ht="13.5" thickTop="1">
      <c r="A21" s="41" t="s">
        <v>100</v>
      </c>
      <c r="B21" s="17"/>
      <c r="C21" s="17"/>
      <c r="D21" s="17"/>
      <c r="E21" s="18"/>
    </row>
    <row r="22" spans="1:8" ht="13.5" thickBot="1">
      <c r="A22" s="24"/>
      <c r="B22" s="137" t="s">
        <v>88</v>
      </c>
      <c r="C22" s="137" t="s">
        <v>89</v>
      </c>
      <c r="D22" s="137" t="s">
        <v>90</v>
      </c>
      <c r="E22" s="138" t="s">
        <v>91</v>
      </c>
    </row>
    <row r="23" spans="1:8" ht="13.5" thickTop="1">
      <c r="A23" s="136" t="s">
        <v>94</v>
      </c>
      <c r="B23" s="165">
        <f t="shared" ref="B23:E25" si="0">B11*B$8</f>
        <v>1200</v>
      </c>
      <c r="C23" s="166">
        <f t="shared" si="0"/>
        <v>0</v>
      </c>
      <c r="D23" s="166">
        <f t="shared" si="0"/>
        <v>0</v>
      </c>
      <c r="E23" s="167">
        <f t="shared" si="0"/>
        <v>700</v>
      </c>
    </row>
    <row r="24" spans="1:8">
      <c r="A24" s="136" t="s">
        <v>95</v>
      </c>
      <c r="B24" s="168">
        <f t="shared" si="0"/>
        <v>0</v>
      </c>
      <c r="C24" s="68">
        <f t="shared" si="0"/>
        <v>0</v>
      </c>
      <c r="D24" s="68">
        <f t="shared" si="0"/>
        <v>1300</v>
      </c>
      <c r="E24" s="169">
        <f t="shared" si="0"/>
        <v>0</v>
      </c>
    </row>
    <row r="25" spans="1:8" ht="13.5" thickBot="1">
      <c r="A25" s="150" t="s">
        <v>96</v>
      </c>
      <c r="B25" s="170">
        <f t="shared" si="0"/>
        <v>0</v>
      </c>
      <c r="C25" s="171">
        <f t="shared" si="0"/>
        <v>800</v>
      </c>
      <c r="D25" s="171">
        <f t="shared" si="0"/>
        <v>0</v>
      </c>
      <c r="E25" s="172">
        <f t="shared" si="0"/>
        <v>0</v>
      </c>
    </row>
    <row r="26" spans="1:8" ht="13.5" thickTop="1"/>
    <row r="27" spans="1:8" ht="13.5" thickBot="1"/>
    <row r="28" spans="1:8" ht="13.5" thickTop="1">
      <c r="A28" s="200" t="s">
        <v>17</v>
      </c>
      <c r="B28" s="195"/>
      <c r="C28" s="189"/>
      <c r="D28" s="189"/>
      <c r="E28" s="189"/>
      <c r="F28" s="189"/>
      <c r="G28" s="189"/>
      <c r="H28" s="190"/>
    </row>
    <row r="29" spans="1:8">
      <c r="A29" s="196" t="s">
        <v>101</v>
      </c>
      <c r="B29" s="197"/>
      <c r="C29" s="191"/>
      <c r="D29" s="191"/>
      <c r="E29" s="191"/>
      <c r="F29" s="191"/>
      <c r="G29" s="191"/>
      <c r="H29" s="192"/>
    </row>
    <row r="30" spans="1:8">
      <c r="A30" s="196" t="s">
        <v>102</v>
      </c>
      <c r="B30" s="197"/>
      <c r="C30" s="191"/>
      <c r="D30" s="191"/>
      <c r="E30" s="191"/>
      <c r="F30" s="191"/>
      <c r="G30" s="191"/>
      <c r="H30" s="192"/>
    </row>
    <row r="31" spans="1:8">
      <c r="A31" s="196" t="s">
        <v>103</v>
      </c>
      <c r="B31" s="197"/>
      <c r="C31" s="191"/>
      <c r="D31" s="191"/>
      <c r="E31" s="191"/>
      <c r="F31" s="191"/>
      <c r="G31" s="191"/>
      <c r="H31" s="192"/>
    </row>
    <row r="32" spans="1:8">
      <c r="A32" s="196"/>
      <c r="B32" s="197"/>
      <c r="C32" s="191"/>
      <c r="D32" s="191"/>
      <c r="E32" s="191"/>
      <c r="F32" s="191"/>
      <c r="G32" s="191"/>
      <c r="H32" s="192"/>
    </row>
    <row r="33" spans="1:8">
      <c r="A33" s="201" t="s">
        <v>21</v>
      </c>
      <c r="B33" s="197"/>
      <c r="C33" s="191"/>
      <c r="D33" s="191"/>
      <c r="E33" s="191"/>
      <c r="F33" s="191"/>
      <c r="G33" s="191"/>
      <c r="H33" s="192"/>
    </row>
    <row r="34" spans="1:8">
      <c r="A34" s="196" t="s">
        <v>104</v>
      </c>
      <c r="B34" s="197"/>
      <c r="C34" s="191"/>
      <c r="D34" s="191"/>
      <c r="E34" s="191"/>
      <c r="F34" s="191"/>
      <c r="G34" s="191"/>
      <c r="H34" s="192"/>
    </row>
    <row r="35" spans="1:8">
      <c r="A35" s="196" t="s">
        <v>105</v>
      </c>
      <c r="B35" s="197"/>
      <c r="C35" s="191"/>
      <c r="D35" s="191"/>
      <c r="E35" s="191"/>
      <c r="F35" s="191"/>
      <c r="G35" s="191"/>
      <c r="H35" s="192"/>
    </row>
    <row r="36" spans="1:8">
      <c r="A36" s="196" t="s">
        <v>106</v>
      </c>
      <c r="B36" s="197"/>
      <c r="C36" s="191"/>
      <c r="D36" s="191"/>
      <c r="E36" s="191"/>
      <c r="F36" s="191"/>
      <c r="G36" s="191"/>
      <c r="H36" s="192"/>
    </row>
    <row r="37" spans="1:8">
      <c r="A37" s="196" t="s">
        <v>107</v>
      </c>
      <c r="B37" s="197"/>
      <c r="C37" s="191"/>
      <c r="D37" s="191"/>
      <c r="E37" s="191"/>
      <c r="F37" s="191"/>
      <c r="G37" s="191"/>
      <c r="H37" s="192"/>
    </row>
    <row r="38" spans="1:8">
      <c r="A38" s="196"/>
      <c r="B38" s="197" t="s">
        <v>108</v>
      </c>
      <c r="C38" s="191"/>
      <c r="D38" s="191"/>
      <c r="E38" s="191"/>
      <c r="F38" s="191"/>
      <c r="G38" s="191"/>
      <c r="H38" s="192"/>
    </row>
    <row r="39" spans="1:8">
      <c r="A39" s="196"/>
      <c r="B39" s="197" t="s">
        <v>109</v>
      </c>
      <c r="C39" s="191"/>
      <c r="D39" s="191"/>
      <c r="E39" s="191"/>
      <c r="F39" s="191"/>
      <c r="G39" s="191"/>
      <c r="H39" s="192"/>
    </row>
    <row r="40" spans="1:8">
      <c r="A40" s="196" t="s">
        <v>110</v>
      </c>
      <c r="B40" s="197"/>
      <c r="C40" s="191"/>
      <c r="D40" s="191"/>
      <c r="E40" s="191"/>
      <c r="F40" s="191"/>
      <c r="G40" s="191"/>
      <c r="H40" s="192"/>
    </row>
    <row r="41" spans="1:8">
      <c r="A41" s="196"/>
      <c r="B41" s="197" t="s">
        <v>111</v>
      </c>
      <c r="C41" s="191"/>
      <c r="D41" s="191"/>
      <c r="E41" s="191"/>
      <c r="F41" s="191"/>
      <c r="G41" s="191"/>
      <c r="H41" s="192"/>
    </row>
    <row r="42" spans="1:8">
      <c r="A42" s="196" t="s">
        <v>112</v>
      </c>
      <c r="B42" s="197"/>
      <c r="C42" s="191"/>
      <c r="D42" s="191"/>
      <c r="E42" s="191"/>
      <c r="F42" s="191"/>
      <c r="G42" s="191"/>
      <c r="H42" s="192"/>
    </row>
    <row r="43" spans="1:8">
      <c r="A43" s="196"/>
      <c r="B43" s="197" t="s">
        <v>113</v>
      </c>
      <c r="C43" s="191"/>
      <c r="D43" s="191"/>
      <c r="E43" s="191"/>
      <c r="F43" s="191"/>
      <c r="G43" s="191"/>
      <c r="H43" s="192"/>
    </row>
    <row r="44" spans="1:8">
      <c r="A44" s="196" t="s">
        <v>114</v>
      </c>
      <c r="B44" s="197"/>
      <c r="C44" s="191"/>
      <c r="D44" s="191"/>
      <c r="E44" s="191"/>
      <c r="F44" s="191"/>
      <c r="G44" s="191"/>
      <c r="H44" s="192"/>
    </row>
    <row r="45" spans="1:8">
      <c r="A45" s="196"/>
      <c r="B45" s="197" t="s">
        <v>115</v>
      </c>
      <c r="C45" s="191"/>
      <c r="D45" s="191"/>
      <c r="E45" s="191"/>
      <c r="F45" s="191"/>
      <c r="G45" s="191"/>
      <c r="H45" s="192"/>
    </row>
    <row r="46" spans="1:8">
      <c r="A46" s="196" t="s">
        <v>116</v>
      </c>
      <c r="B46" s="197"/>
      <c r="C46" s="191"/>
      <c r="D46" s="191"/>
      <c r="E46" s="191"/>
      <c r="F46" s="191"/>
      <c r="G46" s="191"/>
      <c r="H46" s="192"/>
    </row>
    <row r="47" spans="1:8">
      <c r="A47" s="196"/>
      <c r="B47" s="197"/>
      <c r="C47" s="191"/>
      <c r="D47" s="191"/>
      <c r="E47" s="191"/>
      <c r="F47" s="191"/>
      <c r="G47" s="191"/>
      <c r="H47" s="192"/>
    </row>
    <row r="48" spans="1:8">
      <c r="A48" s="201" t="s">
        <v>30</v>
      </c>
      <c r="B48" s="197"/>
      <c r="C48" s="191"/>
      <c r="D48" s="191"/>
      <c r="E48" s="191"/>
      <c r="F48" s="191"/>
      <c r="G48" s="191"/>
      <c r="H48" s="192"/>
    </row>
    <row r="49" spans="1:8">
      <c r="A49" s="196" t="s">
        <v>117</v>
      </c>
      <c r="B49" s="197"/>
      <c r="C49" s="191"/>
      <c r="D49" s="191"/>
      <c r="E49" s="191"/>
      <c r="F49" s="191"/>
      <c r="G49" s="191"/>
      <c r="H49" s="192"/>
    </row>
    <row r="50" spans="1:8">
      <c r="A50" s="196" t="s">
        <v>118</v>
      </c>
      <c r="B50" s="197"/>
      <c r="C50" s="191"/>
      <c r="D50" s="191"/>
      <c r="E50" s="191"/>
      <c r="F50" s="191"/>
      <c r="G50" s="191"/>
      <c r="H50" s="192"/>
    </row>
    <row r="51" spans="1:8">
      <c r="A51" s="196" t="s">
        <v>119</v>
      </c>
      <c r="B51" s="197"/>
      <c r="C51" s="191"/>
      <c r="D51" s="191"/>
      <c r="E51" s="191"/>
      <c r="F51" s="191"/>
      <c r="G51" s="191"/>
      <c r="H51" s="192"/>
    </row>
    <row r="52" spans="1:8">
      <c r="A52" s="196" t="s">
        <v>120</v>
      </c>
      <c r="B52" s="197"/>
      <c r="C52" s="191"/>
      <c r="D52" s="191"/>
      <c r="E52" s="191"/>
      <c r="F52" s="191"/>
      <c r="G52" s="191"/>
      <c r="H52" s="192"/>
    </row>
    <row r="53" spans="1:8">
      <c r="A53" s="196" t="s">
        <v>121</v>
      </c>
      <c r="B53" s="197"/>
      <c r="C53" s="191"/>
      <c r="D53" s="191"/>
      <c r="E53" s="191"/>
      <c r="F53" s="191"/>
      <c r="G53" s="191"/>
      <c r="H53" s="192"/>
    </row>
    <row r="54" spans="1:8" ht="13.5" thickBot="1">
      <c r="A54" s="198" t="s">
        <v>122</v>
      </c>
      <c r="B54" s="199"/>
      <c r="C54" s="193"/>
      <c r="D54" s="193"/>
      <c r="E54" s="193"/>
      <c r="F54" s="193"/>
      <c r="G54" s="193"/>
      <c r="H54" s="194"/>
    </row>
    <row r="55" spans="1:8" ht="13.5" thickTop="1"/>
  </sheetData>
  <scenarios current="0" show="0" sqref="B11:E13 B17:E19 H20">
    <scenario name="Knapsack Scenario" count="24" user="Ahmet" comment="Created by Ahmet on 5/13/2025">
      <inputCells r="B11" val="1"/>
      <inputCells r="C11" val="0"/>
      <inputCells r="D11" val="0"/>
      <inputCells r="E11" val="1"/>
      <inputCells r="B12" val="0"/>
      <inputCells r="C12" val="0"/>
      <inputCells r="D12" val="1"/>
      <inputCells r="E12" val="0"/>
      <inputCells r="B13" val="0"/>
      <inputCells r="C13" val="1"/>
      <inputCells r="D13" val="0"/>
      <inputCells r="E13" val="0"/>
      <inputCells r="B17" val="1100" numFmtId="1"/>
      <inputCells r="C17" val="0" numFmtId="1"/>
      <inputCells r="D17" val="0" numFmtId="1"/>
      <inputCells r="E17" val="700" numFmtId="1"/>
      <inputCells r="B18" val="0" numFmtId="1"/>
      <inputCells r="C18" val="0" numFmtId="1"/>
      <inputCells r="D18" val="1300" numFmtId="1"/>
      <inputCells r="E18" val="6.48370246381091E-14" numFmtId="1"/>
      <inputCells r="B19" val="2.8421709430404E-14" numFmtId="1"/>
      <inputCells r="C19" val="800" numFmtId="1"/>
      <inputCells r="D19" val="0" numFmtId="1"/>
      <inputCells r="E19" val="0" numFmtId="1"/>
    </scenario>
  </scenarios>
  <printOptions gridLinesSet="0"/>
  <pageMargins left="0.75" right="0.75" top="1" bottom="1" header="0.5" footer="0.5"/>
  <pageSetup orientation="portrait" horizontalDpi="4294967292" verticalDpi="4294967292" copies="0"/>
  <headerFooter alignWithMargins="0">
    <oddHeader>&amp;F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53"/>
  <sheetViews>
    <sheetView showGridLines="0" workbookViewId="0">
      <selection activeCell="L31" sqref="L31"/>
    </sheetView>
  </sheetViews>
  <sheetFormatPr defaultColWidth="8.7109375" defaultRowHeight="12.75"/>
  <cols>
    <col min="1" max="1" width="11.42578125" customWidth="1"/>
    <col min="8" max="8" width="11.140625" customWidth="1"/>
    <col min="13" max="13" width="10.5703125" customWidth="1"/>
  </cols>
  <sheetData>
    <row r="1" spans="1:7" ht="13.5" thickBot="1">
      <c r="A1" s="126" t="s">
        <v>123</v>
      </c>
    </row>
    <row r="2" spans="1:7" ht="13.5" thickTop="1">
      <c r="A2" s="127" t="s">
        <v>124</v>
      </c>
      <c r="B2" s="128"/>
      <c r="C2" s="128"/>
      <c r="D2" s="128"/>
      <c r="E2" s="128"/>
      <c r="F2" s="128"/>
      <c r="G2" s="129"/>
    </row>
    <row r="3" spans="1:7">
      <c r="A3" s="130" t="s">
        <v>125</v>
      </c>
      <c r="B3" s="131"/>
      <c r="C3" s="131"/>
      <c r="D3" s="131"/>
      <c r="E3" s="131"/>
      <c r="F3" s="131"/>
      <c r="G3" s="132"/>
    </row>
    <row r="4" spans="1:7" ht="13.5" thickBot="1">
      <c r="A4" s="173" t="s">
        <v>126</v>
      </c>
      <c r="B4" s="134"/>
      <c r="C4" s="134"/>
      <c r="D4" s="134"/>
      <c r="E4" s="134"/>
      <c r="F4" s="134"/>
      <c r="G4" s="135"/>
    </row>
    <row r="5" spans="1:7" ht="3.75" customHeight="1" thickTop="1" thickBot="1"/>
    <row r="6" spans="1:7" ht="13.5" thickTop="1">
      <c r="A6" s="15" t="s">
        <v>127</v>
      </c>
      <c r="B6" s="17"/>
      <c r="C6" s="17"/>
      <c r="D6" s="17"/>
      <c r="E6" s="17"/>
      <c r="F6" s="18"/>
    </row>
    <row r="7" spans="1:7">
      <c r="A7" s="24"/>
      <c r="B7" s="137" t="s">
        <v>128</v>
      </c>
      <c r="C7" s="137" t="s">
        <v>129</v>
      </c>
      <c r="D7" s="137" t="s">
        <v>130</v>
      </c>
      <c r="E7" s="137" t="s">
        <v>131</v>
      </c>
      <c r="F7" s="138" t="s">
        <v>132</v>
      </c>
    </row>
    <row r="8" spans="1:7">
      <c r="A8" s="136" t="s">
        <v>39</v>
      </c>
      <c r="B8" s="174">
        <v>4000</v>
      </c>
      <c r="C8" s="174">
        <v>2000</v>
      </c>
      <c r="D8" s="174">
        <v>3000</v>
      </c>
      <c r="E8" s="174">
        <v>2500</v>
      </c>
      <c r="F8" s="175">
        <v>4500</v>
      </c>
    </row>
    <row r="9" spans="1:7">
      <c r="A9" s="136" t="s">
        <v>40</v>
      </c>
      <c r="B9" s="174">
        <v>2500</v>
      </c>
      <c r="C9" s="174">
        <v>2600</v>
      </c>
      <c r="D9" s="174">
        <v>3400</v>
      </c>
      <c r="E9" s="174">
        <v>3000</v>
      </c>
      <c r="F9" s="175">
        <v>4000</v>
      </c>
    </row>
    <row r="10" spans="1:7">
      <c r="A10" s="136" t="s">
        <v>41</v>
      </c>
      <c r="B10" s="174">
        <v>1200</v>
      </c>
      <c r="C10" s="174">
        <v>1800</v>
      </c>
      <c r="D10" s="174">
        <v>2600</v>
      </c>
      <c r="E10" s="174">
        <v>4100</v>
      </c>
      <c r="F10" s="175">
        <v>3000</v>
      </c>
    </row>
    <row r="11" spans="1:7" ht="13.5" thickBot="1">
      <c r="A11" s="150" t="s">
        <v>42</v>
      </c>
      <c r="B11" s="176">
        <v>2200</v>
      </c>
      <c r="C11" s="176">
        <v>2600</v>
      </c>
      <c r="D11" s="176">
        <v>3100</v>
      </c>
      <c r="E11" s="176">
        <v>3700</v>
      </c>
      <c r="F11" s="177">
        <v>3200</v>
      </c>
    </row>
    <row r="12" spans="1:7" ht="4.5" customHeight="1" thickTop="1" thickBot="1"/>
    <row r="13" spans="1:7" ht="13.5" thickTop="1">
      <c r="A13" s="41" t="s">
        <v>133</v>
      </c>
      <c r="B13" s="17"/>
      <c r="C13" s="17"/>
      <c r="D13" s="17"/>
      <c r="E13" s="17"/>
      <c r="F13" s="18"/>
    </row>
    <row r="14" spans="1:7" ht="13.5" thickBot="1">
      <c r="A14" s="24"/>
      <c r="B14" s="137" t="s">
        <v>128</v>
      </c>
      <c r="C14" s="137" t="s">
        <v>129</v>
      </c>
      <c r="D14" s="137" t="s">
        <v>130</v>
      </c>
      <c r="E14" s="137" t="s">
        <v>131</v>
      </c>
      <c r="F14" s="138" t="s">
        <v>132</v>
      </c>
    </row>
    <row r="15" spans="1:7" ht="14.25" thickTop="1" thickBot="1">
      <c r="A15" s="150" t="s">
        <v>134</v>
      </c>
      <c r="B15" s="178">
        <v>1</v>
      </c>
      <c r="C15" s="179">
        <v>1</v>
      </c>
      <c r="D15" s="179">
        <v>0</v>
      </c>
      <c r="E15" s="179">
        <v>1</v>
      </c>
      <c r="F15" s="180">
        <v>1</v>
      </c>
    </row>
    <row r="16" spans="1:7" ht="4.5" customHeight="1" thickTop="1" thickBot="1"/>
    <row r="17" spans="1:13" ht="13.5" thickTop="1">
      <c r="A17" s="15" t="s">
        <v>135</v>
      </c>
      <c r="B17" s="17"/>
      <c r="C17" s="17"/>
      <c r="D17" s="17"/>
      <c r="E17" s="17"/>
      <c r="F17" s="17"/>
      <c r="G17" s="17"/>
      <c r="H17" s="18"/>
    </row>
    <row r="18" spans="1:13" ht="13.5" thickBot="1">
      <c r="A18" s="24"/>
      <c r="B18" s="137" t="s">
        <v>128</v>
      </c>
      <c r="C18" s="137" t="s">
        <v>129</v>
      </c>
      <c r="D18" s="137" t="s">
        <v>130</v>
      </c>
      <c r="E18" s="137" t="s">
        <v>131</v>
      </c>
      <c r="F18" s="137" t="s">
        <v>132</v>
      </c>
      <c r="G18" s="137" t="s">
        <v>13</v>
      </c>
      <c r="H18" s="138" t="s">
        <v>15</v>
      </c>
    </row>
    <row r="19" spans="1:13" ht="13.5" thickTop="1">
      <c r="A19" s="136" t="s">
        <v>39</v>
      </c>
      <c r="B19" s="142">
        <v>0</v>
      </c>
      <c r="C19" s="143">
        <v>13.999999999999996</v>
      </c>
      <c r="D19" s="143">
        <v>0</v>
      </c>
      <c r="E19" s="143">
        <v>1.0000000000000018</v>
      </c>
      <c r="F19" s="144">
        <v>0</v>
      </c>
      <c r="G19" s="68">
        <f>SUM(B19:F19)</f>
        <v>14.999999999999998</v>
      </c>
      <c r="H19" s="155">
        <v>15</v>
      </c>
      <c r="M19" s="126" t="s">
        <v>169</v>
      </c>
    </row>
    <row r="20" spans="1:13">
      <c r="A20" s="136" t="s">
        <v>40</v>
      </c>
      <c r="B20" s="145">
        <v>0</v>
      </c>
      <c r="C20" s="68">
        <v>0</v>
      </c>
      <c r="D20" s="68">
        <v>0</v>
      </c>
      <c r="E20" s="68">
        <v>18</v>
      </c>
      <c r="F20" s="146">
        <v>0</v>
      </c>
      <c r="G20" s="68">
        <f>SUM(B20:F20)</f>
        <v>18</v>
      </c>
      <c r="H20" s="159">
        <v>18</v>
      </c>
      <c r="M20" s="125">
        <f>MIN($G$27)</f>
        <v>210500</v>
      </c>
    </row>
    <row r="21" spans="1:13">
      <c r="A21" s="136" t="s">
        <v>41</v>
      </c>
      <c r="B21" s="145">
        <v>13.999999999999998</v>
      </c>
      <c r="C21" s="68">
        <v>0</v>
      </c>
      <c r="D21" s="68">
        <v>0</v>
      </c>
      <c r="E21" s="68">
        <v>0</v>
      </c>
      <c r="F21" s="146">
        <v>0</v>
      </c>
      <c r="G21" s="68">
        <f>SUM(B21:F21)</f>
        <v>13.999999999999998</v>
      </c>
      <c r="H21" s="159">
        <v>14</v>
      </c>
      <c r="M21">
        <f>COUNT($B$15:$F$15,$B$19:$F$22)</f>
        <v>25</v>
      </c>
    </row>
    <row r="22" spans="1:13" ht="13.5" thickBot="1">
      <c r="A22" s="136" t="s">
        <v>42</v>
      </c>
      <c r="B22" s="147">
        <v>6.0000000000000018</v>
      </c>
      <c r="C22" s="148">
        <v>8</v>
      </c>
      <c r="D22" s="148">
        <v>0</v>
      </c>
      <c r="E22" s="148">
        <v>0</v>
      </c>
      <c r="F22" s="149">
        <v>5.9999999999999991</v>
      </c>
      <c r="G22" s="68">
        <f>SUM(B22:F22)</f>
        <v>20</v>
      </c>
      <c r="H22" s="163">
        <v>20</v>
      </c>
      <c r="M22" t="b">
        <f t="array" ref="M22">($B$15:$F$15=0)+($B$15:$F$15=1)=1</f>
        <v>1</v>
      </c>
    </row>
    <row r="23" spans="1:13" ht="14.25" thickTop="1" thickBot="1">
      <c r="A23" s="181" t="s">
        <v>13</v>
      </c>
      <c r="B23" s="68">
        <f>SUM(B19:B22)</f>
        <v>20</v>
      </c>
      <c r="C23" s="68">
        <f>SUM(C19:C22)</f>
        <v>21.999999999999996</v>
      </c>
      <c r="D23" s="68">
        <f>SUM(D19:D22)</f>
        <v>0</v>
      </c>
      <c r="E23" s="68">
        <f>SUM(E19:E22)</f>
        <v>19</v>
      </c>
      <c r="F23" s="68">
        <f>SUM(F19:F22)</f>
        <v>5.9999999999999991</v>
      </c>
      <c r="H23" s="23"/>
      <c r="M23" t="b">
        <f t="array" ref="M23">Products_made&lt;=Capacity</f>
        <v>1</v>
      </c>
    </row>
    <row r="24" spans="1:13" ht="14.25" thickTop="1" thickBot="1">
      <c r="A24" s="136" t="s">
        <v>14</v>
      </c>
      <c r="B24" s="182">
        <f>20*B15</f>
        <v>20</v>
      </c>
      <c r="C24" s="183">
        <f>22*C15</f>
        <v>22</v>
      </c>
      <c r="D24" s="183">
        <f>17*D15</f>
        <v>0</v>
      </c>
      <c r="E24" s="183">
        <f>19*E15</f>
        <v>19</v>
      </c>
      <c r="F24" s="184">
        <f>18*F15</f>
        <v>18</v>
      </c>
      <c r="H24" s="23"/>
      <c r="M24" t="b">
        <f t="array" ref="M24">Products_shipped&gt;=0</f>
        <v>1</v>
      </c>
    </row>
    <row r="25" spans="1:13" ht="13.5" thickTop="1">
      <c r="A25" s="181" t="s">
        <v>136</v>
      </c>
      <c r="B25" s="174">
        <f>SUMPRODUCT(B19:B22,B8:B11)</f>
        <v>30000</v>
      </c>
      <c r="C25" s="174">
        <f>SUMPRODUCT(C19:C22,C8:C11)</f>
        <v>48799.999999999993</v>
      </c>
      <c r="D25" s="174">
        <f>SUMPRODUCT(D19:D22,D8:D11)</f>
        <v>0</v>
      </c>
      <c r="E25" s="174">
        <f>SUMPRODUCT(E19:E22,E8:E11)</f>
        <v>56500.000000000007</v>
      </c>
      <c r="F25" s="174">
        <f>SUMPRODUCT(F19:F22,F8:F11)</f>
        <v>19199.999999999996</v>
      </c>
      <c r="G25" s="68"/>
      <c r="H25" s="23"/>
      <c r="M25" t="b">
        <f t="array" ref="M25">Total_shipped&gt;=Demand</f>
        <v>1</v>
      </c>
    </row>
    <row r="26" spans="1:13" ht="13.5" thickBot="1">
      <c r="A26" s="136" t="s">
        <v>137</v>
      </c>
      <c r="B26" s="174">
        <f>12000*B15</f>
        <v>12000</v>
      </c>
      <c r="C26" s="174">
        <f>15000*C15</f>
        <v>15000</v>
      </c>
      <c r="D26" s="174">
        <f>17000*D15</f>
        <v>0</v>
      </c>
      <c r="E26" s="174">
        <f>13000*E15</f>
        <v>13000</v>
      </c>
      <c r="F26" s="174">
        <f>16000*F15</f>
        <v>16000</v>
      </c>
      <c r="G26" s="68"/>
      <c r="H26" s="23"/>
      <c r="M26">
        <f>{100,100,0.001,0,TRUE,FALSE,FALSE,1,1,1,0.0001,TRUE}</f>
        <v>100</v>
      </c>
    </row>
    <row r="27" spans="1:13" ht="14.25" thickTop="1" thickBot="1">
      <c r="A27" s="150" t="s">
        <v>138</v>
      </c>
      <c r="B27" s="176">
        <f>SUM(B25:B26)</f>
        <v>42000</v>
      </c>
      <c r="C27" s="176">
        <f>SUM(C25:C26)</f>
        <v>63799.999999999993</v>
      </c>
      <c r="D27" s="176">
        <f>SUM(D25:D26)</f>
        <v>0</v>
      </c>
      <c r="E27" s="176">
        <f>SUM(E25:E26)</f>
        <v>69500</v>
      </c>
      <c r="F27" s="176">
        <f>SUM(F25:F26)</f>
        <v>35200</v>
      </c>
      <c r="G27" s="185">
        <f>SUM(B27:F27)</f>
        <v>210500</v>
      </c>
      <c r="H27" s="89"/>
      <c r="M27">
        <f>{100,100,2,100,0,FALSE,TRUE,0.075,0,0,FALSE,30}</f>
        <v>100</v>
      </c>
    </row>
    <row r="28" spans="1:13" ht="13.5" thickTop="1"/>
    <row r="29" spans="1:13" ht="13.5" thickBot="1"/>
    <row r="30" spans="1:13" ht="13.5" thickTop="1">
      <c r="A30" s="202" t="s">
        <v>17</v>
      </c>
      <c r="B30" s="195"/>
      <c r="C30" s="189"/>
      <c r="D30" s="189"/>
      <c r="E30" s="189"/>
      <c r="F30" s="189"/>
      <c r="G30" s="189"/>
      <c r="H30" s="190"/>
    </row>
    <row r="31" spans="1:13">
      <c r="A31" s="196" t="s">
        <v>139</v>
      </c>
      <c r="B31" s="197"/>
      <c r="C31" s="191"/>
      <c r="D31" s="191"/>
      <c r="E31" s="191"/>
      <c r="F31" s="191"/>
      <c r="G31" s="191"/>
      <c r="H31" s="192"/>
    </row>
    <row r="32" spans="1:13">
      <c r="A32" s="196" t="s">
        <v>140</v>
      </c>
      <c r="B32" s="197"/>
      <c r="C32" s="191"/>
      <c r="D32" s="191"/>
      <c r="E32" s="191"/>
      <c r="F32" s="191"/>
      <c r="G32" s="191"/>
      <c r="H32" s="192"/>
    </row>
    <row r="33" spans="1:8">
      <c r="A33" s="196" t="s">
        <v>141</v>
      </c>
      <c r="B33" s="197"/>
      <c r="C33" s="191"/>
      <c r="D33" s="191"/>
      <c r="E33" s="191"/>
      <c r="F33" s="191"/>
      <c r="G33" s="191"/>
      <c r="H33" s="192"/>
    </row>
    <row r="34" spans="1:8">
      <c r="A34" s="196"/>
      <c r="B34" s="197"/>
      <c r="C34" s="191"/>
      <c r="D34" s="191"/>
      <c r="E34" s="191"/>
      <c r="F34" s="191"/>
      <c r="G34" s="191"/>
      <c r="H34" s="192"/>
    </row>
    <row r="35" spans="1:8">
      <c r="A35" s="201" t="s">
        <v>21</v>
      </c>
      <c r="B35" s="197"/>
      <c r="C35" s="191"/>
      <c r="D35" s="191"/>
      <c r="E35" s="191"/>
      <c r="F35" s="191"/>
      <c r="G35" s="191"/>
      <c r="H35" s="192"/>
    </row>
    <row r="36" spans="1:8">
      <c r="A36" s="196" t="s">
        <v>142</v>
      </c>
      <c r="B36" s="197"/>
      <c r="C36" s="191"/>
      <c r="D36" s="191"/>
      <c r="E36" s="191"/>
      <c r="F36" s="191"/>
      <c r="G36" s="191"/>
      <c r="H36" s="192"/>
    </row>
    <row r="37" spans="1:8">
      <c r="A37" s="196" t="s">
        <v>143</v>
      </c>
      <c r="B37" s="197"/>
      <c r="C37" s="191"/>
      <c r="D37" s="191"/>
      <c r="E37" s="191"/>
      <c r="F37" s="191"/>
      <c r="G37" s="191"/>
      <c r="H37" s="192"/>
    </row>
    <row r="38" spans="1:8">
      <c r="A38" s="196" t="s">
        <v>144</v>
      </c>
      <c r="B38" s="197"/>
      <c r="C38" s="191"/>
      <c r="D38" s="191"/>
      <c r="E38" s="191"/>
      <c r="F38" s="191"/>
      <c r="G38" s="191"/>
      <c r="H38" s="192"/>
    </row>
    <row r="39" spans="1:8">
      <c r="A39" s="196" t="s">
        <v>107</v>
      </c>
      <c r="B39" s="197"/>
      <c r="C39" s="191"/>
      <c r="D39" s="191"/>
      <c r="E39" s="191"/>
      <c r="F39" s="191"/>
      <c r="G39" s="191"/>
      <c r="H39" s="192"/>
    </row>
    <row r="40" spans="1:8">
      <c r="A40" s="196"/>
      <c r="B40" s="197" t="s">
        <v>25</v>
      </c>
      <c r="C40" s="191"/>
      <c r="D40" s="191"/>
      <c r="E40" s="191"/>
      <c r="F40" s="191"/>
      <c r="G40" s="191"/>
      <c r="H40" s="192"/>
    </row>
    <row r="41" spans="1:8">
      <c r="A41" s="196"/>
      <c r="B41" s="197" t="s">
        <v>145</v>
      </c>
      <c r="C41" s="191"/>
      <c r="D41" s="191"/>
      <c r="E41" s="191"/>
      <c r="F41" s="191"/>
      <c r="G41" s="191"/>
      <c r="H41" s="192"/>
    </row>
    <row r="42" spans="1:8">
      <c r="A42" s="196" t="s">
        <v>146</v>
      </c>
      <c r="B42" s="197"/>
      <c r="C42" s="191"/>
      <c r="D42" s="191"/>
      <c r="E42" s="191"/>
      <c r="F42" s="191"/>
      <c r="G42" s="191"/>
      <c r="H42" s="192"/>
    </row>
    <row r="43" spans="1:8">
      <c r="A43" s="196" t="s">
        <v>147</v>
      </c>
      <c r="B43" s="197"/>
      <c r="C43" s="191"/>
      <c r="D43" s="191"/>
      <c r="E43" s="191"/>
      <c r="F43" s="191"/>
      <c r="G43" s="191"/>
      <c r="H43" s="192"/>
    </row>
    <row r="44" spans="1:8">
      <c r="A44" s="196"/>
      <c r="B44" s="197" t="s">
        <v>148</v>
      </c>
      <c r="C44" s="191"/>
      <c r="D44" s="191"/>
      <c r="E44" s="191"/>
      <c r="F44" s="191"/>
      <c r="G44" s="191"/>
      <c r="H44" s="192"/>
    </row>
    <row r="45" spans="1:8">
      <c r="A45" s="196"/>
      <c r="B45" s="197" t="s">
        <v>149</v>
      </c>
      <c r="C45" s="191"/>
      <c r="D45" s="191"/>
      <c r="E45" s="191"/>
      <c r="F45" s="191"/>
      <c r="G45" s="191"/>
      <c r="H45" s="192"/>
    </row>
    <row r="46" spans="1:8">
      <c r="A46" s="196" t="s">
        <v>150</v>
      </c>
      <c r="B46" s="197"/>
      <c r="C46" s="191"/>
      <c r="D46" s="191"/>
      <c r="E46" s="191"/>
      <c r="F46" s="191"/>
      <c r="G46" s="191"/>
      <c r="H46" s="192"/>
    </row>
    <row r="47" spans="1:8">
      <c r="A47" s="196"/>
      <c r="B47" s="197"/>
      <c r="C47" s="191"/>
      <c r="D47" s="191"/>
      <c r="E47" s="191"/>
      <c r="F47" s="191"/>
      <c r="G47" s="191"/>
      <c r="H47" s="192"/>
    </row>
    <row r="48" spans="1:8">
      <c r="A48" s="201" t="s">
        <v>30</v>
      </c>
      <c r="B48" s="197"/>
      <c r="C48" s="191"/>
      <c r="D48" s="191"/>
      <c r="E48" s="191"/>
      <c r="F48" s="191"/>
      <c r="G48" s="191"/>
      <c r="H48" s="192"/>
    </row>
    <row r="49" spans="1:8">
      <c r="A49" s="196" t="s">
        <v>151</v>
      </c>
      <c r="B49" s="197"/>
      <c r="C49" s="191"/>
      <c r="D49" s="191"/>
      <c r="E49" s="191"/>
      <c r="F49" s="191"/>
      <c r="G49" s="191"/>
      <c r="H49" s="192"/>
    </row>
    <row r="50" spans="1:8">
      <c r="A50" s="196" t="s">
        <v>152</v>
      </c>
      <c r="B50" s="197"/>
      <c r="C50" s="191"/>
      <c r="D50" s="191"/>
      <c r="E50" s="191"/>
      <c r="F50" s="191"/>
      <c r="G50" s="191"/>
      <c r="H50" s="192"/>
    </row>
    <row r="51" spans="1:8">
      <c r="A51" s="196" t="s">
        <v>153</v>
      </c>
      <c r="B51" s="197"/>
      <c r="C51" s="191"/>
      <c r="D51" s="191"/>
      <c r="E51" s="191"/>
      <c r="F51" s="191"/>
      <c r="G51" s="191"/>
      <c r="H51" s="192"/>
    </row>
    <row r="52" spans="1:8" ht="13.5" thickBot="1">
      <c r="A52" s="198" t="s">
        <v>154</v>
      </c>
      <c r="B52" s="199"/>
      <c r="C52" s="193"/>
      <c r="D52" s="193"/>
      <c r="E52" s="193"/>
      <c r="F52" s="193"/>
      <c r="G52" s="193"/>
      <c r="H52" s="194"/>
    </row>
    <row r="53" spans="1:8" ht="13.5" thickTop="1"/>
  </sheetData>
  <printOptions gridLinesSet="0"/>
  <pageMargins left="0.75" right="0.75" top="1" bottom="1" header="0.5" footer="0.5"/>
  <pageSetup orientation="portrait" horizontalDpi="4294967292" verticalDpi="4294967292" copies="0"/>
  <headerFooter alignWithMargins="0">
    <oddHeader>&amp;F</oddHeader>
    <oddFooter>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96e3b666-4c0b-401a-a673-e1459187dda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CCE799A322C3344A29BE6663C625576" ma:contentTypeVersion="5" ma:contentTypeDescription="Utwórz nowy dokument." ma:contentTypeScope="" ma:versionID="86c7a82a9107d062bd832b79135a78fd">
  <xsd:schema xmlns:xsd="http://www.w3.org/2001/XMLSchema" xmlns:xs="http://www.w3.org/2001/XMLSchema" xmlns:p="http://schemas.microsoft.com/office/2006/metadata/properties" xmlns:ns2="96e3b666-4c0b-401a-a673-e1459187ddac" targetNamespace="http://schemas.microsoft.com/office/2006/metadata/properties" ma:root="true" ma:fieldsID="1bff7200474d8aee30d4a96ea1c0afae" ns2:_="">
    <xsd:import namespace="96e3b666-4c0b-401a-a673-e1459187ddac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e3b666-4c0b-401a-a673-e1459187ddac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E2A1711-CD6C-4B1E-AB11-E87D258D3BA6}">
  <ds:schemaRefs>
    <ds:schemaRef ds:uri="http://schemas.microsoft.com/office/2006/metadata/properties"/>
    <ds:schemaRef ds:uri="http://schemas.microsoft.com/office/infopath/2007/PartnerControls"/>
    <ds:schemaRef ds:uri="96e3b666-4c0b-401a-a673-e1459187ddac"/>
  </ds:schemaRefs>
</ds:datastoreItem>
</file>

<file path=customXml/itemProps2.xml><?xml version="1.0" encoding="utf-8"?>
<ds:datastoreItem xmlns:ds="http://schemas.openxmlformats.org/officeDocument/2006/customXml" ds:itemID="{F0601F41-EA49-427B-BAE3-9F13D56BE87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41E16B2-4419-4F4E-9D40-43F113BFDC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e3b666-4c0b-401a-a673-e1459187dd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43</vt:i4>
      </vt:variant>
    </vt:vector>
  </HeadingPairs>
  <TitlesOfParts>
    <vt:vector size="49" baseType="lpstr">
      <vt:lpstr>Summary</vt:lpstr>
      <vt:lpstr>Transport1 (3p)</vt:lpstr>
      <vt:lpstr>Transport2 (3p)</vt:lpstr>
      <vt:lpstr>Transport3 (9p)</vt:lpstr>
      <vt:lpstr>Knapsack (9p)</vt:lpstr>
      <vt:lpstr>Facility (9p)</vt:lpstr>
      <vt:lpstr>'Facility (9p)'!Capacity</vt:lpstr>
      <vt:lpstr>Capacity</vt:lpstr>
      <vt:lpstr>'Facility (9p)'!Demand</vt:lpstr>
      <vt:lpstr>'Knapsack (9p)'!Demand</vt:lpstr>
      <vt:lpstr>'Transport1 (3p)'!Demand</vt:lpstr>
      <vt:lpstr>'Transport2 (3p)'!Demand</vt:lpstr>
      <vt:lpstr>Demand</vt:lpstr>
      <vt:lpstr>'Transport2 (3p)'!Factory_capacity</vt:lpstr>
      <vt:lpstr>Factory_capacity</vt:lpstr>
      <vt:lpstr>'Transport2 (3p)'!Factory_to_customer</vt:lpstr>
      <vt:lpstr>Factory_to_customer</vt:lpstr>
      <vt:lpstr>'Transport2 (3p)'!Factory_to_warehouse</vt:lpstr>
      <vt:lpstr>Factory_to_warehouse</vt:lpstr>
      <vt:lpstr>Gallons_loaded</vt:lpstr>
      <vt:lpstr>Loading_decisions</vt:lpstr>
      <vt:lpstr>Maximum_gallons</vt:lpstr>
      <vt:lpstr>Open_or_close</vt:lpstr>
      <vt:lpstr>'Facility (9p)'!Products_made</vt:lpstr>
      <vt:lpstr>'Facility (9p)'!Products_shipped</vt:lpstr>
      <vt:lpstr>Products_shipped</vt:lpstr>
      <vt:lpstr>'Facility (9p)'!Total_cost</vt:lpstr>
      <vt:lpstr>'Transport1 (3p)'!Total_cost</vt:lpstr>
      <vt:lpstr>'Transport2 (3p)'!Total_cost</vt:lpstr>
      <vt:lpstr>Total_cost</vt:lpstr>
      <vt:lpstr>Total_decisions</vt:lpstr>
      <vt:lpstr>'Transport2 (3p)'!Total_from_factory</vt:lpstr>
      <vt:lpstr>Total_from_factory</vt:lpstr>
      <vt:lpstr>'Transport2 (3p)'!Total_from_warehouse</vt:lpstr>
      <vt:lpstr>Total_from_warehouse</vt:lpstr>
      <vt:lpstr>Total_gallons</vt:lpstr>
      <vt:lpstr>Total_loss</vt:lpstr>
      <vt:lpstr>Total_received</vt:lpstr>
      <vt:lpstr>'Facility (9p)'!Total_shipped</vt:lpstr>
      <vt:lpstr>Total_shipped</vt:lpstr>
      <vt:lpstr>'Transport2 (3p)'!Total_to_customer</vt:lpstr>
      <vt:lpstr>Total_to_customer</vt:lpstr>
      <vt:lpstr>'Transport2 (3p)'!Total_to_warehouse</vt:lpstr>
      <vt:lpstr>Total_to_warehouse</vt:lpstr>
      <vt:lpstr>'Transport2 (3p)'!Warehouse_capacity</vt:lpstr>
      <vt:lpstr>Warehouse_capacity</vt:lpstr>
      <vt:lpstr>'Transport2 (3p)'!Warehouse_customer</vt:lpstr>
      <vt:lpstr>Warehouse_customer</vt:lpstr>
      <vt:lpstr>'Transport2 (3p)'!Warehouse_to_customer</vt:lpstr>
    </vt:vector>
  </TitlesOfParts>
  <Company>Frontline Systems,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Straver</dc:creator>
  <cp:lastModifiedBy>Ahmet Yazgan</cp:lastModifiedBy>
  <dcterms:created xsi:type="dcterms:W3CDTF">1999-05-07T21:16:48Z</dcterms:created>
  <dcterms:modified xsi:type="dcterms:W3CDTF">2025-05-13T10:57:01Z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0x010100ACCE799A322C3344A29BE6663C625576</vt:lpwstr>
  </property>
</Properties>
</file>