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hmet.yildirir\Desktop\Apps\SeraPro\"/>
    </mc:Choice>
  </mc:AlternateContent>
  <bookViews>
    <workbookView xWindow="0" yWindow="0" windowWidth="19200" windowHeight="8190"/>
  </bookViews>
  <sheets>
    <sheet name="MALZEME LİSTESİ" sheetId="1" r:id="rId1"/>
    <sheet name="SAC-BORU BİRİM FİYATLAR" sheetId="2" r:id="rId2"/>
  </sheets>
  <definedNames>
    <definedName name="_xlnm._FilterDatabase" localSheetId="0" hidden="1">'MALZEME LİSTESİ'!$E$3:$E$74</definedName>
    <definedName name="_xlnm.Print_Area" localSheetId="0">'MALZEME LİSTESİ'!$A$1:$Y$158</definedName>
    <definedName name="_xlnm.Print_Titles" localSheetId="0">'MALZEME LİSTESİ'!$2:$6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0" i="1" l="1"/>
  <c r="I10" i="1"/>
  <c r="M8" i="1"/>
  <c r="K8" i="1"/>
  <c r="I8" i="1"/>
  <c r="M2" i="1" l="1"/>
  <c r="G14" i="1" l="1"/>
  <c r="K149" i="1" l="1"/>
  <c r="K154" i="1" l="1"/>
  <c r="K62" i="1" l="1"/>
  <c r="G19" i="1"/>
  <c r="G18" i="1"/>
  <c r="K156" i="1" l="1"/>
  <c r="K47" i="1" l="1"/>
  <c r="K18" i="1" l="1"/>
  <c r="K19" i="1"/>
  <c r="K52" i="1"/>
  <c r="K40" i="1"/>
  <c r="K38" i="1"/>
  <c r="K46" i="1"/>
  <c r="K61" i="1"/>
  <c r="K60" i="1"/>
  <c r="K48" i="1" l="1"/>
  <c r="G101" i="1"/>
  <c r="K69" i="1" l="1"/>
  <c r="K157" i="1"/>
  <c r="K153" i="1"/>
  <c r="L153" i="1" s="1"/>
  <c r="K152" i="1"/>
  <c r="L152" i="1" s="1"/>
  <c r="K151" i="1"/>
  <c r="L151" i="1" s="1"/>
  <c r="K148" i="1"/>
  <c r="K147" i="1"/>
  <c r="K146" i="1"/>
  <c r="K150" i="1" s="1"/>
  <c r="K49" i="1" l="1"/>
  <c r="K70" i="1" l="1"/>
  <c r="K51" i="1"/>
  <c r="K42" i="1"/>
  <c r="N2" i="1" l="1"/>
  <c r="G76" i="1" l="1"/>
  <c r="Y133" i="1" l="1"/>
  <c r="Y113" i="1"/>
  <c r="Y116" i="1"/>
  <c r="Y117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4" i="1"/>
  <c r="Y135" i="1"/>
  <c r="Y136" i="1"/>
  <c r="Y137" i="1"/>
  <c r="Y138" i="1"/>
  <c r="Y139" i="1"/>
  <c r="Y140" i="1"/>
  <c r="Y141" i="1"/>
  <c r="Y142" i="1"/>
  <c r="Y143" i="1"/>
  <c r="Y144" i="1"/>
  <c r="Y146" i="1"/>
  <c r="Y147" i="1"/>
  <c r="G51" i="1" l="1"/>
  <c r="G32" i="1" l="1"/>
  <c r="G111" i="1"/>
  <c r="I111" i="1" s="1"/>
  <c r="G110" i="1"/>
  <c r="G112" i="1"/>
  <c r="I112" i="1" s="1"/>
  <c r="I101" i="1"/>
  <c r="I83" i="1"/>
  <c r="M83" i="1"/>
  <c r="K86" i="1"/>
  <c r="M86" i="1" s="1"/>
  <c r="K85" i="1"/>
  <c r="M85" i="1" s="1"/>
  <c r="G86" i="1"/>
  <c r="I86" i="1" s="1"/>
  <c r="G85" i="1"/>
  <c r="I85" i="1" s="1"/>
  <c r="K84" i="1"/>
  <c r="M84" i="1" s="1"/>
  <c r="G84" i="1"/>
  <c r="I84" i="1" s="1"/>
  <c r="K82" i="1"/>
  <c r="M82" i="1" s="1"/>
  <c r="G82" i="1"/>
  <c r="I82" i="1" s="1"/>
  <c r="K81" i="1"/>
  <c r="M81" i="1" s="1"/>
  <c r="G81" i="1"/>
  <c r="I81" i="1" s="1"/>
  <c r="M47" i="1"/>
  <c r="K79" i="1"/>
  <c r="M79" i="1" s="1"/>
  <c r="G79" i="1"/>
  <c r="I79" i="1" s="1"/>
  <c r="K78" i="1"/>
  <c r="M78" i="1" s="1"/>
  <c r="G78" i="1"/>
  <c r="I78" i="1" s="1"/>
  <c r="K77" i="1"/>
  <c r="M77" i="1" s="1"/>
  <c r="K76" i="1"/>
  <c r="M76" i="1" s="1"/>
  <c r="I76" i="1"/>
  <c r="K72" i="1"/>
  <c r="M72" i="1" s="1"/>
  <c r="K71" i="1"/>
  <c r="M71" i="1" s="1"/>
  <c r="G72" i="1"/>
  <c r="I72" i="1" s="1"/>
  <c r="G71" i="1"/>
  <c r="I71" i="1" s="1"/>
  <c r="M70" i="1"/>
  <c r="G70" i="1"/>
  <c r="I70" i="1" s="1"/>
  <c r="M69" i="1"/>
  <c r="G69" i="1"/>
  <c r="I69" i="1" s="1"/>
  <c r="K68" i="1"/>
  <c r="M68" i="1" s="1"/>
  <c r="G68" i="1"/>
  <c r="I68" i="1" s="1"/>
  <c r="K67" i="1"/>
  <c r="M67" i="1" s="1"/>
  <c r="G67" i="1"/>
  <c r="I67" i="1" s="1"/>
  <c r="K66" i="1"/>
  <c r="M66" i="1" s="1"/>
  <c r="G66" i="1"/>
  <c r="I66" i="1" s="1"/>
  <c r="K65" i="1"/>
  <c r="M65" i="1" s="1"/>
  <c r="G65" i="1"/>
  <c r="I65" i="1" s="1"/>
  <c r="K64" i="1"/>
  <c r="M64" i="1" s="1"/>
  <c r="G64" i="1"/>
  <c r="I64" i="1" s="1"/>
  <c r="K63" i="1"/>
  <c r="M63" i="1" s="1"/>
  <c r="G63" i="1"/>
  <c r="I63" i="1" s="1"/>
  <c r="M62" i="1"/>
  <c r="G62" i="1"/>
  <c r="I62" i="1" s="1"/>
  <c r="M61" i="1"/>
  <c r="G61" i="1"/>
  <c r="I61" i="1" s="1"/>
  <c r="M60" i="1"/>
  <c r="G60" i="1"/>
  <c r="I60" i="1" s="1"/>
  <c r="K59" i="1"/>
  <c r="M59" i="1" s="1"/>
  <c r="G59" i="1"/>
  <c r="I59" i="1" s="1"/>
  <c r="K58" i="1"/>
  <c r="M58" i="1" s="1"/>
  <c r="G58" i="1"/>
  <c r="I58" i="1" s="1"/>
  <c r="K57" i="1"/>
  <c r="G57" i="1"/>
  <c r="K56" i="1"/>
  <c r="M56" i="1" s="1"/>
  <c r="G56" i="1"/>
  <c r="I56" i="1" s="1"/>
  <c r="K55" i="1"/>
  <c r="M55" i="1" s="1"/>
  <c r="G55" i="1"/>
  <c r="I55" i="1" s="1"/>
  <c r="K54" i="1"/>
  <c r="M54" i="1" s="1"/>
  <c r="G54" i="1"/>
  <c r="I54" i="1" s="1"/>
  <c r="K53" i="1"/>
  <c r="M53" i="1" s="1"/>
  <c r="G53" i="1"/>
  <c r="I53" i="1" s="1"/>
  <c r="M52" i="1"/>
  <c r="G52" i="1"/>
  <c r="I52" i="1" s="1"/>
  <c r="M51" i="1"/>
  <c r="G49" i="1"/>
  <c r="I51" i="1" s="1"/>
  <c r="K45" i="1"/>
  <c r="G45" i="1"/>
  <c r="G46" i="1"/>
  <c r="G77" i="1" l="1"/>
  <c r="I77" i="1" s="1"/>
  <c r="I49" i="1"/>
  <c r="M49" i="1"/>
  <c r="G50" i="1"/>
  <c r="I50" i="1" s="1"/>
  <c r="K50" i="1"/>
  <c r="M50" i="1" s="1"/>
  <c r="G44" i="1" l="1"/>
  <c r="M46" i="1" l="1"/>
  <c r="I46" i="1"/>
  <c r="M45" i="1"/>
  <c r="I45" i="1"/>
  <c r="I44" i="1"/>
  <c r="K44" i="1"/>
  <c r="M44" i="1" s="1"/>
  <c r="M43" i="1"/>
  <c r="I43" i="1"/>
  <c r="M42" i="1"/>
  <c r="G42" i="1"/>
  <c r="I42" i="1" s="1"/>
  <c r="K41" i="1"/>
  <c r="G41" i="1"/>
  <c r="I41" i="1" s="1"/>
  <c r="M40" i="1"/>
  <c r="G40" i="1"/>
  <c r="I40" i="1" s="1"/>
  <c r="K39" i="1"/>
  <c r="M39" i="1" s="1"/>
  <c r="G39" i="1"/>
  <c r="I39" i="1" s="1"/>
  <c r="M38" i="1"/>
  <c r="G38" i="1"/>
  <c r="I38" i="1" s="1"/>
  <c r="K37" i="1"/>
  <c r="M37" i="1" s="1"/>
  <c r="G37" i="1"/>
  <c r="I37" i="1" s="1"/>
  <c r="K36" i="1"/>
  <c r="M36" i="1" s="1"/>
  <c r="G36" i="1"/>
  <c r="I36" i="1" s="1"/>
  <c r="K35" i="1"/>
  <c r="M35" i="1" s="1"/>
  <c r="G35" i="1"/>
  <c r="I35" i="1" s="1"/>
  <c r="K34" i="1"/>
  <c r="M34" i="1" s="1"/>
  <c r="G34" i="1"/>
  <c r="I34" i="1" s="1"/>
  <c r="K33" i="1"/>
  <c r="M33" i="1" s="1"/>
  <c r="G33" i="1"/>
  <c r="I33" i="1" s="1"/>
  <c r="K32" i="1"/>
  <c r="M32" i="1" s="1"/>
  <c r="I32" i="1"/>
  <c r="K31" i="1"/>
  <c r="M31" i="1" s="1"/>
  <c r="G31" i="1"/>
  <c r="I31" i="1" s="1"/>
  <c r="K30" i="1"/>
  <c r="M30" i="1" s="1"/>
  <c r="G30" i="1"/>
  <c r="I30" i="1" s="1"/>
  <c r="G29" i="1"/>
  <c r="K28" i="1"/>
  <c r="M28" i="1" s="1"/>
  <c r="G28" i="1"/>
  <c r="K27" i="1"/>
  <c r="M27" i="1" s="1"/>
  <c r="G27" i="1"/>
  <c r="I27" i="1" s="1"/>
  <c r="K26" i="1"/>
  <c r="M26" i="1" s="1"/>
  <c r="G26" i="1"/>
  <c r="I26" i="1" s="1"/>
  <c r="K25" i="1"/>
  <c r="M25" i="1" s="1"/>
  <c r="G25" i="1"/>
  <c r="I25" i="1" s="1"/>
  <c r="K24" i="1"/>
  <c r="M24" i="1" s="1"/>
  <c r="G24" i="1"/>
  <c r="I24" i="1" s="1"/>
  <c r="K23" i="1"/>
  <c r="M23" i="1" s="1"/>
  <c r="K22" i="1"/>
  <c r="M22" i="1" s="1"/>
  <c r="G23" i="1"/>
  <c r="I23" i="1" s="1"/>
  <c r="G22" i="1"/>
  <c r="I22" i="1" s="1"/>
  <c r="K21" i="1"/>
  <c r="M21" i="1" s="1"/>
  <c r="G21" i="1"/>
  <c r="I21" i="1" s="1"/>
  <c r="M19" i="1"/>
  <c r="I19" i="1"/>
  <c r="M18" i="1"/>
  <c r="K15" i="1"/>
  <c r="M15" i="1" s="1"/>
  <c r="G15" i="1"/>
  <c r="I15" i="1" s="1"/>
  <c r="L14" i="1"/>
  <c r="K14" i="1"/>
  <c r="L11" i="1"/>
  <c r="K9" i="1"/>
  <c r="G11" i="1"/>
  <c r="I11" i="1" s="1"/>
  <c r="G10" i="1"/>
  <c r="N9" i="1" l="1"/>
  <c r="M41" i="1"/>
  <c r="G97" i="1"/>
  <c r="I18" i="1"/>
  <c r="M48" i="1"/>
  <c r="G109" i="1"/>
  <c r="I109" i="1" s="1"/>
  <c r="I28" i="1"/>
  <c r="G47" i="1"/>
  <c r="I47" i="1" s="1"/>
  <c r="M14" i="1"/>
  <c r="G48" i="1"/>
  <c r="I48" i="1" s="1"/>
  <c r="Y22" i="1"/>
  <c r="I29" i="1"/>
  <c r="G20" i="1"/>
  <c r="I20" i="1" s="1"/>
  <c r="K20" i="1"/>
  <c r="M20" i="1" s="1"/>
  <c r="K11" i="1"/>
  <c r="M11" i="1" s="1"/>
  <c r="K10" i="1"/>
  <c r="I14" i="1"/>
  <c r="M9" i="1"/>
  <c r="K29" i="1" l="1"/>
  <c r="M29" i="1" s="1"/>
  <c r="U10" i="1" s="1"/>
  <c r="M10" i="1"/>
  <c r="N10" i="1"/>
  <c r="O10" i="1" s="1"/>
  <c r="T10" i="1"/>
  <c r="G9" i="1"/>
  <c r="I9" i="1" s="1"/>
  <c r="G8" i="1"/>
  <c r="Y8" i="1" s="1"/>
  <c r="S10" i="1" l="1"/>
  <c r="S13" i="1" s="1"/>
  <c r="Y9" i="1"/>
  <c r="Y11" i="1"/>
  <c r="Y12" i="1"/>
  <c r="Y14" i="1"/>
  <c r="Y15" i="1"/>
  <c r="Y16" i="1"/>
  <c r="Y17" i="1"/>
  <c r="Y18" i="1"/>
  <c r="Y19" i="1"/>
  <c r="Y20" i="1"/>
  <c r="Y21" i="1"/>
  <c r="Y23" i="1"/>
  <c r="Y24" i="1"/>
  <c r="Y25" i="1"/>
  <c r="Y26" i="1"/>
  <c r="Y27" i="1"/>
  <c r="Y28" i="1"/>
  <c r="Y29" i="1"/>
  <c r="Y30" i="1"/>
  <c r="Y31" i="1"/>
  <c r="Y32" i="1"/>
  <c r="Y33" i="1"/>
  <c r="Y56" i="1" l="1"/>
  <c r="Y43" i="1"/>
  <c r="Y148" i="1" l="1"/>
  <c r="Y149" i="1"/>
  <c r="Y150" i="1"/>
  <c r="Y151" i="1"/>
  <c r="Y152" i="1"/>
  <c r="Y153" i="1"/>
  <c r="Y154" i="1"/>
  <c r="Y155" i="1"/>
  <c r="Y156" i="1"/>
  <c r="Y157" i="1"/>
  <c r="Y158" i="1"/>
  <c r="Y112" i="1"/>
  <c r="Y109" i="1"/>
  <c r="Y104" i="1"/>
  <c r="Y105" i="1"/>
  <c r="Y106" i="1"/>
  <c r="Y107" i="1"/>
  <c r="Y103" i="1"/>
  <c r="Y101" i="1"/>
  <c r="Y98" i="1"/>
  <c r="Y99" i="1"/>
  <c r="Y97" i="1"/>
  <c r="Y77" i="1"/>
  <c r="Y78" i="1"/>
  <c r="Y79" i="1"/>
  <c r="Y76" i="1"/>
  <c r="Y88" i="1"/>
  <c r="Y91" i="1"/>
  <c r="Y92" i="1"/>
  <c r="Y93" i="1"/>
  <c r="Y94" i="1"/>
  <c r="Y95" i="1"/>
  <c r="Y90" i="1"/>
  <c r="Y82" i="1"/>
  <c r="Y83" i="1"/>
  <c r="Y84" i="1"/>
  <c r="Y85" i="1"/>
  <c r="Y86" i="1"/>
  <c r="Y81" i="1"/>
  <c r="Y34" i="1" l="1"/>
  <c r="Y35" i="1"/>
  <c r="Y36" i="1"/>
  <c r="Y37" i="1"/>
  <c r="Y38" i="1"/>
  <c r="Y39" i="1"/>
  <c r="Y40" i="1"/>
  <c r="Y41" i="1"/>
  <c r="Y42" i="1"/>
  <c r="Y44" i="1"/>
  <c r="Y45" i="1"/>
  <c r="Y46" i="1"/>
  <c r="Y47" i="1"/>
  <c r="Y48" i="1"/>
  <c r="Y49" i="1"/>
  <c r="Y50" i="1"/>
  <c r="Y51" i="1"/>
  <c r="Y52" i="1"/>
  <c r="Y53" i="1"/>
  <c r="Y54" i="1"/>
  <c r="Y55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</calcChain>
</file>

<file path=xl/comments1.xml><?xml version="1.0" encoding="utf-8"?>
<comments xmlns="http://schemas.openxmlformats.org/spreadsheetml/2006/main">
  <authors>
    <author>WIN 7</author>
  </authors>
  <commentList>
    <comment ref="G14" authorId="0" shapeId="0">
      <text>
        <r>
          <rPr>
            <b/>
            <sz val="9"/>
            <color indexed="81"/>
            <rFont val="Tahoma"/>
            <family val="2"/>
            <charset val="162"/>
          </rPr>
          <t>WIN 7: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sz val="24"/>
            <color indexed="81"/>
            <rFont val="Tahoma"/>
            <family val="2"/>
            <charset val="162"/>
          </rPr>
          <t>tünel iikiye bölünürse tünel sayısı çarpı 5 ekle</t>
        </r>
      </text>
    </comment>
    <comment ref="K29" authorId="0" shapeId="0">
      <text>
        <r>
          <rPr>
            <b/>
            <sz val="9"/>
            <color indexed="81"/>
            <rFont val="Tahoma"/>
            <family val="2"/>
            <charset val="162"/>
          </rPr>
          <t>WIN 7:</t>
        </r>
        <r>
          <rPr>
            <sz val="9"/>
            <color indexed="81"/>
            <rFont val="Tahoma"/>
            <family val="2"/>
            <charset val="162"/>
          </rPr>
          <t xml:space="preserve">
bölünürse tünle sayısı art 1 kadar ekle
</t>
        </r>
      </text>
    </comment>
    <comment ref="K46" authorId="0" shapeId="0">
      <text>
        <r>
          <rPr>
            <b/>
            <sz val="9"/>
            <color indexed="81"/>
            <rFont val="Tahoma"/>
            <family val="2"/>
            <charset val="162"/>
          </rPr>
          <t>WIN 7: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sz val="12"/>
            <color indexed="81"/>
            <rFont val="Tahoma"/>
            <family val="2"/>
            <charset val="162"/>
          </rPr>
          <t>80x80 - 80x140(c profiliçin olanı) - ve yanlarda z toplamı kadar</t>
        </r>
      </text>
    </comment>
    <comment ref="K47" authorId="0" shapeId="0">
      <text>
        <r>
          <rPr>
            <b/>
            <sz val="9"/>
            <color indexed="81"/>
            <rFont val="Tahoma"/>
            <family val="2"/>
            <charset val="162"/>
          </rPr>
          <t>WIN 7: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sz val="11"/>
            <color indexed="81"/>
            <rFont val="Tahoma"/>
            <family val="2"/>
            <charset val="162"/>
          </rPr>
          <t>tepe mahyanın yarısı + alttan geçen kelepçe+pencere kolu kelepçesi+menteşe+havalandırmaya beğlanan 35 lik profil saysıı kadar</t>
        </r>
      </text>
    </comment>
    <comment ref="K49" authorId="0" shapeId="0">
      <text>
        <r>
          <rPr>
            <b/>
            <sz val="18"/>
            <color indexed="81"/>
            <rFont val="Tahoma"/>
            <family val="2"/>
            <charset val="162"/>
          </rPr>
          <t>WIN 7:</t>
        </r>
        <r>
          <rPr>
            <sz val="18"/>
            <color indexed="81"/>
            <rFont val="Tahoma"/>
            <family val="2"/>
            <charset val="162"/>
          </rPr>
          <t xml:space="preserve">
her havalandırma bölmesi için +6x tünel sayısı</t>
        </r>
      </text>
    </comment>
    <comment ref="K51" authorId="0" shapeId="0">
      <text>
        <r>
          <rPr>
            <b/>
            <sz val="9"/>
            <color indexed="81"/>
            <rFont val="Tahoma"/>
            <family val="2"/>
            <charset val="162"/>
          </rPr>
          <t>WIN 7:</t>
        </r>
        <r>
          <rPr>
            <sz val="9"/>
            <color indexed="81"/>
            <rFont val="Tahoma"/>
            <family val="2"/>
            <charset val="162"/>
          </rPr>
          <t xml:space="preserve">
tünel her bölme için +2x tünel sayısı</t>
        </r>
      </text>
    </comment>
    <comment ref="K53" authorId="0" shapeId="0">
      <text>
        <r>
          <rPr>
            <b/>
            <sz val="9"/>
            <color indexed="81"/>
            <rFont val="Tahoma"/>
            <family val="2"/>
            <charset val="162"/>
          </rPr>
          <t>WIN 7:</t>
        </r>
        <r>
          <rPr>
            <sz val="9"/>
            <color indexed="81"/>
            <rFont val="Tahoma"/>
            <family val="2"/>
            <charset val="162"/>
          </rPr>
          <t xml:space="preserve">
havalandırma bölünürse +3x tünel sayısı</t>
        </r>
      </text>
    </comment>
    <comment ref="K60" authorId="0" shapeId="0">
      <text>
        <r>
          <rPr>
            <b/>
            <sz val="9"/>
            <color indexed="81"/>
            <rFont val="Tahoma"/>
            <family val="2"/>
            <charset val="162"/>
          </rPr>
          <t>WIN 7:</t>
        </r>
        <r>
          <rPr>
            <sz val="9"/>
            <color indexed="81"/>
            <rFont val="Tahoma"/>
            <family val="2"/>
            <charset val="162"/>
          </rPr>
          <t xml:space="preserve">
</t>
        </r>
        <r>
          <rPr>
            <sz val="12"/>
            <color indexed="81"/>
            <rFont val="Tahoma"/>
            <family val="2"/>
            <charset val="162"/>
          </rPr>
          <t>80x80x2.5 kolon sayısı çerpı 5 eksi köşe saysı çarpı 5</t>
        </r>
      </text>
    </comment>
  </commentList>
</comments>
</file>

<file path=xl/sharedStrings.xml><?xml version="1.0" encoding="utf-8"?>
<sst xmlns="http://schemas.openxmlformats.org/spreadsheetml/2006/main" count="344" uniqueCount="332">
  <si>
    <t>F</t>
  </si>
  <si>
    <t>RESİM</t>
  </si>
  <si>
    <t>İMAL KODU</t>
  </si>
  <si>
    <t>MALZEME TANIMI</t>
  </si>
  <si>
    <t>MİKTAR</t>
  </si>
  <si>
    <t>0,6 MM X 5100 YAN YOĞUNLAŞMA OLUĞU</t>
  </si>
  <si>
    <t>YOĞUNLAŞMA OLUĞU SEKMAN TELİ</t>
  </si>
  <si>
    <t>"ÇAPRAZLARIN ORTA TUTTURUCUSU ELİPS ""U"""</t>
  </si>
  <si>
    <t>152-02-0001</t>
  </si>
  <si>
    <t>PENCERE KRAMİYER DİŞLİSİ</t>
  </si>
  <si>
    <t>PENCERE KRAMİYER KUTUSU</t>
  </si>
  <si>
    <t>REDüKTöRLü MOTOR YSR 055 KW (115M)</t>
  </si>
  <si>
    <t>ÇAPRAZ 48-LİK VE BİTKİ TELİ KÖŞEBENDİ 5x50x50x200</t>
  </si>
  <si>
    <t>ALÜMİNYUM RİCHEL  KLİPS ÇİFTLİ 6750 MM</t>
  </si>
  <si>
    <t>BİTKİ TELİ İÇİN NERVÜRLÜ DEMİR 3000x14 MM</t>
  </si>
  <si>
    <t>SİLİKON</t>
  </si>
  <si>
    <t>POLİKARBON VE OLUK ARASI BAĞ. PROFİL 5000 MM(3350)</t>
  </si>
  <si>
    <t>POLİKARBON BETON ÜSTÜ BAĞ." h" PROFİLİ 6000 (3349)</t>
  </si>
  <si>
    <t>5000 MM POLİKARBON ARA BAG. "H" PROFİLİ (3348)</t>
  </si>
  <si>
    <t>POLİKARBON ARA BAĞ. "H" PROFİLİ 6200 MM(3348)</t>
  </si>
  <si>
    <t>POLİKARBON ARA BAĞ. "H" PROFİLİ 7200 MM(3348)</t>
  </si>
  <si>
    <t xml:space="preserve">POLİKARBON DIŞ PROFİLİ 1,2 MM x 1600 MM </t>
  </si>
  <si>
    <t xml:space="preserve">POLİKARBON DIŞ PROFİLİ 1,2 MM x 2080 MM </t>
  </si>
  <si>
    <t>3000 MM PLASTİK KLİPS</t>
  </si>
  <si>
    <t>SİNEK TÜLÜ KLİPSİ (10 m'de 2 adet)</t>
  </si>
  <si>
    <t>ÖRGÜLÜ LASTİK HALAT (Her klips'e 2 metre)</t>
  </si>
  <si>
    <t>5 mm KLEMENS</t>
  </si>
  <si>
    <t>DEZENFEKTE ODASI</t>
  </si>
  <si>
    <t>CIVATALAR</t>
  </si>
  <si>
    <t>150-07-0003</t>
  </si>
  <si>
    <t>M10 FİBERLİ SOMUN</t>
  </si>
  <si>
    <t>150-07-0002</t>
  </si>
  <si>
    <t>M8 FİBERLİ SOMUN</t>
  </si>
  <si>
    <t>150-07-0001</t>
  </si>
  <si>
    <t>M6 FİBERLİ SOMUN</t>
  </si>
  <si>
    <t>150-08-0015</t>
  </si>
  <si>
    <t>150-06-0073</t>
  </si>
  <si>
    <t>M10x160 931 YARIM PASO KAPLAMALI 8.8 ÇELİK CİVATA</t>
  </si>
  <si>
    <t>150-06-0033</t>
  </si>
  <si>
    <t>M10x100 931 YARIM PASO KAPLAMALI 8.8 ÇELİK CİVATA</t>
  </si>
  <si>
    <t>150-06-0030</t>
  </si>
  <si>
    <t>150-06-0029</t>
  </si>
  <si>
    <t>M10x60 931 YARIM PASO KAPLAMALI 8.8 ÇELİK CİVATA</t>
  </si>
  <si>
    <t>150-06-0026</t>
  </si>
  <si>
    <t>M10x30 KAPLAMALI 8.8 ÇELİK CİVATA</t>
  </si>
  <si>
    <t>150-06-0022</t>
  </si>
  <si>
    <t>M8x100 931 YARIM PASO KAPLAMALI 8.8 ÇELİK CİVATA</t>
  </si>
  <si>
    <t>M8x80 931 YARIM PASO KAPLAMALI 8.8 ÇELİK CİVATA</t>
  </si>
  <si>
    <t>150-06-0019</t>
  </si>
  <si>
    <t>M8x70 931 YARIM PASO KAPLAMALI 8.8 ÇELİK CİVATA</t>
  </si>
  <si>
    <t>150-06-0072</t>
  </si>
  <si>
    <t>M8x70 933 TAM PASO KAPLAMALI 8.8 ÇELİK CİVATA</t>
  </si>
  <si>
    <t>150-06-0018</t>
  </si>
  <si>
    <t>M8x60 931 YARIM PASO KAPLAMALI 8.8 ÇELİK CİVATA</t>
  </si>
  <si>
    <t>M8x50 KAPLAMALI 8.8 ÇELİK CİVATA</t>
  </si>
  <si>
    <t>M8x40 KAPLAMALI 8.8 ÇELİK CİVATA</t>
  </si>
  <si>
    <t>150-06-0014</t>
  </si>
  <si>
    <t>M8x30 KAPLAMALI 8.8 ÇELİK CİVATA</t>
  </si>
  <si>
    <t>150-06-0011</t>
  </si>
  <si>
    <t>M8x20 KAPLAMALI 8.8 ÇELİK CİVATA</t>
  </si>
  <si>
    <t>150-06-0005</t>
  </si>
  <si>
    <t>M6x40 931 YARIM PASO KAPLAMALI 8.8 ÇELİK CİVATA</t>
  </si>
  <si>
    <t>150-06-0039</t>
  </si>
  <si>
    <t>4/8x32 MERCİMEK BAŞLI (YSB)</t>
  </si>
  <si>
    <t>150-06-0086</t>
  </si>
  <si>
    <t>4,8X55 MATKAP UCLU ÇATI VİDASI</t>
  </si>
  <si>
    <t>150-06-0080</t>
  </si>
  <si>
    <t>4,8X38 MATKAP UCLU ÇATI VİDASI</t>
  </si>
  <si>
    <t>150-06-0038</t>
  </si>
  <si>
    <t>4,8x25 MATKAP UÇLU ÇATI VİDASI</t>
  </si>
  <si>
    <t>150-06-0088</t>
  </si>
  <si>
    <t>6,3X25 MATKAP UÇLU ÇATI VİDASI</t>
  </si>
  <si>
    <t>150-08-0006</t>
  </si>
  <si>
    <t>TRAPEZ VİDA ALTINA ŞASE PULU 1/4 X32</t>
  </si>
  <si>
    <t>150-05-0013</t>
  </si>
  <si>
    <t>M8 POLYAMİT PLASTİK PUL</t>
  </si>
  <si>
    <t>NAYLON m²</t>
  </si>
  <si>
    <t>153-14-0002</t>
  </si>
  <si>
    <t>SİNEK TÜLÜ m²</t>
  </si>
  <si>
    <t>MOTOR KRAMİYER GRUBU</t>
  </si>
  <si>
    <t>KAFA SACLARI</t>
  </si>
  <si>
    <t>ALUMİNYUMLAR</t>
  </si>
  <si>
    <t>PLASTİK MALZEMELER</t>
  </si>
  <si>
    <t>ÇELİK HALAT</t>
  </si>
  <si>
    <t>KAPILAR</t>
  </si>
  <si>
    <t>SEKSİYONEL KAPI</t>
  </si>
  <si>
    <t>PANJURLU OTOMATİK KAPI</t>
  </si>
  <si>
    <t>FOTOSELLİ OTOMATİK KAPI</t>
  </si>
  <si>
    <t>ALUMİNYUM SERVİS KAPISI</t>
  </si>
  <si>
    <t>KAPLAMA MALZEMELERİ</t>
  </si>
  <si>
    <t>TEKNİK ODA NAYLONU</t>
  </si>
  <si>
    <t>KOLON</t>
  </si>
  <si>
    <t>GALVANİZ</t>
  </si>
  <si>
    <t>BORU</t>
  </si>
  <si>
    <t>GLZ. PROFİL</t>
  </si>
  <si>
    <t>1,2 MM</t>
  </si>
  <si>
    <t>1,5 MM</t>
  </si>
  <si>
    <t>2 MM</t>
  </si>
  <si>
    <t>3 MM</t>
  </si>
  <si>
    <t>4 MM</t>
  </si>
  <si>
    <t>0,6 MM 
GUTTER</t>
  </si>
  <si>
    <t>ALUMİNYUM</t>
  </si>
  <si>
    <t>2,1 X 6,4 ŞEFFAF POLİKARBON</t>
  </si>
  <si>
    <t>5000 MM ŞEFFAF POLİKARBON ''H ''</t>
  </si>
  <si>
    <t>BP-01</t>
  </si>
  <si>
    <t>BP-03</t>
  </si>
  <si>
    <t>152-01-001</t>
  </si>
  <si>
    <t>70*70*1200*2,00 mm Ankaraj</t>
  </si>
  <si>
    <t>BP-02</t>
  </si>
  <si>
    <t>152-01-002</t>
  </si>
  <si>
    <t>80*80*5000*2,00 mm Kolon</t>
  </si>
  <si>
    <t>152-01-003</t>
  </si>
  <si>
    <t>80*140*7000*3 mm Kafa Orta Kolon</t>
  </si>
  <si>
    <t>BP-07</t>
  </si>
  <si>
    <t>152-01-009</t>
  </si>
  <si>
    <t>35*35 Klips Profil</t>
  </si>
  <si>
    <t>BP-08</t>
  </si>
  <si>
    <t>152-01-010</t>
  </si>
  <si>
    <t>1,2-5000 mm Richel Klips</t>
  </si>
  <si>
    <t>BP-09</t>
  </si>
  <si>
    <t>152-01-011</t>
  </si>
  <si>
    <t>BP-10</t>
  </si>
  <si>
    <t>152-01-012</t>
  </si>
  <si>
    <t>BP-13</t>
  </si>
  <si>
    <t>152-01-015</t>
  </si>
  <si>
    <t>Mahya Profili 45*45*5000</t>
  </si>
  <si>
    <t>BK-30</t>
  </si>
  <si>
    <t>152-03-033</t>
  </si>
  <si>
    <t>Uzun Klavuzlu Parça</t>
  </si>
  <si>
    <t>BO-03</t>
  </si>
  <si>
    <t>152-02-003</t>
  </si>
  <si>
    <t>32*1,5*1560 mm Makas Borusu</t>
  </si>
  <si>
    <t>BO-04</t>
  </si>
  <si>
    <t>152-02-004</t>
  </si>
  <si>
    <t>32*1,5*2140 mm Makas Borusu</t>
  </si>
  <si>
    <t>32*1,5*2430 mm Makas Borusu</t>
  </si>
  <si>
    <t>BO-05</t>
  </si>
  <si>
    <t>152-02-005</t>
  </si>
  <si>
    <t>BO-06</t>
  </si>
  <si>
    <t>152-02-006</t>
  </si>
  <si>
    <t>32*1,5*2865 mm 6' Çapraz</t>
  </si>
  <si>
    <t>BO-07</t>
  </si>
  <si>
    <t>152-02-007</t>
  </si>
  <si>
    <t>32*1,5*6300 mm Alt Ara Çapraz Borusu (Gerdirmeli)</t>
  </si>
  <si>
    <t>BO-08</t>
  </si>
  <si>
    <t>152-02-8000</t>
  </si>
  <si>
    <t>32*1,5*4400 mm Duvar Üstü Borusu (Gerdirmeli)</t>
  </si>
  <si>
    <t>BO-09</t>
  </si>
  <si>
    <t>152-02-009</t>
  </si>
  <si>
    <t>48*3305 Çapraz Borusu</t>
  </si>
  <si>
    <t>BO-10</t>
  </si>
  <si>
    <t>152-02-010</t>
  </si>
  <si>
    <t>48*2,00*3720 Çapraz Borusu</t>
  </si>
  <si>
    <t>BO-11</t>
  </si>
  <si>
    <t>152-02-012</t>
  </si>
  <si>
    <t>33,8*2,5*10000 mm Pencere Şaft Borusu</t>
  </si>
  <si>
    <t>BK-04</t>
  </si>
  <si>
    <t>152-03-004</t>
  </si>
  <si>
    <t>Sağ Çember Kapital</t>
  </si>
  <si>
    <t>BK-05</t>
  </si>
  <si>
    <t>152-03-005</t>
  </si>
  <si>
    <t>Sol Çember Kapital</t>
  </si>
  <si>
    <t>BK-06</t>
  </si>
  <si>
    <t>152-03-007</t>
  </si>
  <si>
    <t>Çember Kapital Yüzüğü</t>
  </si>
  <si>
    <t>BK-13</t>
  </si>
  <si>
    <t>152-03-014</t>
  </si>
  <si>
    <t>80*80 Tam Kelepçe</t>
  </si>
  <si>
    <t>BK-14</t>
  </si>
  <si>
    <t>152-03-016</t>
  </si>
  <si>
    <t>80*140 Ön Uzun Kolon Kelepçesi</t>
  </si>
  <si>
    <t>BK-22</t>
  </si>
  <si>
    <t>152-03-025</t>
  </si>
  <si>
    <t>Kısa Kılavuzlu Parça</t>
  </si>
  <si>
    <t>BK-23</t>
  </si>
  <si>
    <t>152-03-026</t>
  </si>
  <si>
    <t>Pencere Şaft Borusu Ek Parça</t>
  </si>
  <si>
    <t>152-03-029</t>
  </si>
  <si>
    <t>80*140 Kolon Kafa Çaprazı Kelepçesi</t>
  </si>
  <si>
    <t>BK-27</t>
  </si>
  <si>
    <t>152-03-030</t>
  </si>
  <si>
    <t>Klips Alt Desteği Kısa</t>
  </si>
  <si>
    <t>BK-28</t>
  </si>
  <si>
    <t>152-03-031</t>
  </si>
  <si>
    <t>Klips Alt Desteği Uzun</t>
  </si>
  <si>
    <t>BK-29</t>
  </si>
  <si>
    <t>153-03-032</t>
  </si>
  <si>
    <t>Klips Profili 35*35 mm U Ek Parçası</t>
  </si>
  <si>
    <t>BP-15</t>
  </si>
  <si>
    <t>153-01-005</t>
  </si>
  <si>
    <t>Açılır Pencere Kolu 35*35*1,5 2000 mm</t>
  </si>
  <si>
    <t>BP-16</t>
  </si>
  <si>
    <t>153-01-004</t>
  </si>
  <si>
    <t>BP-17</t>
  </si>
  <si>
    <t>153-01-007</t>
  </si>
  <si>
    <t>BP-18</t>
  </si>
  <si>
    <t>BP-19</t>
  </si>
  <si>
    <t>152-03-034</t>
  </si>
  <si>
    <t>BK-31</t>
  </si>
  <si>
    <t>80*80*86*2 mm Ara Kısa Kolon</t>
  </si>
  <si>
    <t>BK-09</t>
  </si>
  <si>
    <t>BP-06</t>
  </si>
  <si>
    <t>152-01-008</t>
  </si>
  <si>
    <t>50*50*3,00*9600 mm Perde Profili</t>
  </si>
  <si>
    <t>2*10000 mm Bindirmeli Oluk</t>
  </si>
  <si>
    <t>152-01-013</t>
  </si>
  <si>
    <t>BP-11</t>
  </si>
  <si>
    <t>2 mm*5130 mm Erkek Oluk</t>
  </si>
  <si>
    <t>2 mm*5130 mm Bindirmeli Oluk</t>
  </si>
  <si>
    <t>BP-12</t>
  </si>
  <si>
    <t>152-01-014</t>
  </si>
  <si>
    <t xml:space="preserve">Oluk Sonu İnişli 350*480*2 mm </t>
  </si>
  <si>
    <t>BP-14</t>
  </si>
  <si>
    <t>153-01-003</t>
  </si>
  <si>
    <t>Yoğunlaşma Oluğu 1 mm * 5050</t>
  </si>
  <si>
    <t>Polikarbon Bağlantı Profili ( C ) Yan 5000 mm</t>
  </si>
  <si>
    <t>Polikarbon Bağlantı Profili ( C ) Yan 6400 mm</t>
  </si>
  <si>
    <t>153-01-008</t>
  </si>
  <si>
    <t>153-01-009</t>
  </si>
  <si>
    <t>Polikarbon Bağlantı Profili ( C ) Ön 7800 mm</t>
  </si>
  <si>
    <t>Polikarbon Bağlantı Profili ( C )Yan Ön 4400 mm</t>
  </si>
  <si>
    <t>BO-01</t>
  </si>
  <si>
    <t>50*60*1,5*5375 mm Makas Üst Borusu</t>
  </si>
  <si>
    <t>BO-02</t>
  </si>
  <si>
    <t>152-02-002</t>
  </si>
  <si>
    <t>32*1,5*9339 mm Makas Alt Borusu</t>
  </si>
  <si>
    <t>BK-01</t>
  </si>
  <si>
    <t>32 lik Tam Kelepçe</t>
  </si>
  <si>
    <t>50*60 Tam Kelepçe</t>
  </si>
  <si>
    <t>BK-02</t>
  </si>
  <si>
    <t>Tepe Mahya Kelepçesi</t>
  </si>
  <si>
    <t>BK-03</t>
  </si>
  <si>
    <t>152-03-003</t>
  </si>
  <si>
    <t>152-03-002</t>
  </si>
  <si>
    <t>Oluk Altı Kapital</t>
  </si>
  <si>
    <t>152-03-006</t>
  </si>
  <si>
    <t>Menteşe Orta</t>
  </si>
  <si>
    <t>152-03-008</t>
  </si>
  <si>
    <t>BK-08</t>
  </si>
  <si>
    <t>3 MM PENCERE KOLUNUN KLİPSLİ PROFİL KELEPÇESİ ( Pencere Kolu Kelepçesi)</t>
  </si>
  <si>
    <t>152-03-010</t>
  </si>
  <si>
    <t>BK-10</t>
  </si>
  <si>
    <t>50*60 Yarım Açık Kelepçe</t>
  </si>
  <si>
    <t>152-03-011</t>
  </si>
  <si>
    <t>BK-11</t>
  </si>
  <si>
    <t>35*35 Kremiyer Kelepçesi</t>
  </si>
  <si>
    <t>BK-12</t>
  </si>
  <si>
    <t>152-03-012</t>
  </si>
  <si>
    <t>152-03-001</t>
  </si>
  <si>
    <t>BK-15</t>
  </si>
  <si>
    <t>152-03-017</t>
  </si>
  <si>
    <t>Kafa Çapraz Bağlantı Kelepçesi</t>
  </si>
  <si>
    <t>BK-16</t>
  </si>
  <si>
    <t>152-03-018</t>
  </si>
  <si>
    <t>50*50 Kelepçe</t>
  </si>
  <si>
    <t>BK-17</t>
  </si>
  <si>
    <t>45 lik Profil U Ek Parçası</t>
  </si>
  <si>
    <t>152-03-019</t>
  </si>
  <si>
    <t>BK-18</t>
  </si>
  <si>
    <t>152-03-020</t>
  </si>
  <si>
    <t>80*140 Kelepçe</t>
  </si>
  <si>
    <t>BK-19</t>
  </si>
  <si>
    <t>152-03-021</t>
  </si>
  <si>
    <t>80*40 Direk Çapraz Kelepçesi</t>
  </si>
  <si>
    <t>35*35 Pencere Kolu Çaprazı</t>
  </si>
  <si>
    <t>152-03-023</t>
  </si>
  <si>
    <t>BK-20</t>
  </si>
  <si>
    <t>BK-21</t>
  </si>
  <si>
    <t>152-03-024</t>
  </si>
  <si>
    <t>32*1,5*251 mm Çapraz Kelepçesi Yanlarda Z</t>
  </si>
  <si>
    <t>60*60 Kafa Kolon Kelepçesi Sağ</t>
  </si>
  <si>
    <t>152-03-027</t>
  </si>
  <si>
    <t>BK-24</t>
  </si>
  <si>
    <t>BK-25</t>
  </si>
  <si>
    <t>152-03-028</t>
  </si>
  <si>
    <t>60*60 Kafa Kolon Kelepçesi Sol</t>
  </si>
  <si>
    <t>BK-26</t>
  </si>
  <si>
    <t>ŞAFT BORU YATAĞI</t>
  </si>
  <si>
    <t>18,0*200*1,5 Pencere Eki Sacı 2</t>
  </si>
  <si>
    <t>28,0*200*1,5 Pencere Eki Sacı 1</t>
  </si>
  <si>
    <t>11,0*150*0,8 Kramiyer Dişli Koruma Sacı</t>
  </si>
  <si>
    <t>16,5*200*0,8 Makas Sonu Tırtırlı Sacı</t>
  </si>
  <si>
    <t>25*250*1,5 Polikarbon Köşe Kapak Sacı</t>
  </si>
  <si>
    <t>56*210*1,5 Pencere Sonu Sacı</t>
  </si>
  <si>
    <t>M12 GERDİRME (KAPALI AĞIZ)</t>
  </si>
  <si>
    <t>Oluk sonu inişsiz</t>
  </si>
  <si>
    <t>KAFA KOLON ÇAPRAZI 60X60X3X5800 MM</t>
  </si>
  <si>
    <t>4 MM ÇELİK HALAT</t>
  </si>
  <si>
    <t>M8 FİBERSİZ SOMUN</t>
  </si>
  <si>
    <t>M8 5/16 WH 2 MM DEMİR PUL</t>
  </si>
  <si>
    <t>M10x80 931 YARIM PASO KAPLAMALI 8.8 ÇELİK CİVATA</t>
  </si>
  <si>
    <t>M10x40 KAPLAMALI 8.8 ÇELİK CİVATA</t>
  </si>
  <si>
    <t>M8x30 KAPLAMALI 8.8 ÇELİK CİVATA(FLANŞLI)</t>
  </si>
  <si>
    <t>3/9X16 MERCİMEK BAŞLI (YSB)</t>
  </si>
  <si>
    <t>BİRİM AĞIRLIKLARI</t>
  </si>
  <si>
    <t>TOPLAM</t>
  </si>
  <si>
    <t>TÜNEL SAYISI</t>
  </si>
  <si>
    <t>TÜNEL GENİŞLİK</t>
  </si>
  <si>
    <t>DUVAR KOLON ARASI</t>
  </si>
  <si>
    <t>ORTA KOLON ARALIĞI</t>
  </si>
  <si>
    <t>OLUK BOYU</t>
  </si>
  <si>
    <t>TEK AKINTI</t>
  </si>
  <si>
    <t>ÇİFT AKINTILI</t>
  </si>
  <si>
    <t>TÜNEL 
UZUNLUĞU</t>
  </si>
  <si>
    <t>BİRİM 
AĞIRLIK</t>
  </si>
  <si>
    <t>TOPLMA</t>
  </si>
  <si>
    <t>ORTADA TEKNİK ODA 
VARSA</t>
  </si>
  <si>
    <t>DUVAR ÜSTÜ</t>
  </si>
  <si>
    <t>yuvarlama</t>
  </si>
  <si>
    <t>tünel ikiye bölünürse
yarısı kadar ekle</t>
  </si>
  <si>
    <t>tünel ikiye bölünürse
ekle</t>
  </si>
  <si>
    <t>teknik oda için konacak mı sor</t>
  </si>
  <si>
    <t>köşe sayısı kadar</t>
  </si>
  <si>
    <t>30*40 profil(50x60 oval boru önüne konması için başlarda)</t>
  </si>
  <si>
    <t>MAKAS ALT BORUSU BAĞLAMA HALATI(3MM)</t>
  </si>
  <si>
    <t>toplam tonaj</t>
  </si>
  <si>
    <t>profil tonaj</t>
  </si>
  <si>
    <t>saç profil tonaj</t>
  </si>
  <si>
    <t>kelepçe tonaj</t>
  </si>
  <si>
    <t>M10 FİBERSİZ</t>
  </si>
  <si>
    <t>M6 FİBERSİZ SOMUN</t>
  </si>
  <si>
    <t>perdelik yoksa
çıkar</t>
  </si>
  <si>
    <t>baştaki kolonlar(80x80x5000)
80x140 olursa</t>
  </si>
  <si>
    <t xml:space="preserve">tünel ikiye bölünürse
</t>
  </si>
  <si>
    <t>2,1 X 7,3 ŞEFFAF POLİKARBON</t>
  </si>
  <si>
    <t>2,1 x 4,8 ŞEFFAF POLİKARBON</t>
  </si>
  <si>
    <t>2,1x5,2 ŞEFFAF POLİKARBON</t>
  </si>
  <si>
    <t>7500 MM ŞEFFAF POLİKARBON ''H ''</t>
  </si>
  <si>
    <t>6400 MM  ŞEFFAF POLİKARBON ''H ''</t>
  </si>
  <si>
    <t xml:space="preserve">5200 MM ŞEFFAF POLİKARBON "H" </t>
  </si>
  <si>
    <t>YER ÖRTÜSÜ METRE KARE</t>
  </si>
  <si>
    <t>iki katı olacak (yan yana 
iki ürünü bir ürün saydığın için)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</si>
</sst>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#,##0.00\ \m\²"/>
  </numFmts>
  <fonts count="22" x14ac:knownFonts="1">
    <font>
      <sz val="11"/>
      <color theme="1"/>
      <name val="Calibri"/>
      <family val="2"/>
      <charset val="204"/>
      <scheme val="minor"/>
    </font>
    <font>
      <sz val="36"/>
      <name val="Calibri Light"/>
      <family val="1"/>
      <charset val="162"/>
      <scheme val="major"/>
    </font>
    <font>
      <sz val="11"/>
      <name val="Calibri Light"/>
      <family val="1"/>
      <charset val="162"/>
      <scheme val="major"/>
    </font>
    <font>
      <b/>
      <sz val="16"/>
      <name val="Calibri Light"/>
      <family val="1"/>
      <charset val="162"/>
      <scheme val="major"/>
    </font>
    <font>
      <b/>
      <sz val="12"/>
      <name val="Calibri Light"/>
      <family val="1"/>
      <charset val="162"/>
      <scheme val="major"/>
    </font>
    <font>
      <b/>
      <sz val="16"/>
      <color rgb="FFFF0000"/>
      <name val="Calibri Light"/>
      <family val="1"/>
      <charset val="162"/>
      <scheme val="major"/>
    </font>
    <font>
      <sz val="11"/>
      <color rgb="FFFF0000"/>
      <name val="Calibri Light"/>
      <family val="1"/>
      <charset val="162"/>
      <scheme val="major"/>
    </font>
    <font>
      <b/>
      <sz val="11"/>
      <name val="Calibri Light"/>
      <family val="1"/>
      <charset val="162"/>
      <scheme val="major"/>
    </font>
    <font>
      <b/>
      <sz val="11"/>
      <color rgb="FFFF0000"/>
      <name val="Calibri Light"/>
      <family val="1"/>
      <charset val="162"/>
      <scheme val="major"/>
    </font>
    <font>
      <sz val="10"/>
      <name val="Arial"/>
      <family val="2"/>
      <charset val="162"/>
    </font>
    <font>
      <b/>
      <sz val="16"/>
      <color rgb="FFFF0000"/>
      <name val="Calibri Light"/>
      <family val="2"/>
      <charset val="162"/>
      <scheme val="major"/>
    </font>
    <font>
      <b/>
      <sz val="16"/>
      <name val="Calibri Light"/>
      <family val="2"/>
      <charset val="204"/>
      <scheme val="major"/>
    </font>
    <font>
      <sz val="16"/>
      <color theme="1"/>
      <name val="Calibri"/>
      <family val="2"/>
      <charset val="162"/>
      <scheme val="minor"/>
    </font>
    <font>
      <sz val="36"/>
      <color theme="1"/>
      <name val="Calibri"/>
      <family val="2"/>
      <charset val="204"/>
      <scheme val="minor"/>
    </font>
    <font>
      <sz val="10"/>
      <color theme="1"/>
      <name val="Calibri"/>
      <family val="2"/>
      <charset val="162"/>
      <scheme val="minor"/>
    </font>
    <font>
      <sz val="9"/>
      <color indexed="81"/>
      <name val="Tahoma"/>
      <family val="2"/>
      <charset val="162"/>
    </font>
    <font>
      <b/>
      <sz val="9"/>
      <color indexed="81"/>
      <name val="Tahoma"/>
      <family val="2"/>
      <charset val="162"/>
    </font>
    <font>
      <sz val="24"/>
      <color indexed="81"/>
      <name val="Tahoma"/>
      <family val="2"/>
      <charset val="162"/>
    </font>
    <font>
      <b/>
      <sz val="18"/>
      <color indexed="81"/>
      <name val="Tahoma"/>
      <family val="2"/>
      <charset val="162"/>
    </font>
    <font>
      <sz val="18"/>
      <color indexed="81"/>
      <name val="Tahoma"/>
      <family val="2"/>
      <charset val="162"/>
    </font>
    <font>
      <sz val="11"/>
      <color indexed="81"/>
      <name val="Tahoma"/>
      <family val="2"/>
      <charset val="162"/>
    </font>
    <font>
      <sz val="12"/>
      <color indexed="81"/>
      <name val="Tahoma"/>
      <family val="2"/>
      <charset val="16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88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5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0" fontId="4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 wrapText="1"/>
    </xf>
    <xf numFmtId="0" fontId="7" fillId="0" borderId="0" xfId="0" applyFont="1" applyFill="1"/>
    <xf numFmtId="0" fontId="8" fillId="0" borderId="0" xfId="0" applyFont="1" applyFill="1"/>
    <xf numFmtId="0" fontId="3" fillId="0" borderId="1" xfId="1" applyNumberFormat="1" applyFont="1" applyFill="1" applyBorder="1" applyAlignment="1" applyProtection="1">
      <alignment horizontal="left" vertical="center"/>
    </xf>
    <xf numFmtId="4" fontId="4" fillId="0" borderId="1" xfId="0" quotePrefix="1" applyNumberFormat="1" applyFont="1" applyFill="1" applyBorder="1" applyAlignment="1">
      <alignment horizontal="center" vertical="center"/>
    </xf>
    <xf numFmtId="4" fontId="3" fillId="0" borderId="1" xfId="0" quotePrefix="1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65" fontId="3" fillId="0" borderId="1" xfId="0" applyNumberFormat="1" applyFont="1" applyFill="1" applyBorder="1" applyAlignment="1">
      <alignment horizontal="center" vertical="center" wrapText="1"/>
    </xf>
    <xf numFmtId="164" fontId="3" fillId="0" borderId="0" xfId="0" applyNumberFormat="1" applyFont="1" applyFill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 wrapText="1"/>
    </xf>
    <xf numFmtId="0" fontId="10" fillId="5" borderId="1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10" fillId="5" borderId="12" xfId="0" applyFont="1" applyFill="1" applyBorder="1" applyAlignment="1">
      <alignment horizontal="center" vertical="center"/>
    </xf>
    <xf numFmtId="0" fontId="3" fillId="0" borderId="1" xfId="1" applyNumberFormat="1" applyFont="1" applyFill="1" applyBorder="1" applyAlignment="1" applyProtection="1">
      <alignment vertical="center"/>
    </xf>
    <xf numFmtId="0" fontId="3" fillId="0" borderId="1" xfId="2" applyNumberFormat="1" applyFont="1" applyFill="1" applyBorder="1" applyAlignment="1" applyProtection="1">
      <alignment vertical="center"/>
    </xf>
    <xf numFmtId="0" fontId="3" fillId="3" borderId="1" xfId="0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164" fontId="3" fillId="6" borderId="2" xfId="0" applyNumberFormat="1" applyFont="1" applyFill="1" applyBorder="1" applyAlignment="1">
      <alignment horizontal="center" vertical="center" wrapText="1"/>
    </xf>
    <xf numFmtId="164" fontId="3" fillId="6" borderId="3" xfId="0" applyNumberFormat="1" applyFont="1" applyFill="1" applyBorder="1" applyAlignment="1">
      <alignment horizontal="center" vertical="center" wrapText="1"/>
    </xf>
    <xf numFmtId="164" fontId="3" fillId="6" borderId="4" xfId="0" applyNumberFormat="1" applyFont="1" applyFill="1" applyBorder="1" applyAlignment="1">
      <alignment horizontal="center" vertical="center" wrapText="1"/>
    </xf>
    <xf numFmtId="0" fontId="1" fillId="0" borderId="13" xfId="0" applyFont="1" applyFill="1" applyBorder="1"/>
    <xf numFmtId="0" fontId="1" fillId="0" borderId="14" xfId="0" applyFont="1" applyFill="1" applyBorder="1"/>
    <xf numFmtId="14" fontId="3" fillId="0" borderId="4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/>
    <xf numFmtId="0" fontId="6" fillId="0" borderId="1" xfId="0" applyFont="1" applyFill="1" applyBorder="1"/>
    <xf numFmtId="0" fontId="12" fillId="9" borderId="1" xfId="0" applyFont="1" applyFill="1" applyBorder="1" applyAlignment="1">
      <alignment horizontal="center" vertical="center" wrapText="1"/>
    </xf>
    <xf numFmtId="0" fontId="13" fillId="0" borderId="1" xfId="0" applyFont="1" applyBorder="1"/>
    <xf numFmtId="0" fontId="14" fillId="9" borderId="1" xfId="0" applyFont="1" applyFill="1" applyBorder="1" applyAlignment="1">
      <alignment horizontal="center" vertical="center" wrapText="1"/>
    </xf>
    <xf numFmtId="14" fontId="3" fillId="10" borderId="2" xfId="0" applyNumberFormat="1" applyFont="1" applyFill="1" applyBorder="1" applyAlignment="1">
      <alignment horizontal="center" vertical="center" wrapText="1"/>
    </xf>
    <xf numFmtId="14" fontId="3" fillId="10" borderId="3" xfId="0" applyNumberFormat="1" applyFont="1" applyFill="1" applyBorder="1" applyAlignment="1">
      <alignment horizontal="center" vertical="center" wrapText="1"/>
    </xf>
    <xf numFmtId="14" fontId="3" fillId="10" borderId="4" xfId="0" applyNumberFormat="1" applyFont="1" applyFill="1" applyBorder="1" applyAlignment="1">
      <alignment horizontal="center" vertical="center" wrapText="1"/>
    </xf>
    <xf numFmtId="14" fontId="3" fillId="2" borderId="2" xfId="0" applyNumberFormat="1" applyFont="1" applyFill="1" applyBorder="1" applyAlignment="1">
      <alignment horizontal="center" vertical="center" wrapText="1"/>
    </xf>
    <xf numFmtId="14" fontId="3" fillId="2" borderId="3" xfId="0" applyNumberFormat="1" applyFont="1" applyFill="1" applyBorder="1" applyAlignment="1">
      <alignment horizontal="center" vertical="center" wrapText="1"/>
    </xf>
    <xf numFmtId="14" fontId="3" fillId="2" borderId="4" xfId="0" applyNumberFormat="1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164" fontId="3" fillId="2" borderId="2" xfId="0" applyNumberFormat="1" applyFont="1" applyFill="1" applyBorder="1" applyAlignment="1">
      <alignment horizontal="center" vertical="center" wrapText="1"/>
    </xf>
    <xf numFmtId="164" fontId="3" fillId="2" borderId="3" xfId="0" applyNumberFormat="1" applyFont="1" applyFill="1" applyBorder="1" applyAlignment="1">
      <alignment horizontal="center" vertical="center" wrapText="1"/>
    </xf>
    <xf numFmtId="164" fontId="3" fillId="2" borderId="4" xfId="0" applyNumberFormat="1" applyFont="1" applyFill="1" applyBorder="1" applyAlignment="1">
      <alignment horizontal="center" vertical="center" wrapText="1"/>
    </xf>
    <xf numFmtId="14" fontId="3" fillId="10" borderId="2" xfId="0" applyNumberFormat="1" applyFont="1" applyFill="1" applyBorder="1" applyAlignment="1">
      <alignment horizontal="center" vertical="center" wrapText="1"/>
    </xf>
    <xf numFmtId="14" fontId="3" fillId="10" borderId="3" xfId="0" applyNumberFormat="1" applyFont="1" applyFill="1" applyBorder="1" applyAlignment="1">
      <alignment horizontal="center" vertical="center" wrapText="1"/>
    </xf>
    <xf numFmtId="14" fontId="3" fillId="10" borderId="4" xfId="0" applyNumberFormat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2" borderId="2" xfId="0" applyNumberFormat="1" applyFont="1" applyFill="1" applyBorder="1" applyAlignment="1">
      <alignment horizontal="center" vertical="center" wrapText="1"/>
    </xf>
    <xf numFmtId="0" fontId="3" fillId="2" borderId="3" xfId="0" applyNumberFormat="1" applyFont="1" applyFill="1" applyBorder="1" applyAlignment="1">
      <alignment horizontal="center" vertical="center" wrapText="1"/>
    </xf>
    <xf numFmtId="0" fontId="3" fillId="2" borderId="4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3">
    <cellStyle name="Normal" xfId="0" builtinId="0"/>
    <cellStyle name="Normal 3" xfId="1"/>
    <cellStyle name="Normal 4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9" Type="http://schemas.openxmlformats.org/officeDocument/2006/relationships/image" Target="../media/image39.jpeg"/><Relationship Id="rId21" Type="http://schemas.openxmlformats.org/officeDocument/2006/relationships/image" Target="../media/image21.jpeg"/><Relationship Id="rId34" Type="http://schemas.openxmlformats.org/officeDocument/2006/relationships/image" Target="../media/image34.jpeg"/><Relationship Id="rId42" Type="http://schemas.openxmlformats.org/officeDocument/2006/relationships/image" Target="../media/image42.jpeg"/><Relationship Id="rId47" Type="http://schemas.openxmlformats.org/officeDocument/2006/relationships/image" Target="../media/image47.jpeg"/><Relationship Id="rId50" Type="http://schemas.openxmlformats.org/officeDocument/2006/relationships/image" Target="../media/image50.jpeg"/><Relationship Id="rId55" Type="http://schemas.openxmlformats.org/officeDocument/2006/relationships/image" Target="../media/image55.jpeg"/><Relationship Id="rId7" Type="http://schemas.openxmlformats.org/officeDocument/2006/relationships/image" Target="../media/image7.jpe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9" Type="http://schemas.openxmlformats.org/officeDocument/2006/relationships/image" Target="../media/image29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37" Type="http://schemas.openxmlformats.org/officeDocument/2006/relationships/image" Target="../media/image37.jpeg"/><Relationship Id="rId40" Type="http://schemas.openxmlformats.org/officeDocument/2006/relationships/image" Target="../media/image40.jpeg"/><Relationship Id="rId45" Type="http://schemas.openxmlformats.org/officeDocument/2006/relationships/image" Target="../media/image45.jpeg"/><Relationship Id="rId53" Type="http://schemas.openxmlformats.org/officeDocument/2006/relationships/image" Target="../media/image53.jpeg"/><Relationship Id="rId58" Type="http://schemas.openxmlformats.org/officeDocument/2006/relationships/image" Target="../media/image58.png"/><Relationship Id="rId5" Type="http://schemas.openxmlformats.org/officeDocument/2006/relationships/image" Target="../media/image5.jpeg"/><Relationship Id="rId19" Type="http://schemas.openxmlformats.org/officeDocument/2006/relationships/image" Target="../media/image19.png"/><Relationship Id="rId4" Type="http://schemas.openxmlformats.org/officeDocument/2006/relationships/image" Target="../media/image4.jpeg"/><Relationship Id="rId9" Type="http://schemas.openxmlformats.org/officeDocument/2006/relationships/image" Target="../media/image9.pn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35" Type="http://schemas.openxmlformats.org/officeDocument/2006/relationships/image" Target="../media/image35.jpeg"/><Relationship Id="rId43" Type="http://schemas.openxmlformats.org/officeDocument/2006/relationships/image" Target="../media/image43.jpeg"/><Relationship Id="rId48" Type="http://schemas.openxmlformats.org/officeDocument/2006/relationships/image" Target="../media/image48.jpeg"/><Relationship Id="rId56" Type="http://schemas.openxmlformats.org/officeDocument/2006/relationships/image" Target="../media/image56.jpeg"/><Relationship Id="rId8" Type="http://schemas.openxmlformats.org/officeDocument/2006/relationships/image" Target="../media/image8.png"/><Relationship Id="rId51" Type="http://schemas.openxmlformats.org/officeDocument/2006/relationships/image" Target="../media/image51.jpeg"/><Relationship Id="rId3" Type="http://schemas.openxmlformats.org/officeDocument/2006/relationships/image" Target="../media/image3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jpeg"/><Relationship Id="rId38" Type="http://schemas.openxmlformats.org/officeDocument/2006/relationships/image" Target="../media/image38.jpeg"/><Relationship Id="rId46" Type="http://schemas.openxmlformats.org/officeDocument/2006/relationships/image" Target="../media/image46.jpeg"/><Relationship Id="rId20" Type="http://schemas.openxmlformats.org/officeDocument/2006/relationships/image" Target="../media/image20.png"/><Relationship Id="rId41" Type="http://schemas.openxmlformats.org/officeDocument/2006/relationships/image" Target="../media/image41.jpeg"/><Relationship Id="rId54" Type="http://schemas.openxmlformats.org/officeDocument/2006/relationships/image" Target="../media/image54.jpe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jpeg"/><Relationship Id="rId36" Type="http://schemas.openxmlformats.org/officeDocument/2006/relationships/image" Target="../media/image36.jpeg"/><Relationship Id="rId49" Type="http://schemas.openxmlformats.org/officeDocument/2006/relationships/image" Target="../media/image49.jpeg"/><Relationship Id="rId57" Type="http://schemas.openxmlformats.org/officeDocument/2006/relationships/image" Target="../media/image57.jpeg"/><Relationship Id="rId10" Type="http://schemas.openxmlformats.org/officeDocument/2006/relationships/image" Target="../media/image10.jpeg"/><Relationship Id="rId31" Type="http://schemas.openxmlformats.org/officeDocument/2006/relationships/image" Target="../media/image31.jpeg"/><Relationship Id="rId44" Type="http://schemas.openxmlformats.org/officeDocument/2006/relationships/image" Target="../media/image44.jpeg"/><Relationship Id="rId52" Type="http://schemas.openxmlformats.org/officeDocument/2006/relationships/image" Target="../media/image5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41190</xdr:colOff>
      <xdr:row>7</xdr:row>
      <xdr:rowOff>41188</xdr:rowOff>
    </xdr:from>
    <xdr:to>
      <xdr:col>2</xdr:col>
      <xdr:colOff>790498</xdr:colOff>
      <xdr:row>7</xdr:row>
      <xdr:rowOff>719633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103FBA0E-A33C-4914-A7A6-31A48979EFB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09" t="17504" r="60896" b="56889"/>
        <a:stretch/>
      </xdr:blipFill>
      <xdr:spPr>
        <a:xfrm>
          <a:off x="869865" y="2212888"/>
          <a:ext cx="749308" cy="678445"/>
        </a:xfrm>
        <a:prstGeom prst="rect">
          <a:avLst/>
        </a:prstGeom>
      </xdr:spPr>
    </xdr:pic>
    <xdr:clientData/>
  </xdr:twoCellAnchor>
  <xdr:twoCellAnchor editAs="oneCell">
    <xdr:from>
      <xdr:col>2</xdr:col>
      <xdr:colOff>81554</xdr:colOff>
      <xdr:row>8</xdr:row>
      <xdr:rowOff>20593</xdr:rowOff>
    </xdr:from>
    <xdr:to>
      <xdr:col>2</xdr:col>
      <xdr:colOff>843554</xdr:colOff>
      <xdr:row>8</xdr:row>
      <xdr:rowOff>737814</xdr:rowOff>
    </xdr:to>
    <xdr:pic>
      <xdr:nvPicPr>
        <xdr:cNvPr id="4" name="Resim 3">
          <a:extLst>
            <a:ext uri="{FF2B5EF4-FFF2-40B4-BE49-F238E27FC236}">
              <a16:creationId xmlns:a16="http://schemas.microsoft.com/office/drawing/2014/main" id="{30A767BA-619D-4929-98EE-446319E4CF9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439" t="14650" r="30913"/>
        <a:stretch/>
      </xdr:blipFill>
      <xdr:spPr>
        <a:xfrm flipV="1">
          <a:off x="934994" y="4531633"/>
          <a:ext cx="762000" cy="717221"/>
        </a:xfrm>
        <a:prstGeom prst="rect">
          <a:avLst/>
        </a:prstGeom>
      </xdr:spPr>
    </xdr:pic>
    <xdr:clientData/>
  </xdr:twoCellAnchor>
  <xdr:twoCellAnchor editAs="oneCell">
    <xdr:from>
      <xdr:col>2</xdr:col>
      <xdr:colOff>71257</xdr:colOff>
      <xdr:row>9</xdr:row>
      <xdr:rowOff>61371</xdr:rowOff>
    </xdr:from>
    <xdr:to>
      <xdr:col>2</xdr:col>
      <xdr:colOff>865322</xdr:colOff>
      <xdr:row>9</xdr:row>
      <xdr:rowOff>761587</xdr:rowOff>
    </xdr:to>
    <xdr:pic>
      <xdr:nvPicPr>
        <xdr:cNvPr id="5" name="Resim 4">
          <a:extLst>
            <a:ext uri="{FF2B5EF4-FFF2-40B4-BE49-F238E27FC236}">
              <a16:creationId xmlns:a16="http://schemas.microsoft.com/office/drawing/2014/main" id="{2EFBBD26-38F1-4BD3-87ED-54CAB4DF5BD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009" t="17504" r="60896" b="56889"/>
        <a:stretch/>
      </xdr:blipFill>
      <xdr:spPr>
        <a:xfrm>
          <a:off x="924697" y="5349651"/>
          <a:ext cx="794065" cy="700216"/>
        </a:xfrm>
        <a:prstGeom prst="rect">
          <a:avLst/>
        </a:prstGeom>
      </xdr:spPr>
    </xdr:pic>
    <xdr:clientData/>
  </xdr:twoCellAnchor>
  <xdr:twoCellAnchor editAs="oneCell">
    <xdr:from>
      <xdr:col>2</xdr:col>
      <xdr:colOff>172994</xdr:colOff>
      <xdr:row>10</xdr:row>
      <xdr:rowOff>112444</xdr:rowOff>
    </xdr:from>
    <xdr:to>
      <xdr:col>2</xdr:col>
      <xdr:colOff>944972</xdr:colOff>
      <xdr:row>10</xdr:row>
      <xdr:rowOff>771471</xdr:rowOff>
    </xdr:to>
    <xdr:pic>
      <xdr:nvPicPr>
        <xdr:cNvPr id="6" name="Resim 5">
          <a:extLst>
            <a:ext uri="{FF2B5EF4-FFF2-40B4-BE49-F238E27FC236}">
              <a16:creationId xmlns:a16="http://schemas.microsoft.com/office/drawing/2014/main" id="{56EC8999-1448-486C-80E3-AC01589C5B8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9325" b="7811"/>
        <a:stretch/>
      </xdr:blipFill>
      <xdr:spPr>
        <a:xfrm>
          <a:off x="1026434" y="6177964"/>
          <a:ext cx="771978" cy="659027"/>
        </a:xfrm>
        <a:prstGeom prst="rect">
          <a:avLst/>
        </a:prstGeom>
      </xdr:spPr>
    </xdr:pic>
    <xdr:clientData/>
  </xdr:twoCellAnchor>
  <xdr:twoCellAnchor editAs="oneCell">
    <xdr:from>
      <xdr:col>2</xdr:col>
      <xdr:colOff>168051</xdr:colOff>
      <xdr:row>11</xdr:row>
      <xdr:rowOff>77022</xdr:rowOff>
    </xdr:from>
    <xdr:to>
      <xdr:col>2</xdr:col>
      <xdr:colOff>940029</xdr:colOff>
      <xdr:row>11</xdr:row>
      <xdr:rowOff>736049</xdr:rowOff>
    </xdr:to>
    <xdr:pic>
      <xdr:nvPicPr>
        <xdr:cNvPr id="7" name="Resim 6">
          <a:extLst>
            <a:ext uri="{FF2B5EF4-FFF2-40B4-BE49-F238E27FC236}">
              <a16:creationId xmlns:a16="http://schemas.microsoft.com/office/drawing/2014/main" id="{D1D3FAD3-2D9E-455B-A29F-AF2BC01DE32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" r="9325" b="7811"/>
        <a:stretch/>
      </xdr:blipFill>
      <xdr:spPr>
        <a:xfrm>
          <a:off x="1021491" y="6919782"/>
          <a:ext cx="771978" cy="659027"/>
        </a:xfrm>
        <a:prstGeom prst="rect">
          <a:avLst/>
        </a:prstGeom>
      </xdr:spPr>
    </xdr:pic>
    <xdr:clientData/>
  </xdr:twoCellAnchor>
  <xdr:twoCellAnchor editAs="oneCell">
    <xdr:from>
      <xdr:col>2</xdr:col>
      <xdr:colOff>41188</xdr:colOff>
      <xdr:row>13</xdr:row>
      <xdr:rowOff>61782</xdr:rowOff>
    </xdr:from>
    <xdr:to>
      <xdr:col>2</xdr:col>
      <xdr:colOff>787555</xdr:colOff>
      <xdr:row>13</xdr:row>
      <xdr:rowOff>731107</xdr:rowOff>
    </xdr:to>
    <xdr:pic>
      <xdr:nvPicPr>
        <xdr:cNvPr id="8" name="Resim 7">
          <a:extLst>
            <a:ext uri="{FF2B5EF4-FFF2-40B4-BE49-F238E27FC236}">
              <a16:creationId xmlns:a16="http://schemas.microsoft.com/office/drawing/2014/main" id="{61A23850-A26A-4044-B455-70AC6587DA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5328" t="46652" r="6772" b="6594"/>
        <a:stretch/>
      </xdr:blipFill>
      <xdr:spPr>
        <a:xfrm>
          <a:off x="894628" y="8459022"/>
          <a:ext cx="746367" cy="669325"/>
        </a:xfrm>
        <a:prstGeom prst="rect">
          <a:avLst/>
        </a:prstGeom>
      </xdr:spPr>
    </xdr:pic>
    <xdr:clientData/>
  </xdr:twoCellAnchor>
  <xdr:twoCellAnchor editAs="oneCell">
    <xdr:from>
      <xdr:col>2</xdr:col>
      <xdr:colOff>20594</xdr:colOff>
      <xdr:row>17</xdr:row>
      <xdr:rowOff>30891</xdr:rowOff>
    </xdr:from>
    <xdr:to>
      <xdr:col>2</xdr:col>
      <xdr:colOff>811332</xdr:colOff>
      <xdr:row>17</xdr:row>
      <xdr:rowOff>741404</xdr:rowOff>
    </xdr:to>
    <xdr:pic>
      <xdr:nvPicPr>
        <xdr:cNvPr id="9" name="Resim 8">
          <a:extLst>
            <a:ext uri="{FF2B5EF4-FFF2-40B4-BE49-F238E27FC236}">
              <a16:creationId xmlns:a16="http://schemas.microsoft.com/office/drawing/2014/main" id="{1E547324-FEA1-4B11-B015-810DB759DA7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59" t="69998" r="18334"/>
        <a:stretch/>
      </xdr:blipFill>
      <xdr:spPr>
        <a:xfrm>
          <a:off x="849269" y="9917841"/>
          <a:ext cx="790738" cy="710513"/>
        </a:xfrm>
        <a:prstGeom prst="rect">
          <a:avLst/>
        </a:prstGeom>
      </xdr:spPr>
    </xdr:pic>
    <xdr:clientData/>
  </xdr:twoCellAnchor>
  <xdr:twoCellAnchor editAs="oneCell">
    <xdr:from>
      <xdr:col>2</xdr:col>
      <xdr:colOff>20594</xdr:colOff>
      <xdr:row>18</xdr:row>
      <xdr:rowOff>41188</xdr:rowOff>
    </xdr:from>
    <xdr:to>
      <xdr:col>2</xdr:col>
      <xdr:colOff>811332</xdr:colOff>
      <xdr:row>18</xdr:row>
      <xdr:rowOff>751701</xdr:rowOff>
    </xdr:to>
    <xdr:pic>
      <xdr:nvPicPr>
        <xdr:cNvPr id="10" name="Resim 9">
          <a:extLst>
            <a:ext uri="{FF2B5EF4-FFF2-40B4-BE49-F238E27FC236}">
              <a16:creationId xmlns:a16="http://schemas.microsoft.com/office/drawing/2014/main" id="{B61F17E1-FEB1-4FAF-85F0-6E911E296E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59" t="69998" r="18334"/>
        <a:stretch/>
      </xdr:blipFill>
      <xdr:spPr>
        <a:xfrm>
          <a:off x="849269" y="10699663"/>
          <a:ext cx="790738" cy="710513"/>
        </a:xfrm>
        <a:prstGeom prst="rect">
          <a:avLst/>
        </a:prstGeom>
      </xdr:spPr>
    </xdr:pic>
    <xdr:clientData/>
  </xdr:twoCellAnchor>
  <xdr:twoCellAnchor editAs="oneCell">
    <xdr:from>
      <xdr:col>2</xdr:col>
      <xdr:colOff>79764</xdr:colOff>
      <xdr:row>22</xdr:row>
      <xdr:rowOff>61783</xdr:rowOff>
    </xdr:from>
    <xdr:to>
      <xdr:col>2</xdr:col>
      <xdr:colOff>765571</xdr:colOff>
      <xdr:row>22</xdr:row>
      <xdr:rowOff>689919</xdr:rowOff>
    </xdr:to>
    <xdr:pic>
      <xdr:nvPicPr>
        <xdr:cNvPr id="12" name="Resim 11">
          <a:extLst>
            <a:ext uri="{FF2B5EF4-FFF2-40B4-BE49-F238E27FC236}">
              <a16:creationId xmlns:a16="http://schemas.microsoft.com/office/drawing/2014/main" id="{DDDEB78C-C2EB-4D47-9C5D-4D3379EFDEF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467" t="10781" r="13226" b="12669"/>
        <a:stretch/>
      </xdr:blipFill>
      <xdr:spPr>
        <a:xfrm>
          <a:off x="908439" y="13034833"/>
          <a:ext cx="685807" cy="628136"/>
        </a:xfrm>
        <a:prstGeom prst="rect">
          <a:avLst/>
        </a:prstGeom>
      </xdr:spPr>
    </xdr:pic>
    <xdr:clientData/>
  </xdr:twoCellAnchor>
  <xdr:twoCellAnchor editAs="oneCell">
    <xdr:from>
      <xdr:col>2</xdr:col>
      <xdr:colOff>122330</xdr:colOff>
      <xdr:row>27</xdr:row>
      <xdr:rowOff>67136</xdr:rowOff>
    </xdr:from>
    <xdr:to>
      <xdr:col>2</xdr:col>
      <xdr:colOff>975359</xdr:colOff>
      <xdr:row>27</xdr:row>
      <xdr:rowOff>749559</xdr:rowOff>
    </xdr:to>
    <xdr:pic>
      <xdr:nvPicPr>
        <xdr:cNvPr id="14" name="Resim 13">
          <a:extLst>
            <a:ext uri="{FF2B5EF4-FFF2-40B4-BE49-F238E27FC236}">
              <a16:creationId xmlns:a16="http://schemas.microsoft.com/office/drawing/2014/main" id="{8ECF49C6-55F9-4A59-92D2-BC9453F45A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5770" y="19345736"/>
          <a:ext cx="853029" cy="682423"/>
        </a:xfrm>
        <a:prstGeom prst="rect">
          <a:avLst/>
        </a:prstGeom>
      </xdr:spPr>
    </xdr:pic>
    <xdr:clientData/>
  </xdr:twoCellAnchor>
  <xdr:twoCellAnchor editAs="oneCell">
    <xdr:from>
      <xdr:col>2</xdr:col>
      <xdr:colOff>30891</xdr:colOff>
      <xdr:row>29</xdr:row>
      <xdr:rowOff>82376</xdr:rowOff>
    </xdr:from>
    <xdr:to>
      <xdr:col>2</xdr:col>
      <xdr:colOff>803189</xdr:colOff>
      <xdr:row>29</xdr:row>
      <xdr:rowOff>686671</xdr:rowOff>
    </xdr:to>
    <xdr:pic>
      <xdr:nvPicPr>
        <xdr:cNvPr id="15" name="Resim 14">
          <a:extLst>
            <a:ext uri="{FF2B5EF4-FFF2-40B4-BE49-F238E27FC236}">
              <a16:creationId xmlns:a16="http://schemas.microsoft.com/office/drawing/2014/main" id="{B6BC70BA-A538-4987-9DEE-33656749A8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11" t="10810" r="10101"/>
        <a:stretch/>
      </xdr:blipFill>
      <xdr:spPr>
        <a:xfrm>
          <a:off x="859566" y="20770676"/>
          <a:ext cx="772298" cy="604295"/>
        </a:xfrm>
        <a:prstGeom prst="rect">
          <a:avLst/>
        </a:prstGeom>
      </xdr:spPr>
    </xdr:pic>
    <xdr:clientData/>
  </xdr:twoCellAnchor>
  <xdr:twoCellAnchor>
    <xdr:from>
      <xdr:col>2</xdr:col>
      <xdr:colOff>123563</xdr:colOff>
      <xdr:row>30</xdr:row>
      <xdr:rowOff>30890</xdr:rowOff>
    </xdr:from>
    <xdr:to>
      <xdr:col>2</xdr:col>
      <xdr:colOff>669320</xdr:colOff>
      <xdr:row>30</xdr:row>
      <xdr:rowOff>754217</xdr:rowOff>
    </xdr:to>
    <xdr:pic>
      <xdr:nvPicPr>
        <xdr:cNvPr id="16" name="Resim 7">
          <a:extLst>
            <a:ext uri="{FF2B5EF4-FFF2-40B4-BE49-F238E27FC236}">
              <a16:creationId xmlns:a16="http://schemas.microsoft.com/office/drawing/2014/main" id="{21DD136D-7812-4E9E-B7C4-500ED82969A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8448" r="20892" b="15024"/>
        <a:stretch/>
      </xdr:blipFill>
      <xdr:spPr bwMode="auto">
        <a:xfrm>
          <a:off x="952238" y="21490715"/>
          <a:ext cx="545757" cy="7233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61781</xdr:colOff>
      <xdr:row>31</xdr:row>
      <xdr:rowOff>30890</xdr:rowOff>
    </xdr:from>
    <xdr:to>
      <xdr:col>2</xdr:col>
      <xdr:colOff>731106</xdr:colOff>
      <xdr:row>31</xdr:row>
      <xdr:rowOff>738247</xdr:rowOff>
    </xdr:to>
    <xdr:pic>
      <xdr:nvPicPr>
        <xdr:cNvPr id="17" name="Resim 16">
          <a:extLst>
            <a:ext uri="{FF2B5EF4-FFF2-40B4-BE49-F238E27FC236}">
              <a16:creationId xmlns:a16="http://schemas.microsoft.com/office/drawing/2014/main" id="{2EE01A93-06D5-42F3-8A50-93B0BC745B2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107" t="2998" r="5939" b="4096"/>
        <a:stretch/>
      </xdr:blipFill>
      <xdr:spPr>
        <a:xfrm>
          <a:off x="890456" y="22262240"/>
          <a:ext cx="669325" cy="707357"/>
        </a:xfrm>
        <a:prstGeom prst="rect">
          <a:avLst/>
        </a:prstGeom>
      </xdr:spPr>
    </xdr:pic>
    <xdr:clientData/>
  </xdr:twoCellAnchor>
  <xdr:twoCellAnchor editAs="oneCell">
    <xdr:from>
      <xdr:col>2</xdr:col>
      <xdr:colOff>29307</xdr:colOff>
      <xdr:row>32</xdr:row>
      <xdr:rowOff>29307</xdr:rowOff>
    </xdr:from>
    <xdr:to>
      <xdr:col>2</xdr:col>
      <xdr:colOff>779775</xdr:colOff>
      <xdr:row>32</xdr:row>
      <xdr:rowOff>674076</xdr:rowOff>
    </xdr:to>
    <xdr:pic>
      <xdr:nvPicPr>
        <xdr:cNvPr id="18" name="Resim 17">
          <a:extLst>
            <a:ext uri="{FF2B5EF4-FFF2-40B4-BE49-F238E27FC236}">
              <a16:creationId xmlns:a16="http://schemas.microsoft.com/office/drawing/2014/main" id="{D9F1B771-B544-449A-9CD4-A458DC4731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07" t="17626" r="20174" b="19131"/>
        <a:stretch/>
      </xdr:blipFill>
      <xdr:spPr>
        <a:xfrm>
          <a:off x="857982" y="23032182"/>
          <a:ext cx="750468" cy="644769"/>
        </a:xfrm>
        <a:prstGeom prst="rect">
          <a:avLst/>
        </a:prstGeom>
      </xdr:spPr>
    </xdr:pic>
    <xdr:clientData/>
  </xdr:twoCellAnchor>
  <xdr:twoCellAnchor editAs="oneCell">
    <xdr:from>
      <xdr:col>2</xdr:col>
      <xdr:colOff>20594</xdr:colOff>
      <xdr:row>33</xdr:row>
      <xdr:rowOff>41187</xdr:rowOff>
    </xdr:from>
    <xdr:to>
      <xdr:col>2</xdr:col>
      <xdr:colOff>811332</xdr:colOff>
      <xdr:row>33</xdr:row>
      <xdr:rowOff>751700</xdr:rowOff>
    </xdr:to>
    <xdr:pic>
      <xdr:nvPicPr>
        <xdr:cNvPr id="19" name="Resim 18">
          <a:extLst>
            <a:ext uri="{FF2B5EF4-FFF2-40B4-BE49-F238E27FC236}">
              <a16:creationId xmlns:a16="http://schemas.microsoft.com/office/drawing/2014/main" id="{83F5F4BC-1FA6-42A5-B9C8-E34547AAE1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59" t="69998" r="18334"/>
        <a:stretch/>
      </xdr:blipFill>
      <xdr:spPr>
        <a:xfrm>
          <a:off x="849269" y="23815587"/>
          <a:ext cx="790738" cy="710513"/>
        </a:xfrm>
        <a:prstGeom prst="rect">
          <a:avLst/>
        </a:prstGeom>
      </xdr:spPr>
    </xdr:pic>
    <xdr:clientData/>
  </xdr:twoCellAnchor>
  <xdr:twoCellAnchor editAs="oneCell">
    <xdr:from>
      <xdr:col>2</xdr:col>
      <xdr:colOff>20594</xdr:colOff>
      <xdr:row>34</xdr:row>
      <xdr:rowOff>41187</xdr:rowOff>
    </xdr:from>
    <xdr:to>
      <xdr:col>2</xdr:col>
      <xdr:colOff>811332</xdr:colOff>
      <xdr:row>34</xdr:row>
      <xdr:rowOff>751700</xdr:rowOff>
    </xdr:to>
    <xdr:pic>
      <xdr:nvPicPr>
        <xdr:cNvPr id="20" name="Resim 19">
          <a:extLst>
            <a:ext uri="{FF2B5EF4-FFF2-40B4-BE49-F238E27FC236}">
              <a16:creationId xmlns:a16="http://schemas.microsoft.com/office/drawing/2014/main" id="{3B8DC0D4-5783-4328-8A29-1A72D0892E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59" t="69998" r="18334"/>
        <a:stretch/>
      </xdr:blipFill>
      <xdr:spPr>
        <a:xfrm>
          <a:off x="849269" y="24587112"/>
          <a:ext cx="790738" cy="710513"/>
        </a:xfrm>
        <a:prstGeom prst="rect">
          <a:avLst/>
        </a:prstGeom>
      </xdr:spPr>
    </xdr:pic>
    <xdr:clientData/>
  </xdr:twoCellAnchor>
  <xdr:twoCellAnchor editAs="oneCell">
    <xdr:from>
      <xdr:col>2</xdr:col>
      <xdr:colOff>20594</xdr:colOff>
      <xdr:row>35</xdr:row>
      <xdr:rowOff>41188</xdr:rowOff>
    </xdr:from>
    <xdr:to>
      <xdr:col>2</xdr:col>
      <xdr:colOff>811332</xdr:colOff>
      <xdr:row>35</xdr:row>
      <xdr:rowOff>751701</xdr:rowOff>
    </xdr:to>
    <xdr:pic>
      <xdr:nvPicPr>
        <xdr:cNvPr id="21" name="Resim 20">
          <a:extLst>
            <a:ext uri="{FF2B5EF4-FFF2-40B4-BE49-F238E27FC236}">
              <a16:creationId xmlns:a16="http://schemas.microsoft.com/office/drawing/2014/main" id="{D58861C4-C874-4368-A127-5D3E16D370C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59" t="69998" r="18334"/>
        <a:stretch/>
      </xdr:blipFill>
      <xdr:spPr>
        <a:xfrm>
          <a:off x="849269" y="25358638"/>
          <a:ext cx="790738" cy="710513"/>
        </a:xfrm>
        <a:prstGeom prst="rect">
          <a:avLst/>
        </a:prstGeom>
      </xdr:spPr>
    </xdr:pic>
    <xdr:clientData/>
  </xdr:twoCellAnchor>
  <xdr:twoCellAnchor editAs="oneCell">
    <xdr:from>
      <xdr:col>2</xdr:col>
      <xdr:colOff>20594</xdr:colOff>
      <xdr:row>36</xdr:row>
      <xdr:rowOff>41187</xdr:rowOff>
    </xdr:from>
    <xdr:to>
      <xdr:col>2</xdr:col>
      <xdr:colOff>811332</xdr:colOff>
      <xdr:row>36</xdr:row>
      <xdr:rowOff>751700</xdr:rowOff>
    </xdr:to>
    <xdr:pic>
      <xdr:nvPicPr>
        <xdr:cNvPr id="22" name="Resim 21">
          <a:extLst>
            <a:ext uri="{FF2B5EF4-FFF2-40B4-BE49-F238E27FC236}">
              <a16:creationId xmlns:a16="http://schemas.microsoft.com/office/drawing/2014/main" id="{227A8C9E-E82C-466D-9A06-5A7EE8D5D72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59" t="69998" r="18334"/>
        <a:stretch/>
      </xdr:blipFill>
      <xdr:spPr>
        <a:xfrm>
          <a:off x="849269" y="26130162"/>
          <a:ext cx="790738" cy="710513"/>
        </a:xfrm>
        <a:prstGeom prst="rect">
          <a:avLst/>
        </a:prstGeom>
      </xdr:spPr>
    </xdr:pic>
    <xdr:clientData/>
  </xdr:twoCellAnchor>
  <xdr:twoCellAnchor editAs="oneCell">
    <xdr:from>
      <xdr:col>2</xdr:col>
      <xdr:colOff>20594</xdr:colOff>
      <xdr:row>37</xdr:row>
      <xdr:rowOff>41187</xdr:rowOff>
    </xdr:from>
    <xdr:to>
      <xdr:col>2</xdr:col>
      <xdr:colOff>811332</xdr:colOff>
      <xdr:row>37</xdr:row>
      <xdr:rowOff>751700</xdr:rowOff>
    </xdr:to>
    <xdr:pic>
      <xdr:nvPicPr>
        <xdr:cNvPr id="23" name="Resim 22">
          <a:extLst>
            <a:ext uri="{FF2B5EF4-FFF2-40B4-BE49-F238E27FC236}">
              <a16:creationId xmlns:a16="http://schemas.microsoft.com/office/drawing/2014/main" id="{FA726CD4-517C-4659-8399-16528C3FC13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59" t="69998" r="18334"/>
        <a:stretch/>
      </xdr:blipFill>
      <xdr:spPr>
        <a:xfrm>
          <a:off x="849269" y="26901687"/>
          <a:ext cx="790738" cy="710513"/>
        </a:xfrm>
        <a:prstGeom prst="rect">
          <a:avLst/>
        </a:prstGeom>
      </xdr:spPr>
    </xdr:pic>
    <xdr:clientData/>
  </xdr:twoCellAnchor>
  <xdr:twoCellAnchor editAs="oneCell">
    <xdr:from>
      <xdr:col>2</xdr:col>
      <xdr:colOff>10886</xdr:colOff>
      <xdr:row>38</xdr:row>
      <xdr:rowOff>110290</xdr:rowOff>
    </xdr:from>
    <xdr:to>
      <xdr:col>2</xdr:col>
      <xdr:colOff>727363</xdr:colOff>
      <xdr:row>38</xdr:row>
      <xdr:rowOff>707572</xdr:rowOff>
    </xdr:to>
    <xdr:pic>
      <xdr:nvPicPr>
        <xdr:cNvPr id="24" name="Resim 23">
          <a:extLst>
            <a:ext uri="{FF2B5EF4-FFF2-40B4-BE49-F238E27FC236}">
              <a16:creationId xmlns:a16="http://schemas.microsoft.com/office/drawing/2014/main" id="{91F070F9-EF47-4926-B6F9-ECBBEAA585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377"/>
        <a:stretch/>
      </xdr:blipFill>
      <xdr:spPr>
        <a:xfrm>
          <a:off x="842159" y="27992563"/>
          <a:ext cx="716477" cy="597282"/>
        </a:xfrm>
        <a:prstGeom prst="rect">
          <a:avLst/>
        </a:prstGeom>
      </xdr:spPr>
    </xdr:pic>
    <xdr:clientData/>
  </xdr:twoCellAnchor>
  <xdr:twoCellAnchor editAs="oneCell">
    <xdr:from>
      <xdr:col>2</xdr:col>
      <xdr:colOff>46383</xdr:colOff>
      <xdr:row>14</xdr:row>
      <xdr:rowOff>39755</xdr:rowOff>
    </xdr:from>
    <xdr:to>
      <xdr:col>2</xdr:col>
      <xdr:colOff>769171</xdr:colOff>
      <xdr:row>14</xdr:row>
      <xdr:rowOff>722242</xdr:rowOff>
    </xdr:to>
    <xdr:pic>
      <xdr:nvPicPr>
        <xdr:cNvPr id="25" name="Resim 24">
          <a:extLst>
            <a:ext uri="{FF2B5EF4-FFF2-40B4-BE49-F238E27FC236}">
              <a16:creationId xmlns:a16="http://schemas.microsoft.com/office/drawing/2014/main" id="{251F6AE8-CE17-4E97-99D0-35085AE8A1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747" t="57272" r="173" b="-3"/>
        <a:stretch/>
      </xdr:blipFill>
      <xdr:spPr>
        <a:xfrm>
          <a:off x="875058" y="7612130"/>
          <a:ext cx="722788" cy="682487"/>
        </a:xfrm>
        <a:prstGeom prst="rect">
          <a:avLst/>
        </a:prstGeom>
      </xdr:spPr>
    </xdr:pic>
    <xdr:clientData/>
  </xdr:twoCellAnchor>
  <xdr:twoCellAnchor editAs="oneCell">
    <xdr:from>
      <xdr:col>2</xdr:col>
      <xdr:colOff>29306</xdr:colOff>
      <xdr:row>40</xdr:row>
      <xdr:rowOff>58615</xdr:rowOff>
    </xdr:from>
    <xdr:to>
      <xdr:col>2</xdr:col>
      <xdr:colOff>770439</xdr:colOff>
      <xdr:row>40</xdr:row>
      <xdr:rowOff>697523</xdr:rowOff>
    </xdr:to>
    <xdr:pic>
      <xdr:nvPicPr>
        <xdr:cNvPr id="26" name="Resim 25">
          <a:extLst>
            <a:ext uri="{FF2B5EF4-FFF2-40B4-BE49-F238E27FC236}">
              <a16:creationId xmlns:a16="http://schemas.microsoft.com/office/drawing/2014/main" id="{5C70A03A-2C43-41AD-A088-A4A034E7137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980" t="74713" r="25320" b="2670"/>
        <a:stretch/>
      </xdr:blipFill>
      <xdr:spPr>
        <a:xfrm>
          <a:off x="857981" y="30329065"/>
          <a:ext cx="741133" cy="638908"/>
        </a:xfrm>
        <a:prstGeom prst="rect">
          <a:avLst/>
        </a:prstGeom>
      </xdr:spPr>
    </xdr:pic>
    <xdr:clientData/>
  </xdr:twoCellAnchor>
  <xdr:twoCellAnchor editAs="oneCell">
    <xdr:from>
      <xdr:col>2</xdr:col>
      <xdr:colOff>29306</xdr:colOff>
      <xdr:row>41</xdr:row>
      <xdr:rowOff>82061</xdr:rowOff>
    </xdr:from>
    <xdr:to>
      <xdr:col>2</xdr:col>
      <xdr:colOff>770439</xdr:colOff>
      <xdr:row>41</xdr:row>
      <xdr:rowOff>720969</xdr:rowOff>
    </xdr:to>
    <xdr:pic>
      <xdr:nvPicPr>
        <xdr:cNvPr id="27" name="Resim 26">
          <a:extLst>
            <a:ext uri="{FF2B5EF4-FFF2-40B4-BE49-F238E27FC236}">
              <a16:creationId xmlns:a16="http://schemas.microsoft.com/office/drawing/2014/main" id="{495445F0-2A3A-4764-83AE-1D206975D07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980" t="74713" r="25320" b="2670"/>
        <a:stretch/>
      </xdr:blipFill>
      <xdr:spPr>
        <a:xfrm>
          <a:off x="857981" y="31124036"/>
          <a:ext cx="741133" cy="638908"/>
        </a:xfrm>
        <a:prstGeom prst="rect">
          <a:avLst/>
        </a:prstGeom>
      </xdr:spPr>
    </xdr:pic>
    <xdr:clientData/>
  </xdr:twoCellAnchor>
  <xdr:twoCellAnchor editAs="oneCell">
    <xdr:from>
      <xdr:col>2</xdr:col>
      <xdr:colOff>21772</xdr:colOff>
      <xdr:row>45</xdr:row>
      <xdr:rowOff>43543</xdr:rowOff>
    </xdr:from>
    <xdr:to>
      <xdr:col>2</xdr:col>
      <xdr:colOff>795320</xdr:colOff>
      <xdr:row>45</xdr:row>
      <xdr:rowOff>696686</xdr:rowOff>
    </xdr:to>
    <xdr:pic>
      <xdr:nvPicPr>
        <xdr:cNvPr id="28" name="Resim 27">
          <a:extLst>
            <a:ext uri="{FF2B5EF4-FFF2-40B4-BE49-F238E27FC236}">
              <a16:creationId xmlns:a16="http://schemas.microsoft.com/office/drawing/2014/main" id="{F81F1E3B-CCDE-4F0D-8727-EA05803C092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32" r="2536"/>
        <a:stretch/>
      </xdr:blipFill>
      <xdr:spPr>
        <a:xfrm>
          <a:off x="850447" y="33400093"/>
          <a:ext cx="773548" cy="653143"/>
        </a:xfrm>
        <a:prstGeom prst="rect">
          <a:avLst/>
        </a:prstGeom>
      </xdr:spPr>
    </xdr:pic>
    <xdr:clientData/>
  </xdr:twoCellAnchor>
  <xdr:twoCellAnchor editAs="oneCell">
    <xdr:from>
      <xdr:col>2</xdr:col>
      <xdr:colOff>21772</xdr:colOff>
      <xdr:row>46</xdr:row>
      <xdr:rowOff>43544</xdr:rowOff>
    </xdr:from>
    <xdr:to>
      <xdr:col>2</xdr:col>
      <xdr:colOff>854444</xdr:colOff>
      <xdr:row>46</xdr:row>
      <xdr:rowOff>718458</xdr:rowOff>
    </xdr:to>
    <xdr:pic>
      <xdr:nvPicPr>
        <xdr:cNvPr id="29" name="Resim 28">
          <a:extLst>
            <a:ext uri="{FF2B5EF4-FFF2-40B4-BE49-F238E27FC236}">
              <a16:creationId xmlns:a16="http://schemas.microsoft.com/office/drawing/2014/main" id="{24B0340D-9515-4284-A9D1-A83A0D45D93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9375" r="8771" b="5208"/>
        <a:stretch/>
      </xdr:blipFill>
      <xdr:spPr>
        <a:xfrm>
          <a:off x="850447" y="34171619"/>
          <a:ext cx="807907" cy="674914"/>
        </a:xfrm>
        <a:prstGeom prst="rect">
          <a:avLst/>
        </a:prstGeom>
      </xdr:spPr>
    </xdr:pic>
    <xdr:clientData/>
  </xdr:twoCellAnchor>
  <xdr:twoCellAnchor editAs="oneCell">
    <xdr:from>
      <xdr:col>2</xdr:col>
      <xdr:colOff>32657</xdr:colOff>
      <xdr:row>47</xdr:row>
      <xdr:rowOff>76202</xdr:rowOff>
    </xdr:from>
    <xdr:to>
      <xdr:col>2</xdr:col>
      <xdr:colOff>784816</xdr:colOff>
      <xdr:row>47</xdr:row>
      <xdr:rowOff>642260</xdr:rowOff>
    </xdr:to>
    <xdr:pic>
      <xdr:nvPicPr>
        <xdr:cNvPr id="32" name="Resim 31">
          <a:extLst>
            <a:ext uri="{FF2B5EF4-FFF2-40B4-BE49-F238E27FC236}">
              <a16:creationId xmlns:a16="http://schemas.microsoft.com/office/drawing/2014/main" id="{4FCD1FA4-BB51-47BC-B916-326B3AD749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5553"/>
        <a:stretch/>
      </xdr:blipFill>
      <xdr:spPr>
        <a:xfrm>
          <a:off x="861332" y="35747327"/>
          <a:ext cx="752159" cy="566058"/>
        </a:xfrm>
        <a:prstGeom prst="rect">
          <a:avLst/>
        </a:prstGeom>
      </xdr:spPr>
    </xdr:pic>
    <xdr:clientData/>
  </xdr:twoCellAnchor>
  <xdr:twoCellAnchor editAs="oneCell">
    <xdr:from>
      <xdr:col>2</xdr:col>
      <xdr:colOff>21772</xdr:colOff>
      <xdr:row>48</xdr:row>
      <xdr:rowOff>87087</xdr:rowOff>
    </xdr:from>
    <xdr:to>
      <xdr:col>2</xdr:col>
      <xdr:colOff>786361</xdr:colOff>
      <xdr:row>48</xdr:row>
      <xdr:rowOff>674916</xdr:rowOff>
    </xdr:to>
    <xdr:pic>
      <xdr:nvPicPr>
        <xdr:cNvPr id="33" name="Resim 32">
          <a:extLst>
            <a:ext uri="{FF2B5EF4-FFF2-40B4-BE49-F238E27FC236}">
              <a16:creationId xmlns:a16="http://schemas.microsoft.com/office/drawing/2014/main" id="{F8333F62-DC4A-4FA7-B8B0-69118F2570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940" t="53484" r="14452" b="6294"/>
        <a:stretch/>
      </xdr:blipFill>
      <xdr:spPr>
        <a:xfrm>
          <a:off x="850447" y="36529737"/>
          <a:ext cx="764589" cy="587829"/>
        </a:xfrm>
        <a:prstGeom prst="rect">
          <a:avLst/>
        </a:prstGeom>
      </xdr:spPr>
    </xdr:pic>
    <xdr:clientData/>
  </xdr:twoCellAnchor>
  <xdr:twoCellAnchor editAs="oneCell">
    <xdr:from>
      <xdr:col>2</xdr:col>
      <xdr:colOff>43543</xdr:colOff>
      <xdr:row>49</xdr:row>
      <xdr:rowOff>43543</xdr:rowOff>
    </xdr:from>
    <xdr:to>
      <xdr:col>2</xdr:col>
      <xdr:colOff>789342</xdr:colOff>
      <xdr:row>49</xdr:row>
      <xdr:rowOff>740228</xdr:rowOff>
    </xdr:to>
    <xdr:pic>
      <xdr:nvPicPr>
        <xdr:cNvPr id="34" name="Resim 33">
          <a:extLst>
            <a:ext uri="{FF2B5EF4-FFF2-40B4-BE49-F238E27FC236}">
              <a16:creationId xmlns:a16="http://schemas.microsoft.com/office/drawing/2014/main" id="{A207341D-19D3-4EE8-902A-070ACD74BDB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44" t="4808" r="7406" b="7212"/>
        <a:stretch/>
      </xdr:blipFill>
      <xdr:spPr>
        <a:xfrm>
          <a:off x="874816" y="37277634"/>
          <a:ext cx="745799" cy="696685"/>
        </a:xfrm>
        <a:prstGeom prst="rect">
          <a:avLst/>
        </a:prstGeom>
      </xdr:spPr>
    </xdr:pic>
    <xdr:clientData/>
  </xdr:twoCellAnchor>
  <xdr:twoCellAnchor editAs="oneCell">
    <xdr:from>
      <xdr:col>2</xdr:col>
      <xdr:colOff>54430</xdr:colOff>
      <xdr:row>50</xdr:row>
      <xdr:rowOff>76202</xdr:rowOff>
    </xdr:from>
    <xdr:to>
      <xdr:col>2</xdr:col>
      <xdr:colOff>797441</xdr:colOff>
      <xdr:row>50</xdr:row>
      <xdr:rowOff>674917</xdr:rowOff>
    </xdr:to>
    <xdr:pic>
      <xdr:nvPicPr>
        <xdr:cNvPr id="35" name="Resim 34">
          <a:extLst>
            <a:ext uri="{FF2B5EF4-FFF2-40B4-BE49-F238E27FC236}">
              <a16:creationId xmlns:a16="http://schemas.microsoft.com/office/drawing/2014/main" id="{C4FDD2C9-33B0-4B75-8B8C-043DB6E7714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655" t="6559" r="7471" b="6121"/>
        <a:stretch/>
      </xdr:blipFill>
      <xdr:spPr>
        <a:xfrm>
          <a:off x="883105" y="38061902"/>
          <a:ext cx="743011" cy="598715"/>
        </a:xfrm>
        <a:prstGeom prst="rect">
          <a:avLst/>
        </a:prstGeom>
      </xdr:spPr>
    </xdr:pic>
    <xdr:clientData/>
  </xdr:twoCellAnchor>
  <xdr:twoCellAnchor editAs="oneCell">
    <xdr:from>
      <xdr:col>2</xdr:col>
      <xdr:colOff>32658</xdr:colOff>
      <xdr:row>52</xdr:row>
      <xdr:rowOff>76202</xdr:rowOff>
    </xdr:from>
    <xdr:to>
      <xdr:col>2</xdr:col>
      <xdr:colOff>794658</xdr:colOff>
      <xdr:row>52</xdr:row>
      <xdr:rowOff>666802</xdr:rowOff>
    </xdr:to>
    <xdr:pic>
      <xdr:nvPicPr>
        <xdr:cNvPr id="36" name="Resim 35">
          <a:extLst>
            <a:ext uri="{FF2B5EF4-FFF2-40B4-BE49-F238E27FC236}">
              <a16:creationId xmlns:a16="http://schemas.microsoft.com/office/drawing/2014/main" id="{728E00FA-275D-4010-85EC-C3D1B87B7D3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05" t="14962" r="4873"/>
        <a:stretch/>
      </xdr:blipFill>
      <xdr:spPr>
        <a:xfrm>
          <a:off x="861333" y="40376477"/>
          <a:ext cx="762000" cy="590600"/>
        </a:xfrm>
        <a:prstGeom prst="rect">
          <a:avLst/>
        </a:prstGeom>
      </xdr:spPr>
    </xdr:pic>
    <xdr:clientData/>
  </xdr:twoCellAnchor>
  <xdr:twoCellAnchor editAs="oneCell">
    <xdr:from>
      <xdr:col>2</xdr:col>
      <xdr:colOff>51020</xdr:colOff>
      <xdr:row>53</xdr:row>
      <xdr:rowOff>76198</xdr:rowOff>
    </xdr:from>
    <xdr:to>
      <xdr:col>2</xdr:col>
      <xdr:colOff>790859</xdr:colOff>
      <xdr:row>53</xdr:row>
      <xdr:rowOff>707571</xdr:rowOff>
    </xdr:to>
    <xdr:pic>
      <xdr:nvPicPr>
        <xdr:cNvPr id="37" name="Resim 36">
          <a:extLst>
            <a:ext uri="{FF2B5EF4-FFF2-40B4-BE49-F238E27FC236}">
              <a16:creationId xmlns:a16="http://schemas.microsoft.com/office/drawing/2014/main" id="{FD2CF47C-3569-4241-9984-F1668D81341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6668" t="49214" r="3843"/>
        <a:stretch/>
      </xdr:blipFill>
      <xdr:spPr>
        <a:xfrm>
          <a:off x="879695" y="41147998"/>
          <a:ext cx="739839" cy="631373"/>
        </a:xfrm>
        <a:prstGeom prst="rect">
          <a:avLst/>
        </a:prstGeom>
      </xdr:spPr>
    </xdr:pic>
    <xdr:clientData/>
  </xdr:twoCellAnchor>
  <xdr:twoCellAnchor editAs="oneCell">
    <xdr:from>
      <xdr:col>2</xdr:col>
      <xdr:colOff>32658</xdr:colOff>
      <xdr:row>54</xdr:row>
      <xdr:rowOff>239493</xdr:rowOff>
    </xdr:from>
    <xdr:to>
      <xdr:col>2</xdr:col>
      <xdr:colOff>853897</xdr:colOff>
      <xdr:row>54</xdr:row>
      <xdr:rowOff>522524</xdr:rowOff>
    </xdr:to>
    <xdr:pic>
      <xdr:nvPicPr>
        <xdr:cNvPr id="38" name="Resim 37">
          <a:extLst>
            <a:ext uri="{FF2B5EF4-FFF2-40B4-BE49-F238E27FC236}">
              <a16:creationId xmlns:a16="http://schemas.microsoft.com/office/drawing/2014/main" id="{C467D7DF-7D6D-40B2-9E95-461D404622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5466" t="1" r="1" b="3105"/>
        <a:stretch/>
      </xdr:blipFill>
      <xdr:spPr>
        <a:xfrm rot="3133967">
          <a:off x="1118054" y="41826097"/>
          <a:ext cx="283031" cy="796474"/>
        </a:xfrm>
        <a:prstGeom prst="rect">
          <a:avLst/>
        </a:prstGeom>
      </xdr:spPr>
    </xdr:pic>
    <xdr:clientData/>
  </xdr:twoCellAnchor>
  <xdr:twoCellAnchor editAs="oneCell">
    <xdr:from>
      <xdr:col>2</xdr:col>
      <xdr:colOff>32657</xdr:colOff>
      <xdr:row>56</xdr:row>
      <xdr:rowOff>43544</xdr:rowOff>
    </xdr:from>
    <xdr:to>
      <xdr:col>2</xdr:col>
      <xdr:colOff>798568</xdr:colOff>
      <xdr:row>56</xdr:row>
      <xdr:rowOff>740230</xdr:rowOff>
    </xdr:to>
    <xdr:pic>
      <xdr:nvPicPr>
        <xdr:cNvPr id="42" name="Resim 41">
          <a:extLst>
            <a:ext uri="{FF2B5EF4-FFF2-40B4-BE49-F238E27FC236}">
              <a16:creationId xmlns:a16="http://schemas.microsoft.com/office/drawing/2014/main" id="{D17CEFF9-9299-436C-80DF-D4927BC166D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862" t="54794" r="17863" b="1"/>
        <a:stretch/>
      </xdr:blipFill>
      <xdr:spPr>
        <a:xfrm>
          <a:off x="861332" y="48830594"/>
          <a:ext cx="765911" cy="696686"/>
        </a:xfrm>
        <a:prstGeom prst="rect">
          <a:avLst/>
        </a:prstGeom>
      </xdr:spPr>
    </xdr:pic>
    <xdr:clientData/>
  </xdr:twoCellAnchor>
  <xdr:twoCellAnchor editAs="oneCell">
    <xdr:from>
      <xdr:col>2</xdr:col>
      <xdr:colOff>20594</xdr:colOff>
      <xdr:row>57</xdr:row>
      <xdr:rowOff>41186</xdr:rowOff>
    </xdr:from>
    <xdr:to>
      <xdr:col>2</xdr:col>
      <xdr:colOff>811332</xdr:colOff>
      <xdr:row>57</xdr:row>
      <xdr:rowOff>751699</xdr:rowOff>
    </xdr:to>
    <xdr:pic>
      <xdr:nvPicPr>
        <xdr:cNvPr id="43" name="Resim 42">
          <a:extLst>
            <a:ext uri="{FF2B5EF4-FFF2-40B4-BE49-F238E27FC236}">
              <a16:creationId xmlns:a16="http://schemas.microsoft.com/office/drawing/2014/main" id="{0FE45552-616E-4FE8-AC00-1009346902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59" t="69998" r="18334"/>
        <a:stretch/>
      </xdr:blipFill>
      <xdr:spPr>
        <a:xfrm>
          <a:off x="849269" y="49599761"/>
          <a:ext cx="790738" cy="710513"/>
        </a:xfrm>
        <a:prstGeom prst="rect">
          <a:avLst/>
        </a:prstGeom>
      </xdr:spPr>
    </xdr:pic>
    <xdr:clientData/>
  </xdr:twoCellAnchor>
  <xdr:twoCellAnchor editAs="oneCell">
    <xdr:from>
      <xdr:col>2</xdr:col>
      <xdr:colOff>20594</xdr:colOff>
      <xdr:row>58</xdr:row>
      <xdr:rowOff>41186</xdr:rowOff>
    </xdr:from>
    <xdr:to>
      <xdr:col>2</xdr:col>
      <xdr:colOff>811332</xdr:colOff>
      <xdr:row>58</xdr:row>
      <xdr:rowOff>751699</xdr:rowOff>
    </xdr:to>
    <xdr:pic>
      <xdr:nvPicPr>
        <xdr:cNvPr id="45" name="Resim 44">
          <a:extLst>
            <a:ext uri="{FF2B5EF4-FFF2-40B4-BE49-F238E27FC236}">
              <a16:creationId xmlns:a16="http://schemas.microsoft.com/office/drawing/2014/main" id="{08E82215-1D09-4131-91BA-3218576EEFF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5259" t="69998" r="18334"/>
        <a:stretch/>
      </xdr:blipFill>
      <xdr:spPr>
        <a:xfrm>
          <a:off x="849269" y="51142811"/>
          <a:ext cx="790738" cy="710513"/>
        </a:xfrm>
        <a:prstGeom prst="rect">
          <a:avLst/>
        </a:prstGeom>
      </xdr:spPr>
    </xdr:pic>
    <xdr:clientData/>
  </xdr:twoCellAnchor>
  <xdr:twoCellAnchor editAs="oneCell">
    <xdr:from>
      <xdr:col>2</xdr:col>
      <xdr:colOff>97974</xdr:colOff>
      <xdr:row>39</xdr:row>
      <xdr:rowOff>43544</xdr:rowOff>
    </xdr:from>
    <xdr:to>
      <xdr:col>2</xdr:col>
      <xdr:colOff>729346</xdr:colOff>
      <xdr:row>39</xdr:row>
      <xdr:rowOff>740510</xdr:rowOff>
    </xdr:to>
    <xdr:pic>
      <xdr:nvPicPr>
        <xdr:cNvPr id="46" name="Resim 45">
          <a:extLst>
            <a:ext uri="{FF2B5EF4-FFF2-40B4-BE49-F238E27FC236}">
              <a16:creationId xmlns:a16="http://schemas.microsoft.com/office/drawing/2014/main" id="{F056547D-4593-416F-BB5F-BF633D0B03E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637" t="6233" r="16358" b="5455"/>
        <a:stretch/>
      </xdr:blipFill>
      <xdr:spPr>
        <a:xfrm>
          <a:off x="926649" y="28770944"/>
          <a:ext cx="631372" cy="696966"/>
        </a:xfrm>
        <a:prstGeom prst="rect">
          <a:avLst/>
        </a:prstGeom>
      </xdr:spPr>
    </xdr:pic>
    <xdr:clientData/>
  </xdr:twoCellAnchor>
  <xdr:twoCellAnchor editAs="oneCell">
    <xdr:from>
      <xdr:col>2</xdr:col>
      <xdr:colOff>76202</xdr:colOff>
      <xdr:row>59</xdr:row>
      <xdr:rowOff>163285</xdr:rowOff>
    </xdr:from>
    <xdr:to>
      <xdr:col>2</xdr:col>
      <xdr:colOff>772888</xdr:colOff>
      <xdr:row>59</xdr:row>
      <xdr:rowOff>674913</xdr:rowOff>
    </xdr:to>
    <xdr:pic>
      <xdr:nvPicPr>
        <xdr:cNvPr id="47" name="Resim 46">
          <a:extLst>
            <a:ext uri="{FF2B5EF4-FFF2-40B4-BE49-F238E27FC236}">
              <a16:creationId xmlns:a16="http://schemas.microsoft.com/office/drawing/2014/main" id="{89258747-493A-46A3-A498-9E58893C95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48" t="8552" r="6500" b="12943"/>
        <a:stretch/>
      </xdr:blipFill>
      <xdr:spPr>
        <a:xfrm>
          <a:off x="904877" y="52036435"/>
          <a:ext cx="696686" cy="511628"/>
        </a:xfrm>
        <a:prstGeom prst="rect">
          <a:avLst/>
        </a:prstGeom>
      </xdr:spPr>
    </xdr:pic>
    <xdr:clientData/>
  </xdr:twoCellAnchor>
  <xdr:twoCellAnchor editAs="oneCell">
    <xdr:from>
      <xdr:col>2</xdr:col>
      <xdr:colOff>87088</xdr:colOff>
      <xdr:row>60</xdr:row>
      <xdr:rowOff>32656</xdr:rowOff>
    </xdr:from>
    <xdr:to>
      <xdr:col>2</xdr:col>
      <xdr:colOff>783774</xdr:colOff>
      <xdr:row>60</xdr:row>
      <xdr:rowOff>729341</xdr:rowOff>
    </xdr:to>
    <xdr:pic>
      <xdr:nvPicPr>
        <xdr:cNvPr id="48" name="Resim 47">
          <a:extLst>
            <a:ext uri="{FF2B5EF4-FFF2-40B4-BE49-F238E27FC236}">
              <a16:creationId xmlns:a16="http://schemas.microsoft.com/office/drawing/2014/main" id="{ECDA9CA2-D88E-4473-B415-EC0FE5C624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048" t="8552" r="6500" b="12943"/>
        <a:stretch/>
      </xdr:blipFill>
      <xdr:spPr>
        <a:xfrm>
          <a:off x="915763" y="52677331"/>
          <a:ext cx="696686" cy="696685"/>
        </a:xfrm>
        <a:prstGeom prst="rect">
          <a:avLst/>
        </a:prstGeom>
      </xdr:spPr>
    </xdr:pic>
    <xdr:clientData/>
  </xdr:twoCellAnchor>
  <xdr:twoCellAnchor editAs="oneCell">
    <xdr:from>
      <xdr:col>2</xdr:col>
      <xdr:colOff>54430</xdr:colOff>
      <xdr:row>61</xdr:row>
      <xdr:rowOff>119746</xdr:rowOff>
    </xdr:from>
    <xdr:to>
      <xdr:col>2</xdr:col>
      <xdr:colOff>794659</xdr:colOff>
      <xdr:row>61</xdr:row>
      <xdr:rowOff>609603</xdr:rowOff>
    </xdr:to>
    <xdr:pic>
      <xdr:nvPicPr>
        <xdr:cNvPr id="49" name="Resim 48">
          <a:extLst>
            <a:ext uri="{FF2B5EF4-FFF2-40B4-BE49-F238E27FC236}">
              <a16:creationId xmlns:a16="http://schemas.microsoft.com/office/drawing/2014/main" id="{C942A436-CAC9-488D-B0E8-6EA58DA62DE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48" t="16522" r="5384" b="18261"/>
        <a:stretch/>
      </xdr:blipFill>
      <xdr:spPr>
        <a:xfrm>
          <a:off x="883105" y="53535946"/>
          <a:ext cx="740229" cy="489857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152404</xdr:colOff>
      <xdr:row>65</xdr:row>
      <xdr:rowOff>97974</xdr:rowOff>
    </xdr:from>
    <xdr:to>
      <xdr:col>2</xdr:col>
      <xdr:colOff>667298</xdr:colOff>
      <xdr:row>65</xdr:row>
      <xdr:rowOff>687277</xdr:rowOff>
    </xdr:to>
    <xdr:pic>
      <xdr:nvPicPr>
        <xdr:cNvPr id="53" name="Resim 52">
          <a:extLst>
            <a:ext uri="{FF2B5EF4-FFF2-40B4-BE49-F238E27FC236}">
              <a16:creationId xmlns:a16="http://schemas.microsoft.com/office/drawing/2014/main" id="{5E31DC2C-4790-45AC-BF04-5C5C41378B0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70" t="20773" r="30563" b="22504"/>
        <a:stretch/>
      </xdr:blipFill>
      <xdr:spPr>
        <a:xfrm>
          <a:off x="981079" y="59686374"/>
          <a:ext cx="514894" cy="589303"/>
        </a:xfrm>
        <a:prstGeom prst="rect">
          <a:avLst/>
        </a:prstGeom>
      </xdr:spPr>
    </xdr:pic>
    <xdr:clientData/>
  </xdr:twoCellAnchor>
  <xdr:twoCellAnchor editAs="oneCell">
    <xdr:from>
      <xdr:col>2</xdr:col>
      <xdr:colOff>239485</xdr:colOff>
      <xdr:row>66</xdr:row>
      <xdr:rowOff>43542</xdr:rowOff>
    </xdr:from>
    <xdr:to>
      <xdr:col>2</xdr:col>
      <xdr:colOff>631371</xdr:colOff>
      <xdr:row>66</xdr:row>
      <xdr:rowOff>741333</xdr:rowOff>
    </xdr:to>
    <xdr:pic>
      <xdr:nvPicPr>
        <xdr:cNvPr id="54" name="Resim 53">
          <a:extLst>
            <a:ext uri="{FF2B5EF4-FFF2-40B4-BE49-F238E27FC236}">
              <a16:creationId xmlns:a16="http://schemas.microsoft.com/office/drawing/2014/main" id="{33870724-6C51-4081-832E-8E0954BE39D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9970" t="20773" r="30563" b="22504"/>
        <a:stretch/>
      </xdr:blipFill>
      <xdr:spPr>
        <a:xfrm>
          <a:off x="1068160" y="60403467"/>
          <a:ext cx="391886" cy="697791"/>
        </a:xfrm>
        <a:prstGeom prst="rect">
          <a:avLst/>
        </a:prstGeom>
      </xdr:spPr>
    </xdr:pic>
    <xdr:clientData/>
  </xdr:twoCellAnchor>
  <xdr:twoCellAnchor editAs="oneCell">
    <xdr:from>
      <xdr:col>2</xdr:col>
      <xdr:colOff>87087</xdr:colOff>
      <xdr:row>67</xdr:row>
      <xdr:rowOff>65316</xdr:rowOff>
    </xdr:from>
    <xdr:to>
      <xdr:col>2</xdr:col>
      <xdr:colOff>762001</xdr:colOff>
      <xdr:row>67</xdr:row>
      <xdr:rowOff>698909</xdr:rowOff>
    </xdr:to>
    <xdr:pic>
      <xdr:nvPicPr>
        <xdr:cNvPr id="57" name="Resim 56">
          <a:extLst>
            <a:ext uri="{FF2B5EF4-FFF2-40B4-BE49-F238E27FC236}">
              <a16:creationId xmlns:a16="http://schemas.microsoft.com/office/drawing/2014/main" id="{2466F2A4-1C12-4D34-BE62-63F999A4E2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9299" r="31092"/>
        <a:stretch/>
      </xdr:blipFill>
      <xdr:spPr>
        <a:xfrm>
          <a:off x="915762" y="63511341"/>
          <a:ext cx="674914" cy="633593"/>
        </a:xfrm>
        <a:prstGeom prst="rect">
          <a:avLst/>
        </a:prstGeom>
      </xdr:spPr>
    </xdr:pic>
    <xdr:clientData/>
  </xdr:twoCellAnchor>
  <xdr:twoCellAnchor editAs="oneCell">
    <xdr:from>
      <xdr:col>2</xdr:col>
      <xdr:colOff>43543</xdr:colOff>
      <xdr:row>68</xdr:row>
      <xdr:rowOff>43544</xdr:rowOff>
    </xdr:from>
    <xdr:to>
      <xdr:col>2</xdr:col>
      <xdr:colOff>785518</xdr:colOff>
      <xdr:row>68</xdr:row>
      <xdr:rowOff>718458</xdr:rowOff>
    </xdr:to>
    <xdr:pic>
      <xdr:nvPicPr>
        <xdr:cNvPr id="59" name="Resim 58">
          <a:extLst>
            <a:ext uri="{FF2B5EF4-FFF2-40B4-BE49-F238E27FC236}">
              <a16:creationId xmlns:a16="http://schemas.microsoft.com/office/drawing/2014/main" id="{F711F43A-FC29-4CFB-83B6-CB6D3A36AD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862" t="54794" r="17863" b="1"/>
        <a:stretch/>
      </xdr:blipFill>
      <xdr:spPr>
        <a:xfrm>
          <a:off x="872218" y="66575669"/>
          <a:ext cx="741975" cy="674914"/>
        </a:xfrm>
        <a:prstGeom prst="rect">
          <a:avLst/>
        </a:prstGeom>
      </xdr:spPr>
    </xdr:pic>
    <xdr:clientData/>
  </xdr:twoCellAnchor>
  <xdr:twoCellAnchor editAs="oneCell">
    <xdr:from>
      <xdr:col>2</xdr:col>
      <xdr:colOff>43543</xdr:colOff>
      <xdr:row>69</xdr:row>
      <xdr:rowOff>65316</xdr:rowOff>
    </xdr:from>
    <xdr:to>
      <xdr:col>2</xdr:col>
      <xdr:colOff>785518</xdr:colOff>
      <xdr:row>69</xdr:row>
      <xdr:rowOff>740230</xdr:rowOff>
    </xdr:to>
    <xdr:pic>
      <xdr:nvPicPr>
        <xdr:cNvPr id="60" name="Resim 59">
          <a:extLst>
            <a:ext uri="{FF2B5EF4-FFF2-40B4-BE49-F238E27FC236}">
              <a16:creationId xmlns:a16="http://schemas.microsoft.com/office/drawing/2014/main" id="{3101692B-4C65-4023-A054-BEFB4835C01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862" t="54794" r="17863" b="1"/>
        <a:stretch/>
      </xdr:blipFill>
      <xdr:spPr>
        <a:xfrm>
          <a:off x="872218" y="67368966"/>
          <a:ext cx="741975" cy="674914"/>
        </a:xfrm>
        <a:prstGeom prst="rect">
          <a:avLst/>
        </a:prstGeom>
      </xdr:spPr>
    </xdr:pic>
    <xdr:clientData/>
  </xdr:twoCellAnchor>
  <xdr:twoCellAnchor editAs="oneCell">
    <xdr:from>
      <xdr:col>2</xdr:col>
      <xdr:colOff>54430</xdr:colOff>
      <xdr:row>72</xdr:row>
      <xdr:rowOff>261264</xdr:rowOff>
    </xdr:from>
    <xdr:to>
      <xdr:col>2</xdr:col>
      <xdr:colOff>783774</xdr:colOff>
      <xdr:row>72</xdr:row>
      <xdr:rowOff>431815</xdr:rowOff>
    </xdr:to>
    <xdr:pic>
      <xdr:nvPicPr>
        <xdr:cNvPr id="71" name="Resim 70">
          <a:extLst>
            <a:ext uri="{FF2B5EF4-FFF2-40B4-BE49-F238E27FC236}">
              <a16:creationId xmlns:a16="http://schemas.microsoft.com/office/drawing/2014/main" id="{89C8ED55-F289-4CC2-8BF9-A0BC2AA6EB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1" t="35635" r="2337" b="36915"/>
        <a:stretch/>
      </xdr:blipFill>
      <xdr:spPr>
        <a:xfrm>
          <a:off x="883105" y="76051689"/>
          <a:ext cx="729344" cy="170551"/>
        </a:xfrm>
        <a:prstGeom prst="rect">
          <a:avLst/>
        </a:prstGeom>
      </xdr:spPr>
    </xdr:pic>
    <xdr:clientData/>
  </xdr:twoCellAnchor>
  <xdr:twoCellAnchor editAs="oneCell">
    <xdr:from>
      <xdr:col>2</xdr:col>
      <xdr:colOff>54430</xdr:colOff>
      <xdr:row>73</xdr:row>
      <xdr:rowOff>293922</xdr:rowOff>
    </xdr:from>
    <xdr:to>
      <xdr:col>2</xdr:col>
      <xdr:colOff>783774</xdr:colOff>
      <xdr:row>73</xdr:row>
      <xdr:rowOff>464473</xdr:rowOff>
    </xdr:to>
    <xdr:pic>
      <xdr:nvPicPr>
        <xdr:cNvPr id="72" name="Resim 71">
          <a:extLst>
            <a:ext uri="{FF2B5EF4-FFF2-40B4-BE49-F238E27FC236}">
              <a16:creationId xmlns:a16="http://schemas.microsoft.com/office/drawing/2014/main" id="{B99DC8A1-1390-4A9F-8CC4-A3518E56DD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1" t="35635" r="2337" b="36915"/>
        <a:stretch/>
      </xdr:blipFill>
      <xdr:spPr>
        <a:xfrm>
          <a:off x="883105" y="76855872"/>
          <a:ext cx="729344" cy="170551"/>
        </a:xfrm>
        <a:prstGeom prst="rect">
          <a:avLst/>
        </a:prstGeom>
      </xdr:spPr>
    </xdr:pic>
    <xdr:clientData/>
  </xdr:twoCellAnchor>
  <xdr:twoCellAnchor editAs="oneCell">
    <xdr:from>
      <xdr:col>2</xdr:col>
      <xdr:colOff>79375</xdr:colOff>
      <xdr:row>23</xdr:row>
      <xdr:rowOff>111105</xdr:rowOff>
    </xdr:from>
    <xdr:to>
      <xdr:col>2</xdr:col>
      <xdr:colOff>744682</xdr:colOff>
      <xdr:row>23</xdr:row>
      <xdr:rowOff>682624</xdr:rowOff>
    </xdr:to>
    <xdr:pic>
      <xdr:nvPicPr>
        <xdr:cNvPr id="104" name="Resim 103">
          <a:extLst>
            <a:ext uri="{FF2B5EF4-FFF2-40B4-BE49-F238E27FC236}">
              <a16:creationId xmlns:a16="http://schemas.microsoft.com/office/drawing/2014/main" id="{892A36ED-A70C-40BC-A3DA-7522F38B30B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37" t="6103" r="16509" b="11827"/>
        <a:stretch/>
      </xdr:blipFill>
      <xdr:spPr>
        <a:xfrm>
          <a:off x="910648" y="16303605"/>
          <a:ext cx="665307" cy="571519"/>
        </a:xfrm>
        <a:prstGeom prst="rect">
          <a:avLst/>
        </a:prstGeom>
      </xdr:spPr>
    </xdr:pic>
    <xdr:clientData/>
  </xdr:twoCellAnchor>
  <xdr:twoCellAnchor editAs="oneCell">
    <xdr:from>
      <xdr:col>2</xdr:col>
      <xdr:colOff>35496</xdr:colOff>
      <xdr:row>24</xdr:row>
      <xdr:rowOff>57555</xdr:rowOff>
    </xdr:from>
    <xdr:to>
      <xdr:col>2</xdr:col>
      <xdr:colOff>780909</xdr:colOff>
      <xdr:row>24</xdr:row>
      <xdr:rowOff>695325</xdr:rowOff>
    </xdr:to>
    <xdr:pic>
      <xdr:nvPicPr>
        <xdr:cNvPr id="105" name="Resim 104">
          <a:extLst>
            <a:ext uri="{FF2B5EF4-FFF2-40B4-BE49-F238E27FC236}">
              <a16:creationId xmlns:a16="http://schemas.microsoft.com/office/drawing/2014/main" id="{207D0B7A-CC0B-4F72-8ECF-0B4CB9128D6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837" t="6103" r="16509" b="11827"/>
        <a:stretch/>
      </xdr:blipFill>
      <xdr:spPr>
        <a:xfrm flipH="1">
          <a:off x="866769" y="16250055"/>
          <a:ext cx="745413" cy="637770"/>
        </a:xfrm>
        <a:prstGeom prst="rect">
          <a:avLst/>
        </a:prstGeom>
      </xdr:spPr>
    </xdr:pic>
    <xdr:clientData/>
  </xdr:twoCellAnchor>
  <xdr:twoCellAnchor editAs="oneCell">
    <xdr:from>
      <xdr:col>2</xdr:col>
      <xdr:colOff>47626</xdr:colOff>
      <xdr:row>25</xdr:row>
      <xdr:rowOff>85725</xdr:rowOff>
    </xdr:from>
    <xdr:to>
      <xdr:col>2</xdr:col>
      <xdr:colOff>786262</xdr:colOff>
      <xdr:row>25</xdr:row>
      <xdr:rowOff>685800</xdr:rowOff>
    </xdr:to>
    <xdr:pic>
      <xdr:nvPicPr>
        <xdr:cNvPr id="106" name="Resim 105">
          <a:extLst>
            <a:ext uri="{FF2B5EF4-FFF2-40B4-BE49-F238E27FC236}">
              <a16:creationId xmlns:a16="http://schemas.microsoft.com/office/drawing/2014/main" id="{6D1868D7-9EF8-4476-B53F-39FC87BBF70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01" t="2500" r="6875" b="3667"/>
        <a:stretch/>
      </xdr:blipFill>
      <xdr:spPr>
        <a:xfrm>
          <a:off x="878899" y="17057543"/>
          <a:ext cx="738636" cy="600075"/>
        </a:xfrm>
        <a:prstGeom prst="rect">
          <a:avLst/>
        </a:prstGeom>
      </xdr:spPr>
    </xdr:pic>
    <xdr:clientData/>
  </xdr:twoCellAnchor>
  <xdr:twoCellAnchor editAs="oneCell">
    <xdr:from>
      <xdr:col>2</xdr:col>
      <xdr:colOff>33617</xdr:colOff>
      <xdr:row>26</xdr:row>
      <xdr:rowOff>24901</xdr:rowOff>
    </xdr:from>
    <xdr:to>
      <xdr:col>2</xdr:col>
      <xdr:colOff>795618</xdr:colOff>
      <xdr:row>26</xdr:row>
      <xdr:rowOff>735823</xdr:rowOff>
    </xdr:to>
    <xdr:pic>
      <xdr:nvPicPr>
        <xdr:cNvPr id="107" name="Resim 106">
          <a:extLst>
            <a:ext uri="{FF2B5EF4-FFF2-40B4-BE49-F238E27FC236}">
              <a16:creationId xmlns:a16="http://schemas.microsoft.com/office/drawing/2014/main" id="{8BF7FAEC-077A-47F3-B68A-2B743476CC4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29" t="53501" r="83001" b="8620"/>
        <a:stretch/>
      </xdr:blipFill>
      <xdr:spPr>
        <a:xfrm>
          <a:off x="862292" y="17627101"/>
          <a:ext cx="762001" cy="710922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51</xdr:row>
      <xdr:rowOff>34636</xdr:rowOff>
    </xdr:from>
    <xdr:to>
      <xdr:col>2</xdr:col>
      <xdr:colOff>796636</xdr:colOff>
      <xdr:row>51</xdr:row>
      <xdr:rowOff>744681</xdr:rowOff>
    </xdr:to>
    <xdr:pic>
      <xdr:nvPicPr>
        <xdr:cNvPr id="113" name="Resim 24">
          <a:extLst>
            <a:ext uri="{FF2B5EF4-FFF2-40B4-BE49-F238E27FC236}">
              <a16:creationId xmlns:a16="http://schemas.microsoft.com/office/drawing/2014/main" id="{DC84E997-4163-4C97-9E8B-D1DA040BE535}"/>
            </a:ext>
          </a:extLst>
        </xdr:cNvPr>
        <xdr:cNvPicPr/>
      </xdr:nvPicPr>
      <xdr:blipFill rotWithShape="1">
        <a:blip xmlns:r="http://schemas.openxmlformats.org/officeDocument/2006/relationships" r:embed="rId3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144" t="9997" r="15836" b="13454"/>
        <a:stretch/>
      </xdr:blipFill>
      <xdr:spPr>
        <a:xfrm>
          <a:off x="897947" y="38791861"/>
          <a:ext cx="727364" cy="710045"/>
        </a:xfrm>
        <a:prstGeom prst="rect">
          <a:avLst/>
        </a:prstGeom>
      </xdr:spPr>
    </xdr:pic>
    <xdr:clientData/>
  </xdr:twoCellAnchor>
  <xdr:twoCellAnchor editAs="oneCell">
    <xdr:from>
      <xdr:col>2</xdr:col>
      <xdr:colOff>34632</xdr:colOff>
      <xdr:row>62</xdr:row>
      <xdr:rowOff>69272</xdr:rowOff>
    </xdr:from>
    <xdr:to>
      <xdr:col>2</xdr:col>
      <xdr:colOff>796635</xdr:colOff>
      <xdr:row>62</xdr:row>
      <xdr:rowOff>727363</xdr:rowOff>
    </xdr:to>
    <xdr:pic>
      <xdr:nvPicPr>
        <xdr:cNvPr id="114" name="Resim 29">
          <a:extLst>
            <a:ext uri="{FF2B5EF4-FFF2-40B4-BE49-F238E27FC236}">
              <a16:creationId xmlns:a16="http://schemas.microsoft.com/office/drawing/2014/main" id="{66A6C8CF-0F93-460F-B5D1-95FA04C84C9A}"/>
            </a:ext>
          </a:extLst>
        </xdr:cNvPr>
        <xdr:cNvPicPr/>
      </xdr:nvPicPr>
      <xdr:blipFill rotWithShape="1">
        <a:blip xmlns:r="http://schemas.openxmlformats.org/officeDocument/2006/relationships" r:embed="rId3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566" t="22951" r="26415" b="12705"/>
        <a:stretch/>
      </xdr:blipFill>
      <xdr:spPr>
        <a:xfrm rot="5400000">
          <a:off x="915263" y="54205041"/>
          <a:ext cx="658091" cy="762003"/>
        </a:xfrm>
        <a:prstGeom prst="rect">
          <a:avLst/>
        </a:prstGeom>
      </xdr:spPr>
    </xdr:pic>
    <xdr:clientData/>
  </xdr:twoCellAnchor>
  <xdr:twoCellAnchor editAs="oneCell">
    <xdr:from>
      <xdr:col>2</xdr:col>
      <xdr:colOff>34634</xdr:colOff>
      <xdr:row>63</xdr:row>
      <xdr:rowOff>51959</xdr:rowOff>
    </xdr:from>
    <xdr:to>
      <xdr:col>2</xdr:col>
      <xdr:colOff>813953</xdr:colOff>
      <xdr:row>63</xdr:row>
      <xdr:rowOff>675412</xdr:rowOff>
    </xdr:to>
    <xdr:pic>
      <xdr:nvPicPr>
        <xdr:cNvPr id="115" name="Resim 30">
          <a:extLst>
            <a:ext uri="{FF2B5EF4-FFF2-40B4-BE49-F238E27FC236}">
              <a16:creationId xmlns:a16="http://schemas.microsoft.com/office/drawing/2014/main" id="{F74762AE-AAA6-42AC-BF0E-6FE2C5E798D1}"/>
            </a:ext>
          </a:extLst>
        </xdr:cNvPr>
        <xdr:cNvPicPr/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539" t="15385" r="30337" b="8718"/>
        <a:stretch/>
      </xdr:blipFill>
      <xdr:spPr>
        <a:xfrm rot="5400000">
          <a:off x="941242" y="54933276"/>
          <a:ext cx="623453" cy="779319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</xdr:colOff>
      <xdr:row>64</xdr:row>
      <xdr:rowOff>51954</xdr:rowOff>
    </xdr:from>
    <xdr:to>
      <xdr:col>2</xdr:col>
      <xdr:colOff>813955</xdr:colOff>
      <xdr:row>64</xdr:row>
      <xdr:rowOff>675407</xdr:rowOff>
    </xdr:to>
    <xdr:pic>
      <xdr:nvPicPr>
        <xdr:cNvPr id="116" name="Resim 30">
          <a:extLst>
            <a:ext uri="{FF2B5EF4-FFF2-40B4-BE49-F238E27FC236}">
              <a16:creationId xmlns:a16="http://schemas.microsoft.com/office/drawing/2014/main" id="{F9AC38D9-4A90-4287-87D0-AE0B61FE9CCF}"/>
            </a:ext>
          </a:extLst>
        </xdr:cNvPr>
        <xdr:cNvPicPr/>
      </xdr:nvPicPr>
      <xdr:blipFill rotWithShape="1">
        <a:blip xmlns:r="http://schemas.openxmlformats.org/officeDocument/2006/relationships" r:embed="rId3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539" t="15385" r="30337" b="8718"/>
        <a:stretch/>
      </xdr:blipFill>
      <xdr:spPr>
        <a:xfrm rot="16200000" flipH="1">
          <a:off x="941244" y="55704796"/>
          <a:ext cx="623453" cy="779319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</xdr:colOff>
      <xdr:row>70</xdr:row>
      <xdr:rowOff>34636</xdr:rowOff>
    </xdr:from>
    <xdr:to>
      <xdr:col>2</xdr:col>
      <xdr:colOff>776611</xdr:colOff>
      <xdr:row>70</xdr:row>
      <xdr:rowOff>709550</xdr:rowOff>
    </xdr:to>
    <xdr:pic>
      <xdr:nvPicPr>
        <xdr:cNvPr id="117" name="Resim 81">
          <a:extLst>
            <a:ext uri="{FF2B5EF4-FFF2-40B4-BE49-F238E27FC236}">
              <a16:creationId xmlns:a16="http://schemas.microsoft.com/office/drawing/2014/main" id="{9548CC1D-03BC-4F32-98EA-41C5CEF223E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862" t="54794" r="17863" b="1"/>
        <a:stretch/>
      </xdr:blipFill>
      <xdr:spPr>
        <a:xfrm>
          <a:off x="863311" y="68109811"/>
          <a:ext cx="741975" cy="674914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</xdr:colOff>
      <xdr:row>71</xdr:row>
      <xdr:rowOff>34636</xdr:rowOff>
    </xdr:from>
    <xdr:to>
      <xdr:col>2</xdr:col>
      <xdr:colOff>776611</xdr:colOff>
      <xdr:row>71</xdr:row>
      <xdr:rowOff>709550</xdr:rowOff>
    </xdr:to>
    <xdr:pic>
      <xdr:nvPicPr>
        <xdr:cNvPr id="118" name="Resim 81">
          <a:extLst>
            <a:ext uri="{FF2B5EF4-FFF2-40B4-BE49-F238E27FC236}">
              <a16:creationId xmlns:a16="http://schemas.microsoft.com/office/drawing/2014/main" id="{6362616C-8A0B-4CD2-863B-FD0711425C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862" t="54794" r="17863" b="1"/>
        <a:stretch/>
      </xdr:blipFill>
      <xdr:spPr>
        <a:xfrm>
          <a:off x="863311" y="68881336"/>
          <a:ext cx="741975" cy="674914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</xdr:colOff>
      <xdr:row>15</xdr:row>
      <xdr:rowOff>155863</xdr:rowOff>
    </xdr:from>
    <xdr:to>
      <xdr:col>2</xdr:col>
      <xdr:colOff>807273</xdr:colOff>
      <xdr:row>15</xdr:row>
      <xdr:rowOff>692726</xdr:rowOff>
    </xdr:to>
    <xdr:pic>
      <xdr:nvPicPr>
        <xdr:cNvPr id="123" name="Resim 122">
          <a:extLst>
            <a:ext uri="{FF2B5EF4-FFF2-40B4-BE49-F238E27FC236}">
              <a16:creationId xmlns:a16="http://schemas.microsoft.com/office/drawing/2014/main" id="{4BEA4198-CFAE-4D74-A8CA-098DBBB33B0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992" t="12033" r="8555" b="12878"/>
        <a:stretch/>
      </xdr:blipFill>
      <xdr:spPr>
        <a:xfrm>
          <a:off x="865909" y="8555181"/>
          <a:ext cx="772637" cy="536863"/>
        </a:xfrm>
        <a:prstGeom prst="rect">
          <a:avLst/>
        </a:prstGeom>
      </xdr:spPr>
    </xdr:pic>
    <xdr:clientData/>
  </xdr:twoCellAnchor>
  <xdr:twoCellAnchor editAs="oneCell">
    <xdr:from>
      <xdr:col>2</xdr:col>
      <xdr:colOff>51484</xdr:colOff>
      <xdr:row>108</xdr:row>
      <xdr:rowOff>51485</xdr:rowOff>
    </xdr:from>
    <xdr:to>
      <xdr:col>2</xdr:col>
      <xdr:colOff>774683</xdr:colOff>
      <xdr:row>108</xdr:row>
      <xdr:rowOff>717253</xdr:rowOff>
    </xdr:to>
    <xdr:pic>
      <xdr:nvPicPr>
        <xdr:cNvPr id="127" name="Resim 126">
          <a:extLst>
            <a:ext uri="{FF2B5EF4-FFF2-40B4-BE49-F238E27FC236}">
              <a16:creationId xmlns:a16="http://schemas.microsoft.com/office/drawing/2014/main" id="{E8027C4F-83B2-4334-B64F-B6B29163F2B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423" t="8108" r="7617" b="10810"/>
        <a:stretch/>
      </xdr:blipFill>
      <xdr:spPr>
        <a:xfrm>
          <a:off x="880159" y="27702560"/>
          <a:ext cx="723199" cy="679622"/>
        </a:xfrm>
        <a:prstGeom prst="rect">
          <a:avLst/>
        </a:prstGeom>
      </xdr:spPr>
    </xdr:pic>
    <xdr:clientData/>
  </xdr:twoCellAnchor>
  <xdr:twoCellAnchor editAs="oneCell">
    <xdr:from>
      <xdr:col>2</xdr:col>
      <xdr:colOff>21772</xdr:colOff>
      <xdr:row>75</xdr:row>
      <xdr:rowOff>43544</xdr:rowOff>
    </xdr:from>
    <xdr:to>
      <xdr:col>2</xdr:col>
      <xdr:colOff>802140</xdr:colOff>
      <xdr:row>75</xdr:row>
      <xdr:rowOff>693719</xdr:rowOff>
    </xdr:to>
    <xdr:pic>
      <xdr:nvPicPr>
        <xdr:cNvPr id="128" name="Resim 127">
          <a:extLst>
            <a:ext uri="{FF2B5EF4-FFF2-40B4-BE49-F238E27FC236}">
              <a16:creationId xmlns:a16="http://schemas.microsoft.com/office/drawing/2014/main" id="{778C8687-ECCF-43ED-A5E6-AC56D563077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8961" t="35758"/>
        <a:stretch/>
      </xdr:blipFill>
      <xdr:spPr>
        <a:xfrm>
          <a:off x="850447" y="2215244"/>
          <a:ext cx="780368" cy="66402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108860</xdr:colOff>
      <xdr:row>76</xdr:row>
      <xdr:rowOff>21772</xdr:rowOff>
    </xdr:from>
    <xdr:to>
      <xdr:col>2</xdr:col>
      <xdr:colOff>729346</xdr:colOff>
      <xdr:row>76</xdr:row>
      <xdr:rowOff>741367</xdr:rowOff>
    </xdr:to>
    <xdr:pic>
      <xdr:nvPicPr>
        <xdr:cNvPr id="129" name="Resim 128">
          <a:extLst>
            <a:ext uri="{FF2B5EF4-FFF2-40B4-BE49-F238E27FC236}">
              <a16:creationId xmlns:a16="http://schemas.microsoft.com/office/drawing/2014/main" id="{8A2C688D-E008-42F9-BF8B-AC38D273FA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1612" t="1217" r="16533" b="2102"/>
        <a:stretch/>
      </xdr:blipFill>
      <xdr:spPr>
        <a:xfrm>
          <a:off x="937535" y="2964997"/>
          <a:ext cx="620486" cy="733449"/>
        </a:xfrm>
        <a:prstGeom prst="rect">
          <a:avLst/>
        </a:prstGeom>
      </xdr:spPr>
    </xdr:pic>
    <xdr:clientData/>
  </xdr:twoCellAnchor>
  <xdr:twoCellAnchor editAs="oneCell">
    <xdr:from>
      <xdr:col>2</xdr:col>
      <xdr:colOff>43543</xdr:colOff>
      <xdr:row>78</xdr:row>
      <xdr:rowOff>87088</xdr:rowOff>
    </xdr:from>
    <xdr:to>
      <xdr:col>2</xdr:col>
      <xdr:colOff>772886</xdr:colOff>
      <xdr:row>78</xdr:row>
      <xdr:rowOff>638599</xdr:rowOff>
    </xdr:to>
    <xdr:pic>
      <xdr:nvPicPr>
        <xdr:cNvPr id="130" name="Resim 129">
          <a:extLst>
            <a:ext uri="{FF2B5EF4-FFF2-40B4-BE49-F238E27FC236}">
              <a16:creationId xmlns:a16="http://schemas.microsoft.com/office/drawing/2014/main" id="{1AEB5063-A9A8-4E08-A734-CCCF5CAB60D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274" t="29615" r="26099" b="29615"/>
        <a:stretch/>
      </xdr:blipFill>
      <xdr:spPr>
        <a:xfrm>
          <a:off x="872218" y="4573363"/>
          <a:ext cx="729343" cy="565366"/>
        </a:xfrm>
        <a:prstGeom prst="rect">
          <a:avLst/>
        </a:prstGeom>
      </xdr:spPr>
    </xdr:pic>
    <xdr:clientData/>
  </xdr:twoCellAnchor>
  <xdr:twoCellAnchor editAs="oneCell">
    <xdr:from>
      <xdr:col>2</xdr:col>
      <xdr:colOff>65315</xdr:colOff>
      <xdr:row>81</xdr:row>
      <xdr:rowOff>43543</xdr:rowOff>
    </xdr:from>
    <xdr:to>
      <xdr:col>2</xdr:col>
      <xdr:colOff>756828</xdr:colOff>
      <xdr:row>81</xdr:row>
      <xdr:rowOff>661060</xdr:rowOff>
    </xdr:to>
    <xdr:pic>
      <xdr:nvPicPr>
        <xdr:cNvPr id="131" name="Resim 130">
          <a:extLst>
            <a:ext uri="{FF2B5EF4-FFF2-40B4-BE49-F238E27FC236}">
              <a16:creationId xmlns:a16="http://schemas.microsoft.com/office/drawing/2014/main" id="{A069A109-D9D5-43AA-B6AE-833056C57A7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2" t="44614" r="48962" b="6294"/>
        <a:stretch/>
      </xdr:blipFill>
      <xdr:spPr>
        <a:xfrm>
          <a:off x="893990" y="6844393"/>
          <a:ext cx="691513" cy="631372"/>
        </a:xfrm>
        <a:prstGeom prst="rect">
          <a:avLst/>
        </a:prstGeom>
      </xdr:spPr>
    </xdr:pic>
    <xdr:clientData/>
  </xdr:twoCellAnchor>
  <xdr:twoCellAnchor editAs="oneCell">
    <xdr:from>
      <xdr:col>2</xdr:col>
      <xdr:colOff>54428</xdr:colOff>
      <xdr:row>90</xdr:row>
      <xdr:rowOff>97975</xdr:rowOff>
    </xdr:from>
    <xdr:to>
      <xdr:col>2</xdr:col>
      <xdr:colOff>804539</xdr:colOff>
      <xdr:row>90</xdr:row>
      <xdr:rowOff>563096</xdr:rowOff>
    </xdr:to>
    <xdr:pic>
      <xdr:nvPicPr>
        <xdr:cNvPr id="132" name="Resim 131">
          <a:extLst>
            <a:ext uri="{FF2B5EF4-FFF2-40B4-BE49-F238E27FC236}">
              <a16:creationId xmlns:a16="http://schemas.microsoft.com/office/drawing/2014/main" id="{14B4D810-06CD-43EA-A62F-FC771759D45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000" t="14628" r="28334" b="8330"/>
        <a:stretch/>
      </xdr:blipFill>
      <xdr:spPr>
        <a:xfrm rot="5400000">
          <a:off x="1018671" y="13706982"/>
          <a:ext cx="478975" cy="750111"/>
        </a:xfrm>
        <a:prstGeom prst="rect">
          <a:avLst/>
        </a:prstGeom>
      </xdr:spPr>
    </xdr:pic>
    <xdr:clientData/>
  </xdr:twoCellAnchor>
  <xdr:twoCellAnchor editAs="oneCell">
    <xdr:from>
      <xdr:col>2</xdr:col>
      <xdr:colOff>43544</xdr:colOff>
      <xdr:row>91</xdr:row>
      <xdr:rowOff>228606</xdr:rowOff>
    </xdr:from>
    <xdr:to>
      <xdr:col>2</xdr:col>
      <xdr:colOff>782946</xdr:colOff>
      <xdr:row>91</xdr:row>
      <xdr:rowOff>482936</xdr:rowOff>
    </xdr:to>
    <xdr:pic>
      <xdr:nvPicPr>
        <xdr:cNvPr id="133" name="Resim 132">
          <a:extLst>
            <a:ext uri="{FF2B5EF4-FFF2-40B4-BE49-F238E27FC236}">
              <a16:creationId xmlns:a16="http://schemas.microsoft.com/office/drawing/2014/main" id="{2997D655-8586-4B5F-AD77-3CBC6A7EE8C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394" b="42757"/>
        <a:stretch/>
      </xdr:blipFill>
      <xdr:spPr>
        <a:xfrm>
          <a:off x="872219" y="14744706"/>
          <a:ext cx="739402" cy="261257"/>
        </a:xfrm>
        <a:prstGeom prst="corner">
          <a:avLst>
            <a:gd name="adj1" fmla="val 50000"/>
            <a:gd name="adj2" fmla="val 149177"/>
          </a:avLst>
        </a:prstGeom>
      </xdr:spPr>
    </xdr:pic>
    <xdr:clientData/>
  </xdr:twoCellAnchor>
  <xdr:twoCellAnchor editAs="oneCell">
    <xdr:from>
      <xdr:col>2</xdr:col>
      <xdr:colOff>32657</xdr:colOff>
      <xdr:row>92</xdr:row>
      <xdr:rowOff>195948</xdr:rowOff>
    </xdr:from>
    <xdr:to>
      <xdr:col>2</xdr:col>
      <xdr:colOff>802867</xdr:colOff>
      <xdr:row>92</xdr:row>
      <xdr:rowOff>461162</xdr:rowOff>
    </xdr:to>
    <xdr:pic>
      <xdr:nvPicPr>
        <xdr:cNvPr id="134" name="Resim 133">
          <a:extLst>
            <a:ext uri="{FF2B5EF4-FFF2-40B4-BE49-F238E27FC236}">
              <a16:creationId xmlns:a16="http://schemas.microsoft.com/office/drawing/2014/main" id="{110F48E7-D3E1-4A97-933B-4C0F28528C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394" b="42757"/>
        <a:stretch/>
      </xdr:blipFill>
      <xdr:spPr>
        <a:xfrm>
          <a:off x="861332" y="15483573"/>
          <a:ext cx="770210" cy="272142"/>
        </a:xfrm>
        <a:prstGeom prst="rect">
          <a:avLst/>
        </a:prstGeom>
      </xdr:spPr>
    </xdr:pic>
    <xdr:clientData/>
  </xdr:twoCellAnchor>
  <xdr:twoCellAnchor editAs="oneCell">
    <xdr:from>
      <xdr:col>2</xdr:col>
      <xdr:colOff>32657</xdr:colOff>
      <xdr:row>93</xdr:row>
      <xdr:rowOff>217720</xdr:rowOff>
    </xdr:from>
    <xdr:to>
      <xdr:col>2</xdr:col>
      <xdr:colOff>802867</xdr:colOff>
      <xdr:row>93</xdr:row>
      <xdr:rowOff>482935</xdr:rowOff>
    </xdr:to>
    <xdr:pic>
      <xdr:nvPicPr>
        <xdr:cNvPr id="135" name="Resim 134">
          <a:extLst>
            <a:ext uri="{FF2B5EF4-FFF2-40B4-BE49-F238E27FC236}">
              <a16:creationId xmlns:a16="http://schemas.microsoft.com/office/drawing/2014/main" id="{1950299A-2EAC-4043-B8E8-8A00098A411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394" b="42757"/>
        <a:stretch/>
      </xdr:blipFill>
      <xdr:spPr>
        <a:xfrm>
          <a:off x="861332" y="16276870"/>
          <a:ext cx="770210" cy="272142"/>
        </a:xfrm>
        <a:prstGeom prst="rect">
          <a:avLst/>
        </a:prstGeom>
      </xdr:spPr>
    </xdr:pic>
    <xdr:clientData/>
  </xdr:twoCellAnchor>
  <xdr:twoCellAnchor editAs="oneCell">
    <xdr:from>
      <xdr:col>2</xdr:col>
      <xdr:colOff>32657</xdr:colOff>
      <xdr:row>94</xdr:row>
      <xdr:rowOff>261263</xdr:rowOff>
    </xdr:from>
    <xdr:to>
      <xdr:col>2</xdr:col>
      <xdr:colOff>802867</xdr:colOff>
      <xdr:row>94</xdr:row>
      <xdr:rowOff>519551</xdr:rowOff>
    </xdr:to>
    <xdr:pic>
      <xdr:nvPicPr>
        <xdr:cNvPr id="136" name="Resim 135">
          <a:extLst>
            <a:ext uri="{FF2B5EF4-FFF2-40B4-BE49-F238E27FC236}">
              <a16:creationId xmlns:a16="http://schemas.microsoft.com/office/drawing/2014/main" id="{C4B74ABA-4513-4DE3-AEE3-BB7230F8ED0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3394" b="42757"/>
        <a:stretch/>
      </xdr:blipFill>
      <xdr:spPr>
        <a:xfrm>
          <a:off x="861332" y="17091938"/>
          <a:ext cx="770210" cy="272142"/>
        </a:xfrm>
        <a:prstGeom prst="rect">
          <a:avLst/>
        </a:prstGeom>
      </xdr:spPr>
    </xdr:pic>
    <xdr:clientData/>
  </xdr:twoCellAnchor>
  <xdr:twoCellAnchor editAs="oneCell">
    <xdr:from>
      <xdr:col>2</xdr:col>
      <xdr:colOff>72294</xdr:colOff>
      <xdr:row>96</xdr:row>
      <xdr:rowOff>54429</xdr:rowOff>
    </xdr:from>
    <xdr:to>
      <xdr:col>2</xdr:col>
      <xdr:colOff>783774</xdr:colOff>
      <xdr:row>96</xdr:row>
      <xdr:rowOff>711890</xdr:rowOff>
    </xdr:to>
    <xdr:pic>
      <xdr:nvPicPr>
        <xdr:cNvPr id="137" name="Resim 136">
          <a:extLst>
            <a:ext uri="{FF2B5EF4-FFF2-40B4-BE49-F238E27FC236}">
              <a16:creationId xmlns:a16="http://schemas.microsoft.com/office/drawing/2014/main" id="{038F66E8-547D-4F24-8122-AEC7F6DBE81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085" t="45211" r="49880"/>
        <a:stretch/>
      </xdr:blipFill>
      <xdr:spPr>
        <a:xfrm>
          <a:off x="900969" y="18428154"/>
          <a:ext cx="711480" cy="671316"/>
        </a:xfrm>
        <a:prstGeom prst="rect">
          <a:avLst/>
        </a:prstGeom>
      </xdr:spPr>
    </xdr:pic>
    <xdr:clientData/>
  </xdr:twoCellAnchor>
  <xdr:twoCellAnchor editAs="oneCell">
    <xdr:from>
      <xdr:col>2</xdr:col>
      <xdr:colOff>87087</xdr:colOff>
      <xdr:row>83</xdr:row>
      <xdr:rowOff>217714</xdr:rowOff>
    </xdr:from>
    <xdr:to>
      <xdr:col>2</xdr:col>
      <xdr:colOff>730909</xdr:colOff>
      <xdr:row>83</xdr:row>
      <xdr:rowOff>563089</xdr:rowOff>
    </xdr:to>
    <xdr:pic>
      <xdr:nvPicPr>
        <xdr:cNvPr id="138" name="Resim 137">
          <a:extLst>
            <a:ext uri="{FF2B5EF4-FFF2-40B4-BE49-F238E27FC236}">
              <a16:creationId xmlns:a16="http://schemas.microsoft.com/office/drawing/2014/main" id="{11702904-89D8-47BE-88F2-981F36FC563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2" t="44614" r="48962" b="6294"/>
        <a:stretch/>
      </xdr:blipFill>
      <xdr:spPr>
        <a:xfrm>
          <a:off x="915762" y="8561614"/>
          <a:ext cx="643822" cy="359229"/>
        </a:xfrm>
        <a:prstGeom prst="rect">
          <a:avLst/>
        </a:prstGeom>
      </xdr:spPr>
    </xdr:pic>
    <xdr:clientData/>
  </xdr:twoCellAnchor>
  <xdr:twoCellAnchor editAs="oneCell">
    <xdr:from>
      <xdr:col>2</xdr:col>
      <xdr:colOff>10886</xdr:colOff>
      <xdr:row>89</xdr:row>
      <xdr:rowOff>349216</xdr:rowOff>
    </xdr:from>
    <xdr:to>
      <xdr:col>2</xdr:col>
      <xdr:colOff>853498</xdr:colOff>
      <xdr:row>89</xdr:row>
      <xdr:rowOff>527345</xdr:rowOff>
    </xdr:to>
    <xdr:pic>
      <xdr:nvPicPr>
        <xdr:cNvPr id="139" name="Resim 138">
          <a:extLst>
            <a:ext uri="{FF2B5EF4-FFF2-40B4-BE49-F238E27FC236}">
              <a16:creationId xmlns:a16="http://schemas.microsoft.com/office/drawing/2014/main" id="{FD0E8BDE-3A9B-4934-BB69-D23D860E6DD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-571" t="35545" r="571" b="35630"/>
        <a:stretch/>
      </xdr:blipFill>
      <xdr:spPr>
        <a:xfrm>
          <a:off x="839561" y="13322266"/>
          <a:ext cx="817847" cy="185057"/>
        </a:xfrm>
        <a:prstGeom prst="rect">
          <a:avLst/>
        </a:prstGeom>
      </xdr:spPr>
    </xdr:pic>
    <xdr:clientData/>
  </xdr:twoCellAnchor>
  <xdr:twoCellAnchor editAs="oneCell">
    <xdr:from>
      <xdr:col>2</xdr:col>
      <xdr:colOff>46382</xdr:colOff>
      <xdr:row>84</xdr:row>
      <xdr:rowOff>258414</xdr:rowOff>
    </xdr:from>
    <xdr:to>
      <xdr:col>2</xdr:col>
      <xdr:colOff>793028</xdr:colOff>
      <xdr:row>84</xdr:row>
      <xdr:rowOff>417139</xdr:rowOff>
    </xdr:to>
    <xdr:pic>
      <xdr:nvPicPr>
        <xdr:cNvPr id="140" name="Resim 139">
          <a:extLst>
            <a:ext uri="{FF2B5EF4-FFF2-40B4-BE49-F238E27FC236}">
              <a16:creationId xmlns:a16="http://schemas.microsoft.com/office/drawing/2014/main" id="{68AAEB87-99ED-429C-9FE4-0C35D29AB8B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547" t="38363" r="9224" b="38278"/>
        <a:stretch/>
      </xdr:blipFill>
      <xdr:spPr>
        <a:xfrm>
          <a:off x="875057" y="9373839"/>
          <a:ext cx="746646" cy="165652"/>
        </a:xfrm>
        <a:prstGeom prst="rect">
          <a:avLst/>
        </a:prstGeom>
      </xdr:spPr>
    </xdr:pic>
    <xdr:clientData/>
  </xdr:twoCellAnchor>
  <xdr:twoCellAnchor editAs="oneCell">
    <xdr:from>
      <xdr:col>2</xdr:col>
      <xdr:colOff>53008</xdr:colOff>
      <xdr:row>85</xdr:row>
      <xdr:rowOff>218658</xdr:rowOff>
    </xdr:from>
    <xdr:to>
      <xdr:col>2</xdr:col>
      <xdr:colOff>778794</xdr:colOff>
      <xdr:row>85</xdr:row>
      <xdr:rowOff>443643</xdr:rowOff>
    </xdr:to>
    <xdr:pic>
      <xdr:nvPicPr>
        <xdr:cNvPr id="141" name="Resim 140">
          <a:extLst>
            <a:ext uri="{FF2B5EF4-FFF2-40B4-BE49-F238E27FC236}">
              <a16:creationId xmlns:a16="http://schemas.microsoft.com/office/drawing/2014/main" id="{9BFE771D-4E35-42A9-8FC8-23010D3D519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861" t="42797" r="3427" b="42540"/>
        <a:stretch/>
      </xdr:blipFill>
      <xdr:spPr>
        <a:xfrm>
          <a:off x="881683" y="10105608"/>
          <a:ext cx="725786" cy="231913"/>
        </a:xfrm>
        <a:prstGeom prst="rect">
          <a:avLst/>
        </a:prstGeom>
      </xdr:spPr>
    </xdr:pic>
    <xdr:clientData/>
  </xdr:twoCellAnchor>
  <xdr:twoCellAnchor editAs="oneCell">
    <xdr:from>
      <xdr:col>2</xdr:col>
      <xdr:colOff>163094</xdr:colOff>
      <xdr:row>80</xdr:row>
      <xdr:rowOff>50448</xdr:rowOff>
    </xdr:from>
    <xdr:to>
      <xdr:col>2</xdr:col>
      <xdr:colOff>752816</xdr:colOff>
      <xdr:row>80</xdr:row>
      <xdr:rowOff>738958</xdr:rowOff>
    </xdr:to>
    <xdr:pic>
      <xdr:nvPicPr>
        <xdr:cNvPr id="142" name="Resim 141">
          <a:extLst>
            <a:ext uri="{FF2B5EF4-FFF2-40B4-BE49-F238E27FC236}">
              <a16:creationId xmlns:a16="http://schemas.microsoft.com/office/drawing/2014/main" id="{E1AB2D20-5BAF-45B8-8351-FD5E6C2D020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5" r="13026"/>
        <a:stretch/>
      </xdr:blipFill>
      <xdr:spPr>
        <a:xfrm>
          <a:off x="994367" y="59347903"/>
          <a:ext cx="589722" cy="688510"/>
        </a:xfrm>
        <a:prstGeom prst="rect">
          <a:avLst/>
        </a:prstGeom>
      </xdr:spPr>
    </xdr:pic>
    <xdr:clientData/>
  </xdr:twoCellAnchor>
  <xdr:twoCellAnchor editAs="oneCell">
    <xdr:from>
      <xdr:col>2</xdr:col>
      <xdr:colOff>33130</xdr:colOff>
      <xdr:row>82</xdr:row>
      <xdr:rowOff>99390</xdr:rowOff>
    </xdr:from>
    <xdr:to>
      <xdr:col>2</xdr:col>
      <xdr:colOff>788504</xdr:colOff>
      <xdr:row>82</xdr:row>
      <xdr:rowOff>639457</xdr:rowOff>
    </xdr:to>
    <xdr:pic>
      <xdr:nvPicPr>
        <xdr:cNvPr id="143" name="Resim 142">
          <a:extLst>
            <a:ext uri="{FF2B5EF4-FFF2-40B4-BE49-F238E27FC236}">
              <a16:creationId xmlns:a16="http://schemas.microsoft.com/office/drawing/2014/main" id="{AAB9114E-B131-47ED-A83C-5F10566566B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602" t="11885" r="1455" b="6294"/>
        <a:stretch/>
      </xdr:blipFill>
      <xdr:spPr>
        <a:xfrm>
          <a:off x="861805" y="7671765"/>
          <a:ext cx="755374" cy="553921"/>
        </a:xfrm>
        <a:prstGeom prst="rect">
          <a:avLst/>
        </a:prstGeom>
      </xdr:spPr>
    </xdr:pic>
    <xdr:clientData/>
  </xdr:twoCellAnchor>
  <xdr:twoCellAnchor editAs="oneCell">
    <xdr:from>
      <xdr:col>2</xdr:col>
      <xdr:colOff>207818</xdr:colOff>
      <xdr:row>77</xdr:row>
      <xdr:rowOff>17318</xdr:rowOff>
    </xdr:from>
    <xdr:to>
      <xdr:col>2</xdr:col>
      <xdr:colOff>596165</xdr:colOff>
      <xdr:row>77</xdr:row>
      <xdr:rowOff>757669</xdr:rowOff>
    </xdr:to>
    <xdr:pic>
      <xdr:nvPicPr>
        <xdr:cNvPr id="144" name="Picture 16">
          <a:extLst>
            <a:ext uri="{FF2B5EF4-FFF2-40B4-BE49-F238E27FC236}">
              <a16:creationId xmlns:a16="http://schemas.microsoft.com/office/drawing/2014/main" id="{65762CAC-2C15-433B-80C5-85BA94128FE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747" r="34401"/>
        <a:stretch/>
      </xdr:blipFill>
      <xdr:spPr>
        <a:xfrm>
          <a:off x="1036493" y="3732068"/>
          <a:ext cx="388347" cy="754206"/>
        </a:xfrm>
        <a:prstGeom prst="rect">
          <a:avLst/>
        </a:prstGeom>
      </xdr:spPr>
    </xdr:pic>
    <xdr:clientData/>
  </xdr:twoCellAnchor>
  <xdr:twoCellAnchor editAs="oneCell">
    <xdr:from>
      <xdr:col>2</xdr:col>
      <xdr:colOff>69273</xdr:colOff>
      <xdr:row>100</xdr:row>
      <xdr:rowOff>51954</xdr:rowOff>
    </xdr:from>
    <xdr:to>
      <xdr:col>2</xdr:col>
      <xdr:colOff>785960</xdr:colOff>
      <xdr:row>100</xdr:row>
      <xdr:rowOff>713960</xdr:rowOff>
    </xdr:to>
    <xdr:pic>
      <xdr:nvPicPr>
        <xdr:cNvPr id="145" name="Resim 153">
          <a:extLst>
            <a:ext uri="{FF2B5EF4-FFF2-40B4-BE49-F238E27FC236}">
              <a16:creationId xmlns:a16="http://schemas.microsoft.com/office/drawing/2014/main" id="{49F67C3D-BC04-4156-B7AB-096C43178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7948" y="21511779"/>
          <a:ext cx="716687" cy="675861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111</xdr:row>
      <xdr:rowOff>132913</xdr:rowOff>
    </xdr:from>
    <xdr:to>
      <xdr:col>2</xdr:col>
      <xdr:colOff>675409</xdr:colOff>
      <xdr:row>111</xdr:row>
      <xdr:rowOff>696192</xdr:rowOff>
    </xdr:to>
    <xdr:pic>
      <xdr:nvPicPr>
        <xdr:cNvPr id="146" name="Picture 13">
          <a:extLst>
            <a:ext uri="{FF2B5EF4-FFF2-40B4-BE49-F238E27FC236}">
              <a16:creationId xmlns:a16="http://schemas.microsoft.com/office/drawing/2014/main" id="{EFD0CAC8-F955-4A87-957F-2FA2C5E415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909" t="18181" r="15758" b="12122"/>
        <a:stretch/>
      </xdr:blipFill>
      <xdr:spPr>
        <a:xfrm>
          <a:off x="900545" y="82809913"/>
          <a:ext cx="606137" cy="563279"/>
        </a:xfrm>
        <a:prstGeom prst="rect">
          <a:avLst/>
        </a:prstGeom>
      </xdr:spPr>
    </xdr:pic>
    <xdr:clientData/>
  </xdr:twoCellAnchor>
  <xdr:twoCellAnchor editAs="oneCell">
    <xdr:from>
      <xdr:col>2</xdr:col>
      <xdr:colOff>34636</xdr:colOff>
      <xdr:row>97</xdr:row>
      <xdr:rowOff>51954</xdr:rowOff>
    </xdr:from>
    <xdr:to>
      <xdr:col>2</xdr:col>
      <xdr:colOff>853440</xdr:colOff>
      <xdr:row>97</xdr:row>
      <xdr:rowOff>693277</xdr:rowOff>
    </xdr:to>
    <xdr:pic>
      <xdr:nvPicPr>
        <xdr:cNvPr id="147" name="Resim 146">
          <a:extLst>
            <a:ext uri="{FF2B5EF4-FFF2-40B4-BE49-F238E27FC236}">
              <a16:creationId xmlns:a16="http://schemas.microsoft.com/office/drawing/2014/main" id="{CCD08841-AF09-434F-A074-1D978C7B80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569" t="11494" r="29310" b="37931"/>
        <a:stretch/>
      </xdr:blipFill>
      <xdr:spPr>
        <a:xfrm>
          <a:off x="863311" y="19197204"/>
          <a:ext cx="794039" cy="655177"/>
        </a:xfrm>
        <a:prstGeom prst="rect">
          <a:avLst/>
        </a:prstGeom>
      </xdr:spPr>
    </xdr:pic>
    <xdr:clientData/>
  </xdr:twoCellAnchor>
  <xdr:twoCellAnchor editAs="oneCell">
    <xdr:from>
      <xdr:col>2</xdr:col>
      <xdr:colOff>69272</xdr:colOff>
      <xdr:row>98</xdr:row>
      <xdr:rowOff>34636</xdr:rowOff>
    </xdr:from>
    <xdr:to>
      <xdr:col>2</xdr:col>
      <xdr:colOff>785491</xdr:colOff>
      <xdr:row>98</xdr:row>
      <xdr:rowOff>730827</xdr:rowOff>
    </xdr:to>
    <xdr:pic>
      <xdr:nvPicPr>
        <xdr:cNvPr id="148" name="Resim 147">
          <a:extLst>
            <a:ext uri="{FF2B5EF4-FFF2-40B4-BE49-F238E27FC236}">
              <a16:creationId xmlns:a16="http://schemas.microsoft.com/office/drawing/2014/main" id="{3A215D9B-2DE6-4E54-A47E-1E97ACF4234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91" t="22002" r="12541" b="20492"/>
        <a:stretch/>
      </xdr:blipFill>
      <xdr:spPr>
        <a:xfrm>
          <a:off x="897947" y="19951411"/>
          <a:ext cx="716219" cy="710045"/>
        </a:xfrm>
        <a:prstGeom prst="rect">
          <a:avLst/>
        </a:prstGeom>
      </xdr:spPr>
    </xdr:pic>
    <xdr:clientData/>
  </xdr:twoCellAnchor>
  <xdr:twoCellAnchor editAs="oneCell">
    <xdr:from>
      <xdr:col>2</xdr:col>
      <xdr:colOff>136467</xdr:colOff>
      <xdr:row>19</xdr:row>
      <xdr:rowOff>57501</xdr:rowOff>
    </xdr:from>
    <xdr:to>
      <xdr:col>2</xdr:col>
      <xdr:colOff>1045851</xdr:colOff>
      <xdr:row>19</xdr:row>
      <xdr:rowOff>685803</xdr:rowOff>
    </xdr:to>
    <xdr:pic>
      <xdr:nvPicPr>
        <xdr:cNvPr id="84" name="Resim 83">
          <a:extLst>
            <a:ext uri="{FF2B5EF4-FFF2-40B4-BE49-F238E27FC236}">
              <a16:creationId xmlns:a16="http://schemas.microsoft.com/office/drawing/2014/main" id="{0D57F448-6E64-4671-9EF1-85F6E94212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2174" t="8985" r="22753" b="11305"/>
        <a:stretch/>
      </xdr:blipFill>
      <xdr:spPr>
        <a:xfrm rot="5400000">
          <a:off x="1130448" y="12977640"/>
          <a:ext cx="628302" cy="909384"/>
        </a:xfrm>
        <a:prstGeom prst="rect">
          <a:avLst/>
        </a:prstGeom>
      </xdr:spPr>
    </xdr:pic>
    <xdr:clientData/>
  </xdr:twoCellAnchor>
  <xdr:twoCellAnchor editAs="oneCell">
    <xdr:from>
      <xdr:col>2</xdr:col>
      <xdr:colOff>113180</xdr:colOff>
      <xdr:row>20</xdr:row>
      <xdr:rowOff>14548</xdr:rowOff>
    </xdr:from>
    <xdr:to>
      <xdr:col>2</xdr:col>
      <xdr:colOff>872684</xdr:colOff>
      <xdr:row>20</xdr:row>
      <xdr:rowOff>731520</xdr:rowOff>
    </xdr:to>
    <xdr:pic>
      <xdr:nvPicPr>
        <xdr:cNvPr id="11" name="Resim 10">
          <a:extLst>
            <a:ext uri="{FF2B5EF4-FFF2-40B4-BE49-F238E27FC236}">
              <a16:creationId xmlns:a16="http://schemas.microsoft.com/office/drawing/2014/main" id="{FDB19223-A00A-4D54-84B0-62B5F76536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966620" y="13852468"/>
          <a:ext cx="759504" cy="7169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Y197"/>
  <sheetViews>
    <sheetView showFormulas="1" tabSelected="1" view="pageBreakPreview" zoomScale="55" zoomScaleNormal="25" zoomScaleSheetLayoutView="55" workbookViewId="0">
      <selection activeCell="F20" sqref="F20"/>
    </sheetView>
  </sheetViews>
  <sheetFormatPr defaultColWidth="9.08984375" defaultRowHeight="21" x14ac:dyDescent="0.35"/>
  <cols>
    <col min="1" max="1" width="5.08984375" style="2" customWidth="1"/>
    <col min="2" max="2" width="7.36328125" style="19" customWidth="1"/>
    <col min="3" max="3" width="27.08984375" style="19" customWidth="1"/>
    <col min="4" max="4" width="22.453125" style="19" customWidth="1"/>
    <col min="5" max="5" width="18" style="20" customWidth="1"/>
    <col min="6" max="6" width="94" style="21" customWidth="1"/>
    <col min="7" max="7" width="31.90625" style="23" customWidth="1"/>
    <col min="8" max="10" width="22.36328125" style="10" customWidth="1"/>
    <col min="11" max="11" width="52" style="10" customWidth="1"/>
    <col min="12" max="12" width="22.36328125" style="10" customWidth="1"/>
    <col min="13" max="13" width="42.90625" style="10" customWidth="1"/>
    <col min="14" max="14" width="34.6328125" style="10" customWidth="1"/>
    <col min="15" max="15" width="33.453125" style="10" customWidth="1"/>
    <col min="16" max="16" width="27.36328125" style="10" customWidth="1"/>
    <col min="17" max="17" width="30.54296875" style="10" customWidth="1"/>
    <col min="18" max="18" width="33.453125" style="10" customWidth="1"/>
    <col min="19" max="19" width="28.6328125" style="10" customWidth="1"/>
    <col min="20" max="24" width="22.36328125" style="10" customWidth="1"/>
    <col min="25" max="25" width="22.36328125" style="2" customWidth="1"/>
    <col min="26" max="16384" width="9.08984375" style="2"/>
  </cols>
  <sheetData>
    <row r="1" spans="1:25" s="54" customFormat="1" ht="103.5" customHeight="1" x14ac:dyDescent="0.35">
      <c r="B1" s="4"/>
      <c r="C1" s="58" t="s">
        <v>303</v>
      </c>
      <c r="D1" s="56" t="s">
        <v>296</v>
      </c>
      <c r="E1" s="56" t="s">
        <v>297</v>
      </c>
      <c r="F1" s="56" t="s">
        <v>298</v>
      </c>
      <c r="G1" s="56" t="s">
        <v>299</v>
      </c>
      <c r="H1" s="56" t="s">
        <v>300</v>
      </c>
      <c r="I1" s="56" t="s">
        <v>301</v>
      </c>
      <c r="J1" s="56" t="s">
        <v>302</v>
      </c>
      <c r="K1" s="56" t="s">
        <v>307</v>
      </c>
      <c r="L1" s="56" t="s">
        <v>308</v>
      </c>
      <c r="M1" s="56" t="s">
        <v>322</v>
      </c>
      <c r="N1" s="56" t="s">
        <v>323</v>
      </c>
      <c r="U1" s="55"/>
      <c r="V1" s="55"/>
      <c r="W1" s="55"/>
      <c r="X1" s="55"/>
    </row>
    <row r="2" spans="1:25" s="1" customFormat="1" ht="62.25" customHeight="1" x14ac:dyDescent="1">
      <c r="A2" s="51"/>
      <c r="B2" s="52"/>
      <c r="C2" s="57">
        <v>250</v>
      </c>
      <c r="D2" s="57">
        <v>50</v>
      </c>
      <c r="E2" s="57">
        <v>9.6</v>
      </c>
      <c r="F2" s="57">
        <v>2.5</v>
      </c>
      <c r="G2" s="57">
        <v>5</v>
      </c>
      <c r="H2" s="57">
        <v>5</v>
      </c>
      <c r="I2" s="57">
        <v>1</v>
      </c>
      <c r="J2" s="57">
        <v>2</v>
      </c>
      <c r="K2" s="1">
        <v>2</v>
      </c>
      <c r="L2" s="1">
        <v>0</v>
      </c>
      <c r="M2" s="1">
        <f>(D2+1)*2</f>
        <v>102</v>
      </c>
      <c r="N2" s="1">
        <f>D2*2</f>
        <v>100</v>
      </c>
      <c r="U2" s="53"/>
      <c r="V2" s="53"/>
      <c r="W2" s="53"/>
      <c r="X2" s="53"/>
      <c r="Y2" s="53"/>
    </row>
    <row r="3" spans="1:25" ht="16.5" customHeight="1" x14ac:dyDescent="0.35">
      <c r="A3" s="85">
        <v>1</v>
      </c>
      <c r="B3" s="73" t="s">
        <v>0</v>
      </c>
      <c r="C3" s="73" t="s">
        <v>1</v>
      </c>
      <c r="D3" s="73" t="s">
        <v>2</v>
      </c>
      <c r="E3" s="76">
        <v>0</v>
      </c>
      <c r="F3" s="73" t="s">
        <v>3</v>
      </c>
      <c r="G3" s="67"/>
      <c r="H3" s="62"/>
      <c r="I3" s="62"/>
      <c r="J3" s="62"/>
      <c r="K3" s="70" t="s">
        <v>306</v>
      </c>
      <c r="L3" s="59"/>
      <c r="M3" s="59"/>
      <c r="N3" s="82"/>
      <c r="O3" s="62"/>
      <c r="P3" s="62"/>
      <c r="Q3" s="62"/>
      <c r="R3" s="62"/>
      <c r="S3" s="62"/>
      <c r="T3" s="62"/>
      <c r="U3" s="62"/>
      <c r="V3" s="45"/>
      <c r="W3" s="45"/>
      <c r="X3" s="62"/>
      <c r="Y3" s="48"/>
    </row>
    <row r="4" spans="1:25" ht="16.5" customHeight="1" x14ac:dyDescent="0.35">
      <c r="A4" s="86"/>
      <c r="B4" s="74"/>
      <c r="C4" s="74"/>
      <c r="D4" s="74"/>
      <c r="E4" s="77"/>
      <c r="F4" s="74"/>
      <c r="G4" s="68"/>
      <c r="H4" s="63"/>
      <c r="I4" s="63"/>
      <c r="J4" s="63"/>
      <c r="K4" s="71"/>
      <c r="L4" s="60"/>
      <c r="M4" s="60"/>
      <c r="N4" s="83"/>
      <c r="O4" s="63"/>
      <c r="P4" s="63"/>
      <c r="Q4" s="63"/>
      <c r="R4" s="63"/>
      <c r="S4" s="63"/>
      <c r="T4" s="63"/>
      <c r="U4" s="63"/>
      <c r="V4" s="46"/>
      <c r="W4" s="46"/>
      <c r="X4" s="63"/>
      <c r="Y4" s="49"/>
    </row>
    <row r="5" spans="1:25" ht="16.5" customHeight="1" x14ac:dyDescent="0.35">
      <c r="A5" s="86"/>
      <c r="B5" s="74"/>
      <c r="C5" s="74"/>
      <c r="D5" s="74"/>
      <c r="E5" s="77"/>
      <c r="F5" s="74"/>
      <c r="G5" s="68"/>
      <c r="H5" s="63"/>
      <c r="I5" s="63"/>
      <c r="J5" s="63"/>
      <c r="K5" s="71"/>
      <c r="L5" s="60"/>
      <c r="M5" s="60"/>
      <c r="N5" s="83"/>
      <c r="O5" s="63"/>
      <c r="P5" s="63"/>
      <c r="Q5" s="63"/>
      <c r="R5" s="63"/>
      <c r="S5" s="63"/>
      <c r="T5" s="63"/>
      <c r="U5" s="63"/>
      <c r="V5" s="46"/>
      <c r="W5" s="46"/>
      <c r="X5" s="63"/>
      <c r="Y5" s="49"/>
    </row>
    <row r="6" spans="1:25" ht="16.5" customHeight="1" x14ac:dyDescent="0.35">
      <c r="A6" s="87"/>
      <c r="B6" s="75"/>
      <c r="C6" s="75"/>
      <c r="D6" s="75"/>
      <c r="E6" s="78"/>
      <c r="F6" s="75"/>
      <c r="G6" s="69"/>
      <c r="H6" s="64"/>
      <c r="I6" s="64"/>
      <c r="J6" s="64"/>
      <c r="K6" s="72"/>
      <c r="L6" s="61"/>
      <c r="M6" s="61"/>
      <c r="N6" s="84"/>
      <c r="O6" s="64"/>
      <c r="P6" s="64"/>
      <c r="Q6" s="64"/>
      <c r="R6" s="64"/>
      <c r="S6" s="64"/>
      <c r="T6" s="64"/>
      <c r="U6" s="64"/>
      <c r="V6" s="47"/>
      <c r="W6" s="47"/>
      <c r="X6" s="64"/>
      <c r="Y6" s="50"/>
    </row>
    <row r="7" spans="1:25" ht="61.25" customHeight="1" x14ac:dyDescent="0.35">
      <c r="A7" s="65">
        <v>3</v>
      </c>
      <c r="B7" s="66"/>
      <c r="C7" s="66"/>
      <c r="D7" s="66"/>
      <c r="E7" s="66"/>
      <c r="F7" s="66"/>
      <c r="G7" s="35" t="s">
        <v>4</v>
      </c>
      <c r="H7" s="33" t="s">
        <v>294</v>
      </c>
      <c r="I7" s="33" t="s">
        <v>295</v>
      </c>
      <c r="J7" s="33"/>
      <c r="K7" s="59" t="s">
        <v>4</v>
      </c>
      <c r="L7" s="59" t="s">
        <v>304</v>
      </c>
      <c r="M7" s="59" t="s">
        <v>305</v>
      </c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6"/>
    </row>
    <row r="8" spans="1:25" ht="61.25" customHeight="1" x14ac:dyDescent="0.35">
      <c r="A8" s="3">
        <v>3</v>
      </c>
      <c r="B8" s="4">
        <v>1</v>
      </c>
      <c r="C8" s="4"/>
      <c r="D8" s="5" t="s">
        <v>104</v>
      </c>
      <c r="E8" s="6" t="s">
        <v>106</v>
      </c>
      <c r="F8" s="7" t="s">
        <v>107</v>
      </c>
      <c r="G8" s="8">
        <f>(((C2/F2)+1)*2)+((C2/G2)+1)*(D2-1)+(D2*4)</f>
        <v>2901</v>
      </c>
      <c r="H8" s="9">
        <v>5.12</v>
      </c>
      <c r="I8" s="9">
        <f>G8*H8</f>
        <v>14853.12</v>
      </c>
      <c r="J8" s="9"/>
      <c r="K8" s="9">
        <f>K9+K10</f>
        <v>2901</v>
      </c>
      <c r="L8" s="9">
        <v>5.12</v>
      </c>
      <c r="M8" s="9">
        <f>L8*K8</f>
        <v>14853.12</v>
      </c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38">
        <f>SUM(H8:X8)-G8</f>
        <v>29716.480000000003</v>
      </c>
    </row>
    <row r="9" spans="1:25" ht="61.25" customHeight="1" x14ac:dyDescent="0.35">
      <c r="A9" s="3">
        <v>5</v>
      </c>
      <c r="B9" s="4">
        <v>3</v>
      </c>
      <c r="C9" s="4"/>
      <c r="D9" s="5" t="s">
        <v>108</v>
      </c>
      <c r="E9" s="6" t="s">
        <v>109</v>
      </c>
      <c r="F9" s="7" t="s">
        <v>110</v>
      </c>
      <c r="G9" s="8">
        <f>(((C2/F2)+1)*2)+((((C2/G2)+1))*(D2-1))</f>
        <v>2701</v>
      </c>
      <c r="H9" s="9">
        <v>24.34</v>
      </c>
      <c r="I9" s="9">
        <f t="shared" ref="I9:I11" si="0">G9*H9</f>
        <v>65742.34</v>
      </c>
      <c r="J9" s="9"/>
      <c r="K9" s="9">
        <f>(((C2/F2)+1)*K2)+((C2/G2)+1)*((D2+1)-K2)</f>
        <v>2701</v>
      </c>
      <c r="L9" s="9">
        <v>24.28</v>
      </c>
      <c r="M9" s="9">
        <f>K9*L9</f>
        <v>65580.28</v>
      </c>
      <c r="N9" s="9">
        <f>K9-M2</f>
        <v>2599</v>
      </c>
      <c r="O9" s="55"/>
      <c r="P9" s="55"/>
      <c r="Q9" s="55"/>
      <c r="R9" s="9"/>
      <c r="S9" s="9" t="s">
        <v>316</v>
      </c>
      <c r="T9" s="9" t="s">
        <v>317</v>
      </c>
      <c r="U9" s="9" t="s">
        <v>318</v>
      </c>
      <c r="V9" s="9"/>
      <c r="W9" s="9"/>
      <c r="X9" s="9"/>
      <c r="Y9" s="38">
        <f t="shared" ref="Y9:Y74" si="1">SUM(H9:X9)-G9</f>
        <v>133970.23999999999</v>
      </c>
    </row>
    <row r="10" spans="1:25" ht="61.25" customHeight="1" x14ac:dyDescent="0.35">
      <c r="A10" s="3">
        <v>6</v>
      </c>
      <c r="B10" s="4">
        <v>5</v>
      </c>
      <c r="C10" s="4"/>
      <c r="D10" s="4" t="s">
        <v>105</v>
      </c>
      <c r="E10" s="6" t="s">
        <v>111</v>
      </c>
      <c r="F10" s="7" t="s">
        <v>112</v>
      </c>
      <c r="G10" s="8">
        <f>D2*4</f>
        <v>200</v>
      </c>
      <c r="H10" s="9">
        <v>71.540000000000006</v>
      </c>
      <c r="I10" s="9">
        <f>G10*H10</f>
        <v>14308.000000000002</v>
      </c>
      <c r="J10" s="9"/>
      <c r="K10" s="9">
        <f>G10</f>
        <v>200</v>
      </c>
      <c r="L10" s="9">
        <v>71.540000000000006</v>
      </c>
      <c r="M10" s="9">
        <f>K10*L10</f>
        <v>14308.000000000002</v>
      </c>
      <c r="N10" s="9">
        <f>K10+M2</f>
        <v>302</v>
      </c>
      <c r="O10" s="9">
        <f>N10+N2</f>
        <v>402</v>
      </c>
      <c r="P10" s="55"/>
      <c r="Q10" s="55"/>
      <c r="R10" s="9" t="s">
        <v>309</v>
      </c>
      <c r="S10" s="9">
        <f>M9+M10+M18+M19+M33+M34+M35+M36+M37+M38+M49+M54+M56+M57+M58+M59+M68+M110+M8</f>
        <v>487886.9</v>
      </c>
      <c r="T10" s="9">
        <f>M11+M14+M15+M41+M42+M69+M70+M71+M72+M81+M82+M83+M84+M85+M86</f>
        <v>242970.44</v>
      </c>
      <c r="U10" s="9">
        <f>M20+M21+M22+M23+M24+M25+M26+M27+M28+M29+M30+M31+M32+M39+M40+M43+M44+M45+M46+M47+M48+M50+M51+M52+M53+M55+M60+M61+M62+M63+M64+M65+M67+M66+M109+M112+M78+M77+M76</f>
        <v>66905.343496503483</v>
      </c>
      <c r="V10" s="9"/>
      <c r="W10" s="9"/>
      <c r="X10" s="9"/>
      <c r="Y10" s="37">
        <f>SUM(H10:X10)-G10</f>
        <v>827225.76349650347</v>
      </c>
    </row>
    <row r="11" spans="1:25" s="10" customFormat="1" ht="61.25" customHeight="1" x14ac:dyDescent="0.35">
      <c r="A11" s="3">
        <v>7</v>
      </c>
      <c r="B11" s="4">
        <v>6</v>
      </c>
      <c r="C11" s="4"/>
      <c r="D11" s="5" t="s">
        <v>121</v>
      </c>
      <c r="E11" s="6" t="s">
        <v>122</v>
      </c>
      <c r="F11" s="7" t="s">
        <v>208</v>
      </c>
      <c r="G11" s="8">
        <f>((C2/G2)*(D2+1))</f>
        <v>2550</v>
      </c>
      <c r="H11" s="9">
        <v>38</v>
      </c>
      <c r="I11" s="9">
        <f t="shared" si="0"/>
        <v>96900</v>
      </c>
      <c r="J11" s="9"/>
      <c r="K11" s="9">
        <f>G11</f>
        <v>2550</v>
      </c>
      <c r="L11" s="9">
        <f>H11</f>
        <v>38</v>
      </c>
      <c r="M11" s="9">
        <f>K11*L11</f>
        <v>96900</v>
      </c>
      <c r="N11" s="55"/>
      <c r="O11" s="9"/>
      <c r="P11" s="55"/>
      <c r="Q11" s="55"/>
      <c r="R11" s="9"/>
      <c r="S11" s="9"/>
      <c r="T11" s="9"/>
      <c r="U11" s="9"/>
      <c r="V11" s="9"/>
      <c r="W11" s="9"/>
      <c r="X11" s="9"/>
      <c r="Y11" s="38">
        <f t="shared" si="1"/>
        <v>193876</v>
      </c>
    </row>
    <row r="12" spans="1:25" s="10" customFormat="1" ht="61.25" customHeight="1" x14ac:dyDescent="0.35">
      <c r="A12" s="3">
        <v>8</v>
      </c>
      <c r="B12" s="4">
        <v>7</v>
      </c>
      <c r="C12" s="4"/>
      <c r="D12" s="5" t="s">
        <v>206</v>
      </c>
      <c r="E12" s="6" t="s">
        <v>205</v>
      </c>
      <c r="F12" s="7" t="s">
        <v>207</v>
      </c>
      <c r="G12" s="8"/>
      <c r="H12" s="9"/>
      <c r="I12" s="9"/>
      <c r="J12" s="9"/>
      <c r="L12" s="9"/>
      <c r="M12" s="9"/>
      <c r="N12" s="55"/>
      <c r="O12" s="9"/>
      <c r="P12" s="55"/>
      <c r="Q12" s="55"/>
      <c r="R12" s="9" t="s">
        <v>310</v>
      </c>
      <c r="S12" s="9" t="s">
        <v>315</v>
      </c>
      <c r="T12" s="9"/>
      <c r="U12" s="9"/>
      <c r="V12" s="9"/>
      <c r="W12" s="9"/>
      <c r="X12" s="9"/>
      <c r="Y12" s="38">
        <f t="shared" si="1"/>
        <v>0</v>
      </c>
    </row>
    <row r="13" spans="1:25" s="10" customFormat="1" ht="61.25" customHeight="1" x14ac:dyDescent="0.35">
      <c r="A13" s="3"/>
      <c r="B13" s="4"/>
      <c r="C13" s="4"/>
      <c r="D13" s="5" t="s">
        <v>119</v>
      </c>
      <c r="E13" s="6" t="s">
        <v>120</v>
      </c>
      <c r="F13" s="7" t="s">
        <v>204</v>
      </c>
      <c r="G13" s="8"/>
      <c r="H13" s="9"/>
      <c r="I13" s="9"/>
      <c r="J13" s="9"/>
      <c r="K13" s="9"/>
      <c r="L13" s="9"/>
      <c r="M13" s="9"/>
      <c r="N13" s="55"/>
      <c r="O13" s="9"/>
      <c r="P13" s="55"/>
      <c r="Q13" s="55"/>
      <c r="R13" s="9"/>
      <c r="S13" s="9">
        <f>SUM(S10+T10+U10)</f>
        <v>797762.68349650363</v>
      </c>
      <c r="T13" s="9"/>
      <c r="U13" s="9"/>
      <c r="V13" s="9"/>
      <c r="W13" s="9"/>
      <c r="X13" s="9"/>
      <c r="Y13" s="38"/>
    </row>
    <row r="14" spans="1:25" ht="61.25" customHeight="1" x14ac:dyDescent="0.35">
      <c r="A14" s="3">
        <v>9</v>
      </c>
      <c r="B14" s="4">
        <v>89</v>
      </c>
      <c r="C14" s="4"/>
      <c r="D14" s="4" t="s">
        <v>116</v>
      </c>
      <c r="E14" s="11" t="s">
        <v>117</v>
      </c>
      <c r="F14" s="12" t="s">
        <v>118</v>
      </c>
      <c r="G14" s="8">
        <f>((((D2+1)*2)-2)*(C2/H2)+((4*D2))+(D2*4.5)+D2)</f>
        <v>5475</v>
      </c>
      <c r="H14" s="9">
        <v>4.2</v>
      </c>
      <c r="I14" s="9">
        <f>G14*H14</f>
        <v>22995</v>
      </c>
      <c r="J14" s="9"/>
      <c r="K14" s="9">
        <f>G14</f>
        <v>5475</v>
      </c>
      <c r="L14" s="9">
        <f>+H14</f>
        <v>4.2</v>
      </c>
      <c r="M14" s="9">
        <f>K14*L14</f>
        <v>22995</v>
      </c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38">
        <f t="shared" si="1"/>
        <v>45998.400000000001</v>
      </c>
    </row>
    <row r="15" spans="1:25" ht="61.25" customHeight="1" x14ac:dyDescent="0.35">
      <c r="A15" s="3">
        <v>37</v>
      </c>
      <c r="B15" s="4">
        <v>8</v>
      </c>
      <c r="C15" s="4"/>
      <c r="D15" s="5" t="s">
        <v>212</v>
      </c>
      <c r="E15" s="6" t="s">
        <v>213</v>
      </c>
      <c r="F15" s="7" t="s">
        <v>214</v>
      </c>
      <c r="G15" s="8">
        <f>(C2/G2)*(D2+1)</f>
        <v>2550</v>
      </c>
      <c r="H15" s="9">
        <v>4.28</v>
      </c>
      <c r="I15" s="9">
        <f>G15*H15</f>
        <v>10914</v>
      </c>
      <c r="J15" s="9"/>
      <c r="K15" s="9">
        <f>(C2/G2)*(D2+1)</f>
        <v>2550</v>
      </c>
      <c r="L15" s="9">
        <v>4.3</v>
      </c>
      <c r="M15" s="9">
        <f>K15*L15</f>
        <v>10965</v>
      </c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38">
        <f t="shared" si="1"/>
        <v>21887.58</v>
      </c>
    </row>
    <row r="16" spans="1:25" ht="61.25" customHeight="1" x14ac:dyDescent="0.35">
      <c r="A16" s="3"/>
      <c r="B16" s="4"/>
      <c r="C16" s="4"/>
      <c r="D16" s="41"/>
      <c r="E16" s="42"/>
      <c r="F16" s="7" t="s">
        <v>5</v>
      </c>
      <c r="G16" s="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37">
        <f t="shared" si="1"/>
        <v>0</v>
      </c>
    </row>
    <row r="17" spans="1:25" ht="61.25" customHeight="1" x14ac:dyDescent="0.35">
      <c r="A17" s="3"/>
      <c r="B17" s="4"/>
      <c r="C17" s="4"/>
      <c r="D17" s="41"/>
      <c r="E17" s="42"/>
      <c r="F17" s="7" t="s">
        <v>6</v>
      </c>
      <c r="G17" s="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37">
        <f t="shared" si="1"/>
        <v>0</v>
      </c>
    </row>
    <row r="18" spans="1:25" ht="61.25" customHeight="1" x14ac:dyDescent="0.35">
      <c r="A18" s="3">
        <v>10</v>
      </c>
      <c r="B18" s="4">
        <v>39</v>
      </c>
      <c r="C18" s="4"/>
      <c r="D18" s="5" t="s">
        <v>141</v>
      </c>
      <c r="E18" s="6" t="s">
        <v>142</v>
      </c>
      <c r="F18" s="7" t="s">
        <v>143</v>
      </c>
      <c r="G18" s="8">
        <f>ROUNDUP((C2/25),L2)*2*(D2-1)</f>
        <v>980</v>
      </c>
      <c r="H18" s="9">
        <v>7.8</v>
      </c>
      <c r="I18" s="9">
        <f t="shared" ref="I18:I46" si="2">G18*H18</f>
        <v>7644</v>
      </c>
      <c r="J18" s="9"/>
      <c r="K18" s="9">
        <f>ROUNDUP((C2/25),L2)*2*((D2+1)-K2)</f>
        <v>980</v>
      </c>
      <c r="L18" s="9">
        <v>7.8</v>
      </c>
      <c r="M18" s="9">
        <f t="shared" ref="M18:M47" si="3">K18*L18</f>
        <v>7644</v>
      </c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38">
        <f>SUM(H18:X18)-K18</f>
        <v>15303.599999999999</v>
      </c>
    </row>
    <row r="19" spans="1:25" ht="61.25" customHeight="1" x14ac:dyDescent="0.35">
      <c r="A19" s="3">
        <v>11</v>
      </c>
      <c r="B19" s="4">
        <v>38</v>
      </c>
      <c r="C19" s="4"/>
      <c r="D19" s="5" t="s">
        <v>144</v>
      </c>
      <c r="E19" s="6" t="s">
        <v>145</v>
      </c>
      <c r="F19" s="7" t="s">
        <v>146</v>
      </c>
      <c r="G19" s="8">
        <f>ROUNDUP((C2/25),0)*2*2</f>
        <v>40</v>
      </c>
      <c r="H19" s="9">
        <v>4.8</v>
      </c>
      <c r="I19" s="9">
        <f t="shared" si="2"/>
        <v>192</v>
      </c>
      <c r="J19" s="9"/>
      <c r="K19" s="9">
        <f>ROUNDUP((C2/25),0)*2*K2</f>
        <v>40</v>
      </c>
      <c r="L19" s="9">
        <v>4.8</v>
      </c>
      <c r="M19" s="9">
        <f t="shared" si="3"/>
        <v>192</v>
      </c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38">
        <f t="shared" si="1"/>
        <v>393.6</v>
      </c>
    </row>
    <row r="20" spans="1:25" ht="61.25" customHeight="1" x14ac:dyDescent="0.35">
      <c r="A20" s="3"/>
      <c r="B20" s="4"/>
      <c r="C20" s="4"/>
      <c r="D20" s="5"/>
      <c r="E20" s="6"/>
      <c r="F20" s="7" t="s">
        <v>284</v>
      </c>
      <c r="G20" s="8">
        <f>G18+G19</f>
        <v>1020</v>
      </c>
      <c r="H20" s="9">
        <v>0.3</v>
      </c>
      <c r="I20" s="9">
        <f t="shared" si="2"/>
        <v>306</v>
      </c>
      <c r="J20" s="9"/>
      <c r="K20" s="9">
        <f>K18+K19</f>
        <v>1020</v>
      </c>
      <c r="L20" s="9">
        <v>0.3</v>
      </c>
      <c r="M20" s="9">
        <f t="shared" si="3"/>
        <v>306</v>
      </c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38">
        <f t="shared" si="1"/>
        <v>612.59999999999991</v>
      </c>
    </row>
    <row r="21" spans="1:25" ht="61.25" customHeight="1" x14ac:dyDescent="0.35">
      <c r="A21" s="3"/>
      <c r="B21" s="4"/>
      <c r="C21" s="4"/>
      <c r="D21" s="5" t="s">
        <v>200</v>
      </c>
      <c r="E21" s="6" t="s">
        <v>157</v>
      </c>
      <c r="F21" s="7" t="s">
        <v>199</v>
      </c>
      <c r="G21" s="8">
        <f>((C2/G2))*(D2-1)</f>
        <v>2450</v>
      </c>
      <c r="H21" s="9">
        <v>0.41799999999999998</v>
      </c>
      <c r="I21" s="9">
        <f t="shared" si="2"/>
        <v>1024.0999999999999</v>
      </c>
      <c r="J21" s="9"/>
      <c r="K21" s="9">
        <f>(C2/G2)*((D2+1)-K2)</f>
        <v>2450</v>
      </c>
      <c r="L21" s="9">
        <v>0.41799999999999998</v>
      </c>
      <c r="M21" s="9">
        <f t="shared" si="3"/>
        <v>1024.0999999999999</v>
      </c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38">
        <f t="shared" si="1"/>
        <v>2049.0360000000001</v>
      </c>
    </row>
    <row r="22" spans="1:25" ht="61.25" customHeight="1" x14ac:dyDescent="0.35">
      <c r="A22" s="3"/>
      <c r="B22" s="4"/>
      <c r="C22" s="4"/>
      <c r="D22" s="5"/>
      <c r="E22" s="6"/>
      <c r="F22" s="7" t="s">
        <v>285</v>
      </c>
      <c r="G22" s="8">
        <f>D2+1</f>
        <v>51</v>
      </c>
      <c r="H22" s="9">
        <v>3.74</v>
      </c>
      <c r="I22" s="9">
        <f t="shared" si="2"/>
        <v>190.74</v>
      </c>
      <c r="J22" s="9"/>
      <c r="K22" s="9">
        <f>D2+1</f>
        <v>51</v>
      </c>
      <c r="L22" s="9">
        <v>3.74</v>
      </c>
      <c r="M22" s="9">
        <f t="shared" si="3"/>
        <v>190.74</v>
      </c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38">
        <f t="shared" si="1"/>
        <v>388.96000000000004</v>
      </c>
    </row>
    <row r="23" spans="1:25" s="10" customFormat="1" ht="61.25" customHeight="1" x14ac:dyDescent="0.35">
      <c r="A23" s="3">
        <v>15</v>
      </c>
      <c r="B23" s="4">
        <v>16</v>
      </c>
      <c r="C23" s="4"/>
      <c r="D23" s="5" t="s">
        <v>209</v>
      </c>
      <c r="E23" s="6" t="s">
        <v>210</v>
      </c>
      <c r="F23" s="7" t="s">
        <v>211</v>
      </c>
      <c r="G23" s="8">
        <f>D2+1</f>
        <v>51</v>
      </c>
      <c r="H23" s="9">
        <v>4.5999999999999996</v>
      </c>
      <c r="I23" s="9">
        <f t="shared" si="2"/>
        <v>234.6</v>
      </c>
      <c r="J23" s="9"/>
      <c r="K23" s="9">
        <f>D2+1</f>
        <v>51</v>
      </c>
      <c r="L23" s="9">
        <v>4.5999999999999996</v>
      </c>
      <c r="M23" s="9">
        <f t="shared" si="3"/>
        <v>234.6</v>
      </c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37">
        <f t="shared" si="1"/>
        <v>478.4</v>
      </c>
    </row>
    <row r="24" spans="1:25" ht="61.25" customHeight="1" x14ac:dyDescent="0.35">
      <c r="A24" s="3">
        <v>19</v>
      </c>
      <c r="B24" s="4">
        <v>11</v>
      </c>
      <c r="C24" s="4"/>
      <c r="D24" s="5" t="s">
        <v>156</v>
      </c>
      <c r="E24" s="6" t="s">
        <v>157</v>
      </c>
      <c r="F24" s="13" t="s">
        <v>158</v>
      </c>
      <c r="G24" s="8">
        <f>(((C2/F2)+1)*2)*(D2)</f>
        <v>10100</v>
      </c>
      <c r="H24" s="9">
        <v>0.28499999999999998</v>
      </c>
      <c r="I24" s="9">
        <f t="shared" si="2"/>
        <v>2878.4999999999995</v>
      </c>
      <c r="J24" s="9"/>
      <c r="K24" s="9">
        <f>(((C2/F2)+1)*2)*D2</f>
        <v>10100</v>
      </c>
      <c r="L24" s="9">
        <v>0.28499999999999998</v>
      </c>
      <c r="M24" s="9">
        <f t="shared" si="3"/>
        <v>2878.4999999999995</v>
      </c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38">
        <f t="shared" si="1"/>
        <v>5757.57</v>
      </c>
    </row>
    <row r="25" spans="1:25" ht="61.25" customHeight="1" x14ac:dyDescent="0.35">
      <c r="A25" s="3">
        <v>20</v>
      </c>
      <c r="B25" s="4">
        <v>12</v>
      </c>
      <c r="C25" s="4"/>
      <c r="D25" s="5" t="s">
        <v>159</v>
      </c>
      <c r="E25" s="6" t="s">
        <v>160</v>
      </c>
      <c r="F25" s="13" t="s">
        <v>161</v>
      </c>
      <c r="G25" s="8">
        <f>(((C2/F2)+1)*2)*(D2)</f>
        <v>10100</v>
      </c>
      <c r="H25" s="9">
        <v>0.28499999999999998</v>
      </c>
      <c r="I25" s="9">
        <f t="shared" si="2"/>
        <v>2878.4999999999995</v>
      </c>
      <c r="J25" s="9"/>
      <c r="K25" s="9">
        <f>(((C2/F2)+1)*2)*(D2)</f>
        <v>10100</v>
      </c>
      <c r="L25" s="9">
        <v>0.28499999999999998</v>
      </c>
      <c r="M25" s="9">
        <f t="shared" si="3"/>
        <v>2878.4999999999995</v>
      </c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38">
        <f t="shared" si="1"/>
        <v>5757.57</v>
      </c>
    </row>
    <row r="26" spans="1:25" ht="61.25" customHeight="1" x14ac:dyDescent="0.35">
      <c r="A26" s="3">
        <v>21</v>
      </c>
      <c r="B26" s="4">
        <v>15</v>
      </c>
      <c r="C26" s="4"/>
      <c r="D26" s="5" t="s">
        <v>162</v>
      </c>
      <c r="E26" s="6" t="s">
        <v>235</v>
      </c>
      <c r="F26" s="13" t="s">
        <v>234</v>
      </c>
      <c r="G26" s="8">
        <f>(((C2/F2)+1)*2)*(D2+1)</f>
        <v>10302</v>
      </c>
      <c r="H26" s="9">
        <v>0.52</v>
      </c>
      <c r="I26" s="9">
        <f t="shared" si="2"/>
        <v>5357.04</v>
      </c>
      <c r="J26" s="9"/>
      <c r="K26" s="9">
        <f>(((C2/F2)+1)*2)*(D2+1)</f>
        <v>10302</v>
      </c>
      <c r="L26" s="9">
        <v>0.52</v>
      </c>
      <c r="M26" s="9">
        <f t="shared" si="3"/>
        <v>5357.04</v>
      </c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38">
        <f t="shared" si="1"/>
        <v>10715.120000000003</v>
      </c>
    </row>
    <row r="27" spans="1:25" ht="61.25" customHeight="1" x14ac:dyDescent="0.35">
      <c r="A27" s="3">
        <v>22</v>
      </c>
      <c r="B27" s="4"/>
      <c r="C27" s="4"/>
      <c r="D27" s="5" t="s">
        <v>162</v>
      </c>
      <c r="E27" s="6" t="s">
        <v>163</v>
      </c>
      <c r="F27" s="13" t="s">
        <v>164</v>
      </c>
      <c r="G27" s="8">
        <f>(((C2/F2)-1)*2)*D2</f>
        <v>9900</v>
      </c>
      <c r="H27" s="9">
        <v>2.8000000000000001E-2</v>
      </c>
      <c r="I27" s="9">
        <f t="shared" si="2"/>
        <v>277.2</v>
      </c>
      <c r="J27" s="9"/>
      <c r="K27" s="9">
        <f>(((C2/F2)-1)*2)*D2</f>
        <v>9900</v>
      </c>
      <c r="L27" s="9">
        <v>2.8000000000000001E-2</v>
      </c>
      <c r="M27" s="9">
        <f t="shared" si="3"/>
        <v>277.2</v>
      </c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37">
        <f t="shared" si="1"/>
        <v>554.45600000000013</v>
      </c>
    </row>
    <row r="28" spans="1:25" ht="61.25" customHeight="1" x14ac:dyDescent="0.35">
      <c r="A28" s="3">
        <v>24</v>
      </c>
      <c r="B28" s="4">
        <v>19</v>
      </c>
      <c r="C28" s="4"/>
      <c r="D28" s="5" t="s">
        <v>231</v>
      </c>
      <c r="E28" s="6" t="s">
        <v>232</v>
      </c>
      <c r="F28" s="7" t="s">
        <v>230</v>
      </c>
      <c r="G28" s="8">
        <f>(((C2/F2)+1)*2)*D2</f>
        <v>10100</v>
      </c>
      <c r="H28" s="9">
        <v>0.52</v>
      </c>
      <c r="I28" s="9">
        <f t="shared" si="2"/>
        <v>5252</v>
      </c>
      <c r="J28" s="9"/>
      <c r="K28" s="9">
        <f>(((C2/F2)+1)*2)*D2</f>
        <v>10100</v>
      </c>
      <c r="L28" s="9">
        <v>0.52</v>
      </c>
      <c r="M28" s="9">
        <f t="shared" si="3"/>
        <v>5252</v>
      </c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38">
        <f t="shared" si="1"/>
        <v>10505.04</v>
      </c>
    </row>
    <row r="29" spans="1:25" ht="61.25" customHeight="1" x14ac:dyDescent="0.35">
      <c r="A29" s="3"/>
      <c r="B29" s="4"/>
      <c r="C29" s="4"/>
      <c r="D29" s="5" t="s">
        <v>252</v>
      </c>
      <c r="E29" s="6" t="s">
        <v>253</v>
      </c>
      <c r="F29" s="7" t="s">
        <v>254</v>
      </c>
      <c r="G29" s="8">
        <f>((((C2/F2)-1)*5)*2)+(((D2-1)*2)*5)+((((D2*4)*2)+(((D2+1)*2)*2)))*3</f>
        <v>3292</v>
      </c>
      <c r="H29" s="9">
        <v>0.11799999999999999</v>
      </c>
      <c r="I29" s="9">
        <f t="shared" si="2"/>
        <v>388.45599999999996</v>
      </c>
      <c r="J29" s="9"/>
      <c r="K29" s="9">
        <f>(K10*2)+(D2+1)*4</f>
        <v>604</v>
      </c>
      <c r="L29" s="9">
        <v>0.11799999999999999</v>
      </c>
      <c r="M29" s="9">
        <f t="shared" si="3"/>
        <v>71.271999999999991</v>
      </c>
      <c r="N29" s="9" t="s">
        <v>321</v>
      </c>
      <c r="O29" s="9"/>
      <c r="P29" s="9"/>
      <c r="Q29" s="9"/>
      <c r="R29" s="9"/>
      <c r="S29" s="9"/>
      <c r="T29" s="9"/>
      <c r="U29" s="9"/>
      <c r="V29" s="9"/>
      <c r="W29" s="9"/>
      <c r="X29" s="9"/>
      <c r="Y29" s="38">
        <f t="shared" si="1"/>
        <v>-2228.0360000000001</v>
      </c>
    </row>
    <row r="30" spans="1:25" s="14" customFormat="1" ht="60.75" customHeight="1" x14ac:dyDescent="0.35">
      <c r="A30" s="3">
        <v>27</v>
      </c>
      <c r="B30" s="4">
        <v>28</v>
      </c>
      <c r="C30" s="4"/>
      <c r="D30" s="5" t="s">
        <v>229</v>
      </c>
      <c r="E30" s="6" t="s">
        <v>233</v>
      </c>
      <c r="F30" s="7" t="s">
        <v>228</v>
      </c>
      <c r="G30" s="8">
        <f>(((C2/F2)-1)*4)*D2</f>
        <v>19800</v>
      </c>
      <c r="H30" s="9">
        <v>0.17599999999999999</v>
      </c>
      <c r="I30" s="9">
        <f t="shared" si="2"/>
        <v>3484.7999999999997</v>
      </c>
      <c r="J30" s="9"/>
      <c r="K30" s="9">
        <f>(((C2/F2)-1)*4)*D2</f>
        <v>19800</v>
      </c>
      <c r="L30" s="9">
        <v>0.17599999999999999</v>
      </c>
      <c r="M30" s="9">
        <f t="shared" si="3"/>
        <v>3484.7999999999997</v>
      </c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38">
        <f t="shared" si="1"/>
        <v>6969.9519999999975</v>
      </c>
    </row>
    <row r="31" spans="1:25" s="15" customFormat="1" ht="61.25" customHeight="1" x14ac:dyDescent="0.35">
      <c r="A31" s="3">
        <v>28</v>
      </c>
      <c r="B31" s="4">
        <v>29</v>
      </c>
      <c r="C31" s="4"/>
      <c r="D31" s="5" t="s">
        <v>226</v>
      </c>
      <c r="E31" s="6" t="s">
        <v>248</v>
      </c>
      <c r="F31" s="7" t="s">
        <v>227</v>
      </c>
      <c r="G31" s="8">
        <f>(((C2/F2)-1)*3)*D2</f>
        <v>14850</v>
      </c>
      <c r="H31" s="9">
        <v>0.1</v>
      </c>
      <c r="I31" s="9">
        <f t="shared" si="2"/>
        <v>1485</v>
      </c>
      <c r="J31" s="9"/>
      <c r="K31" s="9">
        <f>(((C2/F2)-1)*3)*D2</f>
        <v>14850</v>
      </c>
      <c r="L31" s="9">
        <v>0.1</v>
      </c>
      <c r="M31" s="9">
        <f t="shared" si="3"/>
        <v>1485</v>
      </c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37">
        <f t="shared" si="1"/>
        <v>2970.2000000000007</v>
      </c>
    </row>
    <row r="32" spans="1:25" s="14" customFormat="1" ht="61.25" customHeight="1" x14ac:dyDescent="0.35">
      <c r="A32" s="3">
        <v>29</v>
      </c>
      <c r="B32" s="4">
        <v>30</v>
      </c>
      <c r="C32" s="4"/>
      <c r="D32" s="5" t="s">
        <v>168</v>
      </c>
      <c r="E32" s="6" t="s">
        <v>169</v>
      </c>
      <c r="F32" s="7" t="s">
        <v>170</v>
      </c>
      <c r="G32" s="8">
        <f>D2*4</f>
        <v>200</v>
      </c>
      <c r="H32" s="9">
        <v>0.192</v>
      </c>
      <c r="I32" s="9">
        <f t="shared" si="2"/>
        <v>38.4</v>
      </c>
      <c r="J32" s="9"/>
      <c r="K32" s="9">
        <f>D2*4</f>
        <v>200</v>
      </c>
      <c r="L32" s="9">
        <v>0.192</v>
      </c>
      <c r="M32" s="9">
        <f t="shared" si="3"/>
        <v>38.4</v>
      </c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38">
        <f t="shared" si="1"/>
        <v>77.183999999999969</v>
      </c>
    </row>
    <row r="33" spans="1:25" ht="61.25" customHeight="1" x14ac:dyDescent="0.35">
      <c r="A33" s="3">
        <v>30</v>
      </c>
      <c r="B33" s="4">
        <v>18</v>
      </c>
      <c r="C33" s="4"/>
      <c r="D33" s="5" t="s">
        <v>221</v>
      </c>
      <c r="E33" s="6" t="s">
        <v>8</v>
      </c>
      <c r="F33" s="7" t="s">
        <v>222</v>
      </c>
      <c r="G33" s="8">
        <f>(((C2/F2)+1)*2)*D2</f>
        <v>10100</v>
      </c>
      <c r="H33" s="9">
        <v>11.6</v>
      </c>
      <c r="I33" s="9">
        <f t="shared" si="2"/>
        <v>117160</v>
      </c>
      <c r="J33" s="9"/>
      <c r="K33" s="9">
        <f>(((C2/F2)+1)*2)*D2</f>
        <v>10100</v>
      </c>
      <c r="L33" s="9">
        <v>11.6</v>
      </c>
      <c r="M33" s="9">
        <f t="shared" si="3"/>
        <v>117160</v>
      </c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38">
        <f t="shared" si="1"/>
        <v>234343.2</v>
      </c>
    </row>
    <row r="34" spans="1:25" ht="61.25" customHeight="1" x14ac:dyDescent="0.35">
      <c r="A34" s="3">
        <v>31</v>
      </c>
      <c r="B34" s="4">
        <v>20</v>
      </c>
      <c r="C34" s="4"/>
      <c r="D34" s="5" t="s">
        <v>223</v>
      </c>
      <c r="E34" s="6" t="s">
        <v>224</v>
      </c>
      <c r="F34" s="7" t="s">
        <v>225</v>
      </c>
      <c r="G34" s="8">
        <f>((C2/F2)-1)*D2</f>
        <v>4950</v>
      </c>
      <c r="H34" s="9">
        <v>13.45</v>
      </c>
      <c r="I34" s="9">
        <f t="shared" si="2"/>
        <v>66577.5</v>
      </c>
      <c r="J34" s="9"/>
      <c r="K34" s="9">
        <f>(((C2/F2)-1)*D2)</f>
        <v>4950</v>
      </c>
      <c r="L34" s="9">
        <v>13.45</v>
      </c>
      <c r="M34" s="9">
        <f t="shared" si="3"/>
        <v>66577.5</v>
      </c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38">
        <f t="shared" si="1"/>
        <v>133181.9</v>
      </c>
    </row>
    <row r="35" spans="1:25" ht="61.25" customHeight="1" x14ac:dyDescent="0.35">
      <c r="A35" s="3">
        <v>32</v>
      </c>
      <c r="B35" s="4">
        <v>21</v>
      </c>
      <c r="C35" s="4"/>
      <c r="D35" s="5" t="s">
        <v>129</v>
      </c>
      <c r="E35" s="6" t="s">
        <v>130</v>
      </c>
      <c r="F35" s="7" t="s">
        <v>131</v>
      </c>
      <c r="G35" s="8">
        <f>(((C2/F2)-1)*2)*D2</f>
        <v>9900</v>
      </c>
      <c r="H35" s="9">
        <v>1.8</v>
      </c>
      <c r="I35" s="9">
        <f t="shared" si="2"/>
        <v>17820</v>
      </c>
      <c r="J35" s="9"/>
      <c r="K35" s="9">
        <f>(((C2/F2)-1)*2)*D2</f>
        <v>9900</v>
      </c>
      <c r="L35" s="9">
        <v>1.8</v>
      </c>
      <c r="M35" s="9">
        <f t="shared" si="3"/>
        <v>17820</v>
      </c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38">
        <f t="shared" si="1"/>
        <v>35643.599999999999</v>
      </c>
    </row>
    <row r="36" spans="1:25" ht="61.25" customHeight="1" x14ac:dyDescent="0.35">
      <c r="A36" s="3">
        <v>33</v>
      </c>
      <c r="B36" s="4">
        <v>22</v>
      </c>
      <c r="C36" s="4"/>
      <c r="D36" s="5" t="s">
        <v>132</v>
      </c>
      <c r="E36" s="6" t="s">
        <v>133</v>
      </c>
      <c r="F36" s="7" t="s">
        <v>134</v>
      </c>
      <c r="G36" s="8">
        <f>(((C2/F2)-1)*2)*D2</f>
        <v>9900</v>
      </c>
      <c r="H36" s="9">
        <v>2.37</v>
      </c>
      <c r="I36" s="9">
        <f t="shared" si="2"/>
        <v>23463</v>
      </c>
      <c r="J36" s="9"/>
      <c r="K36" s="9">
        <f>(((C2/F2)-1)*2)*D2</f>
        <v>9900</v>
      </c>
      <c r="L36" s="9">
        <v>2.37</v>
      </c>
      <c r="M36" s="9">
        <f t="shared" si="3"/>
        <v>23463</v>
      </c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38">
        <f t="shared" si="1"/>
        <v>46930.74</v>
      </c>
    </row>
    <row r="37" spans="1:25" ht="61.25" customHeight="1" x14ac:dyDescent="0.35">
      <c r="A37" s="3">
        <v>34</v>
      </c>
      <c r="B37" s="4">
        <v>23</v>
      </c>
      <c r="C37" s="4"/>
      <c r="D37" s="5" t="s">
        <v>136</v>
      </c>
      <c r="E37" s="6" t="s">
        <v>137</v>
      </c>
      <c r="F37" s="7" t="s">
        <v>135</v>
      </c>
      <c r="G37" s="8">
        <f>(((C2/F2)-1)*D2*3)+(((C2/G2)-1)*D2*2)</f>
        <v>19750</v>
      </c>
      <c r="H37" s="9">
        <v>3.1</v>
      </c>
      <c r="I37" s="9">
        <f t="shared" si="2"/>
        <v>61225</v>
      </c>
      <c r="J37" s="9"/>
      <c r="K37" s="9">
        <f>(((C2/F2)-1)*D2*3)+(((C2/G2)-1)*D2*2)</f>
        <v>19750</v>
      </c>
      <c r="L37" s="9">
        <v>3.1</v>
      </c>
      <c r="M37" s="9">
        <f t="shared" si="3"/>
        <v>61225</v>
      </c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38">
        <f t="shared" si="1"/>
        <v>122456.20000000001</v>
      </c>
    </row>
    <row r="38" spans="1:25" ht="61.25" customHeight="1" x14ac:dyDescent="0.35">
      <c r="A38" s="3">
        <v>35</v>
      </c>
      <c r="B38" s="4">
        <v>46</v>
      </c>
      <c r="C38" s="4"/>
      <c r="D38" s="5" t="s">
        <v>138</v>
      </c>
      <c r="E38" s="6" t="s">
        <v>139</v>
      </c>
      <c r="F38" s="7" t="s">
        <v>140</v>
      </c>
      <c r="G38" s="8">
        <f>ROUNDDOWN(C2/25,L2)*6*D2+ROUNDDOWN(C2/25,L2)*4*D2</f>
        <v>5000</v>
      </c>
      <c r="H38" s="9">
        <v>3.22</v>
      </c>
      <c r="I38" s="9">
        <f t="shared" si="2"/>
        <v>16100.000000000002</v>
      </c>
      <c r="J38" s="9"/>
      <c r="K38" s="9">
        <f>ROUNDUP(C2/25,L2)*6*D2+ROUNDUP(C2/25,L2)*4*D2</f>
        <v>5000</v>
      </c>
      <c r="L38" s="9">
        <v>3.22</v>
      </c>
      <c r="M38" s="9">
        <f t="shared" si="3"/>
        <v>16100.000000000002</v>
      </c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38">
        <f t="shared" si="1"/>
        <v>32206.440000000002</v>
      </c>
    </row>
    <row r="39" spans="1:25" ht="61.25" customHeight="1" x14ac:dyDescent="0.35">
      <c r="A39" s="3">
        <v>36</v>
      </c>
      <c r="B39" s="4">
        <v>67</v>
      </c>
      <c r="C39" s="4"/>
      <c r="D39" s="4" t="s">
        <v>244</v>
      </c>
      <c r="E39" s="11" t="s">
        <v>243</v>
      </c>
      <c r="F39" s="12" t="s">
        <v>242</v>
      </c>
      <c r="G39" s="8">
        <f>(((C2/F2)+1)*2)*D2</f>
        <v>10100</v>
      </c>
      <c r="H39" s="9">
        <v>0.121</v>
      </c>
      <c r="I39" s="9">
        <f t="shared" si="2"/>
        <v>1222.0999999999999</v>
      </c>
      <c r="J39" s="9"/>
      <c r="K39" s="9">
        <f>(((C2/F2)+1)*2)*D2</f>
        <v>10100</v>
      </c>
      <c r="L39" s="9">
        <v>0.121</v>
      </c>
      <c r="M39" s="9">
        <f t="shared" si="3"/>
        <v>1222.0999999999999</v>
      </c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38">
        <f t="shared" si="1"/>
        <v>2444.4419999999991</v>
      </c>
    </row>
    <row r="40" spans="1:25" ht="61.25" customHeight="1" x14ac:dyDescent="0.35">
      <c r="A40" s="3">
        <v>38</v>
      </c>
      <c r="B40" s="4">
        <v>48</v>
      </c>
      <c r="C40" s="4"/>
      <c r="D40" s="5" t="s">
        <v>249</v>
      </c>
      <c r="E40" s="6" t="s">
        <v>250</v>
      </c>
      <c r="F40" s="7" t="s">
        <v>251</v>
      </c>
      <c r="G40" s="8">
        <f>ROUNDDOWN(C2/25,L2)*8*D2</f>
        <v>4000</v>
      </c>
      <c r="H40" s="9">
        <v>0.14000000000000001</v>
      </c>
      <c r="I40" s="9">
        <f t="shared" si="2"/>
        <v>560</v>
      </c>
      <c r="J40" s="9"/>
      <c r="K40" s="9">
        <f>ROUNDUP(C2/25,L2)*8*D2</f>
        <v>4000</v>
      </c>
      <c r="L40" s="9">
        <v>0.14000000000000001</v>
      </c>
      <c r="M40" s="9">
        <f t="shared" si="3"/>
        <v>560</v>
      </c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38">
        <f t="shared" si="1"/>
        <v>1120.2800000000007</v>
      </c>
    </row>
    <row r="41" spans="1:25" ht="61.25" customHeight="1" x14ac:dyDescent="0.35">
      <c r="A41" s="3">
        <v>40</v>
      </c>
      <c r="B41" s="4">
        <v>25</v>
      </c>
      <c r="C41" s="4"/>
      <c r="D41" s="5" t="s">
        <v>123</v>
      </c>
      <c r="E41" s="6" t="s">
        <v>124</v>
      </c>
      <c r="F41" s="7" t="s">
        <v>125</v>
      </c>
      <c r="G41" s="8">
        <f>((C2/G2)*D2)</f>
        <v>2500</v>
      </c>
      <c r="H41" s="9">
        <v>9.1999999999999993</v>
      </c>
      <c r="I41" s="9">
        <f t="shared" si="2"/>
        <v>23000</v>
      </c>
      <c r="J41" s="9"/>
      <c r="K41" s="9">
        <f>((C2/G2)*D2)</f>
        <v>2500</v>
      </c>
      <c r="L41" s="9">
        <v>9.1999999999999993</v>
      </c>
      <c r="M41" s="9">
        <f t="shared" si="3"/>
        <v>23000</v>
      </c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37">
        <f t="shared" si="1"/>
        <v>46018.400000000001</v>
      </c>
    </row>
    <row r="42" spans="1:25" ht="61.25" customHeight="1" x14ac:dyDescent="0.35">
      <c r="A42" s="3">
        <v>41</v>
      </c>
      <c r="B42" s="4">
        <v>64</v>
      </c>
      <c r="C42" s="4"/>
      <c r="D42" s="4" t="s">
        <v>113</v>
      </c>
      <c r="E42" s="11" t="s">
        <v>114</v>
      </c>
      <c r="F42" s="12" t="s">
        <v>115</v>
      </c>
      <c r="G42" s="8">
        <f>(C2/G2)*D2*4</f>
        <v>10000</v>
      </c>
      <c r="H42" s="9">
        <v>7.28</v>
      </c>
      <c r="I42" s="9">
        <f t="shared" si="2"/>
        <v>72800</v>
      </c>
      <c r="J42" s="9"/>
      <c r="K42" s="9">
        <f>(C2/G2)*D2*4</f>
        <v>10000</v>
      </c>
      <c r="L42" s="9">
        <v>7.28</v>
      </c>
      <c r="M42" s="9">
        <f t="shared" si="3"/>
        <v>72800</v>
      </c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38">
        <f t="shared" si="1"/>
        <v>145614.56</v>
      </c>
    </row>
    <row r="43" spans="1:25" ht="61.25" customHeight="1" x14ac:dyDescent="0.35">
      <c r="A43" s="3"/>
      <c r="B43" s="4"/>
      <c r="C43" s="4"/>
      <c r="D43" s="4" t="s">
        <v>267</v>
      </c>
      <c r="E43" s="11" t="s">
        <v>268</v>
      </c>
      <c r="F43" s="12" t="s">
        <v>269</v>
      </c>
      <c r="G43" s="8">
        <v>20</v>
      </c>
      <c r="H43" s="9">
        <v>0.13</v>
      </c>
      <c r="I43" s="9">
        <f t="shared" si="2"/>
        <v>2.6</v>
      </c>
      <c r="J43" s="9"/>
      <c r="K43" s="9">
        <v>20</v>
      </c>
      <c r="L43" s="9">
        <v>0.13</v>
      </c>
      <c r="M43" s="9">
        <f t="shared" si="3"/>
        <v>2.6</v>
      </c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38">
        <f t="shared" si="1"/>
        <v>5.4600000000000009</v>
      </c>
    </row>
    <row r="44" spans="1:25" ht="60.75" customHeight="1" x14ac:dyDescent="0.35">
      <c r="A44" s="3">
        <v>42</v>
      </c>
      <c r="B44" s="4"/>
      <c r="C44" s="4"/>
      <c r="D44" s="5" t="s">
        <v>255</v>
      </c>
      <c r="E44" s="6" t="s">
        <v>257</v>
      </c>
      <c r="F44" s="31" t="s">
        <v>256</v>
      </c>
      <c r="G44" s="8">
        <f>((C2/G2)+1)*D2</f>
        <v>2550</v>
      </c>
      <c r="H44" s="9">
        <v>0.114</v>
      </c>
      <c r="I44" s="9">
        <f t="shared" si="2"/>
        <v>290.7</v>
      </c>
      <c r="J44" s="9"/>
      <c r="K44" s="9">
        <f>((C2/G2)+1)*D2</f>
        <v>2550</v>
      </c>
      <c r="L44" s="9">
        <v>0.114</v>
      </c>
      <c r="M44" s="9">
        <f t="shared" si="3"/>
        <v>290.7</v>
      </c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38">
        <f t="shared" si="1"/>
        <v>581.6279999999997</v>
      </c>
    </row>
    <row r="45" spans="1:25" ht="61.25" customHeight="1" x14ac:dyDescent="0.35">
      <c r="A45" s="3">
        <v>43</v>
      </c>
      <c r="B45" s="4"/>
      <c r="C45" s="4"/>
      <c r="D45" s="5" t="s">
        <v>185</v>
      </c>
      <c r="E45" s="6" t="s">
        <v>186</v>
      </c>
      <c r="F45" s="32" t="s">
        <v>187</v>
      </c>
      <c r="G45" s="8">
        <f>((C2/G2)+1)*D2*4+((C2/F2)+1)*10</f>
        <v>11210</v>
      </c>
      <c r="H45" s="9">
        <v>0.114</v>
      </c>
      <c r="I45" s="9">
        <f t="shared" si="2"/>
        <v>1277.94</v>
      </c>
      <c r="J45" s="9"/>
      <c r="K45" s="9">
        <f>((((C2/G2)+1)*4)*D2)+((((C2/G2)+1)*5)*K2)+((E2*D2)/6.4)*2+((E2*D2)/7.8)*2+((E2*D2)/4.4)*2</f>
        <v>11201.258741258742</v>
      </c>
      <c r="L45" s="9">
        <v>0.114</v>
      </c>
      <c r="M45" s="9">
        <f t="shared" si="3"/>
        <v>1276.9434965034966</v>
      </c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38">
        <f t="shared" si="1"/>
        <v>2546.3702377622376</v>
      </c>
    </row>
    <row r="46" spans="1:25" s="14" customFormat="1" ht="61.25" customHeight="1" x14ac:dyDescent="0.35">
      <c r="A46" s="3">
        <v>45</v>
      </c>
      <c r="B46" s="4">
        <v>26</v>
      </c>
      <c r="C46" s="4"/>
      <c r="D46" s="5" t="s">
        <v>126</v>
      </c>
      <c r="E46" s="11" t="s">
        <v>127</v>
      </c>
      <c r="F46" s="16" t="s">
        <v>128</v>
      </c>
      <c r="G46" s="8">
        <f>((C2/F2)-1)*10+(28*D2)+20</f>
        <v>2410</v>
      </c>
      <c r="H46" s="9">
        <v>6.8000000000000005E-2</v>
      </c>
      <c r="I46" s="9">
        <f t="shared" si="2"/>
        <v>163.88000000000002</v>
      </c>
      <c r="J46" s="9"/>
      <c r="K46" s="9">
        <f>(((C2/F2)*5)*K2)+((D2*E2)/3.2)*10+(D2*8)</f>
        <v>2900</v>
      </c>
      <c r="L46" s="9">
        <v>6.8000000000000005E-2</v>
      </c>
      <c r="M46" s="9">
        <f t="shared" si="3"/>
        <v>197.20000000000002</v>
      </c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37">
        <f t="shared" si="1"/>
        <v>851.21599999999989</v>
      </c>
    </row>
    <row r="47" spans="1:25" ht="61.25" customHeight="1" x14ac:dyDescent="0.35">
      <c r="A47" s="3">
        <v>46</v>
      </c>
      <c r="B47" s="4">
        <v>113</v>
      </c>
      <c r="C47" s="4"/>
      <c r="D47" s="4" t="s">
        <v>171</v>
      </c>
      <c r="E47" s="11" t="s">
        <v>172</v>
      </c>
      <c r="F47" s="12" t="s">
        <v>173</v>
      </c>
      <c r="G47" s="8">
        <f>(G28/2)+G39+G49+G53</f>
        <v>30600</v>
      </c>
      <c r="H47" s="9">
        <v>5.3999999999999999E-2</v>
      </c>
      <c r="I47" s="9">
        <f t="shared" ref="I47:I56" si="4">G47*H47</f>
        <v>1652.4</v>
      </c>
      <c r="J47" s="9"/>
      <c r="K47" s="9">
        <f>((((C2/F2)+1)*2)*D2)+((((C2/F2)+3)*2)*D2)+(((C2/F2)+3)*D2)+(((C2/F2)+1)*D2)+((C2/5)*2)*D2+(D2*8)</f>
        <v>36000</v>
      </c>
      <c r="L47" s="9">
        <v>5.3999999999999999E-2</v>
      </c>
      <c r="M47" s="9">
        <f t="shared" si="3"/>
        <v>1944</v>
      </c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37">
        <f t="shared" si="1"/>
        <v>8996.5079999999944</v>
      </c>
    </row>
    <row r="48" spans="1:25" s="14" customFormat="1" ht="61.25" customHeight="1" x14ac:dyDescent="0.35">
      <c r="A48" s="3">
        <v>49</v>
      </c>
      <c r="B48" s="4">
        <v>24</v>
      </c>
      <c r="C48" s="4"/>
      <c r="D48" s="5" t="s">
        <v>261</v>
      </c>
      <c r="E48" s="6" t="s">
        <v>262</v>
      </c>
      <c r="F48" s="7" t="s">
        <v>263</v>
      </c>
      <c r="G48" s="8">
        <f>(((G18+G19)*2)*2)+(((C2/G2)-1)*2)*(D2+1)</f>
        <v>9078</v>
      </c>
      <c r="H48" s="9">
        <v>0.124</v>
      </c>
      <c r="I48" s="9">
        <f t="shared" si="4"/>
        <v>1125.672</v>
      </c>
      <c r="J48" s="9"/>
      <c r="K48" s="9">
        <f>((K18+K19)*4)+((C2/G2)-1)*2*(D2+1)</f>
        <v>9078</v>
      </c>
      <c r="L48" s="9">
        <v>0.124</v>
      </c>
      <c r="M48" s="9">
        <f t="shared" ref="M48:M56" si="5">K48*L48</f>
        <v>1125.672</v>
      </c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38">
        <f t="shared" si="1"/>
        <v>2251.5920000000006</v>
      </c>
    </row>
    <row r="49" spans="1:25" ht="61.25" customHeight="1" x14ac:dyDescent="0.35">
      <c r="A49" s="3">
        <v>53</v>
      </c>
      <c r="B49" s="4">
        <v>111</v>
      </c>
      <c r="C49" s="4"/>
      <c r="D49" s="4" t="s">
        <v>188</v>
      </c>
      <c r="E49" s="11" t="s">
        <v>189</v>
      </c>
      <c r="F49" s="12" t="s">
        <v>190</v>
      </c>
      <c r="G49" s="8">
        <f>(((C2/F2)+3)*2)*D2</f>
        <v>10300</v>
      </c>
      <c r="H49" s="9">
        <v>2.97</v>
      </c>
      <c r="I49" s="9">
        <f t="shared" si="4"/>
        <v>30591.000000000004</v>
      </c>
      <c r="J49" s="9"/>
      <c r="K49" s="9">
        <f>(((C2/F2)+3)*2)*D2</f>
        <v>10300</v>
      </c>
      <c r="L49" s="9">
        <v>2.97</v>
      </c>
      <c r="M49" s="9">
        <f t="shared" si="5"/>
        <v>30591.000000000004</v>
      </c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37">
        <f t="shared" si="1"/>
        <v>61187.94</v>
      </c>
    </row>
    <row r="50" spans="1:25" ht="61.25" customHeight="1" x14ac:dyDescent="0.35">
      <c r="A50" s="3">
        <v>54</v>
      </c>
      <c r="B50" s="4">
        <v>110</v>
      </c>
      <c r="C50" s="4"/>
      <c r="D50" s="4" t="s">
        <v>241</v>
      </c>
      <c r="E50" s="11" t="s">
        <v>240</v>
      </c>
      <c r="F50" s="7" t="s">
        <v>239</v>
      </c>
      <c r="G50" s="8">
        <f>+G49</f>
        <v>10300</v>
      </c>
      <c r="H50" s="9">
        <v>0.11</v>
      </c>
      <c r="I50" s="9">
        <f t="shared" si="4"/>
        <v>1133</v>
      </c>
      <c r="J50" s="9"/>
      <c r="K50" s="9">
        <f>+K49</f>
        <v>10300</v>
      </c>
      <c r="L50" s="9">
        <v>0.11</v>
      </c>
      <c r="M50" s="9">
        <f t="shared" si="5"/>
        <v>1133</v>
      </c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38">
        <f t="shared" si="1"/>
        <v>2266.2200000000012</v>
      </c>
    </row>
    <row r="51" spans="1:25" ht="61.25" customHeight="1" x14ac:dyDescent="0.35">
      <c r="A51" s="3">
        <v>55</v>
      </c>
      <c r="B51" s="4">
        <v>114</v>
      </c>
      <c r="C51" s="4"/>
      <c r="D51" s="4" t="s">
        <v>246</v>
      </c>
      <c r="E51" s="11" t="s">
        <v>247</v>
      </c>
      <c r="F51" s="12" t="s">
        <v>245</v>
      </c>
      <c r="G51" s="8">
        <f>(((C2/F2)+1)*2)*D2</f>
        <v>10100</v>
      </c>
      <c r="H51" s="9">
        <v>0.106</v>
      </c>
      <c r="I51" s="9">
        <f t="shared" si="4"/>
        <v>1070.5999999999999</v>
      </c>
      <c r="J51" s="9"/>
      <c r="K51" s="9">
        <f>(((C2/F2)+1)*2)*D2</f>
        <v>10100</v>
      </c>
      <c r="L51" s="9">
        <v>0.106</v>
      </c>
      <c r="M51" s="9">
        <f t="shared" si="5"/>
        <v>1070.5999999999999</v>
      </c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38">
        <f t="shared" si="1"/>
        <v>2141.4120000000003</v>
      </c>
    </row>
    <row r="52" spans="1:25" ht="61.25" customHeight="1" x14ac:dyDescent="0.35">
      <c r="A52" s="3"/>
      <c r="B52" s="4"/>
      <c r="C52" s="4"/>
      <c r="D52" s="4" t="s">
        <v>266</v>
      </c>
      <c r="E52" s="11" t="s">
        <v>265</v>
      </c>
      <c r="F52" s="12" t="s">
        <v>264</v>
      </c>
      <c r="G52" s="8">
        <f>ROUNDDOWN(C2/25,L2)*8*D2</f>
        <v>4000</v>
      </c>
      <c r="H52" s="9">
        <v>0.11799999999999999</v>
      </c>
      <c r="I52" s="9">
        <f t="shared" si="4"/>
        <v>472</v>
      </c>
      <c r="J52" s="9"/>
      <c r="K52" s="9">
        <f>ROUNDUP(C2/25,L2)*8*D2</f>
        <v>4000</v>
      </c>
      <c r="L52" s="9">
        <v>0.11799999999999999</v>
      </c>
      <c r="M52" s="9">
        <f t="shared" si="5"/>
        <v>472</v>
      </c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38">
        <f t="shared" si="1"/>
        <v>944.23600000000079</v>
      </c>
    </row>
    <row r="53" spans="1:25" ht="61.25" customHeight="1" x14ac:dyDescent="0.35">
      <c r="A53" s="3">
        <v>56</v>
      </c>
      <c r="B53" s="4">
        <v>112</v>
      </c>
      <c r="C53" s="4"/>
      <c r="D53" s="4" t="s">
        <v>238</v>
      </c>
      <c r="E53" s="11" t="s">
        <v>237</v>
      </c>
      <c r="F53" s="12" t="s">
        <v>236</v>
      </c>
      <c r="G53" s="8">
        <f>((C2/F2)+3)*D2</f>
        <v>5150</v>
      </c>
      <c r="H53" s="9">
        <v>0.82</v>
      </c>
      <c r="I53" s="9">
        <f t="shared" si="4"/>
        <v>4223</v>
      </c>
      <c r="J53" s="9"/>
      <c r="K53" s="9">
        <f>((C2/F2)+3)*D2</f>
        <v>5150</v>
      </c>
      <c r="L53" s="9">
        <v>0.82</v>
      </c>
      <c r="M53" s="9">
        <f t="shared" si="5"/>
        <v>4223</v>
      </c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37">
        <f t="shared" si="1"/>
        <v>8447.64</v>
      </c>
    </row>
    <row r="54" spans="1:25" ht="60.75" customHeight="1" x14ac:dyDescent="0.35">
      <c r="A54" s="3">
        <v>57</v>
      </c>
      <c r="B54" s="4">
        <v>106</v>
      </c>
      <c r="C54" s="4"/>
      <c r="D54" s="4" t="s">
        <v>153</v>
      </c>
      <c r="E54" s="11" t="s">
        <v>154</v>
      </c>
      <c r="F54" s="12" t="s">
        <v>155</v>
      </c>
      <c r="G54" s="8">
        <f>((C2/10)*2)*D2</f>
        <v>2500</v>
      </c>
      <c r="H54" s="9">
        <v>17.559999999999999</v>
      </c>
      <c r="I54" s="9">
        <f t="shared" si="4"/>
        <v>43900</v>
      </c>
      <c r="J54" s="9"/>
      <c r="K54" s="9">
        <f>((C2/10)*2)*D2</f>
        <v>2500</v>
      </c>
      <c r="L54" s="9">
        <v>17.559999999999999</v>
      </c>
      <c r="M54" s="9">
        <f t="shared" si="5"/>
        <v>43900</v>
      </c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37">
        <f t="shared" si="1"/>
        <v>87835.12</v>
      </c>
    </row>
    <row r="55" spans="1:25" ht="61.25" customHeight="1" x14ac:dyDescent="0.35">
      <c r="A55" s="3">
        <v>58</v>
      </c>
      <c r="B55" s="4">
        <v>107</v>
      </c>
      <c r="C55" s="4"/>
      <c r="D55" s="4" t="s">
        <v>174</v>
      </c>
      <c r="E55" s="11" t="s">
        <v>175</v>
      </c>
      <c r="F55" s="12" t="s">
        <v>176</v>
      </c>
      <c r="G55" s="8">
        <f>((C2/10)-1)*D2*2</f>
        <v>2400</v>
      </c>
      <c r="H55" s="9">
        <v>0.436</v>
      </c>
      <c r="I55" s="9">
        <f t="shared" si="4"/>
        <v>1046.4000000000001</v>
      </c>
      <c r="J55" s="9"/>
      <c r="K55" s="9">
        <f>((C2/10)-1)*D2*2</f>
        <v>2400</v>
      </c>
      <c r="L55" s="9">
        <v>0.436</v>
      </c>
      <c r="M55" s="9">
        <f t="shared" si="5"/>
        <v>1046.4000000000001</v>
      </c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38">
        <f t="shared" si="1"/>
        <v>2093.6720000000005</v>
      </c>
    </row>
    <row r="56" spans="1:25" ht="61.25" customHeight="1" x14ac:dyDescent="0.35">
      <c r="A56" s="3"/>
      <c r="B56" s="4"/>
      <c r="C56" s="4"/>
      <c r="D56" s="4" t="s">
        <v>201</v>
      </c>
      <c r="E56" s="11" t="s">
        <v>202</v>
      </c>
      <c r="F56" s="12" t="s">
        <v>203</v>
      </c>
      <c r="G56" s="8">
        <f>D2*2</f>
        <v>100</v>
      </c>
      <c r="H56" s="9">
        <v>41.67</v>
      </c>
      <c r="I56" s="9">
        <f t="shared" si="4"/>
        <v>4167</v>
      </c>
      <c r="J56" s="9"/>
      <c r="K56" s="9">
        <f>D2*2</f>
        <v>100</v>
      </c>
      <c r="L56" s="9">
        <v>41.67</v>
      </c>
      <c r="M56" s="9">
        <f t="shared" si="5"/>
        <v>4167</v>
      </c>
      <c r="N56" s="9" t="s">
        <v>309</v>
      </c>
      <c r="O56" s="9"/>
      <c r="P56" s="9"/>
      <c r="Q56" s="9"/>
      <c r="R56" s="9"/>
      <c r="S56" s="9"/>
      <c r="T56" s="9"/>
      <c r="U56" s="9"/>
      <c r="V56" s="9"/>
      <c r="W56" s="9"/>
      <c r="X56" s="9"/>
      <c r="Y56" s="38">
        <f t="shared" si="1"/>
        <v>8417.34</v>
      </c>
    </row>
    <row r="57" spans="1:25" ht="61.25" customHeight="1" x14ac:dyDescent="0.35">
      <c r="A57" s="3">
        <v>71</v>
      </c>
      <c r="B57" s="4">
        <v>49</v>
      </c>
      <c r="C57" s="4"/>
      <c r="D57" s="5" t="s">
        <v>212</v>
      </c>
      <c r="E57" s="39"/>
      <c r="F57" s="7" t="s">
        <v>286</v>
      </c>
      <c r="G57" s="8">
        <f>D2*4</f>
        <v>200</v>
      </c>
      <c r="H57" s="9"/>
      <c r="I57" s="9"/>
      <c r="J57" s="9"/>
      <c r="K57" s="9">
        <f>D2*4</f>
        <v>200</v>
      </c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38">
        <f t="shared" si="1"/>
        <v>0</v>
      </c>
    </row>
    <row r="58" spans="1:25" ht="61.25" customHeight="1" x14ac:dyDescent="0.35">
      <c r="A58" s="3">
        <v>72</v>
      </c>
      <c r="B58" s="4">
        <v>43</v>
      </c>
      <c r="C58" s="4"/>
      <c r="D58" s="5" t="s">
        <v>150</v>
      </c>
      <c r="E58" s="6" t="s">
        <v>151</v>
      </c>
      <c r="F58" s="7" t="s">
        <v>152</v>
      </c>
      <c r="G58" s="8">
        <f>D2*4</f>
        <v>200</v>
      </c>
      <c r="H58" s="9">
        <v>8.42</v>
      </c>
      <c r="I58" s="9">
        <f t="shared" ref="I58:I72" si="6">G58*H58</f>
        <v>1684</v>
      </c>
      <c r="J58" s="9"/>
      <c r="K58" s="9">
        <f>D2*4</f>
        <v>200</v>
      </c>
      <c r="L58" s="9">
        <v>8.42</v>
      </c>
      <c r="M58" s="9">
        <f t="shared" ref="M58:M72" si="7">K58*L58</f>
        <v>1684</v>
      </c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38">
        <f t="shared" si="1"/>
        <v>3384.84</v>
      </c>
    </row>
    <row r="59" spans="1:25" ht="61.25" customHeight="1" x14ac:dyDescent="0.35">
      <c r="A59" s="3">
        <v>74</v>
      </c>
      <c r="B59" s="4">
        <v>45</v>
      </c>
      <c r="C59" s="4"/>
      <c r="D59" s="5" t="s">
        <v>147</v>
      </c>
      <c r="E59" s="6" t="s">
        <v>148</v>
      </c>
      <c r="F59" s="7" t="s">
        <v>149</v>
      </c>
      <c r="G59" s="8">
        <f>D2*4</f>
        <v>200</v>
      </c>
      <c r="H59" s="9">
        <v>7.44</v>
      </c>
      <c r="I59" s="9">
        <f t="shared" si="6"/>
        <v>1488</v>
      </c>
      <c r="J59" s="9"/>
      <c r="K59" s="9">
        <f>D2*4</f>
        <v>200</v>
      </c>
      <c r="L59" s="9">
        <v>7.44</v>
      </c>
      <c r="M59" s="9">
        <f t="shared" si="7"/>
        <v>1488</v>
      </c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38">
        <f t="shared" si="1"/>
        <v>2990.88</v>
      </c>
    </row>
    <row r="60" spans="1:25" ht="61.25" customHeight="1" x14ac:dyDescent="0.35">
      <c r="A60" s="3">
        <v>79</v>
      </c>
      <c r="B60" s="4">
        <v>50</v>
      </c>
      <c r="C60" s="4"/>
      <c r="D60" s="5" t="s">
        <v>165</v>
      </c>
      <c r="E60" s="6" t="s">
        <v>166</v>
      </c>
      <c r="F60" s="7" t="s">
        <v>167</v>
      </c>
      <c r="G60" s="8">
        <f>(((C2/F2)+1)*5)*K2+50</f>
        <v>1060</v>
      </c>
      <c r="H60" s="9">
        <v>0.17799999999999999</v>
      </c>
      <c r="I60" s="9">
        <f t="shared" si="6"/>
        <v>188.67999999999998</v>
      </c>
      <c r="J60" s="9"/>
      <c r="K60" s="9">
        <f>((((C2/F2)+1)*10)+((D2-1)*2)*5)-K43</f>
        <v>1480</v>
      </c>
      <c r="L60" s="9">
        <v>0.17799999999999999</v>
      </c>
      <c r="M60" s="9">
        <f t="shared" si="7"/>
        <v>263.44</v>
      </c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38">
        <f t="shared" si="1"/>
        <v>872.47600000000011</v>
      </c>
    </row>
    <row r="61" spans="1:25" ht="61.25" customHeight="1" x14ac:dyDescent="0.35">
      <c r="A61" s="3">
        <v>80</v>
      </c>
      <c r="B61" s="4">
        <v>51</v>
      </c>
      <c r="C61" s="4"/>
      <c r="D61" s="4" t="s">
        <v>258</v>
      </c>
      <c r="E61" s="17" t="s">
        <v>259</v>
      </c>
      <c r="F61" s="18" t="s">
        <v>260</v>
      </c>
      <c r="G61" s="8">
        <f>(D2*4)*11+((D2+1)*2)</f>
        <v>2302</v>
      </c>
      <c r="H61" s="9">
        <v>0.25600000000000001</v>
      </c>
      <c r="I61" s="9">
        <f t="shared" si="6"/>
        <v>589.31200000000001</v>
      </c>
      <c r="J61" s="9"/>
      <c r="K61" s="9">
        <f>(D2*4)*11+((D2+1)*3)*2</f>
        <v>2506</v>
      </c>
      <c r="L61" s="9">
        <v>0.25600000000000001</v>
      </c>
      <c r="M61" s="9">
        <f t="shared" si="7"/>
        <v>641.53600000000006</v>
      </c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38">
        <f t="shared" si="1"/>
        <v>1435.3600000000001</v>
      </c>
    </row>
    <row r="62" spans="1:25" ht="61.25" customHeight="1" x14ac:dyDescent="0.35">
      <c r="A62" s="3">
        <v>81</v>
      </c>
      <c r="B62" s="4">
        <v>52</v>
      </c>
      <c r="C62" s="4"/>
      <c r="D62" s="4" t="s">
        <v>198</v>
      </c>
      <c r="E62" s="17" t="s">
        <v>197</v>
      </c>
      <c r="F62" s="18" t="s">
        <v>12</v>
      </c>
      <c r="G62" s="8">
        <f>(((D2*E2)*2)/3.2)+4</f>
        <v>304</v>
      </c>
      <c r="H62" s="9">
        <v>0.75</v>
      </c>
      <c r="I62" s="9">
        <f t="shared" si="6"/>
        <v>228</v>
      </c>
      <c r="J62" s="9"/>
      <c r="K62" s="9">
        <f>(((D2*E2)*2)/3.2)+2</f>
        <v>302</v>
      </c>
      <c r="L62" s="9">
        <v>0.75</v>
      </c>
      <c r="M62" s="9">
        <f t="shared" si="7"/>
        <v>226.5</v>
      </c>
      <c r="N62" s="9" t="s">
        <v>309</v>
      </c>
      <c r="O62" s="9"/>
      <c r="P62" s="9"/>
      <c r="Q62" s="9"/>
      <c r="R62" s="9"/>
      <c r="S62" s="9"/>
      <c r="T62" s="9"/>
      <c r="U62" s="9"/>
      <c r="V62" s="9"/>
      <c r="W62" s="9"/>
      <c r="X62" s="9"/>
      <c r="Y62" s="37">
        <f t="shared" si="1"/>
        <v>454</v>
      </c>
    </row>
    <row r="63" spans="1:25" ht="61.25" customHeight="1" x14ac:dyDescent="0.35">
      <c r="A63" s="3">
        <v>82</v>
      </c>
      <c r="B63" s="4">
        <v>58</v>
      </c>
      <c r="C63" s="4"/>
      <c r="D63" s="5" t="s">
        <v>276</v>
      </c>
      <c r="E63" s="6" t="s">
        <v>177</v>
      </c>
      <c r="F63" s="7" t="s">
        <v>178</v>
      </c>
      <c r="G63" s="8">
        <f>D2*4</f>
        <v>200</v>
      </c>
      <c r="H63" s="9">
        <v>1.2</v>
      </c>
      <c r="I63" s="9">
        <f t="shared" si="6"/>
        <v>240</v>
      </c>
      <c r="J63" s="9"/>
      <c r="K63" s="9">
        <f>D2*4</f>
        <v>200</v>
      </c>
      <c r="L63" s="9">
        <v>1.2</v>
      </c>
      <c r="M63" s="9">
        <f t="shared" si="7"/>
        <v>240</v>
      </c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38">
        <f t="shared" si="1"/>
        <v>482.4</v>
      </c>
    </row>
    <row r="64" spans="1:25" ht="61.25" customHeight="1" x14ac:dyDescent="0.35">
      <c r="A64" s="3"/>
      <c r="B64" s="4"/>
      <c r="C64" s="4"/>
      <c r="D64" s="40" t="s">
        <v>272</v>
      </c>
      <c r="E64" s="6" t="s">
        <v>271</v>
      </c>
      <c r="F64" s="7" t="s">
        <v>270</v>
      </c>
      <c r="G64" s="8">
        <f>(D2*2)</f>
        <v>100</v>
      </c>
      <c r="H64" s="9">
        <v>0.8</v>
      </c>
      <c r="I64" s="9">
        <f t="shared" si="6"/>
        <v>80</v>
      </c>
      <c r="J64" s="9"/>
      <c r="K64" s="9">
        <f>D2*2</f>
        <v>100</v>
      </c>
      <c r="L64" s="9">
        <v>0.8</v>
      </c>
      <c r="M64" s="9">
        <f t="shared" si="7"/>
        <v>80</v>
      </c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38">
        <f t="shared" si="1"/>
        <v>161.60000000000002</v>
      </c>
    </row>
    <row r="65" spans="1:25" ht="61.25" customHeight="1" x14ac:dyDescent="0.35">
      <c r="A65" s="3"/>
      <c r="B65" s="4"/>
      <c r="C65" s="4"/>
      <c r="D65" s="5" t="s">
        <v>273</v>
      </c>
      <c r="E65" s="6" t="s">
        <v>274</v>
      </c>
      <c r="F65" s="7" t="s">
        <v>275</v>
      </c>
      <c r="G65" s="8">
        <f>D2*2</f>
        <v>100</v>
      </c>
      <c r="H65" s="9">
        <v>0.8</v>
      </c>
      <c r="I65" s="9">
        <f t="shared" si="6"/>
        <v>80</v>
      </c>
      <c r="J65" s="9"/>
      <c r="K65" s="9">
        <f>D2*2</f>
        <v>100</v>
      </c>
      <c r="L65" s="9">
        <v>0.8</v>
      </c>
      <c r="M65" s="9">
        <f t="shared" si="7"/>
        <v>80</v>
      </c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38">
        <f t="shared" si="1"/>
        <v>161.60000000000002</v>
      </c>
    </row>
    <row r="66" spans="1:25" ht="61.25" customHeight="1" x14ac:dyDescent="0.35">
      <c r="A66" s="3">
        <v>87</v>
      </c>
      <c r="B66" s="4">
        <v>104</v>
      </c>
      <c r="C66" s="4"/>
      <c r="D66" s="4" t="s">
        <v>179</v>
      </c>
      <c r="E66" s="11" t="s">
        <v>180</v>
      </c>
      <c r="F66" s="12" t="s">
        <v>181</v>
      </c>
      <c r="G66" s="8">
        <f>D2*12</f>
        <v>600</v>
      </c>
      <c r="H66" s="9">
        <v>0.10199999999999999</v>
      </c>
      <c r="I66" s="9">
        <f t="shared" si="6"/>
        <v>61.199999999999996</v>
      </c>
      <c r="J66" s="9"/>
      <c r="K66" s="9">
        <f>D2*12</f>
        <v>600</v>
      </c>
      <c r="L66" s="9">
        <v>0.10199999999999999</v>
      </c>
      <c r="M66" s="9">
        <f t="shared" si="7"/>
        <v>61.199999999999996</v>
      </c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38">
        <f t="shared" si="1"/>
        <v>122.60400000000004</v>
      </c>
    </row>
    <row r="67" spans="1:25" ht="61.25" customHeight="1" x14ac:dyDescent="0.35">
      <c r="A67" s="3">
        <v>88</v>
      </c>
      <c r="B67" s="4">
        <v>105</v>
      </c>
      <c r="C67" s="4"/>
      <c r="D67" s="4" t="s">
        <v>182</v>
      </c>
      <c r="E67" s="11" t="s">
        <v>183</v>
      </c>
      <c r="F67" s="12" t="s">
        <v>184</v>
      </c>
      <c r="G67" s="8">
        <f>D2*12</f>
        <v>600</v>
      </c>
      <c r="H67" s="9">
        <v>0.152</v>
      </c>
      <c r="I67" s="9">
        <f t="shared" si="6"/>
        <v>91.2</v>
      </c>
      <c r="J67" s="9"/>
      <c r="K67" s="9">
        <f>D2*12</f>
        <v>600</v>
      </c>
      <c r="L67" s="9">
        <v>0.152</v>
      </c>
      <c r="M67" s="9">
        <f t="shared" si="7"/>
        <v>91.2</v>
      </c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38">
        <f t="shared" si="1"/>
        <v>182.70400000000006</v>
      </c>
    </row>
    <row r="68" spans="1:25" ht="61.25" customHeight="1" x14ac:dyDescent="0.35">
      <c r="A68" s="3">
        <v>92</v>
      </c>
      <c r="B68" s="4">
        <v>99</v>
      </c>
      <c r="C68" s="4"/>
      <c r="D68" s="43"/>
      <c r="E68" s="44"/>
      <c r="F68" s="12" t="s">
        <v>14</v>
      </c>
      <c r="G68" s="8">
        <f>D2*6</f>
        <v>300</v>
      </c>
      <c r="H68" s="9">
        <v>3.78</v>
      </c>
      <c r="I68" s="9">
        <f t="shared" si="6"/>
        <v>1134</v>
      </c>
      <c r="J68" s="9"/>
      <c r="K68" s="9">
        <f>D2*6</f>
        <v>300</v>
      </c>
      <c r="L68" s="9">
        <v>3.78</v>
      </c>
      <c r="M68" s="9">
        <f t="shared" si="7"/>
        <v>1134</v>
      </c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37">
        <f t="shared" si="1"/>
        <v>2275.56</v>
      </c>
    </row>
    <row r="69" spans="1:25" ht="60.75" customHeight="1" x14ac:dyDescent="0.35">
      <c r="A69" s="3">
        <v>100</v>
      </c>
      <c r="B69" s="4">
        <v>76</v>
      </c>
      <c r="C69" s="4"/>
      <c r="D69" s="4" t="s">
        <v>191</v>
      </c>
      <c r="E69" s="11" t="s">
        <v>192</v>
      </c>
      <c r="F69" s="12" t="s">
        <v>215</v>
      </c>
      <c r="G69" s="8">
        <f>((C2/5)*5)*K2</f>
        <v>500</v>
      </c>
      <c r="H69" s="9">
        <v>5.9</v>
      </c>
      <c r="I69" s="9">
        <f t="shared" si="6"/>
        <v>2950</v>
      </c>
      <c r="J69" s="9"/>
      <c r="K69" s="9">
        <f>((C2/G2)*5)*K2</f>
        <v>500</v>
      </c>
      <c r="L69" s="9">
        <v>5.9</v>
      </c>
      <c r="M69" s="9">
        <f t="shared" si="7"/>
        <v>2950</v>
      </c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37">
        <f t="shared" si="1"/>
        <v>5911.8</v>
      </c>
    </row>
    <row r="70" spans="1:25" ht="61.25" customHeight="1" x14ac:dyDescent="0.35">
      <c r="A70" s="3">
        <v>101</v>
      </c>
      <c r="B70" s="4">
        <v>84</v>
      </c>
      <c r="C70" s="4"/>
      <c r="D70" s="4" t="s">
        <v>193</v>
      </c>
      <c r="E70" s="11" t="s">
        <v>194</v>
      </c>
      <c r="F70" s="12" t="s">
        <v>216</v>
      </c>
      <c r="G70" s="8">
        <f>((D2*E2)/6.4)*5*2</f>
        <v>750</v>
      </c>
      <c r="H70" s="9">
        <v>7.54</v>
      </c>
      <c r="I70" s="9">
        <f t="shared" si="6"/>
        <v>5655</v>
      </c>
      <c r="J70" s="9"/>
      <c r="K70" s="9">
        <f>((D2*E2)/6.4)*10</f>
        <v>750</v>
      </c>
      <c r="L70" s="9">
        <v>7.54</v>
      </c>
      <c r="M70" s="9">
        <f t="shared" si="7"/>
        <v>5655</v>
      </c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37">
        <f t="shared" si="1"/>
        <v>11325.08</v>
      </c>
    </row>
    <row r="71" spans="1:25" ht="61.25" customHeight="1" x14ac:dyDescent="0.35">
      <c r="A71" s="3"/>
      <c r="B71" s="4"/>
      <c r="C71" s="4"/>
      <c r="D71" s="4" t="s">
        <v>195</v>
      </c>
      <c r="E71" s="11" t="s">
        <v>217</v>
      </c>
      <c r="F71" s="12" t="s">
        <v>219</v>
      </c>
      <c r="G71" s="8">
        <f>D2*2</f>
        <v>100</v>
      </c>
      <c r="H71" s="9">
        <v>9.19</v>
      </c>
      <c r="I71" s="9">
        <f t="shared" si="6"/>
        <v>919</v>
      </c>
      <c r="J71" s="9"/>
      <c r="K71" s="9">
        <f>D2*2</f>
        <v>100</v>
      </c>
      <c r="L71" s="9">
        <v>9.1999999999999993</v>
      </c>
      <c r="M71" s="9">
        <f t="shared" si="7"/>
        <v>919.99999999999989</v>
      </c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37">
        <f t="shared" si="1"/>
        <v>1857.3899999999999</v>
      </c>
    </row>
    <row r="72" spans="1:25" ht="61.25" customHeight="1" x14ac:dyDescent="0.35">
      <c r="A72" s="3"/>
      <c r="B72" s="4"/>
      <c r="C72" s="4"/>
      <c r="D72" s="4" t="s">
        <v>196</v>
      </c>
      <c r="E72" s="11" t="s">
        <v>218</v>
      </c>
      <c r="F72" s="12" t="s">
        <v>220</v>
      </c>
      <c r="G72" s="8">
        <f>D2*2</f>
        <v>100</v>
      </c>
      <c r="H72" s="9">
        <v>5.18</v>
      </c>
      <c r="I72" s="9">
        <f t="shared" si="6"/>
        <v>518</v>
      </c>
      <c r="J72" s="9"/>
      <c r="K72" s="9">
        <f>D2*2</f>
        <v>100</v>
      </c>
      <c r="L72" s="9">
        <v>5.18</v>
      </c>
      <c r="M72" s="9">
        <f t="shared" si="7"/>
        <v>518</v>
      </c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37">
        <f t="shared" si="1"/>
        <v>1046.3599999999999</v>
      </c>
    </row>
    <row r="73" spans="1:25" ht="61.25" customHeight="1" x14ac:dyDescent="0.35">
      <c r="A73" s="3">
        <v>112</v>
      </c>
      <c r="B73" s="4">
        <v>88</v>
      </c>
      <c r="C73" s="4"/>
      <c r="D73" s="43"/>
      <c r="E73" s="44"/>
      <c r="F73" s="12" t="s">
        <v>21</v>
      </c>
      <c r="G73" s="8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37">
        <f t="shared" si="1"/>
        <v>0</v>
      </c>
    </row>
    <row r="74" spans="1:25" ht="61.25" customHeight="1" x14ac:dyDescent="0.35">
      <c r="A74" s="3">
        <v>113</v>
      </c>
      <c r="B74" s="4">
        <v>74</v>
      </c>
      <c r="C74" s="4"/>
      <c r="D74" s="43"/>
      <c r="E74" s="44"/>
      <c r="F74" s="12" t="s">
        <v>22</v>
      </c>
      <c r="G74" s="8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37">
        <f t="shared" si="1"/>
        <v>0</v>
      </c>
    </row>
    <row r="75" spans="1:25" ht="61.5" customHeight="1" x14ac:dyDescent="0.35">
      <c r="A75" s="79" t="s">
        <v>79</v>
      </c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1"/>
    </row>
    <row r="76" spans="1:25" ht="61.5" customHeight="1" x14ac:dyDescent="0.35">
      <c r="A76" s="3">
        <v>59</v>
      </c>
      <c r="B76" s="4">
        <v>117</v>
      </c>
      <c r="C76" s="4"/>
      <c r="D76" s="43"/>
      <c r="E76" s="44"/>
      <c r="F76" s="12" t="s">
        <v>9</v>
      </c>
      <c r="G76" s="8">
        <f>((C2/F2)+1)*2*D2</f>
        <v>10100</v>
      </c>
      <c r="H76" s="9">
        <v>1.82</v>
      </c>
      <c r="I76" s="9">
        <f>G76*H76</f>
        <v>18382</v>
      </c>
      <c r="J76" s="9"/>
      <c r="K76" s="9">
        <f>(((C2/F2)+1)*2)*D2</f>
        <v>10100</v>
      </c>
      <c r="L76" s="9">
        <v>1.82</v>
      </c>
      <c r="M76" s="9">
        <f>K76*L76</f>
        <v>18382</v>
      </c>
      <c r="N76" s="9" t="s">
        <v>311</v>
      </c>
      <c r="O76" s="9"/>
      <c r="P76" s="9"/>
      <c r="Q76" s="9"/>
      <c r="R76" s="9"/>
      <c r="S76" s="9"/>
      <c r="T76" s="9"/>
      <c r="U76" s="9"/>
      <c r="V76" s="9"/>
      <c r="W76" s="9"/>
      <c r="X76" s="9"/>
      <c r="Y76" s="38">
        <f>SUM(H76:X76)-G76</f>
        <v>36767.64</v>
      </c>
    </row>
    <row r="77" spans="1:25" ht="61.5" customHeight="1" x14ac:dyDescent="0.35">
      <c r="A77" s="3">
        <v>60</v>
      </c>
      <c r="B77" s="4">
        <v>118</v>
      </c>
      <c r="C77" s="4"/>
      <c r="D77" s="43"/>
      <c r="E77" s="44"/>
      <c r="F77" s="12" t="s">
        <v>10</v>
      </c>
      <c r="G77" s="8">
        <f>G76</f>
        <v>10100</v>
      </c>
      <c r="H77" s="9">
        <v>0.48</v>
      </c>
      <c r="I77" s="9">
        <f>G77*H77</f>
        <v>4848</v>
      </c>
      <c r="J77" s="9"/>
      <c r="K77" s="9">
        <f>(((C2/F2)+1)*2)*D2</f>
        <v>10100</v>
      </c>
      <c r="L77" s="9">
        <v>0.48</v>
      </c>
      <c r="M77" s="9">
        <f>K77*L77</f>
        <v>4848</v>
      </c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38">
        <f t="shared" ref="Y77:Y79" si="8">SUM(H77:X77)-G77</f>
        <v>9696.9599999999991</v>
      </c>
    </row>
    <row r="78" spans="1:25" ht="61.5" customHeight="1" x14ac:dyDescent="0.35">
      <c r="A78" s="3">
        <v>25</v>
      </c>
      <c r="B78" s="4">
        <v>108</v>
      </c>
      <c r="C78" s="4"/>
      <c r="D78" s="43"/>
      <c r="E78" s="44"/>
      <c r="F78" s="12" t="s">
        <v>277</v>
      </c>
      <c r="G78" s="8">
        <f>(((C2/F2)+1)*2)*D2</f>
        <v>10100</v>
      </c>
      <c r="H78" s="9">
        <v>0.39100000000000001</v>
      </c>
      <c r="I78" s="9">
        <f>G78*H78</f>
        <v>3949.1000000000004</v>
      </c>
      <c r="J78" s="9"/>
      <c r="K78" s="9">
        <f>(((C2/F2)+1)*2)*D2</f>
        <v>10100</v>
      </c>
      <c r="L78" s="9">
        <v>0.39100000000000001</v>
      </c>
      <c r="M78" s="9">
        <f>K78*L78</f>
        <v>3949.1000000000004</v>
      </c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38">
        <f t="shared" si="8"/>
        <v>7898.982</v>
      </c>
    </row>
    <row r="79" spans="1:25" ht="61.5" customHeight="1" x14ac:dyDescent="0.35">
      <c r="A79" s="3">
        <v>61</v>
      </c>
      <c r="B79" s="4">
        <v>123</v>
      </c>
      <c r="C79" s="4"/>
      <c r="D79" s="43"/>
      <c r="E79" s="44"/>
      <c r="F79" s="12" t="s">
        <v>11</v>
      </c>
      <c r="G79" s="8">
        <f>D2*2</f>
        <v>100</v>
      </c>
      <c r="H79" s="9">
        <v>23.9</v>
      </c>
      <c r="I79" s="9">
        <f>G79*H79</f>
        <v>2390</v>
      </c>
      <c r="J79" s="9"/>
      <c r="K79" s="9">
        <f>D2*2</f>
        <v>100</v>
      </c>
      <c r="L79" s="9">
        <v>23.9</v>
      </c>
      <c r="M79" s="9">
        <f>K79*L79</f>
        <v>2390</v>
      </c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38">
        <f t="shared" si="8"/>
        <v>4827.8</v>
      </c>
    </row>
    <row r="80" spans="1:25" ht="61.5" customHeight="1" x14ac:dyDescent="0.35">
      <c r="A80" s="79" t="s">
        <v>80</v>
      </c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1"/>
    </row>
    <row r="81" spans="1:25" ht="61.5" customHeight="1" x14ac:dyDescent="0.35">
      <c r="A81" s="3">
        <v>131</v>
      </c>
      <c r="B81" s="4">
        <v>35</v>
      </c>
      <c r="C81" s="4"/>
      <c r="D81" s="41"/>
      <c r="E81" s="42"/>
      <c r="F81" s="7" t="s">
        <v>280</v>
      </c>
      <c r="G81" s="8">
        <f>D2*4</f>
        <v>200</v>
      </c>
      <c r="H81" s="9">
        <v>1.26</v>
      </c>
      <c r="I81" s="9">
        <f>G81*H81</f>
        <v>252</v>
      </c>
      <c r="J81" s="9"/>
      <c r="K81" s="9">
        <f>D2*4</f>
        <v>200</v>
      </c>
      <c r="L81" s="9">
        <v>1.26</v>
      </c>
      <c r="M81" s="9">
        <f>K81*L81</f>
        <v>252</v>
      </c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38">
        <f>SUM(H81:X81)-G81</f>
        <v>506.52</v>
      </c>
    </row>
    <row r="82" spans="1:25" ht="61.5" customHeight="1" x14ac:dyDescent="0.35">
      <c r="A82" s="3">
        <v>97</v>
      </c>
      <c r="B82" s="4">
        <v>63</v>
      </c>
      <c r="C82" s="4"/>
      <c r="D82" s="43"/>
      <c r="E82" s="44"/>
      <c r="F82" s="12" t="s">
        <v>281</v>
      </c>
      <c r="G82" s="8">
        <f>D2*12</f>
        <v>600</v>
      </c>
      <c r="H82" s="9">
        <v>2.5</v>
      </c>
      <c r="I82" s="9">
        <f t="shared" ref="I82" si="9">G82*H82</f>
        <v>1500</v>
      </c>
      <c r="J82" s="9"/>
      <c r="K82" s="9">
        <f>D2*12</f>
        <v>600</v>
      </c>
      <c r="L82" s="9">
        <v>2.5</v>
      </c>
      <c r="M82" s="9">
        <f t="shared" ref="M82:M86" si="10">K82*L82</f>
        <v>1500</v>
      </c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38">
        <f t="shared" ref="Y82:Y86" si="11">SUM(H82:X82)-G82</f>
        <v>3005</v>
      </c>
    </row>
    <row r="83" spans="1:25" ht="61.5" customHeight="1" x14ac:dyDescent="0.35">
      <c r="A83" s="3">
        <v>134</v>
      </c>
      <c r="B83" s="4">
        <v>37</v>
      </c>
      <c r="C83" s="4"/>
      <c r="D83" s="41"/>
      <c r="E83" s="42"/>
      <c r="F83" s="7" t="s">
        <v>282</v>
      </c>
      <c r="G83" s="8">
        <v>8</v>
      </c>
      <c r="H83" s="9">
        <v>7.18</v>
      </c>
      <c r="I83" s="9">
        <f>G83*H83</f>
        <v>57.44</v>
      </c>
      <c r="J83" s="9"/>
      <c r="K83" s="9">
        <v>8</v>
      </c>
      <c r="L83" s="9">
        <v>7.18</v>
      </c>
      <c r="M83" s="9">
        <f t="shared" si="10"/>
        <v>57.44</v>
      </c>
      <c r="N83" s="9" t="s">
        <v>312</v>
      </c>
      <c r="O83" s="9"/>
      <c r="P83" s="9"/>
      <c r="Q83" s="9"/>
      <c r="R83" s="9"/>
      <c r="S83" s="9"/>
      <c r="T83" s="9"/>
      <c r="U83" s="9"/>
      <c r="V83" s="9"/>
      <c r="W83" s="9"/>
      <c r="X83" s="9"/>
      <c r="Y83" s="38">
        <f t="shared" si="11"/>
        <v>129.24</v>
      </c>
    </row>
    <row r="84" spans="1:25" ht="61.5" customHeight="1" x14ac:dyDescent="0.35">
      <c r="A84" s="3">
        <v>64</v>
      </c>
      <c r="B84" s="4">
        <v>93</v>
      </c>
      <c r="C84" s="4"/>
      <c r="D84" s="43"/>
      <c r="E84" s="44"/>
      <c r="F84" s="7" t="s">
        <v>283</v>
      </c>
      <c r="G84" s="8">
        <f>D2*4</f>
        <v>200</v>
      </c>
      <c r="H84" s="9">
        <v>13.66</v>
      </c>
      <c r="I84" s="9">
        <f t="shared" ref="I84:I86" si="12">G84*H84</f>
        <v>2732</v>
      </c>
      <c r="J84" s="9"/>
      <c r="K84" s="9">
        <f>D2*4</f>
        <v>200</v>
      </c>
      <c r="L84" s="9">
        <v>13.66</v>
      </c>
      <c r="M84" s="9">
        <f t="shared" si="10"/>
        <v>2732</v>
      </c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38">
        <f t="shared" si="11"/>
        <v>5491.32</v>
      </c>
    </row>
    <row r="85" spans="1:25" ht="61.5" customHeight="1" x14ac:dyDescent="0.35">
      <c r="A85" s="3">
        <v>65</v>
      </c>
      <c r="B85" s="4">
        <v>115</v>
      </c>
      <c r="C85" s="4"/>
      <c r="D85" s="43"/>
      <c r="E85" s="44"/>
      <c r="F85" s="12" t="s">
        <v>278</v>
      </c>
      <c r="G85" s="8">
        <f>D2*2</f>
        <v>100</v>
      </c>
      <c r="H85" s="9">
        <v>4.26</v>
      </c>
      <c r="I85" s="9">
        <f t="shared" si="12"/>
        <v>426</v>
      </c>
      <c r="J85" s="9"/>
      <c r="K85" s="9">
        <f>D2*2</f>
        <v>100</v>
      </c>
      <c r="L85" s="9">
        <v>4.26</v>
      </c>
      <c r="M85" s="9">
        <f t="shared" si="10"/>
        <v>426</v>
      </c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38">
        <f t="shared" si="11"/>
        <v>860.52</v>
      </c>
    </row>
    <row r="86" spans="1:25" ht="61.5" customHeight="1" x14ac:dyDescent="0.35">
      <c r="A86" s="3">
        <v>66</v>
      </c>
      <c r="B86" s="4">
        <v>116</v>
      </c>
      <c r="C86" s="4"/>
      <c r="D86" s="43"/>
      <c r="E86" s="44"/>
      <c r="F86" s="12" t="s">
        <v>279</v>
      </c>
      <c r="G86" s="8">
        <f>D2*4</f>
        <v>200</v>
      </c>
      <c r="H86" s="9">
        <v>6.5</v>
      </c>
      <c r="I86" s="9">
        <f t="shared" si="12"/>
        <v>1300</v>
      </c>
      <c r="J86" s="9"/>
      <c r="K86" s="9">
        <f>D2*4</f>
        <v>200</v>
      </c>
      <c r="L86" s="9">
        <v>6.5</v>
      </c>
      <c r="M86" s="9">
        <f t="shared" si="10"/>
        <v>1300</v>
      </c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38">
        <f t="shared" si="11"/>
        <v>2613</v>
      </c>
    </row>
    <row r="87" spans="1:25" ht="61.5" customHeight="1" x14ac:dyDescent="0.35">
      <c r="A87" s="79" t="s">
        <v>15</v>
      </c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1"/>
    </row>
    <row r="88" spans="1:25" ht="61.5" customHeight="1" x14ac:dyDescent="0.35">
      <c r="A88" s="3">
        <v>96</v>
      </c>
      <c r="B88" s="4"/>
      <c r="C88" s="4"/>
      <c r="D88" s="43"/>
      <c r="E88" s="44"/>
      <c r="F88" s="12" t="s">
        <v>15</v>
      </c>
      <c r="G88" s="8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37">
        <f>SUM(H88:X88)-G88</f>
        <v>0</v>
      </c>
    </row>
    <row r="89" spans="1:25" ht="61.5" customHeight="1" x14ac:dyDescent="0.35">
      <c r="A89" s="79" t="s">
        <v>81</v>
      </c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1"/>
    </row>
    <row r="90" spans="1:25" ht="61.5" customHeight="1" x14ac:dyDescent="0.35">
      <c r="A90" s="3">
        <v>90</v>
      </c>
      <c r="B90" s="4">
        <v>103</v>
      </c>
      <c r="C90" s="4"/>
      <c r="D90" s="43"/>
      <c r="E90" s="44"/>
      <c r="F90" s="12" t="s">
        <v>13</v>
      </c>
      <c r="G90" s="8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38">
        <f>SUM(H90:X90)-G90</f>
        <v>0</v>
      </c>
    </row>
    <row r="91" spans="1:25" ht="61.5" customHeight="1" x14ac:dyDescent="0.35">
      <c r="A91" s="3">
        <v>107</v>
      </c>
      <c r="B91" s="4">
        <v>81</v>
      </c>
      <c r="C91" s="4"/>
      <c r="D91" s="43"/>
      <c r="E91" s="44"/>
      <c r="F91" s="12" t="s">
        <v>16</v>
      </c>
      <c r="G91" s="8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38">
        <f t="shared" ref="Y91:Y95" si="13">SUM(H91:X91)-G91</f>
        <v>0</v>
      </c>
    </row>
    <row r="92" spans="1:25" ht="61.5" customHeight="1" x14ac:dyDescent="0.35">
      <c r="A92" s="3">
        <v>108</v>
      </c>
      <c r="B92" s="4">
        <v>82</v>
      </c>
      <c r="C92" s="4"/>
      <c r="D92" s="43"/>
      <c r="E92" s="44"/>
      <c r="F92" s="12" t="s">
        <v>17</v>
      </c>
      <c r="G92" s="8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38">
        <f t="shared" si="13"/>
        <v>0</v>
      </c>
    </row>
    <row r="93" spans="1:25" ht="61.5" customHeight="1" x14ac:dyDescent="0.35">
      <c r="A93" s="3">
        <v>109</v>
      </c>
      <c r="B93" s="4">
        <v>83</v>
      </c>
      <c r="C93" s="4"/>
      <c r="D93" s="43"/>
      <c r="E93" s="44"/>
      <c r="F93" s="12" t="s">
        <v>18</v>
      </c>
      <c r="G93" s="8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38">
        <f t="shared" si="13"/>
        <v>0</v>
      </c>
    </row>
    <row r="94" spans="1:25" ht="61.5" customHeight="1" x14ac:dyDescent="0.35">
      <c r="A94" s="3">
        <v>110</v>
      </c>
      <c r="B94" s="4">
        <v>91</v>
      </c>
      <c r="C94" s="4"/>
      <c r="D94" s="43"/>
      <c r="E94" s="44"/>
      <c r="F94" s="12" t="s">
        <v>19</v>
      </c>
      <c r="G94" s="8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38">
        <f t="shared" si="13"/>
        <v>0</v>
      </c>
    </row>
    <row r="95" spans="1:25" ht="61.5" customHeight="1" x14ac:dyDescent="0.35">
      <c r="A95" s="3">
        <v>111</v>
      </c>
      <c r="B95" s="4">
        <v>92</v>
      </c>
      <c r="C95" s="4"/>
      <c r="D95" s="43"/>
      <c r="E95" s="44"/>
      <c r="F95" s="12" t="s">
        <v>20</v>
      </c>
      <c r="G95" s="8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38">
        <f t="shared" si="13"/>
        <v>0</v>
      </c>
    </row>
    <row r="96" spans="1:25" ht="61.5" customHeight="1" x14ac:dyDescent="0.35">
      <c r="A96" s="79" t="s">
        <v>82</v>
      </c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1"/>
    </row>
    <row r="97" spans="1:25" ht="61.5" customHeight="1" x14ac:dyDescent="0.35">
      <c r="A97" s="3">
        <v>123</v>
      </c>
      <c r="B97" s="4">
        <v>95</v>
      </c>
      <c r="C97" s="4"/>
      <c r="D97" s="43"/>
      <c r="E97" s="44"/>
      <c r="F97" s="12" t="s">
        <v>23</v>
      </c>
      <c r="G97" s="8">
        <f>((K42+K41+K14)*5)/3</f>
        <v>29958.333333333332</v>
      </c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37">
        <f>SUM(H97:X97)-G97</f>
        <v>-29958.333333333332</v>
      </c>
    </row>
    <row r="98" spans="1:25" ht="61.5" customHeight="1" x14ac:dyDescent="0.35">
      <c r="A98" s="3">
        <v>124</v>
      </c>
      <c r="B98" s="4">
        <v>121</v>
      </c>
      <c r="C98" s="4"/>
      <c r="D98" s="43"/>
      <c r="E98" s="44"/>
      <c r="F98" s="12" t="s">
        <v>24</v>
      </c>
      <c r="G98" s="8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37">
        <f t="shared" ref="Y98:Y99" si="14">SUM(H98:X98)-G98</f>
        <v>0</v>
      </c>
    </row>
    <row r="99" spans="1:25" ht="61.5" customHeight="1" x14ac:dyDescent="0.35">
      <c r="A99" s="3">
        <v>125</v>
      </c>
      <c r="B99" s="4">
        <v>122</v>
      </c>
      <c r="C99" s="4"/>
      <c r="D99" s="43"/>
      <c r="E99" s="44"/>
      <c r="F99" s="12" t="s">
        <v>25</v>
      </c>
      <c r="G99" s="8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37">
        <f t="shared" si="14"/>
        <v>0</v>
      </c>
    </row>
    <row r="100" spans="1:25" ht="61.5" customHeight="1" x14ac:dyDescent="0.35">
      <c r="A100" s="79" t="s">
        <v>83</v>
      </c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1"/>
    </row>
    <row r="101" spans="1:25" ht="61.5" customHeight="1" x14ac:dyDescent="0.35">
      <c r="A101" s="3">
        <v>129</v>
      </c>
      <c r="B101" s="4">
        <v>32</v>
      </c>
      <c r="C101" s="4"/>
      <c r="D101" s="41"/>
      <c r="E101" s="44"/>
      <c r="F101" s="12" t="s">
        <v>287</v>
      </c>
      <c r="G101" s="8">
        <f>(((C2+3)*12)*D2)+((C2/5)-1)*((D2*E2)+10)</f>
        <v>175810</v>
      </c>
      <c r="H101" s="9">
        <v>6.3E-2</v>
      </c>
      <c r="I101" s="9">
        <f>G101*H101</f>
        <v>11076.03</v>
      </c>
      <c r="J101" s="9"/>
      <c r="K101" s="9"/>
      <c r="L101" s="9"/>
      <c r="M101" s="9"/>
      <c r="N101" s="9" t="s">
        <v>311</v>
      </c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37">
        <f>SUM(H101:X101)-G101</f>
        <v>-164733.90700000001</v>
      </c>
    </row>
    <row r="102" spans="1:25" ht="61.5" customHeight="1" x14ac:dyDescent="0.35">
      <c r="A102" s="79" t="s">
        <v>84</v>
      </c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1"/>
    </row>
    <row r="103" spans="1:25" ht="61.5" customHeight="1" x14ac:dyDescent="0.35">
      <c r="A103" s="3">
        <v>140</v>
      </c>
      <c r="B103" s="4"/>
      <c r="C103" s="4"/>
      <c r="D103" s="43"/>
      <c r="E103" s="44"/>
      <c r="F103" s="12" t="s">
        <v>85</v>
      </c>
      <c r="G103" s="8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37">
        <f>SUM(H103:X103)-G103</f>
        <v>0</v>
      </c>
    </row>
    <row r="104" spans="1:25" ht="61.5" customHeight="1" x14ac:dyDescent="0.35">
      <c r="A104" s="3">
        <v>141</v>
      </c>
      <c r="B104" s="4"/>
      <c r="C104" s="4"/>
      <c r="D104" s="43"/>
      <c r="E104" s="44"/>
      <c r="F104" s="12" t="s">
        <v>86</v>
      </c>
      <c r="G104" s="8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37">
        <f t="shared" ref="Y104:Y107" si="15">SUM(H104:X104)-G104</f>
        <v>0</v>
      </c>
    </row>
    <row r="105" spans="1:25" ht="61.5" customHeight="1" x14ac:dyDescent="0.35">
      <c r="A105" s="3">
        <v>142</v>
      </c>
      <c r="B105" s="4"/>
      <c r="C105" s="4"/>
      <c r="D105" s="43"/>
      <c r="E105" s="44"/>
      <c r="F105" s="12" t="s">
        <v>27</v>
      </c>
      <c r="G105" s="8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37">
        <f t="shared" si="15"/>
        <v>0</v>
      </c>
    </row>
    <row r="106" spans="1:25" ht="61.5" customHeight="1" x14ac:dyDescent="0.35">
      <c r="A106" s="3">
        <v>143</v>
      </c>
      <c r="B106" s="4"/>
      <c r="C106" s="4"/>
      <c r="D106" s="43"/>
      <c r="E106" s="44"/>
      <c r="F106" s="12" t="s">
        <v>87</v>
      </c>
      <c r="G106" s="8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37">
        <f t="shared" si="15"/>
        <v>0</v>
      </c>
    </row>
    <row r="107" spans="1:25" ht="61.5" customHeight="1" x14ac:dyDescent="0.35">
      <c r="A107" s="3">
        <v>144</v>
      </c>
      <c r="B107" s="4"/>
      <c r="C107" s="4"/>
      <c r="D107" s="43"/>
      <c r="E107" s="44"/>
      <c r="F107" s="12" t="s">
        <v>88</v>
      </c>
      <c r="G107" s="8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37">
        <f t="shared" si="15"/>
        <v>0</v>
      </c>
    </row>
    <row r="108" spans="1:25" ht="61.5" customHeight="1" x14ac:dyDescent="0.35">
      <c r="A108" s="79" t="s">
        <v>28</v>
      </c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1"/>
    </row>
    <row r="109" spans="1:25" ht="61.5" customHeight="1" x14ac:dyDescent="0.35">
      <c r="A109" s="3">
        <v>12</v>
      </c>
      <c r="B109" s="4">
        <v>41</v>
      </c>
      <c r="C109" s="4"/>
      <c r="D109" s="41"/>
      <c r="E109" s="42"/>
      <c r="F109" s="7" t="s">
        <v>7</v>
      </c>
      <c r="G109" s="8">
        <f>(G18+G19)/2+(((C2/F2)/2)-1)*D2*2</f>
        <v>5410</v>
      </c>
      <c r="H109" s="9">
        <v>6.8000000000000005E-2</v>
      </c>
      <c r="I109" s="9">
        <f>G109*H109</f>
        <v>367.88000000000005</v>
      </c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38">
        <f>SUM(H109:X109)-G109</f>
        <v>-5042.0519999999997</v>
      </c>
    </row>
    <row r="110" spans="1:25" ht="61.5" customHeight="1" x14ac:dyDescent="0.35">
      <c r="A110" s="3"/>
      <c r="B110" s="4"/>
      <c r="C110" s="4"/>
      <c r="D110" s="41"/>
      <c r="E110" s="42"/>
      <c r="F110" s="7" t="s">
        <v>313</v>
      </c>
      <c r="G110" s="8">
        <f>D2*4</f>
        <v>200</v>
      </c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38"/>
    </row>
    <row r="111" spans="1:25" ht="61.5" customHeight="1" x14ac:dyDescent="0.35">
      <c r="A111" s="3"/>
      <c r="B111" s="4"/>
      <c r="C111" s="4"/>
      <c r="D111" s="41"/>
      <c r="E111" s="42"/>
      <c r="F111" s="7" t="s">
        <v>314</v>
      </c>
      <c r="G111" s="8">
        <f>(C2+10)*D2</f>
        <v>13000</v>
      </c>
      <c r="H111" s="9">
        <v>0.06</v>
      </c>
      <c r="I111" s="9">
        <f>G111*H111</f>
        <v>780</v>
      </c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38"/>
    </row>
    <row r="112" spans="1:25" ht="61.5" customHeight="1" x14ac:dyDescent="0.35">
      <c r="A112" s="3">
        <v>130</v>
      </c>
      <c r="B112" s="4">
        <v>162</v>
      </c>
      <c r="C112" s="4"/>
      <c r="D112" s="43"/>
      <c r="E112" s="44"/>
      <c r="F112" s="12" t="s">
        <v>26</v>
      </c>
      <c r="G112" s="8">
        <f>D2*48</f>
        <v>2400</v>
      </c>
      <c r="H112" s="9">
        <v>1.2E-2</v>
      </c>
      <c r="I112" s="9">
        <f>G112*H112</f>
        <v>28.8</v>
      </c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38">
        <f t="shared" ref="Y112:Y144" si="16">SUM(H112:X112)-G112</f>
        <v>-2371.1880000000001</v>
      </c>
    </row>
    <row r="113" spans="1:25" ht="30" customHeight="1" x14ac:dyDescent="0.35">
      <c r="A113" s="3">
        <v>178</v>
      </c>
      <c r="B113" s="4">
        <v>182</v>
      </c>
      <c r="C113" s="4"/>
      <c r="D113" s="4"/>
      <c r="E113" s="11" t="s">
        <v>29</v>
      </c>
      <c r="F113" s="12" t="s">
        <v>30</v>
      </c>
      <c r="G113" s="8">
        <v>2200</v>
      </c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38">
        <f t="shared" si="16"/>
        <v>-2200</v>
      </c>
    </row>
    <row r="114" spans="1:25" ht="30" customHeight="1" x14ac:dyDescent="0.35">
      <c r="A114" s="3"/>
      <c r="B114" s="4"/>
      <c r="C114" s="4"/>
      <c r="D114" s="4"/>
      <c r="E114" s="11"/>
      <c r="F114" s="12" t="s">
        <v>319</v>
      </c>
      <c r="G114" s="8">
        <v>6100</v>
      </c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38"/>
    </row>
    <row r="115" spans="1:25" ht="30" customHeight="1" x14ac:dyDescent="0.35">
      <c r="A115" s="3"/>
      <c r="B115" s="4"/>
      <c r="C115" s="4"/>
      <c r="D115" s="4"/>
      <c r="E115" s="11"/>
      <c r="F115" s="12" t="s">
        <v>288</v>
      </c>
      <c r="G115" s="8">
        <v>51264</v>
      </c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38"/>
    </row>
    <row r="116" spans="1:25" ht="30" customHeight="1" x14ac:dyDescent="0.35">
      <c r="A116" s="3">
        <v>179</v>
      </c>
      <c r="B116" s="4">
        <v>183</v>
      </c>
      <c r="C116" s="4"/>
      <c r="D116" s="4"/>
      <c r="E116" s="11" t="s">
        <v>31</v>
      </c>
      <c r="F116" s="12" t="s">
        <v>32</v>
      </c>
      <c r="G116" s="8">
        <v>31025</v>
      </c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38">
        <f t="shared" si="16"/>
        <v>-31025</v>
      </c>
    </row>
    <row r="117" spans="1:25" ht="30" customHeight="1" x14ac:dyDescent="0.35">
      <c r="A117" s="3">
        <v>181</v>
      </c>
      <c r="B117" s="4">
        <v>185</v>
      </c>
      <c r="C117" s="4"/>
      <c r="D117" s="4"/>
      <c r="E117" s="11" t="s">
        <v>33</v>
      </c>
      <c r="F117" s="12" t="s">
        <v>34</v>
      </c>
      <c r="G117" s="8">
        <v>3300</v>
      </c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38">
        <f t="shared" si="16"/>
        <v>-3300</v>
      </c>
    </row>
    <row r="118" spans="1:25" ht="30" customHeight="1" x14ac:dyDescent="0.35">
      <c r="A118" s="3"/>
      <c r="B118" s="4"/>
      <c r="C118" s="4"/>
      <c r="D118" s="4"/>
      <c r="E118" s="11"/>
      <c r="F118" s="12" t="s">
        <v>320</v>
      </c>
      <c r="G118" s="8">
        <v>5450</v>
      </c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38"/>
    </row>
    <row r="119" spans="1:25" ht="30" customHeight="1" x14ac:dyDescent="0.35">
      <c r="A119" s="3">
        <v>182</v>
      </c>
      <c r="B119" s="4">
        <v>186</v>
      </c>
      <c r="C119" s="4"/>
      <c r="D119" s="4"/>
      <c r="E119" s="11" t="s">
        <v>35</v>
      </c>
      <c r="F119" s="12" t="s">
        <v>289</v>
      </c>
      <c r="G119" s="8">
        <v>32500</v>
      </c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38">
        <f t="shared" si="16"/>
        <v>-32500</v>
      </c>
    </row>
    <row r="120" spans="1:25" ht="30" customHeight="1" x14ac:dyDescent="0.35">
      <c r="A120" s="3">
        <v>184</v>
      </c>
      <c r="B120" s="4">
        <v>188</v>
      </c>
      <c r="C120" s="4"/>
      <c r="D120" s="4"/>
      <c r="E120" s="11" t="s">
        <v>36</v>
      </c>
      <c r="F120" s="12" t="s">
        <v>37</v>
      </c>
      <c r="G120" s="8">
        <v>200</v>
      </c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38">
        <f t="shared" si="16"/>
        <v>-200</v>
      </c>
    </row>
    <row r="121" spans="1:25" ht="30" customHeight="1" x14ac:dyDescent="0.35">
      <c r="A121" s="3">
        <v>186</v>
      </c>
      <c r="B121" s="4">
        <v>190</v>
      </c>
      <c r="C121" s="4"/>
      <c r="D121" s="4"/>
      <c r="E121" s="11" t="s">
        <v>38</v>
      </c>
      <c r="F121" s="12" t="s">
        <v>39</v>
      </c>
      <c r="G121" s="8">
        <v>2000</v>
      </c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38">
        <f t="shared" si="16"/>
        <v>-2000</v>
      </c>
    </row>
    <row r="122" spans="1:25" ht="30" customHeight="1" x14ac:dyDescent="0.35">
      <c r="A122" s="3">
        <v>188</v>
      </c>
      <c r="B122" s="4">
        <v>192</v>
      </c>
      <c r="C122" s="4"/>
      <c r="D122" s="4"/>
      <c r="E122" s="11" t="s">
        <v>40</v>
      </c>
      <c r="F122" s="12" t="s">
        <v>290</v>
      </c>
      <c r="G122" s="8">
        <v>3100</v>
      </c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38">
        <f t="shared" si="16"/>
        <v>-3100</v>
      </c>
    </row>
    <row r="123" spans="1:25" ht="30" customHeight="1" x14ac:dyDescent="0.35">
      <c r="A123" s="3">
        <v>189</v>
      </c>
      <c r="B123" s="4">
        <v>193</v>
      </c>
      <c r="C123" s="4"/>
      <c r="D123" s="4"/>
      <c r="E123" s="11" t="s">
        <v>41</v>
      </c>
      <c r="F123" s="12" t="s">
        <v>42</v>
      </c>
      <c r="G123" s="8">
        <v>2900</v>
      </c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38">
        <f t="shared" si="16"/>
        <v>-2900</v>
      </c>
    </row>
    <row r="124" spans="1:25" ht="30" customHeight="1" x14ac:dyDescent="0.35">
      <c r="A124" s="3"/>
      <c r="B124" s="4"/>
      <c r="C124" s="4"/>
      <c r="D124" s="4"/>
      <c r="E124" s="11"/>
      <c r="F124" s="12" t="s">
        <v>291</v>
      </c>
      <c r="G124" s="8">
        <v>650</v>
      </c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38">
        <f t="shared" si="16"/>
        <v>-650</v>
      </c>
    </row>
    <row r="125" spans="1:25" ht="30" customHeight="1" x14ac:dyDescent="0.35">
      <c r="A125" s="3">
        <v>191</v>
      </c>
      <c r="B125" s="4">
        <v>195</v>
      </c>
      <c r="C125" s="4"/>
      <c r="D125" s="4"/>
      <c r="E125" s="11" t="s">
        <v>43</v>
      </c>
      <c r="F125" s="12" t="s">
        <v>44</v>
      </c>
      <c r="G125" s="8">
        <v>280</v>
      </c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38">
        <f t="shared" si="16"/>
        <v>-280</v>
      </c>
    </row>
    <row r="126" spans="1:25" ht="30" customHeight="1" x14ac:dyDescent="0.35">
      <c r="A126" s="3">
        <v>194</v>
      </c>
      <c r="B126" s="4">
        <v>198</v>
      </c>
      <c r="C126" s="4"/>
      <c r="D126" s="4"/>
      <c r="E126" s="11" t="s">
        <v>45</v>
      </c>
      <c r="F126" s="12" t="s">
        <v>46</v>
      </c>
      <c r="G126" s="8">
        <v>2820</v>
      </c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38">
        <f t="shared" si="16"/>
        <v>-2820</v>
      </c>
    </row>
    <row r="127" spans="1:25" ht="30" customHeight="1" x14ac:dyDescent="0.35">
      <c r="A127" s="3"/>
      <c r="B127" s="4"/>
      <c r="C127" s="4"/>
      <c r="D127" s="4"/>
      <c r="E127" s="11"/>
      <c r="F127" s="12" t="s">
        <v>47</v>
      </c>
      <c r="G127" s="8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38">
        <f t="shared" si="16"/>
        <v>0</v>
      </c>
    </row>
    <row r="128" spans="1:25" ht="30" customHeight="1" x14ac:dyDescent="0.35">
      <c r="A128" s="3">
        <v>195</v>
      </c>
      <c r="B128" s="4">
        <v>199</v>
      </c>
      <c r="C128" s="4"/>
      <c r="D128" s="4"/>
      <c r="E128" s="11" t="s">
        <v>48</v>
      </c>
      <c r="F128" s="12" t="s">
        <v>49</v>
      </c>
      <c r="G128" s="8">
        <v>17500</v>
      </c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38">
        <f t="shared" si="16"/>
        <v>-17500</v>
      </c>
    </row>
    <row r="129" spans="1:25" ht="30" customHeight="1" x14ac:dyDescent="0.35">
      <c r="A129" s="3"/>
      <c r="B129" s="4"/>
      <c r="C129" s="4"/>
      <c r="D129" s="4"/>
      <c r="E129" s="11" t="s">
        <v>50</v>
      </c>
      <c r="F129" s="12" t="s">
        <v>51</v>
      </c>
      <c r="G129" s="8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38">
        <f t="shared" si="16"/>
        <v>0</v>
      </c>
    </row>
    <row r="130" spans="1:25" ht="30" customHeight="1" x14ac:dyDescent="0.35">
      <c r="A130" s="3">
        <v>196</v>
      </c>
      <c r="B130" s="4">
        <v>200</v>
      </c>
      <c r="C130" s="4"/>
      <c r="D130" s="4"/>
      <c r="E130" s="11" t="s">
        <v>52</v>
      </c>
      <c r="F130" s="12" t="s">
        <v>53</v>
      </c>
      <c r="G130" s="8">
        <v>10000</v>
      </c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38">
        <f t="shared" si="16"/>
        <v>-10000</v>
      </c>
    </row>
    <row r="131" spans="1:25" ht="30" customHeight="1" x14ac:dyDescent="0.35">
      <c r="A131" s="3"/>
      <c r="B131" s="4"/>
      <c r="C131" s="4"/>
      <c r="D131" s="4"/>
      <c r="E131" s="11"/>
      <c r="F131" s="12" t="s">
        <v>54</v>
      </c>
      <c r="G131" s="8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38">
        <f t="shared" si="16"/>
        <v>0</v>
      </c>
    </row>
    <row r="132" spans="1:25" ht="30" customHeight="1" x14ac:dyDescent="0.35">
      <c r="A132" s="3"/>
      <c r="B132" s="4"/>
      <c r="C132" s="4"/>
      <c r="D132" s="4"/>
      <c r="E132" s="11"/>
      <c r="F132" s="12" t="s">
        <v>55</v>
      </c>
      <c r="G132" s="8">
        <v>4850</v>
      </c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38">
        <f t="shared" si="16"/>
        <v>-4850</v>
      </c>
    </row>
    <row r="133" spans="1:25" ht="30" customHeight="1" x14ac:dyDescent="0.35">
      <c r="A133" s="3"/>
      <c r="B133" s="4"/>
      <c r="C133" s="4"/>
      <c r="D133" s="4"/>
      <c r="E133" s="11"/>
      <c r="F133" s="12" t="s">
        <v>292</v>
      </c>
      <c r="G133" s="8">
        <v>6830</v>
      </c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38">
        <f t="shared" si="16"/>
        <v>-6830</v>
      </c>
    </row>
    <row r="134" spans="1:25" ht="30" customHeight="1" x14ac:dyDescent="0.35">
      <c r="A134" s="3">
        <v>199</v>
      </c>
      <c r="B134" s="4">
        <v>203</v>
      </c>
      <c r="C134" s="4"/>
      <c r="D134" s="4"/>
      <c r="E134" s="11" t="s">
        <v>56</v>
      </c>
      <c r="F134" s="12" t="s">
        <v>57</v>
      </c>
      <c r="G134" s="8">
        <v>30400</v>
      </c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38">
        <f t="shared" si="16"/>
        <v>-30400</v>
      </c>
    </row>
    <row r="135" spans="1:25" ht="30" customHeight="1" x14ac:dyDescent="0.35">
      <c r="A135" s="3">
        <v>200</v>
      </c>
      <c r="B135" s="4">
        <v>204</v>
      </c>
      <c r="C135" s="4"/>
      <c r="D135" s="4"/>
      <c r="E135" s="11" t="s">
        <v>58</v>
      </c>
      <c r="F135" s="12" t="s">
        <v>59</v>
      </c>
      <c r="G135" s="8">
        <v>5600</v>
      </c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38">
        <f t="shared" si="16"/>
        <v>-5600</v>
      </c>
    </row>
    <row r="136" spans="1:25" ht="30" customHeight="1" x14ac:dyDescent="0.35">
      <c r="A136" s="3">
        <v>202</v>
      </c>
      <c r="B136" s="4">
        <v>206</v>
      </c>
      <c r="C136" s="4"/>
      <c r="D136" s="4"/>
      <c r="E136" s="11" t="s">
        <v>60</v>
      </c>
      <c r="F136" s="12" t="s">
        <v>61</v>
      </c>
      <c r="G136" s="8">
        <v>8500</v>
      </c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38">
        <f t="shared" si="16"/>
        <v>-8500</v>
      </c>
    </row>
    <row r="137" spans="1:25" ht="30" customHeight="1" x14ac:dyDescent="0.35">
      <c r="A137" s="3">
        <v>204</v>
      </c>
      <c r="B137" s="4">
        <v>208</v>
      </c>
      <c r="C137" s="4"/>
      <c r="D137" s="4"/>
      <c r="E137" s="11" t="s">
        <v>62</v>
      </c>
      <c r="F137" s="12" t="s">
        <v>63</v>
      </c>
      <c r="G137" s="8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38">
        <f t="shared" si="16"/>
        <v>0</v>
      </c>
    </row>
    <row r="138" spans="1:25" ht="30" customHeight="1" x14ac:dyDescent="0.35">
      <c r="A138" s="3">
        <v>205</v>
      </c>
      <c r="B138" s="4">
        <v>209</v>
      </c>
      <c r="C138" s="4"/>
      <c r="D138" s="4"/>
      <c r="E138" s="11" t="s">
        <v>64</v>
      </c>
      <c r="F138" s="12" t="s">
        <v>293</v>
      </c>
      <c r="G138" s="8">
        <v>28100</v>
      </c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38">
        <f t="shared" si="16"/>
        <v>-28100</v>
      </c>
    </row>
    <row r="139" spans="1:25" ht="30" customHeight="1" x14ac:dyDescent="0.35">
      <c r="A139" s="3"/>
      <c r="B139" s="4"/>
      <c r="C139" s="4"/>
      <c r="D139" s="4"/>
      <c r="E139" s="11"/>
      <c r="F139" s="12" t="s">
        <v>65</v>
      </c>
      <c r="G139" s="8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38">
        <f t="shared" si="16"/>
        <v>0</v>
      </c>
    </row>
    <row r="140" spans="1:25" ht="30" customHeight="1" x14ac:dyDescent="0.35">
      <c r="A140" s="3">
        <v>206</v>
      </c>
      <c r="B140" s="4">
        <v>210</v>
      </c>
      <c r="C140" s="4"/>
      <c r="D140" s="4"/>
      <c r="E140" s="11" t="s">
        <v>66</v>
      </c>
      <c r="F140" s="12" t="s">
        <v>67</v>
      </c>
      <c r="G140" s="8">
        <v>14550</v>
      </c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38">
        <f t="shared" si="16"/>
        <v>-14550</v>
      </c>
    </row>
    <row r="141" spans="1:25" ht="30" customHeight="1" x14ac:dyDescent="0.35">
      <c r="A141" s="3">
        <v>207</v>
      </c>
      <c r="B141" s="4">
        <v>211</v>
      </c>
      <c r="C141" s="4"/>
      <c r="D141" s="4"/>
      <c r="E141" s="11" t="s">
        <v>68</v>
      </c>
      <c r="F141" s="12" t="s">
        <v>69</v>
      </c>
      <c r="G141" s="8">
        <v>29250</v>
      </c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38">
        <f t="shared" si="16"/>
        <v>-29250</v>
      </c>
    </row>
    <row r="142" spans="1:25" ht="30" customHeight="1" x14ac:dyDescent="0.35">
      <c r="A142" s="3">
        <v>208</v>
      </c>
      <c r="B142" s="4">
        <v>212</v>
      </c>
      <c r="C142" s="4"/>
      <c r="D142" s="4"/>
      <c r="E142" s="11" t="s">
        <v>70</v>
      </c>
      <c r="F142" s="12" t="s">
        <v>71</v>
      </c>
      <c r="G142" s="8">
        <v>1820</v>
      </c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38">
        <f t="shared" si="16"/>
        <v>-1820</v>
      </c>
    </row>
    <row r="143" spans="1:25" ht="30" customHeight="1" x14ac:dyDescent="0.35">
      <c r="A143" s="3"/>
      <c r="B143" s="4"/>
      <c r="C143" s="4"/>
      <c r="D143" s="4"/>
      <c r="E143" s="11" t="s">
        <v>72</v>
      </c>
      <c r="F143" s="12" t="s">
        <v>73</v>
      </c>
      <c r="G143" s="8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38">
        <f t="shared" si="16"/>
        <v>0</v>
      </c>
    </row>
    <row r="144" spans="1:25" ht="30" customHeight="1" x14ac:dyDescent="0.35">
      <c r="A144" s="3">
        <v>210</v>
      </c>
      <c r="B144" s="4">
        <v>214</v>
      </c>
      <c r="C144" s="4"/>
      <c r="D144" s="4"/>
      <c r="E144" s="11" t="s">
        <v>74</v>
      </c>
      <c r="F144" s="12" t="s">
        <v>75</v>
      </c>
      <c r="G144" s="8">
        <v>6820</v>
      </c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38">
        <f t="shared" si="16"/>
        <v>-6820</v>
      </c>
    </row>
    <row r="145" spans="1:25" ht="61.5" customHeight="1" x14ac:dyDescent="0.35">
      <c r="A145" s="79" t="s">
        <v>89</v>
      </c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1"/>
    </row>
    <row r="146" spans="1:25" ht="61.5" customHeight="1" x14ac:dyDescent="0.35">
      <c r="A146" s="3"/>
      <c r="B146" s="4"/>
      <c r="C146" s="4"/>
      <c r="D146" s="4"/>
      <c r="E146" s="11"/>
      <c r="F146" s="12" t="s">
        <v>325</v>
      </c>
      <c r="G146" s="34"/>
      <c r="H146" s="9"/>
      <c r="I146" s="9"/>
      <c r="J146" s="9"/>
      <c r="K146" s="9">
        <f>(C2/2.1)*K2</f>
        <v>238.09523809523807</v>
      </c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38">
        <f>SUM(H146:X146)-G146</f>
        <v>238.09523809523807</v>
      </c>
    </row>
    <row r="147" spans="1:25" ht="61.5" customHeight="1" x14ac:dyDescent="0.35">
      <c r="A147" s="3"/>
      <c r="B147" s="4"/>
      <c r="C147" s="4"/>
      <c r="D147" s="4"/>
      <c r="E147" s="11"/>
      <c r="F147" s="12" t="s">
        <v>324</v>
      </c>
      <c r="G147" s="34"/>
      <c r="H147" s="9"/>
      <c r="I147" s="9"/>
      <c r="J147" s="9"/>
      <c r="K147" s="9">
        <f>D2*4</f>
        <v>200</v>
      </c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38">
        <f t="shared" ref="Y147:Y158" si="17">SUM(H147:X147)-G147</f>
        <v>200</v>
      </c>
    </row>
    <row r="148" spans="1:25" ht="61.5" customHeight="1" x14ac:dyDescent="0.35">
      <c r="A148" s="3"/>
      <c r="B148" s="4"/>
      <c r="C148" s="4"/>
      <c r="D148" s="4"/>
      <c r="E148" s="11"/>
      <c r="F148" s="12" t="s">
        <v>102</v>
      </c>
      <c r="G148" s="34"/>
      <c r="H148" s="9"/>
      <c r="I148" s="9"/>
      <c r="J148" s="9"/>
      <c r="K148" s="9">
        <f>D2*4</f>
        <v>200</v>
      </c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38">
        <f t="shared" si="17"/>
        <v>200</v>
      </c>
    </row>
    <row r="149" spans="1:25" ht="61.5" customHeight="1" x14ac:dyDescent="0.35">
      <c r="A149" s="3"/>
      <c r="B149" s="4"/>
      <c r="C149" s="4"/>
      <c r="D149" s="4"/>
      <c r="E149" s="11"/>
      <c r="F149" s="21" t="s">
        <v>326</v>
      </c>
      <c r="G149" s="34"/>
      <c r="H149" s="9"/>
      <c r="I149" s="9"/>
      <c r="J149" s="9"/>
      <c r="K149" s="9">
        <f>(D2+1)*2</f>
        <v>102</v>
      </c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38">
        <f t="shared" si="17"/>
        <v>102</v>
      </c>
    </row>
    <row r="150" spans="1:25" ht="61.5" customHeight="1" x14ac:dyDescent="0.35">
      <c r="A150" s="3"/>
      <c r="B150" s="4"/>
      <c r="C150" s="4"/>
      <c r="D150" s="4"/>
      <c r="E150" s="11"/>
      <c r="F150" s="12" t="s">
        <v>103</v>
      </c>
      <c r="G150" s="34"/>
      <c r="H150" s="9"/>
      <c r="I150" s="9"/>
      <c r="J150" s="9"/>
      <c r="K150" s="9">
        <f>K146</f>
        <v>238.09523809523807</v>
      </c>
      <c r="L150" s="9"/>
      <c r="M150" s="9" t="s">
        <v>331</v>
      </c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38">
        <f t="shared" si="17"/>
        <v>238.09523809523807</v>
      </c>
    </row>
    <row r="151" spans="1:25" ht="61.5" customHeight="1" x14ac:dyDescent="0.35">
      <c r="A151" s="3"/>
      <c r="B151" s="4"/>
      <c r="C151" s="4"/>
      <c r="D151" s="4"/>
      <c r="E151" s="11"/>
      <c r="F151" s="12" t="s">
        <v>327</v>
      </c>
      <c r="G151" s="34"/>
      <c r="H151" s="9"/>
      <c r="I151" s="9"/>
      <c r="J151" s="9"/>
      <c r="K151" s="9">
        <f>D2*2</f>
        <v>100</v>
      </c>
      <c r="L151" s="9">
        <f>(K151*7.5)/6</f>
        <v>125</v>
      </c>
      <c r="M151" s="9" t="s">
        <v>331</v>
      </c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38">
        <f t="shared" si="17"/>
        <v>225</v>
      </c>
    </row>
    <row r="152" spans="1:25" ht="61.5" customHeight="1" x14ac:dyDescent="0.35">
      <c r="A152" s="3"/>
      <c r="B152" s="4"/>
      <c r="C152" s="4"/>
      <c r="D152" s="4"/>
      <c r="E152" s="11"/>
      <c r="F152" s="12" t="s">
        <v>328</v>
      </c>
      <c r="G152" s="34"/>
      <c r="H152" s="9"/>
      <c r="I152" s="9"/>
      <c r="J152" s="9"/>
      <c r="K152" s="9">
        <f>D2*4</f>
        <v>200</v>
      </c>
      <c r="L152" s="9">
        <f>(K152*6.4)/6</f>
        <v>213.33333333333334</v>
      </c>
      <c r="M152" s="9" t="s">
        <v>331</v>
      </c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38">
        <f t="shared" si="17"/>
        <v>413.33333333333337</v>
      </c>
    </row>
    <row r="153" spans="1:25" ht="61.5" customHeight="1" x14ac:dyDescent="0.35">
      <c r="A153" s="3"/>
      <c r="B153" s="4"/>
      <c r="C153" s="4"/>
      <c r="D153" s="4"/>
      <c r="E153" s="11"/>
      <c r="F153" s="21" t="s">
        <v>329</v>
      </c>
      <c r="G153" s="34"/>
      <c r="H153" s="9"/>
      <c r="I153" s="9"/>
      <c r="J153" s="9"/>
      <c r="K153" s="9">
        <f>D2*4</f>
        <v>200</v>
      </c>
      <c r="L153" s="9">
        <f>(K153*5.2)/6</f>
        <v>173.33333333333334</v>
      </c>
      <c r="M153" s="9" t="s">
        <v>331</v>
      </c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38">
        <f t="shared" si="17"/>
        <v>373.33333333333337</v>
      </c>
    </row>
    <row r="154" spans="1:25" ht="61.5" customHeight="1" x14ac:dyDescent="0.35">
      <c r="A154" s="3"/>
      <c r="B154" s="4"/>
      <c r="C154" s="4"/>
      <c r="D154" s="4"/>
      <c r="E154" s="11"/>
      <c r="F154" s="12" t="s">
        <v>76</v>
      </c>
      <c r="G154" s="34"/>
      <c r="H154" s="9"/>
      <c r="I154" s="9"/>
      <c r="J154" s="9"/>
      <c r="K154" s="9">
        <f>(((C2+1)*3.6)*2)*D2+((((C2+1)*4.5))*D2)</f>
        <v>146835</v>
      </c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38">
        <f t="shared" si="17"/>
        <v>146835</v>
      </c>
    </row>
    <row r="155" spans="1:25" ht="61.5" customHeight="1" x14ac:dyDescent="0.35">
      <c r="A155" s="3"/>
      <c r="B155" s="4"/>
      <c r="C155" s="4"/>
      <c r="D155" s="4"/>
      <c r="E155" s="11"/>
      <c r="F155" s="12" t="s">
        <v>90</v>
      </c>
      <c r="G155" s="34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38">
        <f t="shared" si="17"/>
        <v>0</v>
      </c>
    </row>
    <row r="156" spans="1:25" ht="61.5" customHeight="1" x14ac:dyDescent="0.35">
      <c r="A156" s="3">
        <v>219</v>
      </c>
      <c r="B156" s="4"/>
      <c r="C156" s="4"/>
      <c r="D156" s="4"/>
      <c r="E156" s="11"/>
      <c r="F156" s="12" t="s">
        <v>78</v>
      </c>
      <c r="G156" s="22"/>
      <c r="H156" s="9"/>
      <c r="I156" s="9"/>
      <c r="J156" s="9"/>
      <c r="K156" s="9">
        <f>(((C2+5)*1.6)*2)*D2</f>
        <v>40800</v>
      </c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37">
        <f t="shared" si="17"/>
        <v>40800</v>
      </c>
    </row>
    <row r="157" spans="1:25" ht="61.5" customHeight="1" x14ac:dyDescent="0.35">
      <c r="A157" s="3"/>
      <c r="B157" s="4"/>
      <c r="C157" s="4"/>
      <c r="D157" s="4"/>
      <c r="E157" s="11"/>
      <c r="F157" s="21" t="s">
        <v>330</v>
      </c>
      <c r="G157" s="22"/>
      <c r="H157" s="9"/>
      <c r="I157" s="9"/>
      <c r="J157" s="9"/>
      <c r="K157" s="9">
        <f>((C2+1)*11)*D2</f>
        <v>138050</v>
      </c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37">
        <f t="shared" si="17"/>
        <v>138050</v>
      </c>
    </row>
    <row r="158" spans="1:25" ht="61.5" customHeight="1" x14ac:dyDescent="0.35">
      <c r="A158" s="3">
        <v>226</v>
      </c>
      <c r="B158" s="4">
        <v>131</v>
      </c>
      <c r="C158" s="4"/>
      <c r="D158" s="4"/>
      <c r="E158" s="11" t="s">
        <v>77</v>
      </c>
      <c r="G158" s="22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37">
        <f t="shared" si="17"/>
        <v>0</v>
      </c>
    </row>
    <row r="163" spans="6:6" ht="41.25" customHeight="1" x14ac:dyDescent="0.35"/>
    <row r="164" spans="6:6" x14ac:dyDescent="0.35">
      <c r="F164" s="21">
        <v>8754</v>
      </c>
    </row>
    <row r="165" spans="6:6" x14ac:dyDescent="0.35">
      <c r="F165" s="21">
        <v>81728</v>
      </c>
    </row>
    <row r="166" spans="6:6" x14ac:dyDescent="0.35">
      <c r="F166" s="21">
        <v>0</v>
      </c>
    </row>
    <row r="167" spans="6:6" x14ac:dyDescent="0.35">
      <c r="F167" s="21">
        <v>8366</v>
      </c>
    </row>
    <row r="168" spans="6:6" x14ac:dyDescent="0.35">
      <c r="F168" s="21">
        <v>32482</v>
      </c>
    </row>
    <row r="169" spans="6:6" x14ac:dyDescent="0.35">
      <c r="F169" s="21">
        <v>0</v>
      </c>
    </row>
    <row r="170" spans="6:6" x14ac:dyDescent="0.35">
      <c r="F170" s="21">
        <v>134</v>
      </c>
    </row>
    <row r="171" spans="6:6" x14ac:dyDescent="0.35">
      <c r="F171" s="21">
        <v>0</v>
      </c>
    </row>
    <row r="172" spans="6:6" x14ac:dyDescent="0.35">
      <c r="F172" s="21">
        <v>1800</v>
      </c>
    </row>
    <row r="173" spans="6:6" x14ac:dyDescent="0.35">
      <c r="F173" s="21">
        <v>3050</v>
      </c>
    </row>
    <row r="174" spans="6:6" x14ac:dyDescent="0.35">
      <c r="F174" s="21">
        <v>0</v>
      </c>
    </row>
    <row r="175" spans="6:6" x14ac:dyDescent="0.35">
      <c r="F175" s="21">
        <v>2872</v>
      </c>
    </row>
    <row r="176" spans="6:6" x14ac:dyDescent="0.35">
      <c r="F176" s="21">
        <v>630</v>
      </c>
    </row>
    <row r="177" spans="6:6" x14ac:dyDescent="0.35">
      <c r="F177" s="21">
        <v>268</v>
      </c>
    </row>
    <row r="178" spans="6:6" x14ac:dyDescent="0.35">
      <c r="F178" s="21">
        <v>0</v>
      </c>
    </row>
    <row r="179" spans="6:6" x14ac:dyDescent="0.35">
      <c r="F179" s="21">
        <v>0</v>
      </c>
    </row>
    <row r="180" spans="6:6" x14ac:dyDescent="0.35">
      <c r="F180" s="21">
        <v>2770</v>
      </c>
    </row>
    <row r="181" spans="6:6" x14ac:dyDescent="0.35">
      <c r="F181" s="21">
        <v>17436</v>
      </c>
    </row>
    <row r="182" spans="6:6" x14ac:dyDescent="0.35">
      <c r="F182" s="21">
        <v>9952</v>
      </c>
    </row>
    <row r="183" spans="6:6" x14ac:dyDescent="0.35">
      <c r="F183" s="21">
        <v>0</v>
      </c>
    </row>
    <row r="184" spans="6:6" x14ac:dyDescent="0.35">
      <c r="F184" s="21">
        <v>6806</v>
      </c>
    </row>
    <row r="185" spans="6:6" x14ac:dyDescent="0.35">
      <c r="F185" s="21">
        <v>4830</v>
      </c>
    </row>
    <row r="186" spans="6:6" x14ac:dyDescent="0.35">
      <c r="F186" s="21">
        <v>30370</v>
      </c>
    </row>
    <row r="187" spans="6:6" x14ac:dyDescent="0.35">
      <c r="F187" s="21">
        <v>5580</v>
      </c>
    </row>
    <row r="188" spans="6:6" x14ac:dyDescent="0.35">
      <c r="F188" s="21">
        <v>0</v>
      </c>
    </row>
    <row r="189" spans="6:6" x14ac:dyDescent="0.35">
      <c r="F189" s="21">
        <v>8366</v>
      </c>
    </row>
    <row r="190" spans="6:6" x14ac:dyDescent="0.35">
      <c r="F190" s="21">
        <v>0</v>
      </c>
    </row>
    <row r="191" spans="6:6" x14ac:dyDescent="0.35">
      <c r="F191" s="21">
        <v>0</v>
      </c>
    </row>
    <row r="192" spans="6:6" x14ac:dyDescent="0.35">
      <c r="F192" s="21">
        <v>28044</v>
      </c>
    </row>
    <row r="193" spans="6:6" x14ac:dyDescent="0.35">
      <c r="F193" s="21">
        <v>14543</v>
      </c>
    </row>
    <row r="194" spans="6:6" x14ac:dyDescent="0.35">
      <c r="F194" s="21">
        <v>29210</v>
      </c>
    </row>
    <row r="195" spans="6:6" x14ac:dyDescent="0.35">
      <c r="F195" s="21">
        <v>1800</v>
      </c>
    </row>
    <row r="196" spans="6:6" x14ac:dyDescent="0.35">
      <c r="F196" s="21">
        <v>0</v>
      </c>
    </row>
    <row r="197" spans="6:6" x14ac:dyDescent="0.35">
      <c r="F197" s="21">
        <v>6806</v>
      </c>
    </row>
  </sheetData>
  <mergeCells count="30">
    <mergeCell ref="X3:X6"/>
    <mergeCell ref="U3:U6"/>
    <mergeCell ref="A145:Y145"/>
    <mergeCell ref="A108:Y108"/>
    <mergeCell ref="A102:Y102"/>
    <mergeCell ref="A100:Y100"/>
    <mergeCell ref="A96:Y96"/>
    <mergeCell ref="A89:Y89"/>
    <mergeCell ref="A87:Y87"/>
    <mergeCell ref="A80:Y80"/>
    <mergeCell ref="A75:Y75"/>
    <mergeCell ref="N3:N6"/>
    <mergeCell ref="O3:O6"/>
    <mergeCell ref="P3:P6"/>
    <mergeCell ref="Q3:Q6"/>
    <mergeCell ref="A3:A6"/>
    <mergeCell ref="T3:T6"/>
    <mergeCell ref="R3:R6"/>
    <mergeCell ref="A7:F7"/>
    <mergeCell ref="S3:S6"/>
    <mergeCell ref="H3:H6"/>
    <mergeCell ref="I3:I6"/>
    <mergeCell ref="G3:G6"/>
    <mergeCell ref="J3:J6"/>
    <mergeCell ref="K3:K6"/>
    <mergeCell ref="B3:B6"/>
    <mergeCell ref="C3:C6"/>
    <mergeCell ref="D3:D6"/>
    <mergeCell ref="E3:E6"/>
    <mergeCell ref="F3:F6"/>
  </mergeCells>
  <printOptions horizontalCentered="1"/>
  <pageMargins left="0" right="0" top="0" bottom="0" header="0.31496062992125984" footer="0.31496062992125984"/>
  <pageSetup paperSize="9" scale="10" fitToHeight="0" orientation="portrait" r:id="rId1"/>
  <headerFooter differentFirst="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4"/>
  <sheetViews>
    <sheetView workbookViewId="0">
      <selection activeCell="E8" sqref="E8"/>
    </sheetView>
  </sheetViews>
  <sheetFormatPr defaultRowHeight="14.5" x14ac:dyDescent="0.35"/>
  <cols>
    <col min="2" max="12" width="19" customWidth="1"/>
    <col min="13" max="13" width="21.90625" customWidth="1"/>
  </cols>
  <sheetData>
    <row r="1" spans="2:13" ht="15" customHeight="1" x14ac:dyDescent="0.35"/>
    <row r="2" spans="2:13" ht="23.25" customHeight="1" thickBot="1" x14ac:dyDescent="0.4"/>
    <row r="3" spans="2:13" ht="37.5" customHeight="1" x14ac:dyDescent="0.35">
      <c r="B3" s="24" t="s">
        <v>91</v>
      </c>
      <c r="C3" s="25" t="s">
        <v>92</v>
      </c>
      <c r="D3" s="25" t="s">
        <v>93</v>
      </c>
      <c r="E3" s="25" t="s">
        <v>94</v>
      </c>
      <c r="F3" s="25" t="s">
        <v>95</v>
      </c>
      <c r="G3" s="25" t="s">
        <v>96</v>
      </c>
      <c r="H3" s="25" t="s">
        <v>97</v>
      </c>
      <c r="I3" s="25" t="s">
        <v>98</v>
      </c>
      <c r="J3" s="26" t="s">
        <v>99</v>
      </c>
      <c r="K3" s="27" t="s">
        <v>100</v>
      </c>
      <c r="L3" s="27" t="s">
        <v>101</v>
      </c>
      <c r="M3" s="27" t="s">
        <v>80</v>
      </c>
    </row>
    <row r="4" spans="2:13" ht="33" customHeight="1" x14ac:dyDescent="0.35">
      <c r="B4" s="28">
        <v>0.68</v>
      </c>
      <c r="C4" s="29">
        <v>0.32</v>
      </c>
      <c r="D4" s="29">
        <v>0.93</v>
      </c>
      <c r="E4" s="29">
        <v>0.9</v>
      </c>
      <c r="F4" s="29">
        <v>0.83499999999999996</v>
      </c>
      <c r="G4" s="29">
        <v>0.76</v>
      </c>
      <c r="H4" s="29">
        <v>0.74</v>
      </c>
      <c r="I4" s="29">
        <v>0.78</v>
      </c>
      <c r="J4" s="30">
        <v>0.79</v>
      </c>
      <c r="K4" s="30">
        <v>0.87</v>
      </c>
      <c r="L4" s="30">
        <v>0.32500000000000001</v>
      </c>
      <c r="M4" s="3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MALZEME LİSTESİ</vt:lpstr>
      <vt:lpstr>SAC-BORU BİRİM FİYATLAR</vt:lpstr>
      <vt:lpstr>'MALZEME LİSTESİ'!Yazdırma_Alanı</vt:lpstr>
      <vt:lpstr>'MALZEME LİSTESİ'!Yazdırma_Başlıkları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Ahmet Yıldırır</cp:lastModifiedBy>
  <cp:lastPrinted>2025-08-14T14:05:48Z</cp:lastPrinted>
  <dcterms:created xsi:type="dcterms:W3CDTF">2018-11-09T08:58:00Z</dcterms:created>
  <dcterms:modified xsi:type="dcterms:W3CDTF">2025-08-14T14:07:58Z</dcterms:modified>
</cp:coreProperties>
</file>