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D940185A-9DF8-4552-AFFF-C70DFC8E39E3}" xr6:coauthVersionLast="34" xr6:coauthVersionMax="34" xr10:uidLastSave="{00000000-0000-0000-0000-000000000000}"/>
  <bookViews>
    <workbookView xWindow="240" yWindow="108" windowWidth="14808" windowHeight="8016" xr2:uid="{00000000-000D-0000-FFFF-FFFF00000000}"/>
  </bookViews>
  <sheets>
    <sheet name="Sources" sheetId="1" r:id="rId1"/>
    <sheet name="Lines" sheetId="2" r:id="rId2"/>
    <sheet name="Am-241" sheetId="5" r:id="rId3"/>
    <sheet name="Ba-133" sheetId="6" r:id="rId4"/>
    <sheet name="Co-60" sheetId="4" r:id="rId5"/>
    <sheet name="Cs-137" sheetId="3" r:id="rId6"/>
    <sheet name="Eu-152" sheetId="8" r:id="rId7"/>
  </sheets>
  <calcPr calcId="17902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M8" i="1" l="1"/>
  <c r="M14" i="1"/>
  <c r="M13" i="1"/>
  <c r="M4" i="1"/>
  <c r="M6" i="1"/>
  <c r="M9" i="1"/>
  <c r="M10" i="1"/>
  <c r="M11" i="1"/>
  <c r="M12" i="1"/>
  <c r="M15" i="1"/>
  <c r="M3" i="1"/>
  <c r="L7" i="1"/>
  <c r="L5" i="1"/>
  <c r="L4" i="1"/>
  <c r="L6" i="1"/>
  <c r="L9" i="1"/>
  <c r="L10" i="1"/>
  <c r="L11" i="1"/>
  <c r="L12" i="1"/>
  <c r="L15" i="1"/>
  <c r="L3" i="1"/>
  <c r="C5" i="1"/>
  <c r="E5" i="1"/>
  <c r="F5" i="1" s="1"/>
  <c r="I5" i="1"/>
  <c r="J5" i="1" s="1"/>
  <c r="L14" i="1"/>
  <c r="C14" i="1"/>
  <c r="E14" i="1"/>
  <c r="F14" i="1" s="1"/>
  <c r="I14" i="1"/>
  <c r="J14" i="1" s="1"/>
  <c r="I4" i="1"/>
  <c r="J4" i="1" s="1"/>
  <c r="I6" i="1"/>
  <c r="J6" i="1" s="1"/>
  <c r="I9" i="1"/>
  <c r="J9" i="1" s="1"/>
  <c r="I10" i="1"/>
  <c r="J10" i="1" s="1"/>
  <c r="I11" i="1"/>
  <c r="J11" i="1" s="1"/>
  <c r="I12" i="1"/>
  <c r="J12" i="1" s="1"/>
  <c r="I15" i="1"/>
  <c r="J15" i="1" s="1"/>
  <c r="E4" i="1"/>
  <c r="F4" i="1" s="1"/>
  <c r="E6" i="1"/>
  <c r="F6" i="1" s="1"/>
  <c r="E9" i="1"/>
  <c r="F9" i="1" s="1"/>
  <c r="E10" i="1"/>
  <c r="F10" i="1" s="1"/>
  <c r="E11" i="1"/>
  <c r="F11" i="1" s="1"/>
  <c r="E12" i="1"/>
  <c r="F12" i="1" s="1"/>
  <c r="E15" i="1"/>
  <c r="F15" i="1" s="1"/>
  <c r="C4" i="1"/>
  <c r="C6" i="1"/>
  <c r="C9" i="1"/>
  <c r="C10" i="1"/>
  <c r="C11" i="1"/>
  <c r="C12" i="1"/>
  <c r="C15" i="1"/>
  <c r="H15" i="1" l="1"/>
  <c r="K15" i="1" s="1"/>
  <c r="H9" i="1"/>
  <c r="K9" i="1" s="1"/>
  <c r="H4" i="1"/>
  <c r="K4" i="1" s="1"/>
  <c r="H12" i="1"/>
  <c r="K12" i="1" s="1"/>
  <c r="H6" i="1"/>
  <c r="K6" i="1" s="1"/>
  <c r="H11" i="1"/>
  <c r="K11" i="1" s="1"/>
  <c r="H10" i="1"/>
  <c r="K10" i="1" s="1"/>
  <c r="H5" i="1"/>
  <c r="K5" i="1" s="1"/>
  <c r="H14" i="1"/>
  <c r="K14" i="1" s="1"/>
  <c r="O14" i="1" s="1"/>
  <c r="I9" i="8"/>
  <c r="I8" i="8"/>
  <c r="I7" i="8"/>
  <c r="I6" i="8"/>
  <c r="I5" i="8"/>
  <c r="I4" i="8"/>
  <c r="I3" i="8"/>
  <c r="I2" i="8"/>
  <c r="G2" i="3"/>
  <c r="E3" i="4"/>
  <c r="E2" i="4"/>
  <c r="I3" i="6"/>
  <c r="I2" i="6"/>
  <c r="G18" i="1"/>
  <c r="O5" i="1" l="1"/>
  <c r="P5" i="1" s="1"/>
  <c r="O10" i="1"/>
  <c r="O4" i="1"/>
  <c r="P4" i="1" s="1"/>
  <c r="O12" i="1"/>
  <c r="P12" i="1" s="1"/>
  <c r="O11" i="1"/>
  <c r="O9" i="1"/>
  <c r="P9" i="1" s="1"/>
  <c r="O6" i="1"/>
  <c r="O15" i="1"/>
  <c r="P14" i="1"/>
  <c r="P10" i="1"/>
  <c r="P11" i="1"/>
  <c r="P15" i="1"/>
  <c r="P6" i="1"/>
  <c r="I3" i="1"/>
  <c r="J3" i="1" s="1"/>
  <c r="I13" i="1"/>
  <c r="J13" i="1" s="1"/>
  <c r="I8" i="1"/>
  <c r="J8" i="1" s="1"/>
  <c r="I7" i="1"/>
  <c r="J7" i="1" s="1"/>
  <c r="L8" i="1"/>
  <c r="L13" i="1"/>
  <c r="L2" i="1"/>
  <c r="E2" i="5"/>
  <c r="I2" i="1"/>
  <c r="J2" i="1" s="1"/>
  <c r="F28" i="8" l="1"/>
  <c r="F27" i="8"/>
  <c r="F18" i="8"/>
  <c r="F17" i="8"/>
  <c r="F8" i="8"/>
  <c r="F7" i="8"/>
  <c r="D7" i="3" l="1"/>
  <c r="E7" i="1" l="1"/>
  <c r="C7" i="1"/>
  <c r="F7" i="1" l="1"/>
  <c r="H7" i="1" s="1"/>
  <c r="K7" i="1" s="1"/>
  <c r="E22" i="1"/>
  <c r="C3" i="1"/>
  <c r="C13" i="1"/>
  <c r="C8" i="1"/>
  <c r="C2" i="1"/>
  <c r="O7" i="1" l="1"/>
  <c r="P7" i="1" s="1"/>
  <c r="E3" i="1"/>
  <c r="E19" i="1" l="1"/>
  <c r="F3" i="1"/>
  <c r="H3" i="1" s="1"/>
  <c r="K3" i="1" s="1"/>
  <c r="E8" i="1"/>
  <c r="E2" i="1"/>
  <c r="E13" i="1"/>
  <c r="O3" i="1" l="1"/>
  <c r="P3" i="1" s="1"/>
  <c r="E18" i="1"/>
  <c r="F2" i="1"/>
  <c r="H2" i="1" s="1"/>
  <c r="K2" i="1" s="1"/>
  <c r="E21" i="1"/>
  <c r="F8" i="1"/>
  <c r="H8" i="1" s="1"/>
  <c r="K8" i="1" s="1"/>
  <c r="E20" i="1"/>
  <c r="F13" i="1"/>
  <c r="H13" i="1" s="1"/>
  <c r="K13" i="1" s="1"/>
  <c r="O13" i="1" l="1"/>
  <c r="P13" i="1" s="1"/>
  <c r="O2" i="1"/>
  <c r="P2" i="1" s="1"/>
  <c r="O8" i="1"/>
  <c r="P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4C2CACFF-7434-4C86-87A7-3A8C47CBEA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 source activity</t>
        </r>
      </text>
    </comment>
    <comment ref="G1" authorId="0" shapeId="0" xr:uid="{595E1C27-61A7-42FA-BD1F-6C29DB43BD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hour of measurement were listed but I am not considering those since the intial date doesn't have a time. Also, all the half-lives are years so a matter of hours will not effect it greatly</t>
        </r>
      </text>
    </comment>
    <comment ref="H1" authorId="0" shapeId="0" xr:uid="{CC7EF21C-1011-4677-805F-DD446603C3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activity of decayed source in μCi</t>
        </r>
      </text>
    </comment>
    <comment ref="K1" authorId="0" shapeId="0" xr:uid="{D6624472-9D20-421B-8489-1DF1B38735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convert decayed activity into Bq (decays/s)</t>
        </r>
      </text>
    </comment>
    <comment ref="P1" authorId="0" shapeId="0" xr:uid="{7CD201FD-B5BD-4C18-91A0-3FE8598F75C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# counts / # expected counts (from decayed activity)</t>
        </r>
      </text>
    </comment>
    <comment ref="E17" authorId="0" shapeId="0" xr:uid="{B1FD91FC-BA35-42EB-BEA5-C4FD45565A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reference</t>
        </r>
      </text>
    </comment>
    <comment ref="G17" authorId="0" shapeId="0" xr:uid="{A8A37B57-2C71-49CE-B877-DB6864FB1A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solid angle calculation</t>
        </r>
      </text>
    </comment>
  </commentList>
</comments>
</file>

<file path=xl/sharedStrings.xml><?xml version="1.0" encoding="utf-8"?>
<sst xmlns="http://schemas.openxmlformats.org/spreadsheetml/2006/main" count="264" uniqueCount="87">
  <si>
    <t>Source</t>
  </si>
  <si>
    <r>
      <t>Initial Date [</t>
    </r>
    <r>
      <rPr>
        <sz val="11"/>
        <color theme="1"/>
        <rFont val="Calibri"/>
        <family val="2"/>
      </rPr>
      <t>μ]</t>
    </r>
  </si>
  <si>
    <t>Am241</t>
  </si>
  <si>
    <t>Eu152</t>
  </si>
  <si>
    <t>Co60</t>
  </si>
  <si>
    <t>Cs137</t>
  </si>
  <si>
    <t>Ba133</t>
  </si>
  <si>
    <t>Half Life [s]</t>
  </si>
  <si>
    <t>Line [keV]</t>
  </si>
  <si>
    <t>BR</t>
  </si>
  <si>
    <t xml:space="preserve">Cs137    </t>
  </si>
  <si>
    <t xml:space="preserve">Eu152    </t>
  </si>
  <si>
    <t xml:space="preserve">Ba133    </t>
  </si>
  <si>
    <t>Isotope</t>
  </si>
  <si>
    <t xml:space="preserve">Co60     </t>
  </si>
  <si>
    <t>Peak Centroid</t>
  </si>
  <si>
    <t>Peak FWHM</t>
  </si>
  <si>
    <t>total ROI Counts</t>
  </si>
  <si>
    <t>Net Peak Area</t>
  </si>
  <si>
    <t>Reduced Chi-Squared</t>
  </si>
  <si>
    <t>Gaussian 2</t>
  </si>
  <si>
    <t>Gaussian 1</t>
  </si>
  <si>
    <t>uncert.</t>
  </si>
  <si>
    <t>FWHM %</t>
  </si>
  <si>
    <t>Sum</t>
  </si>
  <si>
    <t xml:space="preserve">Notes </t>
  </si>
  <si>
    <t>Co-60 1173.23</t>
  </si>
  <si>
    <t>Co-60 1332.49</t>
  </si>
  <si>
    <t>Gaussian</t>
  </si>
  <si>
    <t>Notes</t>
  </si>
  <si>
    <t>use low energy tail, better chi-squared value</t>
  </si>
  <si>
    <t>number of Gaussians: Auto</t>
  </si>
  <si>
    <t>add low energy tail</t>
  </si>
  <si>
    <t>linear background</t>
  </si>
  <si>
    <t>Ba-133 81keV</t>
  </si>
  <si>
    <t>Ba-133 276.4keV</t>
  </si>
  <si>
    <t>http://www.nndc.bnl.gov/chart/reCenter.jsp?z=49&amp;n=66</t>
  </si>
  <si>
    <t>Peak Centroid (keV)</t>
  </si>
  <si>
    <t>Peak FWHM (keV)</t>
  </si>
  <si>
    <t>used 3 Gaussins to describe ripples by large peak</t>
  </si>
  <si>
    <t>better chi-squared value and fit tails better</t>
  </si>
  <si>
    <t>Ba-133 302.85keV</t>
  </si>
  <si>
    <t>pulling tails out ws better for this peak</t>
  </si>
  <si>
    <t>Ba-133 356.01keV</t>
  </si>
  <si>
    <t>Am-241 (59.5409keV)</t>
  </si>
  <si>
    <t>Cs-137 661.657</t>
  </si>
  <si>
    <t>close in with the tails was the best for chi-sq</t>
  </si>
  <si>
    <t>Eu-152 (121.7keV)</t>
  </si>
  <si>
    <t>Eu-152 (244.7keV)</t>
  </si>
  <si>
    <t>Eu-152 (344.29keV)</t>
  </si>
  <si>
    <t>Eu-152 (778.9keV)</t>
  </si>
  <si>
    <t>Eu-152 (1408.01keV)</t>
  </si>
  <si>
    <t>Eu-152 (1112.08keV)</t>
  </si>
  <si>
    <t>Eu-152 (1085.837keV)</t>
  </si>
  <si>
    <t>Eu-152 (964.06keV)</t>
  </si>
  <si>
    <t xml:space="preserve">stretch out right tail, stay narrow on left </t>
  </si>
  <si>
    <t>8349.4, 1274.8</t>
  </si>
  <si>
    <t>97.1, 48.7</t>
  </si>
  <si>
    <t>6471.2, 741.1</t>
  </si>
  <si>
    <t>86.9, 42.6</t>
  </si>
  <si>
    <t>2 Gaussians</t>
  </si>
  <si>
    <t>6692, 1329.1</t>
  </si>
  <si>
    <t>88.1, 49.0</t>
  </si>
  <si>
    <t>l</t>
  </si>
  <si>
    <t>Activity</t>
  </si>
  <si>
    <t>t_1/2 [yrs]</t>
  </si>
  <si>
    <t>source age [s]</t>
  </si>
  <si>
    <t>Efficiency</t>
  </si>
  <si>
    <t>peak counts</t>
  </si>
  <si>
    <t>expected counts</t>
  </si>
  <si>
    <t>decays/s</t>
  </si>
  <si>
    <t>live time [s]</t>
  </si>
  <si>
    <t>age [days]</t>
  </si>
  <si>
    <t>counts [decay/s]</t>
  </si>
  <si>
    <r>
      <t>Activity [</t>
    </r>
    <r>
      <rPr>
        <sz val="11"/>
        <color theme="1"/>
        <rFont val="Calibri"/>
        <family val="2"/>
      </rPr>
      <t>μCi]</t>
    </r>
  </si>
  <si>
    <t>Date</t>
  </si>
  <si>
    <t>Conversion (Ci to Bq)</t>
  </si>
  <si>
    <t>Rel. Uncert.</t>
  </si>
  <si>
    <t>Ω</t>
  </si>
  <si>
    <t>peaks</t>
  </si>
  <si>
    <t>Energies</t>
  </si>
  <si>
    <t>peak</t>
  </si>
  <si>
    <t>Energy</t>
  </si>
  <si>
    <t>energy</t>
  </si>
  <si>
    <t>energies</t>
  </si>
  <si>
    <t>Branching ratios</t>
  </si>
  <si>
    <t>isotope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</si>
</sst>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B050"/>
      <name val="Symbol"/>
      <family val="1"/>
      <charset val="2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2" borderId="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0" borderId="0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0" xfId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8" xfId="0" applyFill="1" applyBorder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10" xfId="0" applyBorder="1" applyAlignment="1">
      <alignment horizontal="left"/>
    </xf>
    <xf numFmtId="11" fontId="0" fillId="0" borderId="4" xfId="0" applyNumberForma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>
      <alignment horizontal="center"/>
    </xf>
    <xf numFmtId="1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11" fontId="4" fillId="0" borderId="0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1" fontId="4" fillId="0" borderId="3" xfId="0" applyNumberFormat="1" applyFont="1" applyBorder="1" applyAlignment="1">
      <alignment horizontal="center"/>
    </xf>
    <xf numFmtId="11" fontId="4" fillId="0" borderId="10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ndc.bnl.gov/chart/reCenter.jsp?z=49&amp;n=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Normal="100" workbookViewId="0">
      <selection activeCell="M21" sqref="M21"/>
    </sheetView>
  </sheetViews>
  <sheetFormatPr defaultRowHeight="14.4" x14ac:dyDescent="0.3"/>
  <cols>
    <col min="2" max="2" width="11.44140625" style="22" bestFit="1" customWidth="1"/>
    <col min="3" max="3" width="12" style="22" bestFit="1" customWidth="1"/>
    <col min="4" max="4" width="13.77734375" style="22" customWidth="1"/>
    <col min="5" max="5" width="12" style="22" bestFit="1" customWidth="1"/>
    <col min="6" max="8" width="12" style="29" bestFit="1" customWidth="1"/>
    <col min="9" max="9" width="9.33203125" style="29" bestFit="1" customWidth="1"/>
    <col min="10" max="10" width="12.44140625" style="29" bestFit="1" customWidth="1"/>
    <col min="11" max="11" width="14.6640625" style="29" bestFit="1" customWidth="1"/>
    <col min="12" max="12" width="10.77734375" style="29" bestFit="1" customWidth="1"/>
    <col min="13" max="13" width="10.77734375" style="29" customWidth="1"/>
    <col min="14" max="14" width="10.44140625" style="29" bestFit="1" customWidth="1"/>
    <col min="15" max="15" width="14.44140625" style="29" bestFit="1" customWidth="1"/>
    <col min="16" max="16" width="10.33203125" style="22" customWidth="1"/>
    <col min="17" max="18" width="0" hidden="1" customWidth="1"/>
  </cols>
  <sheetData>
    <row r="1" spans="1:18" x14ac:dyDescent="0.3">
      <c r="A1" s="14" t="s">
        <v>0</v>
      </c>
      <c r="B1" s="5" t="s">
        <v>74</v>
      </c>
      <c r="C1" s="5" t="s">
        <v>77</v>
      </c>
      <c r="D1" s="5" t="s">
        <v>1</v>
      </c>
      <c r="E1" s="5" t="s">
        <v>7</v>
      </c>
      <c r="F1" s="43" t="s">
        <v>63</v>
      </c>
      <c r="G1" s="39" t="s">
        <v>75</v>
      </c>
      <c r="H1" s="39" t="s">
        <v>64</v>
      </c>
      <c r="I1" s="39" t="s">
        <v>72</v>
      </c>
      <c r="J1" s="39" t="s">
        <v>66</v>
      </c>
      <c r="K1" s="44" t="s">
        <v>73</v>
      </c>
      <c r="L1" s="39" t="s">
        <v>68</v>
      </c>
      <c r="M1" s="39" t="s">
        <v>82</v>
      </c>
      <c r="N1" s="39" t="s">
        <v>71</v>
      </c>
      <c r="O1" s="39" t="s">
        <v>69</v>
      </c>
      <c r="P1" s="45" t="s">
        <v>67</v>
      </c>
    </row>
    <row r="2" spans="1:18" x14ac:dyDescent="0.3">
      <c r="A2" s="9" t="s">
        <v>2</v>
      </c>
      <c r="B2" s="23">
        <v>10.3</v>
      </c>
      <c r="C2" s="23">
        <f>0.03/2.575</f>
        <v>1.1650485436893203E-2</v>
      </c>
      <c r="D2" s="46">
        <v>25569</v>
      </c>
      <c r="E2" s="23">
        <f>432.6*31540000</f>
        <v>13644204000</v>
      </c>
      <c r="F2" s="47">
        <f>LN(2)/E2</f>
        <v>5.0801584362117808E-11</v>
      </c>
      <c r="G2" s="48">
        <v>42844</v>
      </c>
      <c r="H2" s="47">
        <f>B2*EXP(-F2*J2)</f>
        <v>9.5478832668988556</v>
      </c>
      <c r="I2" s="47">
        <f>G2-D2</f>
        <v>17275</v>
      </c>
      <c r="J2" s="47">
        <f>I2*3600*24</f>
        <v>1492560000</v>
      </c>
      <c r="K2" s="49">
        <f t="shared" ref="K2:K13" si="0">H2*(10^-6)*$B$18</f>
        <v>353271.68087525765</v>
      </c>
      <c r="L2" s="32">
        <f>'Am-241'!E2</f>
        <v>45745.9</v>
      </c>
      <c r="M2" s="47">
        <v>59.540900000000001</v>
      </c>
      <c r="N2" s="32">
        <v>61</v>
      </c>
      <c r="O2" s="49">
        <f>K2*N2*$G$18*K18</f>
        <v>4049024.8805477382</v>
      </c>
      <c r="P2" s="56">
        <f>L2/O2</f>
        <v>1.1298004173738654E-2</v>
      </c>
      <c r="Q2">
        <f>-0.000000000009833*L3+0.00000003205*L3-0.00003398*L3+0.0137</f>
        <v>-2.8746840820831894</v>
      </c>
      <c r="R2">
        <f>0.000000000009833*L3+0.00000003205*L3+0.00003398*L3+0.0137</f>
        <v>2.9075378831531897</v>
      </c>
    </row>
    <row r="3" spans="1:18" x14ac:dyDescent="0.3">
      <c r="A3" s="9" t="s">
        <v>3</v>
      </c>
      <c r="B3" s="23">
        <v>1.0620000000000001</v>
      </c>
      <c r="C3" s="23">
        <f t="shared" ref="C3:C15" si="1">0.03/2.575</f>
        <v>1.1650485436893203E-2</v>
      </c>
      <c r="D3" s="46">
        <v>39814</v>
      </c>
      <c r="E3" s="23">
        <f>13.517*31540000</f>
        <v>426326180</v>
      </c>
      <c r="F3" s="47">
        <f t="shared" ref="F3:F13" si="2">LN(2)/E3</f>
        <v>1.6258611670527607E-9</v>
      </c>
      <c r="G3" s="48">
        <v>42844</v>
      </c>
      <c r="H3" s="47">
        <f t="shared" ref="H3:H13" si="3">B3*EXP(-F3*J3)</f>
        <v>0.69386107139469144</v>
      </c>
      <c r="I3" s="47">
        <f t="shared" ref="I3:I13" si="4">G3-D3</f>
        <v>3030</v>
      </c>
      <c r="J3" s="47">
        <f t="shared" ref="J3:J13" si="5">I3*3600*24</f>
        <v>261792000</v>
      </c>
      <c r="K3" s="49">
        <f t="shared" si="0"/>
        <v>25672.85964160358</v>
      </c>
      <c r="L3" s="47">
        <f>'Eu-152'!I2</f>
        <v>85082.7</v>
      </c>
      <c r="M3" s="47">
        <f>'Eu-152'!J2</f>
        <v>121.7</v>
      </c>
      <c r="N3" s="47">
        <v>2108</v>
      </c>
      <c r="O3" s="49">
        <f>K3*N3*$G$18*K26</f>
        <v>8080978.6949235136</v>
      </c>
      <c r="P3" s="56">
        <f>L3/O3</f>
        <v>1.0528761826021037E-2</v>
      </c>
      <c r="Q3">
        <f t="shared" ref="Q3:Q15" si="6">-0.000000000009833*L4+0.00000003205*L4-0.00003398*L4+0.0137</f>
        <v>-0.51670971402275856</v>
      </c>
      <c r="R3">
        <f t="shared" ref="R3:R15" si="7">0.000000000009833*L4+0.00000003205*L4+0.00003398*L4+0.0137</f>
        <v>0.54511122524275868</v>
      </c>
    </row>
    <row r="4" spans="1:18" x14ac:dyDescent="0.3">
      <c r="A4" s="9" t="s">
        <v>3</v>
      </c>
      <c r="B4" s="23">
        <v>1.0620000000000001</v>
      </c>
      <c r="C4" s="23">
        <f t="shared" si="1"/>
        <v>1.1650485436893203E-2</v>
      </c>
      <c r="D4" s="46">
        <v>39814</v>
      </c>
      <c r="E4" s="23">
        <f t="shared" ref="E4:E15" si="8">13.517*31540000</f>
        <v>426326180</v>
      </c>
      <c r="F4" s="47">
        <f t="shared" si="2"/>
        <v>1.6258611670527607E-9</v>
      </c>
      <c r="G4" s="48">
        <v>42844</v>
      </c>
      <c r="H4" s="47">
        <f t="shared" si="3"/>
        <v>0.69386107139469144</v>
      </c>
      <c r="I4" s="47">
        <f t="shared" si="4"/>
        <v>3030</v>
      </c>
      <c r="J4" s="47">
        <f t="shared" si="5"/>
        <v>261792000</v>
      </c>
      <c r="K4" s="49">
        <f t="shared" si="0"/>
        <v>25672.85964160358</v>
      </c>
      <c r="L4" s="47">
        <f>'Eu-152'!I3</f>
        <v>15624.2</v>
      </c>
      <c r="M4" s="47">
        <f>'Eu-152'!J3</f>
        <v>244.7</v>
      </c>
      <c r="N4" s="47">
        <v>2108</v>
      </c>
      <c r="O4" s="49">
        <f>K4*N4*$G$18*K27</f>
        <v>2138499.4443278136</v>
      </c>
      <c r="P4" s="56">
        <f>L4/O4</f>
        <v>7.3061510684241009E-3</v>
      </c>
      <c r="Q4">
        <f t="shared" si="6"/>
        <v>-0.80747059519642028</v>
      </c>
      <c r="R4">
        <f t="shared" si="7"/>
        <v>0.83642111650642037</v>
      </c>
    </row>
    <row r="5" spans="1:18" x14ac:dyDescent="0.3">
      <c r="A5" s="9" t="s">
        <v>6</v>
      </c>
      <c r="B5" s="23">
        <v>1.0780000000000001</v>
      </c>
      <c r="C5" s="23">
        <f t="shared" si="1"/>
        <v>1.1650485436893203E-2</v>
      </c>
      <c r="D5" s="46">
        <v>39814</v>
      </c>
      <c r="E5" s="23">
        <f>10.551*365*24*3600</f>
        <v>332736336.00000006</v>
      </c>
      <c r="F5" s="47">
        <f t="shared" ref="F5" si="9">LN(2)/E5</f>
        <v>2.0831724869385625E-9</v>
      </c>
      <c r="G5" s="48">
        <v>42844</v>
      </c>
      <c r="H5" s="47">
        <f t="shared" ref="H5" si="10">B5*EXP(-F5*J5)</f>
        <v>0.62484577530128749</v>
      </c>
      <c r="I5" s="47">
        <f t="shared" ref="I5" si="11">G5-D5</f>
        <v>3030</v>
      </c>
      <c r="J5" s="47">
        <f t="shared" ref="J5" si="12">I5*3600*24</f>
        <v>261792000</v>
      </c>
      <c r="K5" s="49">
        <f t="shared" si="0"/>
        <v>23119.293686147637</v>
      </c>
      <c r="L5" s="47">
        <f>'Ba-133'!I2</f>
        <v>24189.1</v>
      </c>
      <c r="M5" s="47">
        <v>302.85000000000002</v>
      </c>
      <c r="N5" s="47">
        <v>1826</v>
      </c>
      <c r="O5" s="49">
        <f>K5*N5*$G$18*K24</f>
        <v>4052210.5560166594</v>
      </c>
      <c r="P5" s="56">
        <f t="shared" ref="P5:P7" si="13">L5/O5</f>
        <v>5.969359110445137E-3</v>
      </c>
      <c r="Q5">
        <f t="shared" si="6"/>
        <v>-1.3766353001645317</v>
      </c>
      <c r="R5">
        <f t="shared" si="7"/>
        <v>1.4066605092545319</v>
      </c>
    </row>
    <row r="6" spans="1:18" x14ac:dyDescent="0.3">
      <c r="A6" s="9" t="s">
        <v>3</v>
      </c>
      <c r="B6" s="23">
        <v>1.0620000000000001</v>
      </c>
      <c r="C6" s="23">
        <f t="shared" si="1"/>
        <v>1.1650485436893203E-2</v>
      </c>
      <c r="D6" s="46">
        <v>39814</v>
      </c>
      <c r="E6" s="23">
        <f t="shared" si="8"/>
        <v>426326180</v>
      </c>
      <c r="F6" s="47">
        <f>LN(2)/E6</f>
        <v>1.6258611670527607E-9</v>
      </c>
      <c r="G6" s="48">
        <v>42844</v>
      </c>
      <c r="H6" s="47">
        <f>B6*EXP(-F6*J6)</f>
        <v>0.69386107139469144</v>
      </c>
      <c r="I6" s="47">
        <f>G6-D6</f>
        <v>3030</v>
      </c>
      <c r="J6" s="47">
        <f>I6*3600*24</f>
        <v>261792000</v>
      </c>
      <c r="K6" s="49">
        <f t="shared" si="0"/>
        <v>25672.85964160358</v>
      </c>
      <c r="L6" s="47">
        <f>'Eu-152'!I4</f>
        <v>40954.9</v>
      </c>
      <c r="M6" s="47">
        <f>'Eu-152'!J4</f>
        <v>344.38</v>
      </c>
      <c r="N6" s="47">
        <v>2108</v>
      </c>
      <c r="O6" s="49">
        <f>K6*N6*$G$18*K28</f>
        <v>7531483.4734670958</v>
      </c>
      <c r="P6" s="56">
        <f>L6/O6</f>
        <v>5.4378264447211937E-3</v>
      </c>
      <c r="Q6">
        <f t="shared" si="6"/>
        <v>-2.4387922778274693</v>
      </c>
      <c r="R6">
        <f t="shared" si="7"/>
        <v>2.4708230348974691</v>
      </c>
    </row>
    <row r="7" spans="1:18" x14ac:dyDescent="0.3">
      <c r="A7" s="9" t="s">
        <v>6</v>
      </c>
      <c r="B7" s="23">
        <v>1.0780000000000001</v>
      </c>
      <c r="C7" s="23">
        <f t="shared" si="1"/>
        <v>1.1650485436893203E-2</v>
      </c>
      <c r="D7" s="46">
        <v>39814</v>
      </c>
      <c r="E7" s="23">
        <f>10.551*365*24*3600</f>
        <v>332736336.00000006</v>
      </c>
      <c r="F7" s="47">
        <f>LN(2)/E7</f>
        <v>2.0831724869385625E-9</v>
      </c>
      <c r="G7" s="48">
        <v>42844</v>
      </c>
      <c r="H7" s="47">
        <f>B7*EXP(-F7*J7)</f>
        <v>0.62484577530128749</v>
      </c>
      <c r="I7" s="47">
        <f>G7-D7</f>
        <v>3030</v>
      </c>
      <c r="J7" s="47">
        <f>I7*3600*24</f>
        <v>261792000</v>
      </c>
      <c r="K7" s="49">
        <f t="shared" si="0"/>
        <v>23119.293686147637</v>
      </c>
      <c r="L7" s="47">
        <f>'Ba-133'!I3</f>
        <v>72242.7</v>
      </c>
      <c r="M7" s="47">
        <v>356.01</v>
      </c>
      <c r="N7" s="47">
        <v>1826</v>
      </c>
      <c r="O7" s="49">
        <f>K7*N7*$G$18*K25</f>
        <v>13709905.398082534</v>
      </c>
      <c r="P7" s="56">
        <f t="shared" si="13"/>
        <v>5.2693799047004259E-3</v>
      </c>
      <c r="Q7">
        <f t="shared" si="6"/>
        <v>-0.45028374101752755</v>
      </c>
      <c r="R7">
        <f t="shared" si="7"/>
        <v>0.47855982776752753</v>
      </c>
    </row>
    <row r="8" spans="1:18" x14ac:dyDescent="0.3">
      <c r="A8" s="9" t="s">
        <v>5</v>
      </c>
      <c r="B8" s="23">
        <v>1.042</v>
      </c>
      <c r="C8" s="23">
        <f t="shared" si="1"/>
        <v>1.1650485436893203E-2</v>
      </c>
      <c r="D8" s="46">
        <v>39814</v>
      </c>
      <c r="E8" s="23">
        <f>30.08*31540000</f>
        <v>948723200</v>
      </c>
      <c r="F8" s="47">
        <f>LN(2)/E8</f>
        <v>7.306105516972129E-10</v>
      </c>
      <c r="G8" s="48">
        <v>42844</v>
      </c>
      <c r="H8" s="47">
        <f>B8*EXP(-F8*J8)</f>
        <v>0.86059948739141878</v>
      </c>
      <c r="I8" s="47">
        <f>G8-D8</f>
        <v>3030</v>
      </c>
      <c r="J8" s="47">
        <f>I8*3600*24</f>
        <v>261792000</v>
      </c>
      <c r="K8" s="49">
        <f t="shared" si="0"/>
        <v>31842.181033482491</v>
      </c>
      <c r="L8" s="47">
        <f>'Cs-137'!G2</f>
        <v>13667.5</v>
      </c>
      <c r="M8" s="47">
        <f>'Cs-137'!H2</f>
        <v>661.65700000000004</v>
      </c>
      <c r="N8" s="47">
        <v>299</v>
      </c>
      <c r="O8" s="49">
        <f>K8*N8*$G$18*K19</f>
        <v>4240537.3491211664</v>
      </c>
      <c r="P8" s="56">
        <f t="shared" ref="P8:P13" si="14">L8/O8</f>
        <v>3.2230585123445574E-3</v>
      </c>
      <c r="Q8">
        <f t="shared" si="6"/>
        <v>-2.04584371839646E-2</v>
      </c>
      <c r="R8">
        <f t="shared" si="7"/>
        <v>4.7922934603964601E-2</v>
      </c>
    </row>
    <row r="9" spans="1:18" x14ac:dyDescent="0.3">
      <c r="A9" s="9" t="s">
        <v>3</v>
      </c>
      <c r="B9" s="23">
        <v>1.0620000000000001</v>
      </c>
      <c r="C9" s="23">
        <f t="shared" si="1"/>
        <v>1.1650485436893203E-2</v>
      </c>
      <c r="D9" s="46">
        <v>39814</v>
      </c>
      <c r="E9" s="23">
        <f t="shared" si="8"/>
        <v>426326180</v>
      </c>
      <c r="F9" s="47">
        <f t="shared" si="2"/>
        <v>1.6258611670527607E-9</v>
      </c>
      <c r="G9" s="48">
        <v>42844</v>
      </c>
      <c r="H9" s="47">
        <f t="shared" si="3"/>
        <v>0.69386107139469144</v>
      </c>
      <c r="I9" s="47">
        <f t="shared" si="4"/>
        <v>3030</v>
      </c>
      <c r="J9" s="47">
        <f t="shared" si="5"/>
        <v>261792000</v>
      </c>
      <c r="K9" s="49">
        <f t="shared" si="0"/>
        <v>25672.85964160358</v>
      </c>
      <c r="L9" s="47">
        <f>'Eu-152'!I5</f>
        <v>1006.2</v>
      </c>
      <c r="M9" s="47">
        <f>'Eu-152'!J5</f>
        <v>778.9</v>
      </c>
      <c r="N9" s="47">
        <v>2108</v>
      </c>
      <c r="O9" s="49">
        <f>K9*N9*$G$18*K29</f>
        <v>3662357.3265110771</v>
      </c>
      <c r="P9" s="56">
        <f t="shared" si="14"/>
        <v>2.747410780254341E-4</v>
      </c>
      <c r="Q9">
        <f t="shared" si="6"/>
        <v>-0.3130219550247586</v>
      </c>
      <c r="R9">
        <f t="shared" si="7"/>
        <v>0.3410388662447586</v>
      </c>
    </row>
    <row r="10" spans="1:18" x14ac:dyDescent="0.3">
      <c r="A10" s="9" t="s">
        <v>3</v>
      </c>
      <c r="B10" s="23">
        <v>1.0620000000000001</v>
      </c>
      <c r="C10" s="23">
        <f t="shared" si="1"/>
        <v>1.1650485436893203E-2</v>
      </c>
      <c r="D10" s="46">
        <v>39814</v>
      </c>
      <c r="E10" s="23">
        <f t="shared" si="8"/>
        <v>426326180</v>
      </c>
      <c r="F10" s="47">
        <f t="shared" si="2"/>
        <v>1.6258611670527607E-9</v>
      </c>
      <c r="G10" s="48">
        <v>42844</v>
      </c>
      <c r="H10" s="47">
        <f t="shared" si="3"/>
        <v>0.69386107139469144</v>
      </c>
      <c r="I10" s="47">
        <f t="shared" si="4"/>
        <v>3030</v>
      </c>
      <c r="J10" s="47">
        <f t="shared" si="5"/>
        <v>261792000</v>
      </c>
      <c r="K10" s="49">
        <f t="shared" si="0"/>
        <v>25672.85964160358</v>
      </c>
      <c r="L10" s="47">
        <f>'Eu-152'!I6</f>
        <v>9624.1999999999989</v>
      </c>
      <c r="M10" s="47">
        <f>'Eu-152'!J6</f>
        <v>964.06</v>
      </c>
      <c r="N10" s="47">
        <v>2108</v>
      </c>
      <c r="O10" s="49">
        <f>K10*N10*$G$18*K30</f>
        <v>4109884.3625425934</v>
      </c>
      <c r="P10" s="56">
        <f t="shared" si="14"/>
        <v>2.3417203870052332E-3</v>
      </c>
      <c r="Q10">
        <f t="shared" si="6"/>
        <v>-0.23114287070354594</v>
      </c>
      <c r="R10">
        <f t="shared" si="7"/>
        <v>0.25900517913354593</v>
      </c>
    </row>
    <row r="11" spans="1:18" x14ac:dyDescent="0.3">
      <c r="A11" s="9" t="s">
        <v>3</v>
      </c>
      <c r="B11" s="23">
        <v>1.0620000000000001</v>
      </c>
      <c r="C11" s="23">
        <f t="shared" si="1"/>
        <v>1.1650485436893203E-2</v>
      </c>
      <c r="D11" s="46">
        <v>39814</v>
      </c>
      <c r="E11" s="23">
        <f t="shared" si="8"/>
        <v>426326180</v>
      </c>
      <c r="F11" s="47">
        <f t="shared" si="2"/>
        <v>1.6258611670527607E-9</v>
      </c>
      <c r="G11" s="48">
        <v>42844</v>
      </c>
      <c r="H11" s="47">
        <f t="shared" si="3"/>
        <v>0.69386107139469144</v>
      </c>
      <c r="I11" s="47">
        <f t="shared" si="4"/>
        <v>3030</v>
      </c>
      <c r="J11" s="47">
        <f t="shared" si="5"/>
        <v>261792000</v>
      </c>
      <c r="K11" s="49">
        <f t="shared" si="0"/>
        <v>25672.85964160358</v>
      </c>
      <c r="L11" s="47">
        <f>'Eu-152'!I7</f>
        <v>7212.3</v>
      </c>
      <c r="M11" s="47">
        <f>'Eu-152'!J7</f>
        <v>1085.837</v>
      </c>
      <c r="N11" s="47">
        <v>2108</v>
      </c>
      <c r="O11" s="49">
        <f>K11*N11*$G$18*K31</f>
        <v>2863606.5406826749</v>
      </c>
      <c r="P11" s="56">
        <f t="shared" si="14"/>
        <v>2.5186071820748846E-3</v>
      </c>
      <c r="Q11">
        <f t="shared" si="6"/>
        <v>-0.25859998061647638</v>
      </c>
      <c r="R11">
        <f t="shared" si="7"/>
        <v>0.28651413312647633</v>
      </c>
    </row>
    <row r="12" spans="1:18" x14ac:dyDescent="0.3">
      <c r="A12" s="9" t="s">
        <v>3</v>
      </c>
      <c r="B12" s="23">
        <v>1.0620000000000001</v>
      </c>
      <c r="C12" s="23">
        <f t="shared" si="1"/>
        <v>1.1650485436893203E-2</v>
      </c>
      <c r="D12" s="46">
        <v>39814</v>
      </c>
      <c r="E12" s="23">
        <f t="shared" si="8"/>
        <v>426326180</v>
      </c>
      <c r="F12" s="47">
        <f t="shared" si="2"/>
        <v>1.6258611670527607E-9</v>
      </c>
      <c r="G12" s="48">
        <v>42844</v>
      </c>
      <c r="H12" s="47">
        <f t="shared" si="3"/>
        <v>0.69386107139469144</v>
      </c>
      <c r="I12" s="47">
        <f t="shared" si="4"/>
        <v>3030</v>
      </c>
      <c r="J12" s="47">
        <f t="shared" si="5"/>
        <v>261792000</v>
      </c>
      <c r="K12" s="49">
        <f t="shared" si="0"/>
        <v>25672.85964160358</v>
      </c>
      <c r="L12" s="47">
        <f>'Eu-152'!I8</f>
        <v>8021.1</v>
      </c>
      <c r="M12" s="47">
        <f>'Eu-152'!J8</f>
        <v>1112.08</v>
      </c>
      <c r="N12" s="47">
        <v>2108</v>
      </c>
      <c r="O12" s="49">
        <f>K12*N12*$G$18*K32</f>
        <v>3871958.5965511538</v>
      </c>
      <c r="P12" s="56">
        <f t="shared" si="14"/>
        <v>2.071587234208699E-3</v>
      </c>
      <c r="Q12">
        <f t="shared" si="6"/>
        <v>-0.36758651086433952</v>
      </c>
      <c r="R12">
        <f t="shared" si="7"/>
        <v>0.39570645001433952</v>
      </c>
    </row>
    <row r="13" spans="1:18" x14ac:dyDescent="0.3">
      <c r="A13" s="9" t="s">
        <v>4</v>
      </c>
      <c r="B13" s="23">
        <v>1.0069999999999999</v>
      </c>
      <c r="C13" s="23">
        <f t="shared" si="1"/>
        <v>1.1650485436893203E-2</v>
      </c>
      <c r="D13" s="46">
        <v>39814</v>
      </c>
      <c r="E13" s="23">
        <f>1925.28*24*3600</f>
        <v>166344192</v>
      </c>
      <c r="F13" s="47">
        <f t="shared" si="2"/>
        <v>4.166945489506152E-9</v>
      </c>
      <c r="G13" s="48">
        <v>42844</v>
      </c>
      <c r="H13" s="47">
        <f t="shared" si="3"/>
        <v>0.33827456869290462</v>
      </c>
      <c r="I13" s="47">
        <f t="shared" si="4"/>
        <v>3030</v>
      </c>
      <c r="J13" s="47">
        <f t="shared" si="5"/>
        <v>261792000</v>
      </c>
      <c r="K13" s="49">
        <f t="shared" si="0"/>
        <v>12516.159041637469</v>
      </c>
      <c r="L13" s="47">
        <f>'Co-60'!E2</f>
        <v>11231.5</v>
      </c>
      <c r="M13" s="47">
        <f>'Co-60'!F2</f>
        <v>1173.23</v>
      </c>
      <c r="N13" s="47">
        <v>847</v>
      </c>
      <c r="O13" s="49">
        <f>K13*N13*$G$18*K20</f>
        <v>5540129.1591167152</v>
      </c>
      <c r="P13" s="56">
        <f t="shared" si="14"/>
        <v>2.0272993061033044E-3</v>
      </c>
      <c r="Q13">
        <f t="shared" si="6"/>
        <v>-0.36758651086433952</v>
      </c>
      <c r="R13">
        <f t="shared" si="7"/>
        <v>0.39570645001433952</v>
      </c>
    </row>
    <row r="14" spans="1:18" x14ac:dyDescent="0.3">
      <c r="A14" s="9" t="s">
        <v>4</v>
      </c>
      <c r="B14" s="23">
        <v>1.0069999999999999</v>
      </c>
      <c r="C14" s="23">
        <f t="shared" si="1"/>
        <v>1.1650485436893203E-2</v>
      </c>
      <c r="D14" s="46">
        <v>39814</v>
      </c>
      <c r="E14" s="23">
        <f>1925.28*24*3600</f>
        <v>166344192</v>
      </c>
      <c r="F14" s="47">
        <f t="shared" ref="F14" si="15">LN(2)/E14</f>
        <v>4.166945489506152E-9</v>
      </c>
      <c r="G14" s="48">
        <v>42844</v>
      </c>
      <c r="H14" s="47">
        <f t="shared" ref="H14" si="16">B14*EXP(-F14*J14)</f>
        <v>0.33827456869290462</v>
      </c>
      <c r="I14" s="47">
        <f t="shared" ref="I14" si="17">G14-D14</f>
        <v>3030</v>
      </c>
      <c r="J14" s="47">
        <f t="shared" ref="J14" si="18">I14*3600*24</f>
        <v>261792000</v>
      </c>
      <c r="K14" s="49">
        <f t="shared" ref="K14" si="19">H14*(10^-6)*$B$18</f>
        <v>12516.159041637469</v>
      </c>
      <c r="L14" s="47">
        <f>'Co-60'!E2</f>
        <v>11231.5</v>
      </c>
      <c r="M14" s="47">
        <f>'Co-60'!F3</f>
        <v>1332.49</v>
      </c>
      <c r="N14" s="47">
        <v>847</v>
      </c>
      <c r="O14" s="49">
        <f>K14*N14*$G$18*K21</f>
        <v>5547486.4062524084</v>
      </c>
      <c r="P14" s="56">
        <f t="shared" ref="P14" si="20">L14/O14</f>
        <v>2.0246106393954038E-3</v>
      </c>
      <c r="Q14">
        <f t="shared" si="6"/>
        <v>-0.34650143301206321</v>
      </c>
      <c r="R14">
        <f t="shared" si="7"/>
        <v>0.37458155965206319</v>
      </c>
    </row>
    <row r="15" spans="1:18" x14ac:dyDescent="0.3">
      <c r="A15" s="10" t="s">
        <v>3</v>
      </c>
      <c r="B15" s="30">
        <v>1.0620000000000001</v>
      </c>
      <c r="C15" s="30">
        <f t="shared" si="1"/>
        <v>1.1650485436893203E-2</v>
      </c>
      <c r="D15" s="40">
        <v>39814</v>
      </c>
      <c r="E15" s="30">
        <f t="shared" si="8"/>
        <v>426326180</v>
      </c>
      <c r="F15" s="31">
        <f>LN(2)/E15</f>
        <v>1.6258611670527607E-9</v>
      </c>
      <c r="G15" s="41">
        <v>42844</v>
      </c>
      <c r="H15" s="31">
        <f>B15*EXP(-F15*J15)</f>
        <v>0.69386107139469144</v>
      </c>
      <c r="I15" s="31">
        <f>G15-D15</f>
        <v>3030</v>
      </c>
      <c r="J15" s="31">
        <f>I15*3600*24</f>
        <v>261792000</v>
      </c>
      <c r="K15" s="42">
        <f>H15*(10^-6)*$B$18</f>
        <v>25672.85964160358</v>
      </c>
      <c r="L15" s="31">
        <f>'Eu-152'!I9</f>
        <v>10610.4</v>
      </c>
      <c r="M15" s="31">
        <f>'Eu-152'!J9</f>
        <v>1408.01</v>
      </c>
      <c r="N15" s="31">
        <v>2108</v>
      </c>
      <c r="O15" s="42">
        <f>K15*N15*$G$18*K33</f>
        <v>5911322.3050492015</v>
      </c>
      <c r="P15" s="57">
        <f>L15/O15</f>
        <v>1.7949283514683415E-3</v>
      </c>
      <c r="Q15">
        <f t="shared" si="6"/>
        <v>1.37E-2</v>
      </c>
      <c r="R15">
        <f t="shared" si="7"/>
        <v>1.37E-2</v>
      </c>
    </row>
    <row r="16" spans="1:18" x14ac:dyDescent="0.3">
      <c r="E16" s="29"/>
    </row>
    <row r="17" spans="2:11" x14ac:dyDescent="0.3">
      <c r="B17" s="58" t="s">
        <v>76</v>
      </c>
      <c r="C17" s="59"/>
      <c r="E17" s="35" t="s">
        <v>65</v>
      </c>
      <c r="G17" s="38" t="s">
        <v>78</v>
      </c>
      <c r="I17" s="35" t="s">
        <v>86</v>
      </c>
      <c r="J17" s="35" t="s">
        <v>83</v>
      </c>
      <c r="K17" s="35" t="s">
        <v>85</v>
      </c>
    </row>
    <row r="18" spans="2:11" x14ac:dyDescent="0.3">
      <c r="B18" s="34">
        <v>37000000000</v>
      </c>
      <c r="C18" s="33" t="s">
        <v>70</v>
      </c>
      <c r="E18" s="36">
        <f>E2/31536000</f>
        <v>432.65487062404873</v>
      </c>
      <c r="G18" s="37">
        <f>3.14159*(1)^2/(2.45)^2</f>
        <v>0.52338025822573919</v>
      </c>
      <c r="I18" s="53" t="s">
        <v>2</v>
      </c>
      <c r="J18" s="53">
        <v>59.540900000000001</v>
      </c>
      <c r="K18" s="50">
        <v>0.35899999999999999</v>
      </c>
    </row>
    <row r="19" spans="2:11" x14ac:dyDescent="0.3">
      <c r="E19" s="36">
        <f>E3/31536000</f>
        <v>13.518714485032978</v>
      </c>
      <c r="I19" s="54" t="s">
        <v>10</v>
      </c>
      <c r="J19" s="54">
        <v>661.65700000000004</v>
      </c>
      <c r="K19" s="51">
        <v>0.85099999999999998</v>
      </c>
    </row>
    <row r="20" spans="2:11" x14ac:dyDescent="0.3">
      <c r="E20" s="36">
        <f>E13/31536000</f>
        <v>5.2747397260273976</v>
      </c>
      <c r="I20" s="54" t="s">
        <v>14</v>
      </c>
      <c r="J20" s="54">
        <v>1173.23</v>
      </c>
      <c r="K20" s="51">
        <v>0.99849999999999994</v>
      </c>
    </row>
    <row r="21" spans="2:11" x14ac:dyDescent="0.3">
      <c r="E21" s="36">
        <f>E8/31536000</f>
        <v>30.083815322171485</v>
      </c>
      <c r="I21" s="54" t="s">
        <v>14</v>
      </c>
      <c r="J21" s="54">
        <v>1332.49</v>
      </c>
      <c r="K21" s="51">
        <v>0.9998260000000001</v>
      </c>
    </row>
    <row r="22" spans="2:11" x14ac:dyDescent="0.3">
      <c r="E22" s="37">
        <f>E7/31536000</f>
        <v>10.551000000000002</v>
      </c>
      <c r="I22" s="54" t="s">
        <v>12</v>
      </c>
      <c r="J22" s="54">
        <v>80.997900000000001</v>
      </c>
      <c r="K22" s="51">
        <v>0.32900000000000001</v>
      </c>
    </row>
    <row r="23" spans="2:11" x14ac:dyDescent="0.3">
      <c r="I23" s="54" t="s">
        <v>12</v>
      </c>
      <c r="J23" s="54">
        <v>276.39999999999998</v>
      </c>
      <c r="K23" s="51">
        <v>7.1599999999999997E-2</v>
      </c>
    </row>
    <row r="24" spans="2:11" x14ac:dyDescent="0.3">
      <c r="I24" s="54" t="s">
        <v>12</v>
      </c>
      <c r="J24" s="54">
        <v>302.85000000000002</v>
      </c>
      <c r="K24" s="51">
        <v>0.18340000000000001</v>
      </c>
    </row>
    <row r="25" spans="2:11" x14ac:dyDescent="0.3">
      <c r="I25" s="54" t="s">
        <v>12</v>
      </c>
      <c r="J25" s="54">
        <v>356.01</v>
      </c>
      <c r="K25" s="51">
        <v>0.62049999999999994</v>
      </c>
    </row>
    <row r="26" spans="2:11" x14ac:dyDescent="0.3">
      <c r="I26" s="54" t="s">
        <v>11</v>
      </c>
      <c r="J26" s="54">
        <v>121.7</v>
      </c>
      <c r="K26" s="51">
        <v>0.2853</v>
      </c>
    </row>
    <row r="27" spans="2:11" x14ac:dyDescent="0.3">
      <c r="I27" s="54" t="s">
        <v>11</v>
      </c>
      <c r="J27" s="54">
        <v>244.7</v>
      </c>
      <c r="K27" s="51">
        <v>7.5499999999999998E-2</v>
      </c>
    </row>
    <row r="28" spans="2:11" x14ac:dyDescent="0.3">
      <c r="I28" s="54" t="s">
        <v>11</v>
      </c>
      <c r="J28" s="54">
        <v>344.29</v>
      </c>
      <c r="K28" s="51">
        <v>0.26590000000000003</v>
      </c>
    </row>
    <row r="29" spans="2:11" x14ac:dyDescent="0.3">
      <c r="I29" s="54" t="s">
        <v>11</v>
      </c>
      <c r="J29" s="54">
        <v>778.9</v>
      </c>
      <c r="K29" s="51">
        <v>0.1293</v>
      </c>
    </row>
    <row r="30" spans="2:11" x14ac:dyDescent="0.3">
      <c r="I30" s="54" t="s">
        <v>11</v>
      </c>
      <c r="J30" s="54">
        <v>964.06</v>
      </c>
      <c r="K30" s="51">
        <v>0.14510000000000001</v>
      </c>
    </row>
    <row r="31" spans="2:11" x14ac:dyDescent="0.3">
      <c r="I31" s="54" t="s">
        <v>11</v>
      </c>
      <c r="J31" s="54">
        <v>1085.837</v>
      </c>
      <c r="K31" s="51">
        <v>0.1011</v>
      </c>
    </row>
    <row r="32" spans="2:11" x14ac:dyDescent="0.3">
      <c r="I32" s="54" t="s">
        <v>11</v>
      </c>
      <c r="J32" s="54">
        <v>1112.08</v>
      </c>
      <c r="K32" s="51">
        <v>0.13669999999999999</v>
      </c>
    </row>
    <row r="33" spans="9:11" x14ac:dyDescent="0.3">
      <c r="I33" s="55" t="s">
        <v>11</v>
      </c>
      <c r="J33" s="55">
        <v>1408.01</v>
      </c>
      <c r="K33" s="52">
        <v>0.2087</v>
      </c>
    </row>
  </sheetData>
  <mergeCells count="1">
    <mergeCell ref="B17:C17"/>
  </mergeCells>
  <pageMargins left="0.7" right="0.7" top="0.75" bottom="0.75" header="0.3" footer="0.3"/>
  <pageSetup orientation="portrait" r:id="rId1"/>
  <ignoredErrors>
    <ignoredError sqref="E5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A2" sqref="A2:C17"/>
    </sheetView>
  </sheetViews>
  <sheetFormatPr defaultRowHeight="14.4" x14ac:dyDescent="0.3"/>
  <sheetData>
    <row r="1" spans="1:3" x14ac:dyDescent="0.3">
      <c r="A1" t="s">
        <v>13</v>
      </c>
      <c r="B1" t="s">
        <v>8</v>
      </c>
      <c r="C1" t="s">
        <v>9</v>
      </c>
    </row>
    <row r="2" spans="1:3" x14ac:dyDescent="0.3">
      <c r="A2" s="1" t="s">
        <v>2</v>
      </c>
      <c r="B2">
        <v>59.540900000000001</v>
      </c>
      <c r="C2">
        <v>0.35899999999999999</v>
      </c>
    </row>
    <row r="3" spans="1:3" x14ac:dyDescent="0.3">
      <c r="A3" s="1" t="s">
        <v>10</v>
      </c>
      <c r="B3">
        <v>661.65700000000004</v>
      </c>
      <c r="C3">
        <v>0.85099999999999998</v>
      </c>
    </row>
    <row r="4" spans="1:3" x14ac:dyDescent="0.3">
      <c r="A4" s="1" t="s">
        <v>14</v>
      </c>
      <c r="B4">
        <v>1173.23</v>
      </c>
      <c r="C4">
        <v>0.99849999999999994</v>
      </c>
    </row>
    <row r="5" spans="1:3" x14ac:dyDescent="0.3">
      <c r="A5" s="1" t="s">
        <v>14</v>
      </c>
      <c r="B5">
        <v>1332.49</v>
      </c>
      <c r="C5">
        <v>0.9998260000000001</v>
      </c>
    </row>
    <row r="6" spans="1:3" x14ac:dyDescent="0.3">
      <c r="A6" s="1" t="s">
        <v>12</v>
      </c>
      <c r="B6">
        <v>80.997900000000001</v>
      </c>
      <c r="C6">
        <v>0.32900000000000001</v>
      </c>
    </row>
    <row r="7" spans="1:3" x14ac:dyDescent="0.3">
      <c r="A7" s="1" t="s">
        <v>12</v>
      </c>
      <c r="B7">
        <v>276.39999999999998</v>
      </c>
      <c r="C7">
        <v>7.1599999999999997E-2</v>
      </c>
    </row>
    <row r="8" spans="1:3" x14ac:dyDescent="0.3">
      <c r="A8" s="1" t="s">
        <v>12</v>
      </c>
      <c r="B8">
        <v>302.85000000000002</v>
      </c>
      <c r="C8">
        <v>0.18340000000000001</v>
      </c>
    </row>
    <row r="9" spans="1:3" x14ac:dyDescent="0.3">
      <c r="A9" s="1" t="s">
        <v>12</v>
      </c>
      <c r="B9">
        <v>356.01</v>
      </c>
      <c r="C9">
        <v>0.62049999999999994</v>
      </c>
    </row>
    <row r="10" spans="1:3" x14ac:dyDescent="0.3">
      <c r="A10" s="1" t="s">
        <v>11</v>
      </c>
      <c r="B10">
        <v>121.7</v>
      </c>
      <c r="C10">
        <v>0.2853</v>
      </c>
    </row>
    <row r="11" spans="1:3" x14ac:dyDescent="0.3">
      <c r="A11" s="1" t="s">
        <v>11</v>
      </c>
      <c r="B11">
        <v>244.7</v>
      </c>
      <c r="C11">
        <v>7.5499999999999998E-2</v>
      </c>
    </row>
    <row r="12" spans="1:3" x14ac:dyDescent="0.3">
      <c r="A12" s="1" t="s">
        <v>11</v>
      </c>
      <c r="B12">
        <v>344.29</v>
      </c>
      <c r="C12">
        <v>0.26590000000000003</v>
      </c>
    </row>
    <row r="13" spans="1:3" x14ac:dyDescent="0.3">
      <c r="A13" s="1" t="s">
        <v>11</v>
      </c>
      <c r="B13">
        <v>778.9</v>
      </c>
      <c r="C13">
        <v>0.1293</v>
      </c>
    </row>
    <row r="14" spans="1:3" x14ac:dyDescent="0.3">
      <c r="A14" s="1" t="s">
        <v>11</v>
      </c>
      <c r="B14">
        <v>964.06</v>
      </c>
      <c r="C14">
        <v>0.14510000000000001</v>
      </c>
    </row>
    <row r="15" spans="1:3" x14ac:dyDescent="0.3">
      <c r="A15" s="1" t="s">
        <v>11</v>
      </c>
      <c r="B15">
        <v>1085.837</v>
      </c>
      <c r="C15">
        <v>0.1011</v>
      </c>
    </row>
    <row r="16" spans="1:3" x14ac:dyDescent="0.3">
      <c r="A16" s="1" t="s">
        <v>11</v>
      </c>
      <c r="B16">
        <v>1112.08</v>
      </c>
      <c r="C16">
        <v>0.13669999999999999</v>
      </c>
    </row>
    <row r="17" spans="1:3" x14ac:dyDescent="0.3">
      <c r="A17" s="1" t="s">
        <v>11</v>
      </c>
      <c r="B17">
        <v>1408.01</v>
      </c>
      <c r="C17">
        <v>0.2087</v>
      </c>
    </row>
    <row r="18" spans="1:3" x14ac:dyDescent="0.3">
      <c r="A18" s="1"/>
    </row>
    <row r="19" spans="1:3" x14ac:dyDescent="0.3">
      <c r="A19" s="1"/>
    </row>
    <row r="20" spans="1:3" x14ac:dyDescent="0.3">
      <c r="A20" s="21" t="s">
        <v>36</v>
      </c>
    </row>
    <row r="21" spans="1:3" x14ac:dyDescent="0.3">
      <c r="A21" s="1"/>
    </row>
    <row r="22" spans="1:3" x14ac:dyDescent="0.3">
      <c r="A22" s="1"/>
    </row>
    <row r="23" spans="1:3" x14ac:dyDescent="0.3">
      <c r="A23" s="1"/>
    </row>
  </sheetData>
  <sortState ref="A21:C23">
    <sortCondition ref="B21:B23"/>
  </sortState>
  <hyperlinks>
    <hyperlink ref="A20" r:id="rId1" xr:uid="{56064C1D-33E0-4BB7-BA53-638AF3B60A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A24D-6C0C-44D4-89B7-B9F09AE6CB7F}">
  <dimension ref="A1:F8"/>
  <sheetViews>
    <sheetView workbookViewId="0">
      <selection activeCell="F2" sqref="F2"/>
    </sheetView>
  </sheetViews>
  <sheetFormatPr defaultRowHeight="14.4" x14ac:dyDescent="0.3"/>
  <cols>
    <col min="1" max="1" width="18.6640625" bestFit="1" customWidth="1"/>
    <col min="3" max="3" width="40.77734375" bestFit="1" customWidth="1"/>
  </cols>
  <sheetData>
    <row r="1" spans="1:6" x14ac:dyDescent="0.3">
      <c r="A1" s="14" t="s">
        <v>44</v>
      </c>
      <c r="B1" s="5" t="s">
        <v>28</v>
      </c>
      <c r="C1" s="15" t="s">
        <v>29</v>
      </c>
      <c r="E1" s="22" t="s">
        <v>81</v>
      </c>
      <c r="F1" s="22" t="s">
        <v>82</v>
      </c>
    </row>
    <row r="2" spans="1:6" x14ac:dyDescent="0.3">
      <c r="A2" s="9" t="s">
        <v>37</v>
      </c>
      <c r="B2" s="8">
        <v>59.43</v>
      </c>
      <c r="C2" s="19" t="s">
        <v>46</v>
      </c>
      <c r="E2">
        <f>B7</f>
        <v>45745.9</v>
      </c>
      <c r="F2">
        <v>59.540900000000001</v>
      </c>
    </row>
    <row r="3" spans="1:6" x14ac:dyDescent="0.3">
      <c r="A3" s="9" t="s">
        <v>38</v>
      </c>
      <c r="B3" s="8">
        <v>1.33</v>
      </c>
      <c r="C3" s="19"/>
    </row>
    <row r="4" spans="1:6" x14ac:dyDescent="0.3">
      <c r="A4" s="9" t="s">
        <v>23</v>
      </c>
      <c r="B4" s="8">
        <v>2.2400000000000002</v>
      </c>
      <c r="C4" s="19"/>
    </row>
    <row r="5" spans="1:6" x14ac:dyDescent="0.3">
      <c r="A5" s="9" t="s">
        <v>17</v>
      </c>
      <c r="B5" s="18">
        <v>47558</v>
      </c>
      <c r="C5" s="19"/>
    </row>
    <row r="6" spans="1:6" x14ac:dyDescent="0.3">
      <c r="A6" s="9" t="s">
        <v>19</v>
      </c>
      <c r="B6" s="18">
        <v>9.5</v>
      </c>
      <c r="C6" s="19"/>
    </row>
    <row r="7" spans="1:6" x14ac:dyDescent="0.3">
      <c r="A7" s="9" t="s">
        <v>18</v>
      </c>
      <c r="B7" s="18">
        <v>45745.9</v>
      </c>
      <c r="C7" s="19"/>
    </row>
    <row r="8" spans="1:6" x14ac:dyDescent="0.3">
      <c r="A8" s="10" t="s">
        <v>22</v>
      </c>
      <c r="B8" s="2">
        <v>220.1</v>
      </c>
      <c r="C8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4DBE-CB0D-47FD-A8BB-BDFB998E5B2F}">
  <dimension ref="A1:J28"/>
  <sheetViews>
    <sheetView topLeftCell="E1" workbookViewId="0">
      <selection activeCell="J2" sqref="J2:J3"/>
    </sheetView>
  </sheetViews>
  <sheetFormatPr defaultRowHeight="14.4" x14ac:dyDescent="0.3"/>
  <cols>
    <col min="1" max="1" width="18.44140625" bestFit="1" customWidth="1"/>
    <col min="2" max="2" width="8.21875" bestFit="1" customWidth="1"/>
    <col min="3" max="3" width="41.109375" style="22" customWidth="1"/>
    <col min="5" max="5" width="18.44140625" bestFit="1" customWidth="1"/>
    <col min="6" max="6" width="8.21875" bestFit="1" customWidth="1"/>
    <col min="7" max="7" width="44.77734375" customWidth="1"/>
  </cols>
  <sheetData>
    <row r="1" spans="1:10" x14ac:dyDescent="0.3">
      <c r="A1" s="14" t="s">
        <v>34</v>
      </c>
      <c r="B1" s="5" t="s">
        <v>28</v>
      </c>
      <c r="C1" s="15" t="s">
        <v>29</v>
      </c>
      <c r="E1" s="14" t="s">
        <v>41</v>
      </c>
      <c r="F1" s="5" t="s">
        <v>28</v>
      </c>
      <c r="G1" s="15" t="s">
        <v>29</v>
      </c>
      <c r="I1" s="22" t="s">
        <v>79</v>
      </c>
      <c r="J1" s="22" t="s">
        <v>80</v>
      </c>
    </row>
    <row r="2" spans="1:10" x14ac:dyDescent="0.3">
      <c r="A2" s="9" t="s">
        <v>37</v>
      </c>
      <c r="B2" s="8">
        <v>80.92</v>
      </c>
      <c r="C2" s="19" t="s">
        <v>39</v>
      </c>
      <c r="E2" s="9" t="s">
        <v>15</v>
      </c>
      <c r="F2" s="8">
        <v>302.95999999999998</v>
      </c>
      <c r="G2" s="19" t="s">
        <v>42</v>
      </c>
      <c r="I2">
        <f>F7</f>
        <v>24189.1</v>
      </c>
      <c r="J2">
        <v>302.85000000000002</v>
      </c>
    </row>
    <row r="3" spans="1:10" x14ac:dyDescent="0.3">
      <c r="A3" s="9" t="s">
        <v>38</v>
      </c>
      <c r="B3" s="8">
        <v>1.4</v>
      </c>
      <c r="C3" s="19" t="s">
        <v>40</v>
      </c>
      <c r="E3" s="9" t="s">
        <v>16</v>
      </c>
      <c r="F3" s="8">
        <v>1.88</v>
      </c>
      <c r="G3" s="19"/>
      <c r="I3">
        <f>F17</f>
        <v>72242.7</v>
      </c>
      <c r="J3">
        <v>356.01</v>
      </c>
    </row>
    <row r="4" spans="1:10" x14ac:dyDescent="0.3">
      <c r="A4" s="9" t="s">
        <v>23</v>
      </c>
      <c r="B4" s="8">
        <v>1.73</v>
      </c>
      <c r="C4" s="19"/>
      <c r="E4" s="9" t="s">
        <v>23</v>
      </c>
      <c r="F4" s="8">
        <v>0.62</v>
      </c>
      <c r="G4" s="19"/>
    </row>
    <row r="5" spans="1:10" x14ac:dyDescent="0.3">
      <c r="A5" s="9" t="s">
        <v>17</v>
      </c>
      <c r="B5" s="18">
        <v>133865</v>
      </c>
      <c r="C5" s="19"/>
      <c r="E5" s="9" t="s">
        <v>17</v>
      </c>
      <c r="F5" s="18">
        <v>27150</v>
      </c>
      <c r="G5" s="19"/>
    </row>
    <row r="6" spans="1:10" x14ac:dyDescent="0.3">
      <c r="A6" s="9" t="s">
        <v>19</v>
      </c>
      <c r="B6" s="18">
        <v>2.54</v>
      </c>
      <c r="C6" s="19"/>
      <c r="E6" s="9" t="s">
        <v>19</v>
      </c>
      <c r="F6" s="18">
        <v>2.1</v>
      </c>
      <c r="G6" s="19"/>
    </row>
    <row r="7" spans="1:10" x14ac:dyDescent="0.3">
      <c r="A7" s="9" t="s">
        <v>18</v>
      </c>
      <c r="B7" s="18">
        <v>89769.9</v>
      </c>
      <c r="C7" s="19"/>
      <c r="E7" s="9" t="s">
        <v>18</v>
      </c>
      <c r="F7" s="18">
        <v>24189.1</v>
      </c>
      <c r="G7" s="19"/>
    </row>
    <row r="8" spans="1:10" x14ac:dyDescent="0.3">
      <c r="A8" s="10" t="s">
        <v>22</v>
      </c>
      <c r="B8" s="2">
        <v>310</v>
      </c>
      <c r="C8" s="20"/>
      <c r="E8" s="10" t="s">
        <v>22</v>
      </c>
      <c r="F8" s="2">
        <v>158</v>
      </c>
      <c r="G8" s="20"/>
    </row>
    <row r="9" spans="1:10" x14ac:dyDescent="0.3">
      <c r="G9" s="22"/>
    </row>
    <row r="10" spans="1:10" x14ac:dyDescent="0.3">
      <c r="E10" s="8"/>
      <c r="F10" s="8"/>
      <c r="G10" s="18"/>
      <c r="H10" s="8"/>
    </row>
    <row r="11" spans="1:10" x14ac:dyDescent="0.3">
      <c r="A11" s="14" t="s">
        <v>35</v>
      </c>
      <c r="B11" s="5" t="s">
        <v>28</v>
      </c>
      <c r="C11" s="15" t="s">
        <v>29</v>
      </c>
      <c r="E11" s="14" t="s">
        <v>43</v>
      </c>
      <c r="F11" s="5" t="s">
        <v>28</v>
      </c>
      <c r="G11" s="15" t="s">
        <v>29</v>
      </c>
    </row>
    <row r="12" spans="1:10" x14ac:dyDescent="0.3">
      <c r="A12" s="9" t="s">
        <v>15</v>
      </c>
      <c r="B12" s="8">
        <v>276.5</v>
      </c>
      <c r="C12" s="19"/>
      <c r="E12" s="9" t="s">
        <v>15</v>
      </c>
      <c r="F12" s="8">
        <v>356.12</v>
      </c>
      <c r="G12" s="16"/>
    </row>
    <row r="13" spans="1:10" x14ac:dyDescent="0.3">
      <c r="A13" s="9" t="s">
        <v>16</v>
      </c>
      <c r="B13" s="8">
        <v>1.86</v>
      </c>
      <c r="C13" s="19"/>
      <c r="E13" s="9" t="s">
        <v>16</v>
      </c>
      <c r="F13" s="8">
        <v>2.04</v>
      </c>
      <c r="G13" s="16"/>
    </row>
    <row r="14" spans="1:10" x14ac:dyDescent="0.3">
      <c r="A14" s="9" t="s">
        <v>23</v>
      </c>
      <c r="B14" s="8">
        <v>0.67</v>
      </c>
      <c r="C14" s="19"/>
      <c r="E14" s="9" t="s">
        <v>23</v>
      </c>
      <c r="F14" s="8">
        <v>0.56999999999999995</v>
      </c>
      <c r="G14" s="16"/>
    </row>
    <row r="15" spans="1:10" x14ac:dyDescent="0.3">
      <c r="A15" s="9" t="s">
        <v>17</v>
      </c>
      <c r="B15" s="18">
        <v>13565</v>
      </c>
      <c r="C15" s="19"/>
      <c r="E15" s="9" t="s">
        <v>17</v>
      </c>
      <c r="F15" s="18">
        <v>74305</v>
      </c>
      <c r="G15" s="16"/>
    </row>
    <row r="16" spans="1:10" x14ac:dyDescent="0.3">
      <c r="A16" s="9" t="s">
        <v>19</v>
      </c>
      <c r="B16" s="18">
        <v>1.02</v>
      </c>
      <c r="C16" s="19"/>
      <c r="E16" s="9" t="s">
        <v>19</v>
      </c>
      <c r="F16" s="18">
        <v>4.96</v>
      </c>
      <c r="G16" s="16"/>
    </row>
    <row r="17" spans="1:8" x14ac:dyDescent="0.3">
      <c r="A17" s="9" t="s">
        <v>18</v>
      </c>
      <c r="B17" s="18">
        <v>10488.3</v>
      </c>
      <c r="C17" s="19"/>
      <c r="E17" s="9" t="s">
        <v>18</v>
      </c>
      <c r="F17" s="18">
        <v>72242.7</v>
      </c>
      <c r="G17" s="16"/>
    </row>
    <row r="18" spans="1:8" x14ac:dyDescent="0.3">
      <c r="A18" s="10" t="s">
        <v>22</v>
      </c>
      <c r="B18" s="2">
        <v>108.4</v>
      </c>
      <c r="C18" s="20"/>
      <c r="E18" s="10" t="s">
        <v>22</v>
      </c>
      <c r="F18" s="2">
        <v>269.39999999999998</v>
      </c>
      <c r="G18" s="17"/>
    </row>
    <row r="20" spans="1:8" x14ac:dyDescent="0.3">
      <c r="E20" s="8"/>
      <c r="F20" s="8"/>
      <c r="G20" s="18"/>
      <c r="H20" s="8"/>
    </row>
    <row r="21" spans="1:8" x14ac:dyDescent="0.3">
      <c r="E21" s="8"/>
      <c r="F21" s="23"/>
      <c r="G21" s="24"/>
      <c r="H21" s="8"/>
    </row>
    <row r="22" spans="1:8" x14ac:dyDescent="0.3">
      <c r="E22" s="8"/>
      <c r="F22" s="8"/>
      <c r="G22" s="18"/>
      <c r="H22" s="8"/>
    </row>
    <row r="23" spans="1:8" x14ac:dyDescent="0.3">
      <c r="E23" s="8"/>
      <c r="F23" s="8"/>
      <c r="G23" s="18"/>
      <c r="H23" s="8"/>
    </row>
    <row r="24" spans="1:8" x14ac:dyDescent="0.3">
      <c r="E24" s="8"/>
      <c r="F24" s="8"/>
      <c r="G24" s="18"/>
      <c r="H24" s="8"/>
    </row>
    <row r="25" spans="1:8" x14ac:dyDescent="0.3">
      <c r="E25" s="8"/>
      <c r="F25" s="18"/>
      <c r="G25" s="18"/>
      <c r="H25" s="8"/>
    </row>
    <row r="26" spans="1:8" x14ac:dyDescent="0.3">
      <c r="E26" s="8"/>
      <c r="F26" s="18"/>
      <c r="G26" s="18"/>
      <c r="H26" s="8"/>
    </row>
    <row r="27" spans="1:8" x14ac:dyDescent="0.3">
      <c r="E27" s="8"/>
      <c r="F27" s="18"/>
      <c r="G27" s="18"/>
      <c r="H27" s="8"/>
    </row>
    <row r="28" spans="1:8" x14ac:dyDescent="0.3">
      <c r="E28" s="8"/>
      <c r="F28" s="8"/>
      <c r="G28" s="18"/>
      <c r="H2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A78A-246E-46C8-9EF5-D423DA625E89}">
  <dimension ref="A1:F18"/>
  <sheetViews>
    <sheetView workbookViewId="0">
      <selection activeCell="E2" sqref="E2:E3"/>
    </sheetView>
  </sheetViews>
  <sheetFormatPr defaultRowHeight="14.4" x14ac:dyDescent="0.3"/>
  <cols>
    <col min="1" max="1" width="18.44140625" bestFit="1" customWidth="1"/>
    <col min="3" max="3" width="47.21875" customWidth="1"/>
  </cols>
  <sheetData>
    <row r="1" spans="1:6" x14ac:dyDescent="0.3">
      <c r="A1" s="14" t="s">
        <v>26</v>
      </c>
      <c r="B1" s="5" t="s">
        <v>28</v>
      </c>
      <c r="C1" s="15" t="s">
        <v>29</v>
      </c>
      <c r="E1" t="s">
        <v>81</v>
      </c>
      <c r="F1" t="s">
        <v>82</v>
      </c>
    </row>
    <row r="2" spans="1:6" x14ac:dyDescent="0.3">
      <c r="A2" s="9" t="s">
        <v>15</v>
      </c>
      <c r="B2" s="8">
        <v>1173.01</v>
      </c>
      <c r="C2" s="16"/>
      <c r="E2">
        <f>B7</f>
        <v>11231.5</v>
      </c>
      <c r="F2">
        <v>1173.23</v>
      </c>
    </row>
    <row r="3" spans="1:6" x14ac:dyDescent="0.3">
      <c r="A3" s="9" t="s">
        <v>16</v>
      </c>
      <c r="B3" s="8">
        <v>4.49</v>
      </c>
      <c r="C3" s="16"/>
      <c r="E3">
        <f>B17</f>
        <v>10604.3</v>
      </c>
      <c r="F3">
        <v>1332.49</v>
      </c>
    </row>
    <row r="4" spans="1:6" x14ac:dyDescent="0.3">
      <c r="A4" s="9" t="s">
        <v>23</v>
      </c>
      <c r="B4" s="8">
        <v>0.38</v>
      </c>
      <c r="C4" s="16"/>
    </row>
    <row r="5" spans="1:6" x14ac:dyDescent="0.3">
      <c r="A5" s="9" t="s">
        <v>17</v>
      </c>
      <c r="B5" s="18">
        <v>17964</v>
      </c>
      <c r="C5" s="16"/>
    </row>
    <row r="6" spans="1:6" x14ac:dyDescent="0.3">
      <c r="A6" s="9" t="s">
        <v>19</v>
      </c>
      <c r="B6" s="18">
        <v>1.98</v>
      </c>
      <c r="C6" s="16"/>
    </row>
    <row r="7" spans="1:6" x14ac:dyDescent="0.3">
      <c r="A7" s="9" t="s">
        <v>18</v>
      </c>
      <c r="B7" s="18">
        <v>11231.5</v>
      </c>
      <c r="C7" s="16"/>
    </row>
    <row r="8" spans="1:6" x14ac:dyDescent="0.3">
      <c r="A8" s="10" t="s">
        <v>22</v>
      </c>
      <c r="B8" s="2">
        <v>108.9</v>
      </c>
      <c r="C8" s="17"/>
    </row>
    <row r="11" spans="1:6" x14ac:dyDescent="0.3">
      <c r="A11" s="14" t="s">
        <v>27</v>
      </c>
      <c r="B11" s="5" t="s">
        <v>28</v>
      </c>
      <c r="C11" s="15" t="s">
        <v>29</v>
      </c>
    </row>
    <row r="12" spans="1:6" x14ac:dyDescent="0.3">
      <c r="A12" s="9" t="s">
        <v>15</v>
      </c>
      <c r="B12" s="8">
        <v>1332.4</v>
      </c>
      <c r="C12" s="19" t="s">
        <v>30</v>
      </c>
    </row>
    <row r="13" spans="1:6" x14ac:dyDescent="0.3">
      <c r="A13" s="9" t="s">
        <v>16</v>
      </c>
      <c r="B13" s="8">
        <v>4.63</v>
      </c>
      <c r="C13" s="19" t="s">
        <v>31</v>
      </c>
    </row>
    <row r="14" spans="1:6" x14ac:dyDescent="0.3">
      <c r="A14" s="9" t="s">
        <v>23</v>
      </c>
      <c r="B14" s="8">
        <v>0.35</v>
      </c>
      <c r="C14" s="19" t="s">
        <v>32</v>
      </c>
    </row>
    <row r="15" spans="1:6" x14ac:dyDescent="0.3">
      <c r="A15" s="9" t="s">
        <v>17</v>
      </c>
      <c r="B15" s="18">
        <v>10840</v>
      </c>
      <c r="C15" s="19" t="s">
        <v>33</v>
      </c>
    </row>
    <row r="16" spans="1:6" x14ac:dyDescent="0.3">
      <c r="A16" s="9" t="s">
        <v>19</v>
      </c>
      <c r="B16" s="18">
        <v>1.97</v>
      </c>
      <c r="C16" s="19"/>
    </row>
    <row r="17" spans="1:3" x14ac:dyDescent="0.3">
      <c r="A17" s="9" t="s">
        <v>18</v>
      </c>
      <c r="B17" s="18">
        <v>10604.3</v>
      </c>
      <c r="C17" s="19"/>
    </row>
    <row r="18" spans="1:3" x14ac:dyDescent="0.3">
      <c r="A18" s="10" t="s">
        <v>22</v>
      </c>
      <c r="B18" s="2">
        <v>103.2</v>
      </c>
      <c r="C18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67F6-D467-43D0-8B94-E746ACDE3A24}">
  <dimension ref="A1:H8"/>
  <sheetViews>
    <sheetView workbookViewId="0">
      <selection activeCell="M12" sqref="M12"/>
    </sheetView>
  </sheetViews>
  <sheetFormatPr defaultRowHeight="14.4" x14ac:dyDescent="0.3"/>
  <cols>
    <col min="1" max="1" width="18.33203125" bestFit="1" customWidth="1"/>
    <col min="2" max="3" width="9.6640625" bestFit="1" customWidth="1"/>
    <col min="5" max="5" width="46.109375" customWidth="1"/>
  </cols>
  <sheetData>
    <row r="1" spans="1:8" x14ac:dyDescent="0.3">
      <c r="A1" s="14" t="s">
        <v>45</v>
      </c>
      <c r="B1" s="5" t="s">
        <v>21</v>
      </c>
      <c r="C1" s="5" t="s">
        <v>20</v>
      </c>
      <c r="D1" s="6" t="s">
        <v>24</v>
      </c>
      <c r="E1" s="6" t="s">
        <v>25</v>
      </c>
      <c r="G1" s="24" t="s">
        <v>81</v>
      </c>
      <c r="H1" s="24" t="s">
        <v>83</v>
      </c>
    </row>
    <row r="2" spans="1:8" x14ac:dyDescent="0.3">
      <c r="A2" s="7" t="s">
        <v>15</v>
      </c>
      <c r="B2" s="8">
        <v>1666.76</v>
      </c>
      <c r="C2" s="8">
        <v>1662.31</v>
      </c>
      <c r="D2" s="3"/>
      <c r="E2" s="11" t="s">
        <v>60</v>
      </c>
      <c r="G2">
        <f>D7</f>
        <v>13667.5</v>
      </c>
      <c r="H2">
        <v>661.65700000000004</v>
      </c>
    </row>
    <row r="3" spans="1:8" x14ac:dyDescent="0.3">
      <c r="A3" s="9" t="s">
        <v>16</v>
      </c>
      <c r="B3" s="8">
        <v>6.46</v>
      </c>
      <c r="C3" s="8">
        <v>6.46</v>
      </c>
      <c r="D3" s="4"/>
      <c r="E3" s="11"/>
    </row>
    <row r="4" spans="1:8" x14ac:dyDescent="0.3">
      <c r="A4" s="9" t="s">
        <v>23</v>
      </c>
      <c r="B4" s="8">
        <v>0.39</v>
      </c>
      <c r="C4" s="8">
        <v>0.39</v>
      </c>
      <c r="D4" s="4"/>
      <c r="E4" s="11"/>
    </row>
    <row r="5" spans="1:8" x14ac:dyDescent="0.3">
      <c r="A5" s="9" t="s">
        <v>17</v>
      </c>
      <c r="B5" s="8">
        <v>13813</v>
      </c>
      <c r="C5" s="8">
        <v>13813</v>
      </c>
      <c r="D5" s="4"/>
      <c r="E5" s="11"/>
    </row>
    <row r="6" spans="1:8" x14ac:dyDescent="0.3">
      <c r="A6" s="9" t="s">
        <v>19</v>
      </c>
      <c r="B6" s="8">
        <v>1.18</v>
      </c>
      <c r="C6" s="8">
        <v>1.18</v>
      </c>
      <c r="D6" s="4"/>
      <c r="E6" s="11"/>
    </row>
    <row r="7" spans="1:8" x14ac:dyDescent="0.3">
      <c r="A7" s="9" t="s">
        <v>18</v>
      </c>
      <c r="B7" s="8">
        <v>11776.1</v>
      </c>
      <c r="C7" s="8">
        <v>1891.4</v>
      </c>
      <c r="D7" s="4">
        <f>B7+C7</f>
        <v>13667.5</v>
      </c>
      <c r="E7" s="11"/>
    </row>
    <row r="8" spans="1:8" x14ac:dyDescent="0.3">
      <c r="A8" s="10" t="s">
        <v>22</v>
      </c>
      <c r="B8" s="2">
        <v>108.7</v>
      </c>
      <c r="C8" s="2">
        <v>44</v>
      </c>
      <c r="D8" s="13"/>
      <c r="E8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2BC9-20CC-4EA2-9E0A-8F093F8D3DE4}">
  <dimension ref="A1:J38"/>
  <sheetViews>
    <sheetView topLeftCell="E1" workbookViewId="0">
      <selection activeCell="I15" sqref="I15"/>
    </sheetView>
  </sheetViews>
  <sheetFormatPr defaultRowHeight="14.4" x14ac:dyDescent="0.3"/>
  <cols>
    <col min="1" max="1" width="18.44140625" bestFit="1" customWidth="1"/>
    <col min="2" max="2" width="8.21875" bestFit="1" customWidth="1"/>
    <col min="3" max="3" width="40.77734375" bestFit="1" customWidth="1"/>
    <col min="5" max="5" width="19" bestFit="1" customWidth="1"/>
    <col min="6" max="6" width="8.21875" bestFit="1" customWidth="1"/>
    <col min="7" max="7" width="40.77734375" bestFit="1" customWidth="1"/>
  </cols>
  <sheetData>
    <row r="1" spans="1:10" x14ac:dyDescent="0.3">
      <c r="A1" s="14" t="s">
        <v>47</v>
      </c>
      <c r="B1" s="5" t="s">
        <v>28</v>
      </c>
      <c r="C1" s="15" t="s">
        <v>29</v>
      </c>
      <c r="E1" s="14" t="s">
        <v>54</v>
      </c>
      <c r="F1" s="5" t="s">
        <v>28</v>
      </c>
      <c r="G1" s="15" t="s">
        <v>29</v>
      </c>
      <c r="I1" s="22" t="s">
        <v>79</v>
      </c>
      <c r="J1" s="22" t="s">
        <v>84</v>
      </c>
    </row>
    <row r="2" spans="1:10" x14ac:dyDescent="0.3">
      <c r="A2" s="9" t="s">
        <v>37</v>
      </c>
      <c r="B2" s="8">
        <v>121.79</v>
      </c>
      <c r="C2" s="19" t="s">
        <v>55</v>
      </c>
      <c r="E2" s="9" t="s">
        <v>37</v>
      </c>
      <c r="F2" s="8">
        <v>964.14</v>
      </c>
      <c r="G2" s="19" t="s">
        <v>60</v>
      </c>
      <c r="I2">
        <f>B7</f>
        <v>85082.7</v>
      </c>
      <c r="J2">
        <v>121.7</v>
      </c>
    </row>
    <row r="3" spans="1:10" x14ac:dyDescent="0.3">
      <c r="A3" s="9" t="s">
        <v>38</v>
      </c>
      <c r="B3" s="8">
        <v>1.51</v>
      </c>
      <c r="C3" s="19"/>
      <c r="E3" s="9" t="s">
        <v>38</v>
      </c>
      <c r="F3" s="8">
        <v>3.26</v>
      </c>
      <c r="G3" s="19"/>
      <c r="I3">
        <f>B17</f>
        <v>15624.2</v>
      </c>
      <c r="J3">
        <v>244.7</v>
      </c>
    </row>
    <row r="4" spans="1:10" x14ac:dyDescent="0.3">
      <c r="A4" s="9" t="s">
        <v>23</v>
      </c>
      <c r="B4" s="8">
        <v>1.24</v>
      </c>
      <c r="C4" s="19"/>
      <c r="E4" s="9" t="s">
        <v>23</v>
      </c>
      <c r="F4" s="8">
        <v>0.34</v>
      </c>
      <c r="G4" s="19"/>
      <c r="I4">
        <f>B27</f>
        <v>40954.9</v>
      </c>
      <c r="J4">
        <v>344.38</v>
      </c>
    </row>
    <row r="5" spans="1:10" x14ac:dyDescent="0.3">
      <c r="A5" s="9" t="s">
        <v>17</v>
      </c>
      <c r="B5" s="18">
        <v>136725</v>
      </c>
      <c r="C5" s="19"/>
      <c r="E5" s="9" t="s">
        <v>17</v>
      </c>
      <c r="F5" s="18">
        <v>12779</v>
      </c>
      <c r="G5" s="19"/>
      <c r="I5">
        <f>B37</f>
        <v>1006.2</v>
      </c>
      <c r="J5">
        <v>778.9</v>
      </c>
    </row>
    <row r="6" spans="1:10" x14ac:dyDescent="0.3">
      <c r="A6" s="9" t="s">
        <v>19</v>
      </c>
      <c r="B6" s="18">
        <v>2.76</v>
      </c>
      <c r="C6" s="19"/>
      <c r="E6" s="9" t="s">
        <v>19</v>
      </c>
      <c r="F6" s="18">
        <v>1.25</v>
      </c>
      <c r="G6" s="19"/>
      <c r="I6">
        <f>F7</f>
        <v>9624.1999999999989</v>
      </c>
      <c r="J6">
        <v>964.06</v>
      </c>
    </row>
    <row r="7" spans="1:10" x14ac:dyDescent="0.3">
      <c r="A7" s="9" t="s">
        <v>18</v>
      </c>
      <c r="B7" s="18">
        <v>85082.7</v>
      </c>
      <c r="C7" s="19"/>
      <c r="E7" s="9" t="s">
        <v>18</v>
      </c>
      <c r="F7" s="18">
        <f>8349.4+1274.8</f>
        <v>9624.1999999999989</v>
      </c>
      <c r="G7" s="26" t="s">
        <v>56</v>
      </c>
      <c r="I7">
        <f>F17</f>
        <v>7212.3</v>
      </c>
      <c r="J7">
        <v>1085.837</v>
      </c>
    </row>
    <row r="8" spans="1:10" x14ac:dyDescent="0.3">
      <c r="A8" s="10" t="s">
        <v>22</v>
      </c>
      <c r="B8" s="2">
        <v>306.10000000000002</v>
      </c>
      <c r="C8" s="20"/>
      <c r="E8" s="10" t="s">
        <v>22</v>
      </c>
      <c r="F8" s="2">
        <f>97.1+48.7</f>
        <v>145.80000000000001</v>
      </c>
      <c r="G8" s="25" t="s">
        <v>57</v>
      </c>
      <c r="I8">
        <f>F27</f>
        <v>8021.1</v>
      </c>
      <c r="J8">
        <v>1112.08</v>
      </c>
    </row>
    <row r="9" spans="1:10" x14ac:dyDescent="0.3">
      <c r="I9">
        <f>F37</f>
        <v>10610.4</v>
      </c>
      <c r="J9">
        <v>1408.01</v>
      </c>
    </row>
    <row r="11" spans="1:10" x14ac:dyDescent="0.3">
      <c r="A11" s="14" t="s">
        <v>48</v>
      </c>
      <c r="B11" s="5" t="s">
        <v>28</v>
      </c>
      <c r="C11" s="15" t="s">
        <v>29</v>
      </c>
      <c r="E11" s="14" t="s">
        <v>53</v>
      </c>
      <c r="F11" s="5" t="s">
        <v>28</v>
      </c>
      <c r="G11" s="15" t="s">
        <v>29</v>
      </c>
    </row>
    <row r="12" spans="1:10" x14ac:dyDescent="0.3">
      <c r="A12" s="9" t="s">
        <v>37</v>
      </c>
      <c r="B12" s="8">
        <v>244.79</v>
      </c>
      <c r="C12" s="19"/>
      <c r="E12" s="9" t="s">
        <v>37</v>
      </c>
      <c r="F12" s="8">
        <v>1085.81</v>
      </c>
      <c r="G12" s="19" t="s">
        <v>60</v>
      </c>
    </row>
    <row r="13" spans="1:10" x14ac:dyDescent="0.3">
      <c r="A13" s="9" t="s">
        <v>38</v>
      </c>
      <c r="B13" s="8">
        <v>1.83</v>
      </c>
      <c r="C13" s="19"/>
      <c r="E13" s="9" t="s">
        <v>38</v>
      </c>
      <c r="F13" s="8">
        <v>4.05</v>
      </c>
      <c r="G13" s="19"/>
    </row>
    <row r="14" spans="1:10" x14ac:dyDescent="0.3">
      <c r="A14" s="9" t="s">
        <v>23</v>
      </c>
      <c r="B14" s="8">
        <v>0.75</v>
      </c>
      <c r="C14" s="19"/>
      <c r="E14" s="9" t="s">
        <v>23</v>
      </c>
      <c r="F14" s="8">
        <v>0.37</v>
      </c>
      <c r="G14" s="19"/>
    </row>
    <row r="15" spans="1:10" x14ac:dyDescent="0.3">
      <c r="A15" s="9" t="s">
        <v>17</v>
      </c>
      <c r="B15" s="18">
        <v>77968</v>
      </c>
      <c r="C15" s="19"/>
      <c r="E15" s="9" t="s">
        <v>17</v>
      </c>
      <c r="F15" s="18">
        <v>10545</v>
      </c>
      <c r="G15" s="19"/>
    </row>
    <row r="16" spans="1:10" x14ac:dyDescent="0.3">
      <c r="A16" s="9" t="s">
        <v>19</v>
      </c>
      <c r="B16" s="18">
        <v>1.5</v>
      </c>
      <c r="C16" s="19"/>
      <c r="E16" s="9" t="s">
        <v>19</v>
      </c>
      <c r="F16" s="18">
        <v>1.29</v>
      </c>
      <c r="G16" s="19"/>
    </row>
    <row r="17" spans="1:7" x14ac:dyDescent="0.3">
      <c r="A17" s="9" t="s">
        <v>18</v>
      </c>
      <c r="B17" s="18">
        <v>15624.2</v>
      </c>
      <c r="C17" s="19"/>
      <c r="E17" s="9" t="s">
        <v>18</v>
      </c>
      <c r="F17" s="18">
        <f>6471.2+741.1</f>
        <v>7212.3</v>
      </c>
      <c r="G17" s="26" t="s">
        <v>58</v>
      </c>
    </row>
    <row r="18" spans="1:7" x14ac:dyDescent="0.3">
      <c r="A18" s="10" t="s">
        <v>22</v>
      </c>
      <c r="B18" s="2">
        <v>147.30000000000001</v>
      </c>
      <c r="C18" s="20"/>
      <c r="E18" s="10" t="s">
        <v>22</v>
      </c>
      <c r="F18" s="2">
        <f>86.9+42.6</f>
        <v>129.5</v>
      </c>
      <c r="G18" s="25" t="s">
        <v>59</v>
      </c>
    </row>
    <row r="21" spans="1:7" x14ac:dyDescent="0.3">
      <c r="A21" s="14" t="s">
        <v>49</v>
      </c>
      <c r="B21" s="5" t="s">
        <v>28</v>
      </c>
      <c r="C21" s="15" t="s">
        <v>29</v>
      </c>
      <c r="E21" s="14" t="s">
        <v>52</v>
      </c>
      <c r="F21" s="5" t="s">
        <v>28</v>
      </c>
      <c r="G21" s="15" t="s">
        <v>29</v>
      </c>
    </row>
    <row r="22" spans="1:7" x14ac:dyDescent="0.3">
      <c r="A22" s="9" t="s">
        <v>37</v>
      </c>
      <c r="B22" s="8">
        <v>344.38</v>
      </c>
      <c r="C22" s="19"/>
      <c r="E22" s="9" t="s">
        <v>37</v>
      </c>
      <c r="F22" s="8">
        <v>1112.24</v>
      </c>
      <c r="G22" s="19" t="s">
        <v>60</v>
      </c>
    </row>
    <row r="23" spans="1:7" x14ac:dyDescent="0.3">
      <c r="A23" s="9" t="s">
        <v>38</v>
      </c>
      <c r="B23" s="8">
        <v>2</v>
      </c>
      <c r="C23" s="19"/>
      <c r="E23" s="9" t="s">
        <v>38</v>
      </c>
      <c r="F23" s="8">
        <v>3.8</v>
      </c>
      <c r="G23" s="19"/>
    </row>
    <row r="24" spans="1:7" x14ac:dyDescent="0.3">
      <c r="A24" s="9" t="s">
        <v>23</v>
      </c>
      <c r="B24" s="8">
        <v>0.57999999999999996</v>
      </c>
      <c r="C24" s="19"/>
      <c r="E24" s="9" t="s">
        <v>23</v>
      </c>
      <c r="F24" s="8">
        <v>0.34</v>
      </c>
      <c r="G24" s="19"/>
    </row>
    <row r="25" spans="1:7" x14ac:dyDescent="0.3">
      <c r="A25" s="9" t="s">
        <v>17</v>
      </c>
      <c r="B25" s="18">
        <v>48872</v>
      </c>
      <c r="C25" s="19"/>
      <c r="E25" s="9" t="s">
        <v>17</v>
      </c>
      <c r="F25" s="18">
        <v>10687</v>
      </c>
      <c r="G25" s="19"/>
    </row>
    <row r="26" spans="1:7" x14ac:dyDescent="0.3">
      <c r="A26" s="9" t="s">
        <v>19</v>
      </c>
      <c r="B26" s="18">
        <v>2.29</v>
      </c>
      <c r="C26" s="19"/>
      <c r="E26" s="9" t="s">
        <v>19</v>
      </c>
      <c r="F26" s="18">
        <v>1.38</v>
      </c>
      <c r="G26" s="19"/>
    </row>
    <row r="27" spans="1:7" x14ac:dyDescent="0.3">
      <c r="A27" s="9" t="s">
        <v>18</v>
      </c>
      <c r="B27" s="18">
        <v>40954.9</v>
      </c>
      <c r="C27" s="19"/>
      <c r="E27" s="9" t="s">
        <v>18</v>
      </c>
      <c r="F27" s="28">
        <f>6692+1329.1</f>
        <v>8021.1</v>
      </c>
      <c r="G27" s="27" t="s">
        <v>61</v>
      </c>
    </row>
    <row r="28" spans="1:7" x14ac:dyDescent="0.3">
      <c r="A28" s="10" t="s">
        <v>22</v>
      </c>
      <c r="B28" s="2">
        <v>208.2</v>
      </c>
      <c r="C28" s="20"/>
      <c r="E28" s="10" t="s">
        <v>22</v>
      </c>
      <c r="F28" s="10">
        <f>88.1+49</f>
        <v>137.1</v>
      </c>
      <c r="G28" s="25" t="s">
        <v>62</v>
      </c>
    </row>
    <row r="31" spans="1:7" x14ac:dyDescent="0.3">
      <c r="A31" s="14" t="s">
        <v>50</v>
      </c>
      <c r="B31" s="5" t="s">
        <v>28</v>
      </c>
      <c r="C31" s="15" t="s">
        <v>29</v>
      </c>
      <c r="E31" s="14" t="s">
        <v>51</v>
      </c>
      <c r="F31" s="5" t="s">
        <v>28</v>
      </c>
      <c r="G31" s="15" t="s">
        <v>29</v>
      </c>
    </row>
    <row r="32" spans="1:7" x14ac:dyDescent="0.3">
      <c r="A32" s="9" t="s">
        <v>37</v>
      </c>
      <c r="B32" s="8">
        <v>778.89</v>
      </c>
      <c r="C32" s="19"/>
      <c r="E32" s="9" t="s">
        <v>37</v>
      </c>
      <c r="F32" s="8">
        <v>1407.95</v>
      </c>
      <c r="G32" s="19"/>
    </row>
    <row r="33" spans="1:7" x14ac:dyDescent="0.3">
      <c r="A33" s="9" t="s">
        <v>38</v>
      </c>
      <c r="B33" s="8">
        <v>3.17</v>
      </c>
      <c r="C33" s="19"/>
      <c r="E33" s="9" t="s">
        <v>38</v>
      </c>
      <c r="F33" s="8">
        <v>4.8</v>
      </c>
      <c r="G33" s="19"/>
    </row>
    <row r="34" spans="1:7" x14ac:dyDescent="0.3">
      <c r="A34" s="9" t="s">
        <v>23</v>
      </c>
      <c r="B34" s="8">
        <v>0.41</v>
      </c>
      <c r="C34" s="19"/>
      <c r="E34" s="9" t="s">
        <v>23</v>
      </c>
      <c r="F34" s="8">
        <v>0.34</v>
      </c>
      <c r="G34" s="19"/>
    </row>
    <row r="35" spans="1:7" x14ac:dyDescent="0.3">
      <c r="A35" s="9" t="s">
        <v>17</v>
      </c>
      <c r="B35" s="18">
        <v>28895</v>
      </c>
      <c r="C35" s="19"/>
      <c r="E35" s="9" t="s">
        <v>17</v>
      </c>
      <c r="F35" s="18">
        <v>10867</v>
      </c>
      <c r="G35" s="19"/>
    </row>
    <row r="36" spans="1:7" x14ac:dyDescent="0.3">
      <c r="A36" s="9" t="s">
        <v>19</v>
      </c>
      <c r="B36" s="18">
        <v>1.53</v>
      </c>
      <c r="C36" s="19"/>
      <c r="E36" s="9" t="s">
        <v>19</v>
      </c>
      <c r="F36" s="18">
        <v>1.74</v>
      </c>
      <c r="G36" s="19"/>
    </row>
    <row r="37" spans="1:7" x14ac:dyDescent="0.3">
      <c r="A37" s="9" t="s">
        <v>18</v>
      </c>
      <c r="B37" s="18">
        <v>1006.2</v>
      </c>
      <c r="C37" s="19"/>
      <c r="E37" s="9" t="s">
        <v>18</v>
      </c>
      <c r="F37" s="18">
        <v>10610.4</v>
      </c>
      <c r="G37" s="19"/>
    </row>
    <row r="38" spans="1:7" x14ac:dyDescent="0.3">
      <c r="A38" s="10" t="s">
        <v>22</v>
      </c>
      <c r="B38" s="2">
        <v>110.1</v>
      </c>
      <c r="C38" s="20"/>
      <c r="E38" s="10" t="s">
        <v>22</v>
      </c>
      <c r="F38" s="2">
        <v>103.2</v>
      </c>
      <c r="G38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</vt:lpstr>
      <vt:lpstr>Lines</vt:lpstr>
      <vt:lpstr>Am-241</vt:lpstr>
      <vt:lpstr>Ba-133</vt:lpstr>
      <vt:lpstr>Co-60</vt:lpstr>
      <vt:lpstr>Cs-137</vt:lpstr>
      <vt:lpstr>Eu-152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2018-08-29T23:11:28Z</dcterms:modified>
</cp:coreProperties>
</file>