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0B88ED4F-ED68-487A-9457-69A7879A48DD}" xr6:coauthVersionLast="34" xr6:coauthVersionMax="34" xr10:uidLastSave="{00000000-0000-0000-0000-000000000000}"/>
  <bookViews>
    <workbookView xWindow="0" yWindow="0" windowWidth="22260" windowHeight="12648" activeTab="1" xr2:uid="{00000000-000D-0000-FFFF-FFFF00000000}"/>
  </bookViews>
  <sheets>
    <sheet name="dimensions" sheetId="1" r:id="rId1"/>
    <sheet name="gamma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2" l="1"/>
  <c r="M5" i="2"/>
  <c r="M6" i="2"/>
  <c r="M7" i="2"/>
  <c r="P7" i="2" s="1"/>
  <c r="M8" i="2"/>
  <c r="M9" i="2"/>
  <c r="M3" i="2"/>
  <c r="H4" i="2"/>
  <c r="G4" i="2"/>
  <c r="D4" i="2"/>
  <c r="P9" i="2"/>
  <c r="P8" i="2"/>
  <c r="P6" i="2"/>
  <c r="P5" i="2"/>
  <c r="P4" i="2"/>
  <c r="P3" i="2"/>
  <c r="K5" i="2" l="1"/>
  <c r="K4" i="2"/>
  <c r="K3" i="2"/>
  <c r="K7" i="2"/>
  <c r="K6" i="2"/>
  <c r="K9" i="2"/>
  <c r="K8" i="2"/>
  <c r="N5" i="2"/>
  <c r="N4" i="2"/>
  <c r="N3" i="2"/>
  <c r="N7" i="2"/>
  <c r="N6" i="2"/>
  <c r="J4" i="2"/>
  <c r="J5" i="2"/>
  <c r="J6" i="2"/>
  <c r="J7" i="2"/>
  <c r="J8" i="2"/>
  <c r="J9" i="2"/>
  <c r="J3" i="2"/>
  <c r="I7" i="2"/>
  <c r="I6" i="2"/>
  <c r="I9" i="2"/>
  <c r="I8" i="2"/>
  <c r="I5" i="2"/>
  <c r="I4" i="2"/>
  <c r="I3" i="2"/>
  <c r="N9" i="2"/>
  <c r="N8" i="2"/>
  <c r="H3" i="1" l="1"/>
  <c r="I3" i="1" s="1"/>
  <c r="H4" i="1"/>
  <c r="I4" i="1" s="1"/>
  <c r="H5" i="1"/>
  <c r="I5" i="1" s="1"/>
  <c r="H6" i="1"/>
  <c r="I6" i="1" s="1"/>
  <c r="H2" i="1"/>
  <c r="I2" i="1" s="1"/>
  <c r="J5" i="1" l="1"/>
  <c r="K5" i="1" s="1"/>
  <c r="J6" i="1" l="1"/>
  <c r="K6" i="1" s="1"/>
  <c r="J2" i="1" l="1"/>
  <c r="K2" i="1" s="1"/>
  <c r="J4" i="1"/>
  <c r="K4" i="1" s="1"/>
  <c r="J3" i="1"/>
  <c r="K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1" authorId="0" shapeId="0" xr:uid="{B50D4143-69D7-4BD5-B55F-594F499B6A0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peak area [counts]</t>
        </r>
      </text>
    </comment>
    <comment ref="I1" authorId="0" shapeId="0" xr:uid="{3C87EF7F-E5CC-4B7D-A25D-FBB2D1E5514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half-life [s]</t>
        </r>
      </text>
    </comment>
    <comment ref="J1" authorId="0" shapeId="0" xr:uid="{D24BEC11-26CA-44B9-8878-939BE393D97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decay constant</t>
        </r>
      </text>
    </comment>
    <comment ref="K1" authorId="0" shapeId="0" xr:uid="{5873008C-BC65-48F6-A981-990237994D8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time between end of irradiation and beginning of measurement</t>
        </r>
      </text>
    </comment>
    <comment ref="L1" authorId="0" shapeId="0" xr:uid="{589EFD62-3080-4D43-BE59-8E8E91D9BE9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total count time</t>
        </r>
      </text>
    </comment>
    <comment ref="M1" authorId="0" shapeId="0" xr:uid="{73FBB58A-CC0C-4206-9762-7DC9FE4E883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detector efficiency for a given decay line</t>
        </r>
      </text>
    </comment>
    <comment ref="N1" authorId="0" shapeId="0" xr:uid="{D86A977C-5CF8-4BA9-AEC6-AE7A29DF27E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live-time fraction</t>
        </r>
      </text>
    </comment>
    <comment ref="O1" authorId="0" shapeId="0" xr:uid="{3A243FC2-D490-4401-92AB-8AF30280B93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gamma intensity</t>
        </r>
      </text>
    </comment>
    <comment ref="P1" authorId="0" shapeId="0" xr:uid="{0577DC62-2A86-4A1B-89D7-AD08D37305C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time-zero activity [μCi]</t>
        </r>
      </text>
    </comment>
  </commentList>
</comments>
</file>

<file path=xl/sharedStrings.xml><?xml version="1.0" encoding="utf-8"?>
<sst xmlns="http://schemas.openxmlformats.org/spreadsheetml/2006/main" count="63" uniqueCount="50">
  <si>
    <t>Thickness (mm)</t>
  </si>
  <si>
    <t>Density (g/cm^3)</t>
  </si>
  <si>
    <t>Foil</t>
  </si>
  <si>
    <t>Uncertainty</t>
  </si>
  <si>
    <t>Weight (g)</t>
  </si>
  <si>
    <t>Note</t>
  </si>
  <si>
    <t>Zr2</t>
  </si>
  <si>
    <t>In2</t>
  </si>
  <si>
    <t>Ni2</t>
  </si>
  <si>
    <t>Au2</t>
  </si>
  <si>
    <t>Al2</t>
  </si>
  <si>
    <t>impurity questionable</t>
  </si>
  <si>
    <t xml:space="preserve"> </t>
  </si>
  <si>
    <t>Density Uncertainty</t>
  </si>
  <si>
    <t>Volume Uncertainty</t>
  </si>
  <si>
    <t>Volume [cm^3]</t>
  </si>
  <si>
    <t>In</t>
  </si>
  <si>
    <t>foil</t>
  </si>
  <si>
    <t>Zr</t>
  </si>
  <si>
    <t>Ni</t>
  </si>
  <si>
    <t>Au</t>
  </si>
  <si>
    <t>Al</t>
  </si>
  <si>
    <t>Al-27(n,p)Mg-27</t>
  </si>
  <si>
    <t>In-115(n,n')In-115M</t>
  </si>
  <si>
    <t>Ni-58(n,2n)Ni-57</t>
  </si>
  <si>
    <t>Reaction</t>
  </si>
  <si>
    <t>Au-197(n,2n)Au-196</t>
  </si>
  <si>
    <r>
      <t>Au-197(n,</t>
    </r>
    <r>
      <rPr>
        <sz val="11"/>
        <color theme="1"/>
        <rFont val="Calibri"/>
        <family val="2"/>
      </rPr>
      <t>γ</t>
    </r>
    <r>
      <rPr>
        <sz val="11"/>
        <color theme="1"/>
        <rFont val="Calibri"/>
        <family val="2"/>
        <scheme val="minor"/>
      </rPr>
      <t>)Au-196</t>
    </r>
  </si>
  <si>
    <t>In-115(n,γ)In-116M</t>
  </si>
  <si>
    <t>Energies (keV)</t>
  </si>
  <si>
    <t>Al-27(n,p)Na-24</t>
  </si>
  <si>
    <t>Diameter      (mm)</t>
  </si>
  <si>
    <t>Elemental    Purity</t>
  </si>
  <si>
    <t>Chi-squared</t>
  </si>
  <si>
    <t>Peak Centroid</t>
  </si>
  <si>
    <t>Peak FWHM</t>
  </si>
  <si>
    <t>uncertainty</t>
  </si>
  <si>
    <t>l</t>
  </si>
  <si>
    <t>∆t_j</t>
  </si>
  <si>
    <t>C</t>
  </si>
  <si>
    <t xml:space="preserve">∆t_c </t>
  </si>
  <si>
    <t>f_l</t>
  </si>
  <si>
    <t xml:space="preserve">I_γ </t>
  </si>
  <si>
    <t xml:space="preserve">ϵ(E_γ ) </t>
  </si>
  <si>
    <t>A_0</t>
  </si>
  <si>
    <t>t_1/2</t>
  </si>
  <si>
    <t>efficiency calibration equation</t>
  </si>
  <si>
    <t>9.833e-12 x + 3.205e-08 x+3.398e-05 x + 0.0137</t>
  </si>
  <si>
    <t>Line</t>
  </si>
  <si>
    <t>Correction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</si>
</sst>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Symbol"/>
      <family val="1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9" fontId="0" fillId="0" borderId="5" xfId="0" applyNumberFormat="1" applyBorder="1" applyAlignment="1">
      <alignment horizontal="center"/>
    </xf>
    <xf numFmtId="169" fontId="0" fillId="0" borderId="0" xfId="0" applyNumberFormat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workbookViewId="0">
      <selection activeCell="I16" sqref="I16"/>
    </sheetView>
  </sheetViews>
  <sheetFormatPr defaultRowHeight="14.4" x14ac:dyDescent="0.3"/>
  <cols>
    <col min="1" max="1" width="6.33203125" customWidth="1"/>
    <col min="2" max="2" width="8.5546875" bestFit="1" customWidth="1"/>
    <col min="3" max="3" width="10.5546875" bestFit="1" customWidth="1"/>
    <col min="4" max="4" width="9.5546875" bestFit="1" customWidth="1"/>
    <col min="5" max="5" width="10.5546875" bestFit="1" customWidth="1"/>
    <col min="6" max="6" width="9.21875" bestFit="1" customWidth="1"/>
    <col min="7" max="7" width="10.5546875" bestFit="1" customWidth="1"/>
    <col min="8" max="8" width="10.5546875" customWidth="1"/>
    <col min="9" max="9" width="12.44140625" customWidth="1"/>
    <col min="10" max="10" width="12.109375" customWidth="1"/>
    <col min="11" max="11" width="14.33203125" customWidth="1"/>
    <col min="12" max="12" width="9.109375" bestFit="1" customWidth="1"/>
    <col min="13" max="13" width="18.77734375" bestFit="1" customWidth="1"/>
  </cols>
  <sheetData>
    <row r="1" spans="1:13" ht="30" customHeight="1" x14ac:dyDescent="0.3">
      <c r="A1" s="9" t="s">
        <v>2</v>
      </c>
      <c r="B1" s="10" t="s">
        <v>31</v>
      </c>
      <c r="C1" s="10" t="s">
        <v>3</v>
      </c>
      <c r="D1" s="10" t="s">
        <v>0</v>
      </c>
      <c r="E1" s="10" t="s">
        <v>3</v>
      </c>
      <c r="F1" s="10" t="s">
        <v>4</v>
      </c>
      <c r="G1" s="10" t="s">
        <v>3</v>
      </c>
      <c r="H1" s="10" t="s">
        <v>15</v>
      </c>
      <c r="I1" s="10" t="s">
        <v>14</v>
      </c>
      <c r="J1" s="10" t="s">
        <v>1</v>
      </c>
      <c r="K1" s="10" t="s">
        <v>13</v>
      </c>
      <c r="L1" s="10" t="s">
        <v>32</v>
      </c>
      <c r="M1" s="11" t="s">
        <v>5</v>
      </c>
    </row>
    <row r="2" spans="1:13" ht="15.6" customHeight="1" x14ac:dyDescent="0.3">
      <c r="A2" s="12" t="s">
        <v>6</v>
      </c>
      <c r="B2" s="5">
        <v>49.9</v>
      </c>
      <c r="C2" s="5">
        <v>0.05</v>
      </c>
      <c r="D2" s="5">
        <v>1.036</v>
      </c>
      <c r="E2" s="5">
        <v>2E-3</v>
      </c>
      <c r="F2" s="5">
        <v>13.189</v>
      </c>
      <c r="G2" s="5">
        <v>2E-3</v>
      </c>
      <c r="H2" s="5">
        <f>PI()*B2^2/4*D2/1000</f>
        <v>2.0260526549515663</v>
      </c>
      <c r="I2" s="5">
        <f>SQRT((C2/B2)^2+(E2/D2)^2)*H2</f>
        <v>4.4067691960275011E-3</v>
      </c>
      <c r="J2" s="5">
        <f>F2/((B2/20)^2*3.1415*D2/10)</f>
        <v>6.5098944770896319</v>
      </c>
      <c r="K2" s="5">
        <f>SQRT((C2/B2)^2+(E2/D2)^2+(G2/F2)^2)*J2</f>
        <v>1.4193727148515141E-2</v>
      </c>
      <c r="L2" s="5">
        <v>0.98850000000000005</v>
      </c>
      <c r="M2" s="4"/>
    </row>
    <row r="3" spans="1:13" x14ac:dyDescent="0.3">
      <c r="A3" s="12" t="s">
        <v>7</v>
      </c>
      <c r="B3" s="5">
        <v>50.15</v>
      </c>
      <c r="C3" s="5">
        <v>0.1</v>
      </c>
      <c r="D3" s="5">
        <v>1.0209999999999999</v>
      </c>
      <c r="E3" s="5">
        <v>5.0000000000000001E-3</v>
      </c>
      <c r="F3" s="5">
        <v>14.326000000000001</v>
      </c>
      <c r="G3" s="5">
        <v>2E-3</v>
      </c>
      <c r="H3" s="5">
        <f t="shared" ref="H3:H6" si="0">PI()*B3^2/4*D3/1000</f>
        <v>2.0167752275037274</v>
      </c>
      <c r="I3" s="5">
        <f t="shared" ref="I3:I6" si="1">SQRT((C3/B3)^2+(E3/D3)^2)*H3</f>
        <v>1.0663818005793763E-2</v>
      </c>
      <c r="J3" s="5">
        <f>F3/((B3/20)^2*3.1415*D3/10)</f>
        <v>7.1036287670575256</v>
      </c>
      <c r="K3" s="5">
        <f t="shared" ref="K3:K6" si="2">SQRT((C3/B3)^2+(E3/D3)^2+(G3/F3)^2)*J3</f>
        <v>3.7573945915260518E-2</v>
      </c>
      <c r="L3" s="5">
        <v>0.99999000000000005</v>
      </c>
      <c r="M3" s="4"/>
    </row>
    <row r="4" spans="1:13" x14ac:dyDescent="0.3">
      <c r="A4" s="12" t="s">
        <v>8</v>
      </c>
      <c r="B4" s="5">
        <v>49.5</v>
      </c>
      <c r="C4" s="5">
        <v>0.1</v>
      </c>
      <c r="D4" s="5">
        <v>1</v>
      </c>
      <c r="E4" s="5">
        <v>3.0000000000000001E-3</v>
      </c>
      <c r="F4" s="5">
        <v>16.934000000000001</v>
      </c>
      <c r="G4" s="5">
        <v>2E-3</v>
      </c>
      <c r="H4" s="5">
        <f t="shared" si="0"/>
        <v>1.9244218498645975</v>
      </c>
      <c r="I4" s="5">
        <f t="shared" si="1"/>
        <v>6.9602420195695978E-3</v>
      </c>
      <c r="J4" s="5">
        <f>F4/((B4/20)^2*3.1415*D4/10)</f>
        <v>8.7997854746995028</v>
      </c>
      <c r="K4" s="5">
        <f t="shared" si="2"/>
        <v>3.184399701236567E-2</v>
      </c>
      <c r="L4" s="5">
        <v>0.98980000000000001</v>
      </c>
      <c r="M4" s="4"/>
    </row>
    <row r="5" spans="1:13" x14ac:dyDescent="0.3">
      <c r="A5" s="12" t="s">
        <v>9</v>
      </c>
      <c r="B5" s="5">
        <v>49.35</v>
      </c>
      <c r="C5" s="5">
        <v>0.1</v>
      </c>
      <c r="D5" s="5">
        <v>9.4E-2</v>
      </c>
      <c r="E5" s="5">
        <v>3.0000000000000001E-3</v>
      </c>
      <c r="F5" s="5">
        <v>3.298</v>
      </c>
      <c r="G5" s="5">
        <v>2E-3</v>
      </c>
      <c r="H5" s="5">
        <f t="shared" si="0"/>
        <v>0.17980097770810127</v>
      </c>
      <c r="I5" s="5">
        <f t="shared" si="1"/>
        <v>5.7498837395438809E-3</v>
      </c>
      <c r="J5" s="5">
        <f>F5/((B5/20)^2*3.1415*D5/10)</f>
        <v>18.343044133302069</v>
      </c>
      <c r="K5" s="5">
        <f t="shared" si="2"/>
        <v>0.58670055427926948</v>
      </c>
      <c r="L5" s="5">
        <v>0.999</v>
      </c>
      <c r="M5" s="4" t="s">
        <v>11</v>
      </c>
    </row>
    <row r="6" spans="1:13" x14ac:dyDescent="0.3">
      <c r="A6" s="13" t="s">
        <v>10</v>
      </c>
      <c r="B6" s="2">
        <v>50</v>
      </c>
      <c r="C6" s="2">
        <v>0.1</v>
      </c>
      <c r="D6" s="2">
        <v>1.0129999999999999</v>
      </c>
      <c r="E6" s="2">
        <v>3.0000000000000001E-3</v>
      </c>
      <c r="F6" s="2">
        <v>5.306</v>
      </c>
      <c r="G6" s="2">
        <v>2E-3</v>
      </c>
      <c r="H6" s="2">
        <f t="shared" si="0"/>
        <v>1.9890208488040375</v>
      </c>
      <c r="I6" s="2">
        <f t="shared" si="1"/>
        <v>7.1079282298352102E-3</v>
      </c>
      <c r="J6" s="2">
        <f>F6/((B6/20)^2*3.1415*D6/10)</f>
        <v>2.667722912655925</v>
      </c>
      <c r="K6" s="2">
        <f t="shared" si="2"/>
        <v>9.5862100566469211E-3</v>
      </c>
      <c r="L6" s="2">
        <v>0.99999000000000005</v>
      </c>
      <c r="M6" s="3"/>
    </row>
    <row r="15" spans="1:13" x14ac:dyDescent="0.3">
      <c r="K15" t="s">
        <v>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608B-E539-4827-9664-228038201E4D}">
  <dimension ref="A1:P20"/>
  <sheetViews>
    <sheetView tabSelected="1" workbookViewId="0">
      <selection activeCell="J3" sqref="J3"/>
    </sheetView>
  </sheetViews>
  <sheetFormatPr defaultRowHeight="14.4" x14ac:dyDescent="0.3"/>
  <cols>
    <col min="1" max="1" width="7.5546875" customWidth="1"/>
    <col min="2" max="2" width="17.33203125" style="1" bestFit="1" customWidth="1"/>
    <col min="3" max="4" width="12.33203125" style="1" bestFit="1" customWidth="1"/>
    <col min="5" max="5" width="10.88671875" style="1" hidden="1" customWidth="1"/>
    <col min="6" max="6" width="10.6640625" style="1" bestFit="1" customWidth="1"/>
    <col min="7" max="7" width="8" style="1" bestFit="1" customWidth="1"/>
    <col min="8" max="8" width="10.21875" style="1" bestFit="1" customWidth="1"/>
    <col min="9" max="9" width="8" style="1" bestFit="1" customWidth="1"/>
    <col min="10" max="10" width="8.88671875" customWidth="1"/>
    <col min="13" max="13" width="12.5546875" style="26" bestFit="1" customWidth="1"/>
    <col min="16" max="16" width="12" bestFit="1" customWidth="1"/>
  </cols>
  <sheetData>
    <row r="1" spans="1:16" x14ac:dyDescent="0.3">
      <c r="A1" s="15" t="s">
        <v>17</v>
      </c>
      <c r="B1" s="6" t="s">
        <v>25</v>
      </c>
      <c r="C1" s="6" t="s">
        <v>29</v>
      </c>
      <c r="D1" s="6" t="s">
        <v>34</v>
      </c>
      <c r="E1" s="6" t="s">
        <v>35</v>
      </c>
      <c r="F1" s="6" t="s">
        <v>33</v>
      </c>
      <c r="G1" s="6" t="s">
        <v>39</v>
      </c>
      <c r="H1" s="6" t="s">
        <v>36</v>
      </c>
      <c r="I1" s="6" t="s">
        <v>45</v>
      </c>
      <c r="J1" s="14" t="s">
        <v>37</v>
      </c>
      <c r="K1" s="6" t="s">
        <v>38</v>
      </c>
      <c r="L1" s="6" t="s">
        <v>40</v>
      </c>
      <c r="M1" s="23" t="s">
        <v>43</v>
      </c>
      <c r="N1" s="6" t="s">
        <v>41</v>
      </c>
      <c r="O1" s="6" t="s">
        <v>42</v>
      </c>
      <c r="P1" s="20" t="s">
        <v>44</v>
      </c>
    </row>
    <row r="2" spans="1:16" hidden="1" x14ac:dyDescent="0.3">
      <c r="A2" s="12" t="s">
        <v>18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24"/>
      <c r="N2" s="5"/>
      <c r="O2" s="5"/>
      <c r="P2" s="21"/>
    </row>
    <row r="3" spans="1:16" x14ac:dyDescent="0.3">
      <c r="A3" s="12" t="s">
        <v>16</v>
      </c>
      <c r="B3" s="5" t="s">
        <v>23</v>
      </c>
      <c r="C3" s="5">
        <v>336.24099999999999</v>
      </c>
      <c r="D3" s="5">
        <v>336.24</v>
      </c>
      <c r="E3" s="5">
        <v>2.15</v>
      </c>
      <c r="F3" s="5">
        <v>3.54</v>
      </c>
      <c r="G3" s="5">
        <v>135438</v>
      </c>
      <c r="H3" s="5">
        <v>377</v>
      </c>
      <c r="I3" s="5">
        <f>4.486*3600</f>
        <v>16149.599999999999</v>
      </c>
      <c r="J3" s="5">
        <f>LN(2)/I3</f>
        <v>4.2920393109423474E-5</v>
      </c>
      <c r="K3" s="5">
        <f>58*60+58-2</f>
        <v>3536</v>
      </c>
      <c r="L3" s="5">
        <v>2809</v>
      </c>
      <c r="M3" s="24">
        <f>0.000000000009833*C3+0.00000003205*C3+0.00003398*C3+0.0137</f>
        <v>2.5136249010307754E-2</v>
      </c>
      <c r="N3" s="5">
        <f>2798/2809</f>
        <v>0.99608401566393734</v>
      </c>
      <c r="O3" s="5">
        <v>0.99999000000000005</v>
      </c>
      <c r="P3" s="21">
        <f>G3*J3*J15*EXP(J3*K3)/(1-EXP(-J3*L3))*M3*N3*O3</f>
        <v>5.1580904156448747E-2</v>
      </c>
    </row>
    <row r="4" spans="1:16" x14ac:dyDescent="0.3">
      <c r="A4" s="12" t="s">
        <v>16</v>
      </c>
      <c r="B4" s="5" t="s">
        <v>28</v>
      </c>
      <c r="C4" s="5">
        <v>1293.4000000000001</v>
      </c>
      <c r="D4" s="5">
        <f>(1290.29+1293.56)/2</f>
        <v>1291.925</v>
      </c>
      <c r="E4" s="5">
        <v>2.39</v>
      </c>
      <c r="F4" s="5">
        <v>2.86</v>
      </c>
      <c r="G4" s="5">
        <f>60394.8+16513.6</f>
        <v>76908.399999999994</v>
      </c>
      <c r="H4" s="5">
        <f>138.6+251.1</f>
        <v>389.7</v>
      </c>
      <c r="I4" s="5">
        <f>54.29*60</f>
        <v>3257.4</v>
      </c>
      <c r="J4" s="5">
        <f t="shared" ref="J4:J9" si="0">LN(2)/I4</f>
        <v>2.1279154557620963E-4</v>
      </c>
      <c r="K4" s="5">
        <f>58*60+58-2</f>
        <v>3536</v>
      </c>
      <c r="L4" s="5">
        <v>2809</v>
      </c>
      <c r="M4" s="24">
        <f t="shared" ref="M4:M9" si="1">0.000000000009833*C4+0.00000003205*C4+0.00003398*C4+0.0137</f>
        <v>5.769119818800221E-2</v>
      </c>
      <c r="N4" s="5">
        <f>2798/2809</f>
        <v>0.99608401566393734</v>
      </c>
      <c r="O4" s="5">
        <v>0.99999000000000005</v>
      </c>
      <c r="P4" s="21">
        <f>G4*J16*J4*EXP(J4*K4)/(1-EXP(-J4*L4))*M4*N4*O4</f>
        <v>0.24437238640208861</v>
      </c>
    </row>
    <row r="5" spans="1:16" x14ac:dyDescent="0.3">
      <c r="A5" s="16" t="s">
        <v>19</v>
      </c>
      <c r="B5" s="5" t="s">
        <v>24</v>
      </c>
      <c r="C5" s="5">
        <v>1377.63</v>
      </c>
      <c r="D5" s="5">
        <v>1377.59</v>
      </c>
      <c r="E5" s="5">
        <v>7.06</v>
      </c>
      <c r="F5" s="5">
        <v>1.63</v>
      </c>
      <c r="G5" s="5">
        <v>7488</v>
      </c>
      <c r="H5" s="5">
        <v>91.3</v>
      </c>
      <c r="I5" s="5">
        <f>35.6*3600</f>
        <v>128160</v>
      </c>
      <c r="J5" s="5">
        <f t="shared" si="0"/>
        <v>5.4084517833953281E-6</v>
      </c>
      <c r="K5" s="5">
        <f>6*3600+45*60+39-2</f>
        <v>24337</v>
      </c>
      <c r="L5" s="5">
        <v>44067</v>
      </c>
      <c r="M5" s="24">
        <f t="shared" si="1"/>
        <v>6.0556033987735791E-2</v>
      </c>
      <c r="N5" s="5">
        <f>44060/44067</f>
        <v>0.9998411509746522</v>
      </c>
      <c r="O5" s="5">
        <v>0.98980000000000001</v>
      </c>
      <c r="P5" s="21">
        <f>G5*J17*J5*EXP(J5*K5)/(1-EXP(-J5*L5))*M5*N5*O5</f>
        <v>7.511846160522587E-4</v>
      </c>
    </row>
    <row r="6" spans="1:16" x14ac:dyDescent="0.3">
      <c r="A6" s="16" t="s">
        <v>20</v>
      </c>
      <c r="B6" s="5" t="s">
        <v>27</v>
      </c>
      <c r="C6" s="5">
        <v>355.7</v>
      </c>
      <c r="D6" s="5">
        <v>355.7</v>
      </c>
      <c r="E6" s="5">
        <v>1.36</v>
      </c>
      <c r="F6" s="5">
        <v>1.53</v>
      </c>
      <c r="G6" s="5">
        <v>11167.4</v>
      </c>
      <c r="H6" s="5">
        <v>107.4</v>
      </c>
      <c r="I6" s="5">
        <f>6.1669*24*3600</f>
        <v>532820.16</v>
      </c>
      <c r="J6" s="5">
        <f t="shared" si="0"/>
        <v>1.3009026921202555E-6</v>
      </c>
      <c r="K6" s="5">
        <f>2*3600+3*60+19</f>
        <v>7399</v>
      </c>
      <c r="L6" s="5">
        <v>8500</v>
      </c>
      <c r="M6" s="24">
        <f t="shared" si="1"/>
        <v>2.5798089682598099E-2</v>
      </c>
      <c r="N6" s="5">
        <f>8499/8500</f>
        <v>0.99988235294117644</v>
      </c>
      <c r="O6" s="5">
        <v>0.999</v>
      </c>
      <c r="P6" s="21">
        <f>G6*J13*J6*EXP(J6*K6)/(1-EXP(-J6*L6))*M6*N6*O6</f>
        <v>1.5437324359203902E-3</v>
      </c>
    </row>
    <row r="7" spans="1:16" x14ac:dyDescent="0.3">
      <c r="A7" s="16" t="s">
        <v>20</v>
      </c>
      <c r="B7" s="5" t="s">
        <v>26</v>
      </c>
      <c r="C7" s="5">
        <v>411.8</v>
      </c>
      <c r="D7" s="5">
        <v>411.76</v>
      </c>
      <c r="E7" s="5">
        <v>1.36</v>
      </c>
      <c r="F7" s="5">
        <v>1.48</v>
      </c>
      <c r="G7" s="5">
        <v>8780.2999999999993</v>
      </c>
      <c r="H7" s="5">
        <v>95.2</v>
      </c>
      <c r="I7" s="5">
        <f>6.1669*24*3600</f>
        <v>532820.16</v>
      </c>
      <c r="J7" s="5">
        <f t="shared" si="0"/>
        <v>1.3009026921202555E-6</v>
      </c>
      <c r="K7" s="5">
        <f>2*3600+3*60+19</f>
        <v>7399</v>
      </c>
      <c r="L7" s="5">
        <v>8500</v>
      </c>
      <c r="M7" s="24">
        <f t="shared" si="1"/>
        <v>2.7706166239229404E-2</v>
      </c>
      <c r="N7" s="5">
        <f>8499/8500</f>
        <v>0.99988235294117644</v>
      </c>
      <c r="O7" s="5">
        <v>0.999</v>
      </c>
      <c r="P7" s="21">
        <f>G7*J14*J7*EXP(J7*K7)/(1-EXP(-J7*L7))*M7*N7*O7</f>
        <v>1.0939726425041331E-3</v>
      </c>
    </row>
    <row r="8" spans="1:16" x14ac:dyDescent="0.3">
      <c r="A8" s="16" t="s">
        <v>21</v>
      </c>
      <c r="B8" s="5" t="s">
        <v>22</v>
      </c>
      <c r="C8" s="5">
        <v>843.76</v>
      </c>
      <c r="D8" s="5">
        <v>843.51</v>
      </c>
      <c r="E8" s="5">
        <v>4.53</v>
      </c>
      <c r="F8" s="5">
        <v>1.68</v>
      </c>
      <c r="G8" s="5">
        <v>19825.900000000001</v>
      </c>
      <c r="H8" s="5">
        <v>145.30000000000001</v>
      </c>
      <c r="I8" s="5">
        <f>9.458*60</f>
        <v>567.48</v>
      </c>
      <c r="J8" s="5">
        <f t="shared" si="0"/>
        <v>1.2214477700710955E-3</v>
      </c>
      <c r="K8" s="5">
        <f>10*60+2</f>
        <v>602</v>
      </c>
      <c r="L8" s="8">
        <v>2789</v>
      </c>
      <c r="M8" s="24">
        <f t="shared" si="1"/>
        <v>4.2398015604692085E-2</v>
      </c>
      <c r="N8" s="5">
        <f>2787/2789</f>
        <v>0.99928289709573326</v>
      </c>
      <c r="O8" s="5">
        <v>0.99999000000000005</v>
      </c>
      <c r="P8" s="21">
        <f>G8*J18*J8*EXP(J8*K8)/(1-EXP(-J8*L8))*M8*N8*O8</f>
        <v>0.10671273728328239</v>
      </c>
    </row>
    <row r="9" spans="1:16" x14ac:dyDescent="0.3">
      <c r="A9" s="17" t="s">
        <v>21</v>
      </c>
      <c r="B9" s="2" t="s">
        <v>30</v>
      </c>
      <c r="C9" s="2">
        <v>1368.63</v>
      </c>
      <c r="D9" s="2">
        <v>1368.2</v>
      </c>
      <c r="E9" s="2">
        <v>6.39</v>
      </c>
      <c r="F9" s="2">
        <v>1.87</v>
      </c>
      <c r="G9" s="2">
        <v>10738.4</v>
      </c>
      <c r="H9" s="2">
        <v>105.5</v>
      </c>
      <c r="I9" s="2">
        <f>14.959*3600</f>
        <v>53852.4</v>
      </c>
      <c r="J9" s="2">
        <f t="shared" si="0"/>
        <v>1.2871240289382558E-5</v>
      </c>
      <c r="K9" s="2">
        <f>10*60+2</f>
        <v>602</v>
      </c>
      <c r="L9" s="2">
        <v>2789</v>
      </c>
      <c r="M9" s="25">
        <f t="shared" si="1"/>
        <v>6.0249925449238795E-2</v>
      </c>
      <c r="N9" s="2">
        <f>2787/2789</f>
        <v>0.99928289709573326</v>
      </c>
      <c r="O9" s="2">
        <v>0.99999000000000005</v>
      </c>
      <c r="P9" s="22">
        <f>G9*J12*J9*EXP(J9*K9)/(1-EXP(-J9*L9))*M9*N9*O9</f>
        <v>1.1865504507157988E-2</v>
      </c>
    </row>
    <row r="10" spans="1:16" x14ac:dyDescent="0.3">
      <c r="A10" s="7"/>
      <c r="B10" s="5"/>
      <c r="C10" s="5"/>
      <c r="D10" s="5"/>
      <c r="E10" s="5"/>
      <c r="F10" s="5"/>
      <c r="G10" s="5"/>
      <c r="H10" s="5"/>
      <c r="I10" s="5"/>
      <c r="J10" s="7"/>
    </row>
    <row r="11" spans="1:16" x14ac:dyDescent="0.3">
      <c r="A11" s="7"/>
      <c r="B11" s="18" t="s">
        <v>46</v>
      </c>
      <c r="C11" s="18"/>
      <c r="D11" s="18"/>
      <c r="E11" s="18"/>
      <c r="F11" s="18"/>
      <c r="H11" s="1" t="s">
        <v>2</v>
      </c>
      <c r="I11" s="1" t="s">
        <v>48</v>
      </c>
      <c r="J11" t="s">
        <v>49</v>
      </c>
    </row>
    <row r="12" spans="1:16" x14ac:dyDescent="0.3">
      <c r="A12" s="7"/>
      <c r="B12" s="19" t="s">
        <v>47</v>
      </c>
      <c r="C12" s="18"/>
      <c r="D12" s="18"/>
      <c r="E12" s="18"/>
      <c r="F12" s="18"/>
      <c r="H12" s="1" t="s">
        <v>21</v>
      </c>
      <c r="I12" s="1">
        <v>1368.63</v>
      </c>
      <c r="J12">
        <v>4.9890469E-2</v>
      </c>
    </row>
    <row r="13" spans="1:16" x14ac:dyDescent="0.3">
      <c r="A13" s="7"/>
      <c r="B13" s="5"/>
      <c r="C13" s="5"/>
      <c r="D13" s="5"/>
      <c r="E13" s="5"/>
      <c r="F13" s="5"/>
      <c r="H13" s="1" t="s">
        <v>20</v>
      </c>
      <c r="I13" s="1">
        <v>355.7</v>
      </c>
      <c r="J13">
        <v>4.4911521000000003E-2</v>
      </c>
    </row>
    <row r="14" spans="1:16" x14ac:dyDescent="0.3">
      <c r="A14" s="7"/>
      <c r="B14" s="5"/>
      <c r="C14" s="5"/>
      <c r="D14" s="5"/>
      <c r="E14" s="5"/>
      <c r="F14" s="5"/>
      <c r="H14" s="1" t="s">
        <v>20</v>
      </c>
      <c r="I14" s="1">
        <v>411.8</v>
      </c>
      <c r="J14">
        <v>3.7691726000000002E-2</v>
      </c>
    </row>
    <row r="15" spans="1:16" x14ac:dyDescent="0.3">
      <c r="A15" s="7"/>
      <c r="B15" s="5"/>
      <c r="C15" s="5"/>
      <c r="D15" s="5"/>
      <c r="E15" s="5"/>
      <c r="F15" s="5"/>
      <c r="H15" s="1" t="s">
        <v>16</v>
      </c>
      <c r="I15" s="1">
        <v>336.24099999999999</v>
      </c>
      <c r="J15">
        <v>3.4584355999999997E-2</v>
      </c>
    </row>
    <row r="16" spans="1:16" x14ac:dyDescent="0.3">
      <c r="A16" s="7"/>
      <c r="B16" s="5"/>
      <c r="C16" s="5"/>
      <c r="D16" s="5"/>
      <c r="E16" s="5"/>
      <c r="F16" s="5"/>
      <c r="H16" s="1" t="s">
        <v>16</v>
      </c>
      <c r="I16" s="1">
        <v>1293.56</v>
      </c>
      <c r="J16">
        <v>5.5093795000000001E-2</v>
      </c>
    </row>
    <row r="17" spans="1:10" x14ac:dyDescent="0.3">
      <c r="A17" s="7"/>
      <c r="B17" s="5"/>
      <c r="C17" s="5"/>
      <c r="D17" s="5"/>
      <c r="E17" s="5"/>
      <c r="F17" s="5"/>
      <c r="H17" s="1" t="s">
        <v>19</v>
      </c>
      <c r="I17" s="1">
        <v>1377.63</v>
      </c>
      <c r="J17">
        <v>5.7539754999999998E-2</v>
      </c>
    </row>
    <row r="18" spans="1:10" x14ac:dyDescent="0.3">
      <c r="A18" s="7"/>
      <c r="B18" s="5"/>
      <c r="C18" s="5"/>
      <c r="D18" s="5"/>
      <c r="E18" s="5"/>
      <c r="F18" s="5"/>
      <c r="H18" s="1" t="s">
        <v>21</v>
      </c>
      <c r="I18" s="1">
        <v>843.76</v>
      </c>
      <c r="J18">
        <v>4.8205295000000002E-2</v>
      </c>
    </row>
    <row r="19" spans="1:10" x14ac:dyDescent="0.3">
      <c r="A19" s="7"/>
      <c r="B19" s="5"/>
      <c r="C19" s="5"/>
      <c r="D19" s="5"/>
      <c r="E19" s="5"/>
      <c r="F19" s="5"/>
    </row>
    <row r="20" spans="1:10" x14ac:dyDescent="0.3">
      <c r="A20" s="7"/>
      <c r="B20" s="5"/>
      <c r="C20" s="5"/>
      <c r="D20" s="5"/>
      <c r="E20" s="5"/>
      <c r="F20" s="5"/>
    </row>
  </sheetData>
  <mergeCells count="2">
    <mergeCell ref="B11:F11"/>
    <mergeCell ref="B12:F1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dimensions</vt:lpstr>
      <vt:lpstr>gammas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2018-08-29T23:04:05Z</dcterms:modified>
</cp:coreProperties>
</file>