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<sst xmlns="http://schemas.openxmlformats.org/spreadsheetml/2006/main" count="108" uniqueCount="84">
  <si>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</si>
  <si>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</si>
  <si>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</si>
  <si>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</si>
  <si>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</si>
  <si>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</si>
  <si>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</si>
  <si>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</si>
  <si>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</si>
  <si>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</si>
  <si>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- 15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</si>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</sst>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3" fontId="1" numFmtId="0" xfId="0" applyAlignment="1" applyBorder="1" applyFont="1">
      <alignment shrinkToFit="0" vertical="bottom" wrapText="1"/>
    </xf>
    <xf borderId="6" fillId="0" fontId="3" numFmtId="3" xfId="0" applyAlignment="1" applyBorder="1" applyFont="1" applyNumberFormat="1">
      <alignment horizontal="right" vertical="bottom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6" fillId="0" fontId="3" numFmtId="2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25</xdr:row>
      <xdr:rowOff>57150</xdr:rowOff>
    </xdr:from>
    <xdr:ext cx="9239250" cy="60483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1285875</xdr:colOff>
      <xdr:row>57</xdr:row>
      <xdr:rowOff>200025</xdr:rowOff>
    </xdr:from>
    <xdr:ext cx="10420350" cy="46386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906.0</v>
      </c>
      <c r="B4" s="11">
        <v>2690.0</v>
      </c>
      <c r="C4" s="11"/>
      <c r="D4" s="11">
        <v>20800.0</v>
      </c>
      <c r="E4" s="11">
        <v>2484.0</v>
      </c>
      <c r="F4" s="11">
        <v>0.0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1">
        <v>67000.0</v>
      </c>
      <c r="B6" s="11">
        <v>1740.0</v>
      </c>
      <c r="C6" s="11">
        <f>20800*2.5</f>
        <v>52000</v>
      </c>
      <c r="D6" s="11">
        <v>53.0</v>
      </c>
      <c r="E6" s="13">
        <v>0.0</v>
      </c>
      <c r="F6" s="13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2" t="s">
        <v>15</v>
      </c>
      <c r="D7" s="12" t="s">
        <v>16</v>
      </c>
      <c r="E7" s="12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700.0</v>
      </c>
      <c r="B8" s="18">
        <v>585.0</v>
      </c>
      <c r="C8" s="17">
        <v>4156.0</v>
      </c>
      <c r="D8" s="11">
        <v>1803.0</v>
      </c>
      <c r="E8" s="11">
        <v>0.0</v>
      </c>
      <c r="F8" s="19"/>
      <c r="G8" s="4"/>
      <c r="P8" s="4"/>
      <c r="Q8" s="4"/>
      <c r="R8" s="4"/>
      <c r="S8" s="4"/>
      <c r="T8" s="4"/>
    </row>
    <row r="9">
      <c r="A9" s="14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3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891.0</v>
      </c>
      <c r="J13" s="33">
        <f t="shared" ref="J13:J19" si="1">(I13/30/24)*1.1</f>
        <v>1.36125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2720000.0</v>
      </c>
      <c r="J14" s="33">
        <f t="shared" si="1"/>
        <v>4155.555556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3">
        <f>C6+E6</f>
        <v>52000</v>
      </c>
      <c r="C15" s="41" t="s">
        <v>30</v>
      </c>
      <c r="D15" s="38"/>
      <c r="E15" s="42">
        <f>B19/B15</f>
        <v>0.7648834815</v>
      </c>
      <c r="F15" s="43" t="s">
        <v>31</v>
      </c>
      <c r="G15" s="4"/>
      <c r="H15" s="44" t="s">
        <v>16</v>
      </c>
      <c r="I15" s="11">
        <v>1180000.0</v>
      </c>
      <c r="J15" s="33">
        <f t="shared" si="1"/>
        <v>1802.777778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2.0</v>
      </c>
      <c r="C16" s="41" t="s">
        <v>34</v>
      </c>
      <c r="D16" s="38"/>
      <c r="E16" s="46">
        <f>B15/30</f>
        <v>1733.333333</v>
      </c>
      <c r="F16" s="38" t="s">
        <v>35</v>
      </c>
      <c r="G16" s="4"/>
      <c r="H16" s="27" t="s">
        <v>13</v>
      </c>
      <c r="I16" s="11">
        <v>0.0</v>
      </c>
      <c r="J16" s="33">
        <f t="shared" si="1"/>
        <v>0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3">
        <f>(C4+D4+D6)*1000000</f>
        <v>20853000000</v>
      </c>
      <c r="C17" s="41" t="s">
        <v>38</v>
      </c>
      <c r="D17" s="38"/>
      <c r="E17" s="47">
        <f>E16*0.5</f>
        <v>866.6666667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3">
        <f>(B17*B16)*1024</f>
        <v>42706944000000</v>
      </c>
      <c r="C18" s="41" t="s">
        <v>42</v>
      </c>
      <c r="D18" s="38"/>
      <c r="E18" s="47">
        <f>E16*0.4</f>
        <v>693.3333333</v>
      </c>
      <c r="F18" s="48" t="s">
        <v>43</v>
      </c>
      <c r="G18" s="4"/>
      <c r="H18" s="49" t="s">
        <v>44</v>
      </c>
      <c r="I18" s="13">
        <v>0.0</v>
      </c>
      <c r="J18" s="50">
        <f t="shared" si="1"/>
        <v>0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51">
        <f>B18/POW(1024,3)</f>
        <v>39773.94104</v>
      </c>
      <c r="C19" s="41" t="s">
        <v>30</v>
      </c>
      <c r="D19" s="38"/>
      <c r="E19" s="52">
        <f>E16*0.1</f>
        <v>173.3333333</v>
      </c>
      <c r="F19" s="53" t="s">
        <v>47</v>
      </c>
      <c r="G19" s="4"/>
      <c r="H19" s="54" t="s">
        <v>48</v>
      </c>
      <c r="I19" s="55">
        <v>0.0</v>
      </c>
      <c r="J19" s="56">
        <f t="shared" si="1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1325.798035</v>
      </c>
      <c r="C20" s="60" t="s">
        <v>51</v>
      </c>
      <c r="D20" s="4"/>
      <c r="E20" s="32"/>
      <c r="F20" s="30"/>
      <c r="G20" s="4"/>
      <c r="H20" s="61"/>
      <c r="I20" s="62"/>
      <c r="J20" s="63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4"/>
      <c r="C21" s="31"/>
      <c r="D21" s="38"/>
      <c r="E21" s="35" t="s">
        <v>52</v>
      </c>
      <c r="F21" s="20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6"/>
      <c r="C22" s="37"/>
      <c r="D22" s="38"/>
      <c r="E22" s="69">
        <f>sum(B25:B29)</f>
        <v>6115190</v>
      </c>
      <c r="F22" s="70" t="s">
        <v>55</v>
      </c>
      <c r="G22" s="4"/>
      <c r="H22" s="71" t="s">
        <v>18</v>
      </c>
      <c r="I22" s="72">
        <v>0.0</v>
      </c>
      <c r="J22" s="73">
        <f t="shared" ref="J22:J24" si="2">I22/30.4</f>
        <v>0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4">
        <f>A4+A8+B8+F6+C10+B10</f>
        <v>2191</v>
      </c>
      <c r="C23" s="41"/>
      <c r="D23" s="38"/>
      <c r="E23" s="46">
        <f>E22/1000</f>
        <v>6115.19</v>
      </c>
      <c r="F23" s="38" t="s">
        <v>57</v>
      </c>
      <c r="G23" s="4"/>
      <c r="H23" s="75" t="s">
        <v>58</v>
      </c>
      <c r="I23" s="76">
        <v>75500.0</v>
      </c>
      <c r="J23" s="77">
        <f t="shared" si="2"/>
        <v>2483.552632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8" t="s">
        <v>15</v>
      </c>
      <c r="B24" s="79">
        <f>C8+D8</f>
        <v>5959</v>
      </c>
      <c r="C24" s="70"/>
      <c r="D24" s="38"/>
      <c r="E24" s="80">
        <v>3.3E-5</v>
      </c>
      <c r="F24" s="38" t="s">
        <v>60</v>
      </c>
      <c r="G24" s="4"/>
      <c r="H24" s="81" t="s">
        <v>61</v>
      </c>
      <c r="I24" s="82">
        <v>0.0</v>
      </c>
      <c r="J24" s="83">
        <f t="shared" si="2"/>
        <v>0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4" t="s">
        <v>18</v>
      </c>
      <c r="B25" s="85">
        <f>(F8*0.1)*3</f>
        <v>0</v>
      </c>
      <c r="C25" s="86" t="s">
        <v>55</v>
      </c>
      <c r="D25" s="38"/>
      <c r="E25" s="87"/>
      <c r="F25" s="88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3">
        <f>(F4*0.1)*3</f>
        <v>0</v>
      </c>
      <c r="C26" s="41" t="s">
        <v>55</v>
      </c>
      <c r="D26" s="89" t="s">
        <v>63</v>
      </c>
      <c r="E26" s="52">
        <f>E22*E24</f>
        <v>201.80127</v>
      </c>
      <c r="F26" s="90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3">
        <f>((B24+B23)*750)</f>
        <v>6112500</v>
      </c>
      <c r="C27" s="41" t="s">
        <v>55</v>
      </c>
      <c r="D27" s="4"/>
      <c r="E27" s="36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13">
        <f>B4</f>
        <v>2690</v>
      </c>
      <c r="C28" s="41" t="s">
        <v>55</v>
      </c>
      <c r="D28" s="38"/>
      <c r="E28" s="92" t="s">
        <v>66</v>
      </c>
      <c r="F28" s="93"/>
      <c r="G28" s="4"/>
      <c r="H28" s="4"/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67</v>
      </c>
      <c r="B29" s="94"/>
      <c r="C29" s="60" t="s">
        <v>68</v>
      </c>
      <c r="D29" s="38"/>
      <c r="E29" s="42">
        <f>B34/B33</f>
        <v>0.0371505965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0"/>
      <c r="B30" s="96"/>
      <c r="C30" s="31"/>
      <c r="D30" s="38"/>
      <c r="E30" s="69">
        <f>B35</f>
        <v>2233.333333</v>
      </c>
      <c r="F30" s="38" t="s">
        <v>69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6"/>
      <c r="C31" s="37"/>
      <c r="D31" s="38"/>
      <c r="E31" s="69">
        <f>E30*E29</f>
        <v>82.96966553</v>
      </c>
      <c r="F31" s="38" t="s">
        <v>70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3">
        <v>1.5</v>
      </c>
      <c r="C32" s="41" t="s">
        <v>34</v>
      </c>
      <c r="D32" s="38"/>
      <c r="E32" s="47">
        <f>E30-E33</f>
        <v>2150.363668</v>
      </c>
      <c r="F32" s="98" t="s">
        <v>72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3">
        <f>A6</f>
        <v>67000</v>
      </c>
      <c r="C33" s="100" t="s">
        <v>74</v>
      </c>
      <c r="D33" s="38"/>
      <c r="E33" s="52">
        <f>E30*E29</f>
        <v>82.96966553</v>
      </c>
      <c r="F33" s="101" t="s">
        <v>75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3">
        <f>((B6*1000000+E8)*B32)/1024/1024</f>
        <v>2489.089966</v>
      </c>
      <c r="C34" s="41" t="s">
        <v>74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77</v>
      </c>
      <c r="B35" s="105">
        <f>B33/30</f>
        <v>2233.333333</v>
      </c>
      <c r="C35" s="60" t="s">
        <v>74</v>
      </c>
      <c r="D35" s="78"/>
      <c r="E35" s="106" t="s">
        <v>78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8"/>
      <c r="E36" s="108" t="s">
        <v>79</v>
      </c>
      <c r="F36" s="79">
        <f>E16</f>
        <v>1733.333333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8"/>
      <c r="E37" s="108" t="s">
        <v>80</v>
      </c>
      <c r="F37" s="79">
        <f>E22</f>
        <v>6115190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8"/>
      <c r="E38" s="108" t="s">
        <v>81</v>
      </c>
      <c r="F38" s="79">
        <f>E32+E33</f>
        <v>2233.333333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8"/>
      <c r="E39" s="108" t="s">
        <v>58</v>
      </c>
      <c r="F39" s="79">
        <f>E4</f>
        <v>2484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8"/>
      <c r="E40" s="109" t="s">
        <v>82</v>
      </c>
      <c r="F40" s="13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8"/>
      <c r="E46" s="110" t="s">
        <v>83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