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2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3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4.xml" ContentType="application/vnd.openxmlformats-officedocument.drawing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drawings/drawing5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drawings/drawing6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drawings/drawing7.xml" ContentType="application/vnd.openxmlformats-officedocument.drawing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drawings/drawing8.xml" ContentType="application/vnd.openxmlformats-officedocument.drawing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drawings/drawing9.xml" ContentType="application/vnd.openxmlformats-officedocument.drawing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drawings/drawing10.xml" ContentType="application/vnd.openxmlformats-officedocument.drawing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drawings/drawing11.xml" ContentType="application/vnd.openxmlformats-officedocument.drawing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drawings/drawing12.xml" ContentType="application/vnd.openxmlformats-officedocument.drawing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drawings/drawing13.xml" ContentType="application/vnd.openxmlformats-officedocument.drawing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drawings/drawing14.xml" ContentType="application/vnd.openxmlformats-officedocument.drawing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drawings/drawing15.xml" ContentType="application/vnd.openxmlformats-officedocument.drawing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drawings/drawing16.xml" ContentType="application/vnd.openxmlformats-officedocument.drawing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drawings/drawing17.xml" ContentType="application/vnd.openxmlformats-officedocument.drawing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drawings/drawing18.xml" ContentType="application/vnd.openxmlformats-officedocument.drawing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drawings/drawing19.xml" ContentType="application/vnd.openxmlformats-officedocument.drawing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drawings/drawing20.xml" ContentType="application/vnd.openxmlformats-officedocument.drawing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drawings/drawing21.xml" ContentType="application/vnd.openxmlformats-officedocument.drawing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drawings/drawing22.xml" ContentType="application/vnd.openxmlformats-officedocument.drawing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drawings/drawing23.xml" ContentType="application/vnd.openxmlformats-officedocument.drawing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drawings/drawing24.xml" ContentType="application/vnd.openxmlformats-officedocument.drawing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drawings/drawing25.xml" ContentType="application/vnd.openxmlformats-officedocument.drawing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drawings/drawing26.xml" ContentType="application/vnd.openxmlformats-officedocument.drawing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drawings/drawing27.xml" ContentType="application/vnd.openxmlformats-officedocument.drawing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drawings/drawing28.xml" ContentType="application/vnd.openxmlformats-officedocument.drawing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drawings/drawing29.xml" ContentType="application/vnd.openxmlformats-officedocument.drawing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drawings/drawing30.xml" ContentType="application/vnd.openxmlformats-officedocument.drawing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drawings/drawing31.xml" ContentType="application/vnd.openxmlformats-officedocument.drawing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drawings/drawing32.xml" ContentType="application/vnd.openxmlformats-officedocument.drawing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drawings/drawing33.xml" ContentType="application/vnd.openxmlformats-officedocument.drawing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drawings/drawing34.xml" ContentType="application/vnd.openxmlformats-officedocument.drawing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drawings/drawing35.xml" ContentType="application/vnd.openxmlformats-officedocument.drawing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drawings/drawing36.xml" ContentType="application/vnd.openxmlformats-officedocument.drawing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drawings/drawing37.xml" ContentType="application/vnd.openxmlformats-officedocument.drawing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drawings/drawing38.xml" ContentType="application/vnd.openxmlformats-officedocument.drawing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drawings/drawing39.xml" ContentType="application/vnd.openxmlformats-officedocument.drawing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drawings/drawing40.xml" ContentType="application/vnd.openxmlformats-officedocument.drawing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drawings/drawing41.xml" ContentType="application/vnd.openxmlformats-officedocument.drawing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drawings/drawing42.xml" ContentType="application/vnd.openxmlformats-officedocument.drawing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drawings/drawing43.xml" ContentType="application/vnd.openxmlformats-officedocument.drawing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drawings/drawing44.xml" ContentType="application/vnd.openxmlformats-officedocument.drawing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drawings/drawing45.xml" ContentType="application/vnd.openxmlformats-officedocument.drawing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drawings/drawing46.xml" ContentType="application/vnd.openxmlformats-officedocument.drawing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drawings/drawing47.xml" ContentType="application/vnd.openxmlformats-officedocument.drawing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drawings/drawing48.xml" ContentType="application/vnd.openxmlformats-officedocument.drawing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drawings/drawing49.xml" ContentType="application/vnd.openxmlformats-officedocument.drawing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drawings/drawing50.xml" ContentType="application/vnd.openxmlformats-officedocument.drawing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drawings/drawing51.xml" ContentType="application/vnd.openxmlformats-officedocument.drawing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drawings/drawing52.xml" ContentType="application/vnd.openxmlformats-officedocument.drawing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drawings/drawing53.xml" ContentType="application/vnd.openxmlformats-officedocument.drawing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drawings/drawing54.xml" ContentType="application/vnd.openxmlformats-officedocument.drawing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drawings/drawing55.xml" ContentType="application/vnd.openxmlformats-officedocument.drawing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drawings/drawing56.xml" ContentType="application/vnd.openxmlformats-officedocument.drawing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drawings/drawing57.xml" ContentType="application/vnd.openxmlformats-officedocument.drawing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drawings/drawing58.xml" ContentType="application/vnd.openxmlformats-officedocument.drawing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drawings/drawing59.xml" ContentType="application/vnd.openxmlformats-officedocument.drawing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drawings/drawing60.xml" ContentType="application/vnd.openxmlformats-officedocument.drawing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drawings/drawing61.xml" ContentType="application/vnd.openxmlformats-officedocument.drawing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drawings/drawing62.xml" ContentType="application/vnd.openxmlformats-officedocument.drawing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drawings/drawing63.xml" ContentType="application/vnd.openxmlformats-officedocument.drawing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drawings/drawing64.xml" ContentType="application/vnd.openxmlformats-officedocument.drawing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drawings/drawing65.xml" ContentType="application/vnd.openxmlformats-officedocument.drawing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drawings/drawing66.xml" ContentType="application/vnd.openxmlformats-officedocument.drawing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drawings/drawing67.xml" ContentType="application/vnd.openxmlformats-officedocument.drawing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drawings/drawing68.xml" ContentType="application/vnd.openxmlformats-officedocument.drawing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drawings/drawing69.xml" ContentType="application/vnd.openxmlformats-officedocument.drawing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drawings/drawing70.xml" ContentType="application/vnd.openxmlformats-officedocument.drawing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drawings/drawing71.xml" ContentType="application/vnd.openxmlformats-officedocument.drawing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drawings/drawing72.xml" ContentType="application/vnd.openxmlformats-officedocument.drawing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drawings/drawing73.xml" ContentType="application/vnd.openxmlformats-officedocument.drawing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drawings/drawing74.xml" ContentType="application/vnd.openxmlformats-officedocument.drawing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drawings/drawing75.xml" ContentType="application/vnd.openxmlformats-officedocument.drawing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drawings/drawing76.xml" ContentType="application/vnd.openxmlformats-officedocument.drawing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drawings/drawing77.xml" ContentType="application/vnd.openxmlformats-officedocument.drawing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drawings/drawing78.xml" ContentType="application/vnd.openxmlformats-officedocument.drawing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drawings/drawing79.xml" ContentType="application/vnd.openxmlformats-officedocument.drawing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drawings/drawing80.xml" ContentType="application/vnd.openxmlformats-officedocument.drawing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drawings/drawing81.xml" ContentType="application/vnd.openxmlformats-officedocument.drawing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drawings/drawing82.xml" ContentType="application/vnd.openxmlformats-officedocument.drawing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drawings/drawing83.xml" ContentType="application/vnd.openxmlformats-officedocument.drawing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drawings/drawing84.xml" ContentType="application/vnd.openxmlformats-officedocument.drawing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drawings/drawing85.xml" ContentType="application/vnd.openxmlformats-officedocument.drawing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drawings/drawing86.xml" ContentType="application/vnd.openxmlformats-officedocument.drawing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drawings/drawing87.xml" ContentType="application/vnd.openxmlformats-officedocument.drawing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drawings/drawing88.xml" ContentType="application/vnd.openxmlformats-officedocument.drawing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drawings/drawing89.xml" ContentType="application/vnd.openxmlformats-officedocument.drawing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drawings/drawing90.xml" ContentType="application/vnd.openxmlformats-officedocument.drawing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drawings/drawing91.xml" ContentType="application/vnd.openxmlformats-officedocument.drawing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drawings/drawing92.xml" ContentType="application/vnd.openxmlformats-officedocument.drawing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drawings/drawing93.xml" ContentType="application/vnd.openxmlformats-officedocument.drawing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drawings/drawing94.xml" ContentType="application/vnd.openxmlformats-officedocument.drawing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drawings/drawing95.xml" ContentType="application/vnd.openxmlformats-officedocument.drawing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drawings/drawing96.xml" ContentType="application/vnd.openxmlformats-officedocument.drawing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drawings/drawing97.xml" ContentType="application/vnd.openxmlformats-officedocument.drawing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drawings/drawing98.xml" ContentType="application/vnd.openxmlformats-officedocument.drawing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drawings/drawing99.xml" ContentType="application/vnd.openxmlformats-officedocument.drawing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drawings/drawing100.xml" ContentType="application/vnd.openxmlformats-officedocument.drawing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drawings/drawing101.xml" ContentType="application/vnd.openxmlformats-officedocument.drawing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drawings/drawing102.xml" ContentType="application/vnd.openxmlformats-officedocument.drawing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drawings/drawing103.xml" ContentType="application/vnd.openxmlformats-officedocument.drawing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drawings/drawing104.xml" ContentType="application/vnd.openxmlformats-officedocument.drawing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drawings/drawing105.xml" ContentType="application/vnd.openxmlformats-officedocument.drawing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drawings/drawing106.xml" ContentType="application/vnd.openxmlformats-officedocument.drawing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drawings/drawing107.xml" ContentType="application/vnd.openxmlformats-officedocument.drawing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drawings/drawing108.xml" ContentType="application/vnd.openxmlformats-officedocument.drawing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drawings/drawing109.xml" ContentType="application/vnd.openxmlformats-officedocument.drawing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drawings/drawing110.xml" ContentType="application/vnd.openxmlformats-officedocument.drawing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drawings/drawing111.xml" ContentType="application/vnd.openxmlformats-officedocument.drawing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drawings/drawing112.xml" ContentType="application/vnd.openxmlformats-officedocument.drawing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drawings/drawing113.xml" ContentType="application/vnd.openxmlformats-officedocument.drawing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drawings/drawing114.xml" ContentType="application/vnd.openxmlformats-officedocument.drawing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drawings/drawing115.xml" ContentType="application/vnd.openxmlformats-officedocument.drawing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drawings/drawing116.xml" ContentType="application/vnd.openxmlformats-officedocument.drawing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drawings/drawing117.xml" ContentType="application/vnd.openxmlformats-officedocument.drawing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drawings/drawing118.xml" ContentType="application/vnd.openxmlformats-officedocument.drawing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drawings/drawing119.xml" ContentType="application/vnd.openxmlformats-officedocument.drawing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drawings/drawing120.xml" ContentType="application/vnd.openxmlformats-officedocument.drawing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drawings/drawing121.xml" ContentType="application/vnd.openxmlformats-officedocument.drawing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drawings/drawing122.xml" ContentType="application/vnd.openxmlformats-officedocument.drawing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drawings/drawing123.xml" ContentType="application/vnd.openxmlformats-officedocument.drawing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drawings/drawing124.xml" ContentType="application/vnd.openxmlformats-officedocument.drawing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drawings/drawing125.xml" ContentType="application/vnd.openxmlformats-officedocument.drawing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drawings/drawing126.xml" ContentType="application/vnd.openxmlformats-officedocument.drawing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drawings/drawing127.xml" ContentType="application/vnd.openxmlformats-officedocument.drawing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drawings/drawing128.xml" ContentType="application/vnd.openxmlformats-officedocument.drawing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drawings/drawing129.xml" ContentType="application/vnd.openxmlformats-officedocument.drawing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drawings/drawing130.xml" ContentType="application/vnd.openxmlformats-officedocument.drawing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drawings/drawing131.xml" ContentType="application/vnd.openxmlformats-officedocument.drawing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drawings/drawing132.xml" ContentType="application/vnd.openxmlformats-officedocument.drawing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drawings/drawing133.xml" ContentType="application/vnd.openxmlformats-officedocument.drawing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drawings/drawing134.xml" ContentType="application/vnd.openxmlformats-officedocument.drawing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drawings/drawing135.xml" ContentType="application/vnd.openxmlformats-officedocument.drawing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drawings/drawing136.xml" ContentType="application/vnd.openxmlformats-officedocument.drawing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drawings/drawing137.xml" ContentType="application/vnd.openxmlformats-officedocument.drawing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drawings/drawing138.xml" ContentType="application/vnd.openxmlformats-officedocument.drawing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drawings/drawing139.xml" ContentType="application/vnd.openxmlformats-officedocument.drawing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drawings/drawing140.xml" ContentType="application/vnd.openxmlformats-officedocument.drawing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drawings/drawing141.xml" ContentType="application/vnd.openxmlformats-officedocument.drawing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drawings/drawing142.xml" ContentType="application/vnd.openxmlformats-officedocument.drawing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drawings/drawing143.xml" ContentType="application/vnd.openxmlformats-officedocument.drawing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drawings/drawing144.xml" ContentType="application/vnd.openxmlformats-officedocument.drawing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drawings/drawing145.xml" ContentType="application/vnd.openxmlformats-officedocument.drawing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drawings/drawing146.xml" ContentType="application/vnd.openxmlformats-officedocument.drawing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drawings/drawing147.xml" ContentType="application/vnd.openxmlformats-officedocument.drawing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drawings/drawing148.xml" ContentType="application/vnd.openxmlformats-officedocument.drawing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drawings/drawing149.xml" ContentType="application/vnd.openxmlformats-officedocument.drawing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drawings/drawing150.xml" ContentType="application/vnd.openxmlformats-officedocument.drawing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drawings/drawing151.xml" ContentType="application/vnd.openxmlformats-officedocument.drawing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drawings/drawing152.xml" ContentType="application/vnd.openxmlformats-officedocument.drawing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drawings/drawing153.xml" ContentType="application/vnd.openxmlformats-officedocument.drawing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drawings/drawing154.xml" ContentType="application/vnd.openxmlformats-officedocument.drawing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drawings/drawing155.xml" ContentType="application/vnd.openxmlformats-officedocument.drawing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drawings/drawing156.xml" ContentType="application/vnd.openxmlformats-officedocument.drawing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drawings/drawing157.xml" ContentType="application/vnd.openxmlformats-officedocument.drawing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drawings/drawing158.xml" ContentType="application/vnd.openxmlformats-officedocument.drawing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drawings/drawing159.xml" ContentType="application/vnd.openxmlformats-officedocument.drawing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drawings/drawing160.xml" ContentType="application/vnd.openxmlformats-officedocument.drawing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onus\Excel Templates\"/>
    </mc:Choice>
  </mc:AlternateContent>
  <xr:revisionPtr revIDLastSave="0" documentId="13_ncr:1_{F6EEF8E8-68BB-4AD9-9142-3A35859DBCAA}" xr6:coauthVersionLast="36" xr6:coauthVersionMax="46" xr10:uidLastSave="{00000000-0000-0000-0000-000000000000}"/>
  <bookViews>
    <workbookView xWindow="-120" yWindow="-120" windowWidth="29040" windowHeight="15840" tabRatio="908" xr2:uid="{00000000-000D-0000-FFFF-FFFF00000000}"/>
  </bookViews>
  <sheets>
    <sheet name="Welcome note" sheetId="164" r:id="rId1"/>
    <sheet name=" Show all formula" sheetId="1" r:id="rId2"/>
    <sheet name=" AutoSum Shortcut Key" sheetId="2" r:id="rId3"/>
    <sheet name="AVERAGE" sheetId="3" r:id="rId4"/>
    <sheet name="CLEAN" sheetId="4" r:id="rId5"/>
    <sheet name="COUNT" sheetId="5" r:id="rId6"/>
    <sheet name="COUNTA" sheetId="6" r:id="rId7"/>
    <sheet name="COUNTBLANK" sheetId="7" r:id="rId8"/>
    <sheet name="COUNTIF" sheetId="8" r:id="rId9"/>
    <sheet name="DAY" sheetId="9" r:id="rId10"/>
    <sheet name="DOLLAR" sheetId="10" r:id="rId11"/>
    <sheet name="EVEN" sheetId="11" r:id="rId12"/>
    <sheet name="FIND" sheetId="12" r:id="rId13"/>
    <sheet name="HLOOKUP" sheetId="13" r:id="rId14"/>
    <sheet name="LARGE" sheetId="14" r:id="rId15"/>
    <sheet name="LEFT" sheetId="15" r:id="rId16"/>
    <sheet name="LOWER" sheetId="16" r:id="rId17"/>
    <sheet name="MAX" sheetId="17" r:id="rId18"/>
    <sheet name="MEDIAN" sheetId="18" r:id="rId19"/>
    <sheet name="MIN" sheetId="19" r:id="rId20"/>
    <sheet name="MROUND" sheetId="20" r:id="rId21"/>
    <sheet name="PROPER" sheetId="21" r:id="rId22"/>
    <sheet name="REPLACE" sheetId="22" r:id="rId23"/>
    <sheet name="SMALL" sheetId="23" r:id="rId24"/>
    <sheet name="SUM" sheetId="24" r:id="rId25"/>
    <sheet name="T" sheetId="25" r:id="rId26"/>
    <sheet name="TODAY" sheetId="26" r:id="rId27"/>
    <sheet name="TRIM" sheetId="27" r:id="rId28"/>
    <sheet name="UPPER" sheetId="28" r:id="rId29"/>
    <sheet name="VLOOKUP" sheetId="29" r:id="rId30"/>
    <sheet name=" Time Calculation" sheetId="30" r:id="rId31"/>
    <sheet name=" TimeSheet For Flexi" sheetId="34" r:id="rId32"/>
    <sheet name=" Split ForenameSurname" sheetId="35" r:id="rId33"/>
    <sheet name=" Percentages" sheetId="36" r:id="rId34"/>
    <sheet name="SUM_using_names" sheetId="37" r:id="rId35"/>
    <sheet name=" Instant Charts" sheetId="38" r:id="rId36"/>
    <sheet name=" Filename formula" sheetId="39" r:id="rId37"/>
    <sheet name=" Brackets in formula" sheetId="40" r:id="rId38"/>
    <sheet name=" Age Calculation" sheetId="41" r:id="rId39"/>
    <sheet name="ABS" sheetId="42" r:id="rId40"/>
    <sheet name="ADDRESS" sheetId="43" r:id="rId41"/>
    <sheet name="AND" sheetId="44" r:id="rId42"/>
    <sheet name="AREAS" sheetId="45" r:id="rId43"/>
    <sheet name="BIN2DEC" sheetId="46" r:id="rId44"/>
    <sheet name="CEILING" sheetId="47" r:id="rId45"/>
    <sheet name="CELL" sheetId="48" r:id="rId46"/>
    <sheet name="CHAR" sheetId="49" r:id="rId47"/>
    <sheet name="CHOOSE" sheetId="50" r:id="rId48"/>
    <sheet name="CODE" sheetId="51" r:id="rId49"/>
    <sheet name="COMBIN" sheetId="52" r:id="rId50"/>
    <sheet name="CONCATENATE" sheetId="53" r:id="rId51"/>
    <sheet name="CONVERT" sheetId="54" r:id="rId52"/>
    <sheet name="CORREL" sheetId="55" r:id="rId53"/>
    <sheet name="DATE" sheetId="56" r:id="rId54"/>
    <sheet name="DATEDIF" sheetId="57" r:id="rId55"/>
    <sheet name="DATEVALUE" sheetId="58" r:id="rId56"/>
    <sheet name="DAVERAGE" sheetId="59" r:id="rId57"/>
    <sheet name="DAYS360" sheetId="60" r:id="rId58"/>
    <sheet name="DB" sheetId="61" r:id="rId59"/>
    <sheet name="DCOUNT" sheetId="62" r:id="rId60"/>
    <sheet name="DCOUNTA" sheetId="63" r:id="rId61"/>
    <sheet name="DEC2BIN" sheetId="64" r:id="rId62"/>
    <sheet name="DEC2HEX" sheetId="65" r:id="rId63"/>
    <sheet name="DELTA" sheetId="66" r:id="rId64"/>
    <sheet name="DGET" sheetId="67" r:id="rId65"/>
    <sheet name="DMIN" sheetId="68" r:id="rId66"/>
    <sheet name="DMAX" sheetId="69" r:id="rId67"/>
    <sheet name="DSUM" sheetId="70" r:id="rId68"/>
    <sheet name="EAST" sheetId="71" r:id="rId69"/>
    <sheet name="EDATE" sheetId="72" r:id="rId70"/>
    <sheet name="EOMONTH" sheetId="73" r:id="rId71"/>
    <sheet name="ERROR.TYPE" sheetId="74" r:id="rId72"/>
    <sheet name="EXACT" sheetId="75" r:id="rId73"/>
    <sheet name="FACT" sheetId="76" r:id="rId74"/>
    <sheet name="FIXED" sheetId="77" r:id="rId75"/>
    <sheet name="FLOOR" sheetId="78" r:id="rId76"/>
    <sheet name="FORECAST" sheetId="79" r:id="rId77"/>
    <sheet name="FREQUENCY" sheetId="80" r:id="rId78"/>
    <sheet name="FREQUENCY 2" sheetId="81" r:id="rId79"/>
    <sheet name="GCD" sheetId="82" r:id="rId80"/>
    <sheet name="GESTEP" sheetId="83" r:id="rId81"/>
    <sheet name="HEX2DEC" sheetId="84" r:id="rId82"/>
    <sheet name="HOUR" sheetId="85" r:id="rId83"/>
    <sheet name="IF" sheetId="86" r:id="rId84"/>
    <sheet name="INDEX" sheetId="87" r:id="rId85"/>
    <sheet name="INDIRECT" sheetId="88" r:id="rId86"/>
    <sheet name="INFO" sheetId="89" r:id="rId87"/>
    <sheet name="INT" sheetId="90" r:id="rId88"/>
    <sheet name="ISBLANK" sheetId="91" r:id="rId89"/>
    <sheet name="ISERR" sheetId="92" r:id="rId90"/>
    <sheet name="ISERROR" sheetId="93" r:id="rId91"/>
    <sheet name="ISEVEN" sheetId="94" r:id="rId92"/>
    <sheet name="ISLOGICAL" sheetId="95" r:id="rId93"/>
    <sheet name="ISNA" sheetId="96" r:id="rId94"/>
    <sheet name="ISNONTEXT" sheetId="97" r:id="rId95"/>
    <sheet name="ISNUMBER" sheetId="98" r:id="rId96"/>
    <sheet name="ISODD" sheetId="99" r:id="rId97"/>
    <sheet name="ISREF" sheetId="100" r:id="rId98"/>
    <sheet name="ISTEXT" sheetId="101" r:id="rId99"/>
    <sheet name="LCM" sheetId="102" r:id="rId100"/>
    <sheet name="LEN" sheetId="103" r:id="rId101"/>
    <sheet name="LOOKUP (Array)" sheetId="104" r:id="rId102"/>
    <sheet name="LOOKUP (Vector)" sheetId="105" r:id="rId103"/>
    <sheet name="MATCH" sheetId="106" r:id="rId104"/>
    <sheet name="MID" sheetId="107" r:id="rId105"/>
    <sheet name="MINUTE" sheetId="108" r:id="rId106"/>
    <sheet name="MMULT" sheetId="109" r:id="rId107"/>
    <sheet name="MOD" sheetId="110" r:id="rId108"/>
    <sheet name="MODE" sheetId="111" r:id="rId109"/>
    <sheet name="MONTH" sheetId="112" r:id="rId110"/>
    <sheet name="N" sheetId="113" r:id="rId111"/>
    <sheet name="NA" sheetId="114" r:id="rId112"/>
    <sheet name="NETWORKDAYS" sheetId="115" r:id="rId113"/>
    <sheet name="NORTH" sheetId="116" r:id="rId114"/>
    <sheet name="NOT" sheetId="117" r:id="rId115"/>
    <sheet name="NOW" sheetId="118" r:id="rId116"/>
    <sheet name="ODD" sheetId="119" r:id="rId117"/>
    <sheet name="OR" sheetId="120" r:id="rId118"/>
    <sheet name=" Ordering Stock" sheetId="121" r:id="rId119"/>
    <sheet name="PACKERS" sheetId="122" r:id="rId120"/>
    <sheet name="PERMUT" sheetId="123" r:id="rId121"/>
    <sheet name="PI" sheetId="124" r:id="rId122"/>
    <sheet name="POWER" sheetId="125" r:id="rId123"/>
    <sheet name="PRODUCT" sheetId="126" r:id="rId124"/>
    <sheet name="QUARTILE" sheetId="127" r:id="rId125"/>
    <sheet name="QUOTIENT" sheetId="128" r:id="rId126"/>
    <sheet name="RAND" sheetId="129" r:id="rId127"/>
    <sheet name="RANDBETWEEN" sheetId="130" r:id="rId128"/>
    <sheet name="RANK" sheetId="131" r:id="rId129"/>
    <sheet name="REPT" sheetId="132" r:id="rId130"/>
    <sheet name="RIGHT" sheetId="133" r:id="rId131"/>
    <sheet name="TIME" sheetId="134" r:id="rId132"/>
    <sheet name="YEAR" sheetId="135" r:id="rId133"/>
    <sheet name="WORKDAY" sheetId="136" r:id="rId134"/>
    <sheet name="ROMAN" sheetId="137" r:id="rId135"/>
    <sheet name="ROUND" sheetId="138" r:id="rId136"/>
    <sheet name="ROUNDDOWN" sheetId="139" r:id="rId137"/>
    <sheet name="ROUNDUP" sheetId="140" r:id="rId138"/>
    <sheet name="SECOND" sheetId="141" r:id="rId139"/>
    <sheet name="SIGN" sheetId="142" r:id="rId140"/>
    <sheet name="SLN" sheetId="143" r:id="rId141"/>
    <sheet name="SOUTH" sheetId="144" r:id="rId142"/>
    <sheet name="STDEV" sheetId="145" r:id="rId143"/>
    <sheet name="STDEVP" sheetId="146" r:id="rId144"/>
    <sheet name="SUBSTITUTE" sheetId="147" r:id="rId145"/>
    <sheet name="SUM_as_Running_Total" sheetId="148" r:id="rId146"/>
    <sheet name="SUM_with_OFFSET" sheetId="149" r:id="rId147"/>
    <sheet name="SUMIF" sheetId="150" r:id="rId148"/>
    <sheet name="SUMPRODUCT" sheetId="151" r:id="rId149"/>
    <sheet name="SYD" sheetId="152" r:id="rId150"/>
    <sheet name="TEXT" sheetId="153" r:id="rId151"/>
    <sheet name="TIMEVALUE" sheetId="154" r:id="rId152"/>
    <sheet name="TRANSPOSE" sheetId="155" r:id="rId153"/>
    <sheet name="TREND" sheetId="156" r:id="rId154"/>
    <sheet name="TRUNC" sheetId="157" r:id="rId155"/>
    <sheet name="VALUE" sheetId="158" r:id="rId156"/>
    <sheet name="VAR" sheetId="159" r:id="rId157"/>
    <sheet name="VARP" sheetId="160" r:id="rId158"/>
    <sheet name="WEEKDAY" sheetId="161" r:id="rId159"/>
    <sheet name="YEARFRAC" sheetId="162" r:id="rId160"/>
    <sheet name=" Project Dates" sheetId="163" r:id="rId161"/>
  </sheets>
  <externalReferences>
    <externalReference r:id="rId162"/>
  </externalReferences>
  <definedNames>
    <definedName name="DATA" localSheetId="142">OFFSET([0]!NAMEBASE,1,0,ROWS([0]!NAMEBASE)-1)</definedName>
    <definedName name="EastAndWest" localSheetId="33">[1]INDEX!$D$91:$G$93,[1]INDEX!$D$96:$G$98</definedName>
    <definedName name="EastAndWest" localSheetId="32">[1]INDEX!$D$91:$G$93,[1]INDEX!$D$96:$G$98</definedName>
    <definedName name="EastAndWest">INDEX!$D$91:$G$93,INDEX!$D$96:$G$98</definedName>
    <definedName name="English">AND!$D$29:$D$38</definedName>
    <definedName name="LotteryResults">'FREQUENCY 2'!$C$10:$E$16</definedName>
    <definedName name="Maths">AND!$C$29:$C$38</definedName>
    <definedName name="NorthAndSouth" localSheetId="33">[1]INDEX!$D$67:$G$69,[1]INDEX!$D$72:$G$74</definedName>
    <definedName name="NorthAndSouth" localSheetId="32">[1]INDEX!$D$67:$G$69,[1]INDEX!$D$72:$G$74</definedName>
    <definedName name="NorthAndSouth">INDEX!$D$67:$G$69,INDEX!$D$72:$G$74</definedName>
    <definedName name="PeopleLists" localSheetId="33">[1]AREAS!$C$3:$D$6,[1]AREAS!$C$8:$D$11</definedName>
    <definedName name="PeopleLists" localSheetId="32">[1]AREAS!$C$3:$D$6,[1]AREAS!$C$8:$D$11</definedName>
    <definedName name="PeopleLists">AREAS!$C$3:$D$6,AREAS!$C$8:$D$11</definedName>
    <definedName name="Physics">AND!$E$29:$E$38</definedName>
    <definedName name="solver_adj" localSheetId="118" hidden="1">' Ordering Stock'!$G$22</definedName>
    <definedName name="solver_drv" localSheetId="118" hidden="1">1</definedName>
    <definedName name="solver_eng" localSheetId="155" hidden="1">2</definedName>
    <definedName name="solver_est" localSheetId="118" hidden="1">1</definedName>
    <definedName name="solver_itr" localSheetId="118" hidden="1">100</definedName>
    <definedName name="solver_lhs1" localSheetId="118" hidden="1">' Ordering Stock'!$G$22</definedName>
    <definedName name="solver_lin" localSheetId="118" hidden="1">0</definedName>
    <definedName name="solver_neg" localSheetId="155" hidden="1">1</definedName>
    <definedName name="solver_num" localSheetId="118" hidden="1">1</definedName>
    <definedName name="solver_num" localSheetId="155" hidden="1">0</definedName>
    <definedName name="solver_nwt" localSheetId="118" hidden="1">1</definedName>
    <definedName name="solver_opt" localSheetId="118" hidden="1">' Ordering Stock'!$H$30</definedName>
    <definedName name="solver_opt" localSheetId="155" hidden="1">VALUE!$J$21</definedName>
    <definedName name="solver_pre" localSheetId="118" hidden="1">0.000001</definedName>
    <definedName name="solver_rel1" localSheetId="118" hidden="1">4</definedName>
    <definedName name="solver_rhs1" localSheetId="118" hidden="1">[0]!Integer</definedName>
    <definedName name="solver_scl" localSheetId="118" hidden="1">0</definedName>
    <definedName name="solver_sho" localSheetId="118" hidden="1">0</definedName>
    <definedName name="solver_tim" localSheetId="118" hidden="1">100</definedName>
    <definedName name="solver_tol" localSheetId="118" hidden="1">0.05</definedName>
    <definedName name="solver_typ" localSheetId="118" hidden="1">2</definedName>
    <definedName name="solver_typ" localSheetId="155" hidden="1">3</definedName>
    <definedName name="solver_val" localSheetId="118" hidden="1">0</definedName>
    <definedName name="solver_val" localSheetId="155" hidden="1">0</definedName>
    <definedName name="solver_ver" localSheetId="155" hidden="1">3</definedName>
    <definedName name="UserChoice">#REF!</definedName>
  </definedNames>
  <calcPr calcId="191029"/>
</workbook>
</file>

<file path=xl/calcChain.xml><?xml version="1.0" encoding="utf-8"?>
<calcChain xmlns="http://schemas.openxmlformats.org/spreadsheetml/2006/main">
  <c r="C16" i="163" l="1"/>
  <c r="H10" i="163"/>
  <c r="H9" i="163"/>
  <c r="H8" i="163"/>
  <c r="H7" i="163"/>
  <c r="H6" i="163"/>
  <c r="E6" i="163"/>
  <c r="C7" i="163" s="1"/>
  <c r="E7" i="163" s="1"/>
  <c r="C8" i="163" s="1"/>
  <c r="E8" i="163" s="1"/>
  <c r="C9" i="163" s="1"/>
  <c r="E9" i="163" s="1"/>
  <c r="C10" i="163" s="1"/>
  <c r="E10" i="163" s="1"/>
  <c r="C12" i="163" s="1"/>
  <c r="C14" i="163" s="1"/>
  <c r="E34" i="162"/>
  <c r="E33" i="162"/>
  <c r="E32" i="162"/>
  <c r="E6" i="162"/>
  <c r="E5" i="162"/>
  <c r="E4" i="162"/>
  <c r="E34" i="161"/>
  <c r="D34" i="161"/>
  <c r="D8" i="161"/>
  <c r="D7" i="161"/>
  <c r="D6" i="161"/>
  <c r="D5" i="161"/>
  <c r="D4" i="161"/>
  <c r="H34" i="160"/>
  <c r="H33" i="160"/>
  <c r="H32" i="160"/>
  <c r="G9" i="160"/>
  <c r="E9" i="160"/>
  <c r="C9" i="160"/>
  <c r="H36" i="159"/>
  <c r="H35" i="159"/>
  <c r="H34" i="159"/>
  <c r="G9" i="159"/>
  <c r="E9" i="159"/>
  <c r="C9" i="159"/>
  <c r="D52" i="158"/>
  <c r="D51" i="158"/>
  <c r="D50" i="158"/>
  <c r="K24" i="158"/>
  <c r="K23" i="158"/>
  <c r="K22" i="158"/>
  <c r="K21" i="158"/>
  <c r="D17" i="158"/>
  <c r="D16" i="158"/>
  <c r="D15" i="158"/>
  <c r="D14" i="158"/>
  <c r="D11" i="158"/>
  <c r="D10" i="158"/>
  <c r="D9" i="158"/>
  <c r="D8" i="158"/>
  <c r="D7" i="158"/>
  <c r="D6" i="158"/>
  <c r="D4" i="158"/>
  <c r="E11" i="157"/>
  <c r="E10" i="157"/>
  <c r="E9" i="157"/>
  <c r="E8" i="157"/>
  <c r="E7" i="157"/>
  <c r="E6" i="157"/>
  <c r="E5" i="157"/>
  <c r="E4" i="157"/>
  <c r="F41" i="156" a="1"/>
  <c r="F50" i="156" s="1"/>
  <c r="F5" i="156" a="1"/>
  <c r="F9" i="156" s="1"/>
  <c r="E7" i="155"/>
  <c r="D7" i="155"/>
  <c r="D6" i="154"/>
  <c r="D5" i="154"/>
  <c r="D4" i="154"/>
  <c r="D9" i="153"/>
  <c r="D8" i="153"/>
  <c r="D7" i="153"/>
  <c r="D6" i="153"/>
  <c r="D5" i="153"/>
  <c r="D4" i="153"/>
  <c r="D77" i="152"/>
  <c r="D76" i="152"/>
  <c r="E76" i="152" s="1"/>
  <c r="E75" i="152"/>
  <c r="H75" i="152" s="1"/>
  <c r="E65" i="152"/>
  <c r="H65" i="152" s="1"/>
  <c r="E64" i="152"/>
  <c r="H64" i="152" s="1"/>
  <c r="E63" i="152"/>
  <c r="H63" i="152" s="1"/>
  <c r="E62" i="152"/>
  <c r="H62" i="152" s="1"/>
  <c r="E45" i="152"/>
  <c r="H45" i="152" s="1"/>
  <c r="E44" i="152"/>
  <c r="H44" i="152" s="1"/>
  <c r="E43" i="152"/>
  <c r="H43" i="152" s="1"/>
  <c r="D32" i="152"/>
  <c r="E32" i="152" s="1"/>
  <c r="D31" i="152"/>
  <c r="E31" i="152" s="1"/>
  <c r="D30" i="152"/>
  <c r="E30" i="152" s="1"/>
  <c r="F12" i="152"/>
  <c r="F11" i="152"/>
  <c r="F10" i="152"/>
  <c r="F9" i="152"/>
  <c r="F8" i="152"/>
  <c r="F7" i="152"/>
  <c r="E43" i="151"/>
  <c r="F39" i="151"/>
  <c r="H39" i="151" s="1"/>
  <c r="F38" i="151"/>
  <c r="H38" i="151" s="1"/>
  <c r="F37" i="151"/>
  <c r="H37" i="151" s="1"/>
  <c r="F36" i="151"/>
  <c r="H36" i="151" s="1"/>
  <c r="F35" i="151"/>
  <c r="H35" i="151" s="1"/>
  <c r="E8" i="151"/>
  <c r="F18" i="150"/>
  <c r="F16" i="150"/>
  <c r="F15" i="150"/>
  <c r="F14" i="150"/>
  <c r="D98" i="149"/>
  <c r="D95" i="149"/>
  <c r="D92" i="149"/>
  <c r="D90" i="149"/>
  <c r="C79" i="149"/>
  <c r="C77" i="149"/>
  <c r="C75" i="149"/>
  <c r="C57" i="149"/>
  <c r="C51" i="149"/>
  <c r="C45" i="149"/>
  <c r="C34" i="149"/>
  <c r="C29" i="149"/>
  <c r="C24" i="149"/>
  <c r="E40" i="148"/>
  <c r="E39" i="148"/>
  <c r="E38" i="148"/>
  <c r="E37" i="148"/>
  <c r="E36" i="148"/>
  <c r="E35" i="148"/>
  <c r="E34" i="148"/>
  <c r="E33" i="148"/>
  <c r="E32" i="148"/>
  <c r="E31" i="148"/>
  <c r="E30" i="148"/>
  <c r="E29" i="148"/>
  <c r="E18" i="148"/>
  <c r="E17" i="148"/>
  <c r="E16" i="148"/>
  <c r="E15" i="148"/>
  <c r="E14" i="148"/>
  <c r="E13" i="148"/>
  <c r="E12" i="148"/>
  <c r="E11" i="148"/>
  <c r="E10" i="148"/>
  <c r="E9" i="148"/>
  <c r="E8" i="148"/>
  <c r="E7" i="148"/>
  <c r="E50" i="147"/>
  <c r="E49" i="147"/>
  <c r="E48" i="147"/>
  <c r="E47" i="147"/>
  <c r="E46" i="147"/>
  <c r="E39" i="147"/>
  <c r="E38" i="147"/>
  <c r="E37" i="147"/>
  <c r="E36" i="147"/>
  <c r="E35" i="147"/>
  <c r="F11" i="147"/>
  <c r="F10" i="147"/>
  <c r="E7" i="147"/>
  <c r="E6" i="147"/>
  <c r="E5" i="147"/>
  <c r="E4" i="147"/>
  <c r="H34" i="146"/>
  <c r="H33" i="146"/>
  <c r="H32" i="146"/>
  <c r="G9" i="146"/>
  <c r="E9" i="146"/>
  <c r="C9" i="146"/>
  <c r="H36" i="145"/>
  <c r="H35" i="145"/>
  <c r="H38" i="145" s="1"/>
  <c r="H34" i="145"/>
  <c r="G9" i="145"/>
  <c r="E9" i="145"/>
  <c r="C9" i="145"/>
  <c r="E8" i="144"/>
  <c r="D8" i="144"/>
  <c r="C8" i="144"/>
  <c r="F7" i="144"/>
  <c r="F6" i="144"/>
  <c r="F5" i="144"/>
  <c r="F12" i="143"/>
  <c r="F6" i="143"/>
  <c r="D8" i="142"/>
  <c r="D7" i="142"/>
  <c r="D6" i="142"/>
  <c r="D5" i="142"/>
  <c r="D4" i="142"/>
  <c r="E36" i="141"/>
  <c r="D36" i="141"/>
  <c r="E35" i="141"/>
  <c r="D35" i="141"/>
  <c r="E34" i="141"/>
  <c r="D34" i="141"/>
  <c r="D8" i="141"/>
  <c r="D7" i="141"/>
  <c r="D6" i="141"/>
  <c r="D5" i="141"/>
  <c r="C4" i="141"/>
  <c r="D4" i="141" s="1"/>
  <c r="E9" i="140"/>
  <c r="E8" i="140"/>
  <c r="E7" i="140"/>
  <c r="E6" i="140"/>
  <c r="E5" i="140"/>
  <c r="E4" i="140"/>
  <c r="E9" i="139"/>
  <c r="E8" i="139"/>
  <c r="E7" i="139"/>
  <c r="E6" i="139"/>
  <c r="E5" i="139"/>
  <c r="E4" i="139"/>
  <c r="E9" i="138"/>
  <c r="E8" i="138"/>
  <c r="E7" i="138"/>
  <c r="E6" i="138"/>
  <c r="E5" i="138"/>
  <c r="E4" i="138"/>
  <c r="D16" i="137"/>
  <c r="D15" i="137"/>
  <c r="D14" i="137"/>
  <c r="D13" i="137"/>
  <c r="D12" i="137"/>
  <c r="D11" i="137"/>
  <c r="D10" i="137"/>
  <c r="D9" i="137"/>
  <c r="D8" i="137"/>
  <c r="D7" i="137"/>
  <c r="D6" i="137"/>
  <c r="D5" i="137"/>
  <c r="D4" i="137"/>
  <c r="F25" i="136"/>
  <c r="F24" i="136"/>
  <c r="F5" i="136"/>
  <c r="F4" i="136"/>
  <c r="D4" i="135"/>
  <c r="F6" i="134"/>
  <c r="F5" i="134"/>
  <c r="F4" i="134"/>
  <c r="D30" i="133"/>
  <c r="D29" i="133"/>
  <c r="D28" i="133"/>
  <c r="E8" i="133"/>
  <c r="E7" i="133"/>
  <c r="E6" i="133"/>
  <c r="E5" i="133"/>
  <c r="E4" i="133"/>
  <c r="D41" i="132"/>
  <c r="D40" i="132"/>
  <c r="D39" i="132"/>
  <c r="E29" i="132"/>
  <c r="E28" i="132"/>
  <c r="E27" i="132"/>
  <c r="E26" i="132"/>
  <c r="E7" i="132"/>
  <c r="E6" i="132"/>
  <c r="E5" i="132"/>
  <c r="E4" i="132"/>
  <c r="D58" i="131"/>
  <c r="D57" i="131"/>
  <c r="D56" i="131"/>
  <c r="D55" i="131"/>
  <c r="D54" i="131"/>
  <c r="D53" i="131"/>
  <c r="C37" i="131"/>
  <c r="C36" i="131"/>
  <c r="C35" i="131"/>
  <c r="C34" i="131"/>
  <c r="D22" i="131"/>
  <c r="D21" i="131"/>
  <c r="D20" i="131"/>
  <c r="D19" i="131"/>
  <c r="D18" i="131"/>
  <c r="D15" i="131"/>
  <c r="D14" i="131"/>
  <c r="D13" i="131"/>
  <c r="D12" i="131"/>
  <c r="D11" i="131"/>
  <c r="D8" i="131"/>
  <c r="D7" i="131"/>
  <c r="D6" i="131"/>
  <c r="D5" i="131"/>
  <c r="D4" i="131"/>
  <c r="E30" i="130"/>
  <c r="E29" i="130"/>
  <c r="E28" i="130"/>
  <c r="E27" i="130"/>
  <c r="E26" i="130"/>
  <c r="E25" i="130"/>
  <c r="E24" i="130"/>
  <c r="E5" i="130"/>
  <c r="E4" i="130"/>
  <c r="D84" i="129"/>
  <c r="D83" i="129"/>
  <c r="D82" i="129"/>
  <c r="G81" i="129"/>
  <c r="D81" i="129"/>
  <c r="G80" i="129"/>
  <c r="D80" i="129"/>
  <c r="G79" i="129"/>
  <c r="D79" i="129"/>
  <c r="G78" i="129"/>
  <c r="D78" i="129"/>
  <c r="G77" i="129"/>
  <c r="D77" i="129"/>
  <c r="G76" i="129"/>
  <c r="D76" i="129"/>
  <c r="G75" i="129"/>
  <c r="D75" i="129"/>
  <c r="G74" i="129"/>
  <c r="D74" i="129"/>
  <c r="G73" i="129"/>
  <c r="D73" i="129"/>
  <c r="G72" i="129"/>
  <c r="D72" i="129"/>
  <c r="G71" i="129"/>
  <c r="D71" i="129"/>
  <c r="G70" i="129"/>
  <c r="D70" i="129"/>
  <c r="G69" i="129"/>
  <c r="D69" i="129"/>
  <c r="G68" i="129"/>
  <c r="D68" i="129"/>
  <c r="G67" i="129"/>
  <c r="D67" i="129"/>
  <c r="G66" i="129"/>
  <c r="D66" i="129"/>
  <c r="G65" i="129"/>
  <c r="D65" i="129"/>
  <c r="G64" i="129"/>
  <c r="D64" i="129"/>
  <c r="G63" i="129"/>
  <c r="D63" i="129"/>
  <c r="G62" i="129"/>
  <c r="D62" i="129"/>
  <c r="G61" i="129"/>
  <c r="D61" i="129"/>
  <c r="G60" i="129"/>
  <c r="D60" i="129"/>
  <c r="G59" i="129"/>
  <c r="D59" i="129"/>
  <c r="G58" i="129"/>
  <c r="D58" i="129"/>
  <c r="G57" i="129"/>
  <c r="D57" i="129"/>
  <c r="G56" i="129"/>
  <c r="D56" i="129"/>
  <c r="G55" i="129"/>
  <c r="D55" i="129"/>
  <c r="G54" i="129"/>
  <c r="D54" i="129"/>
  <c r="G53" i="129"/>
  <c r="D53" i="129"/>
  <c r="G52" i="129"/>
  <c r="D52" i="129"/>
  <c r="G51" i="129"/>
  <c r="D51" i="129"/>
  <c r="G50" i="129"/>
  <c r="D50" i="129"/>
  <c r="G49" i="129"/>
  <c r="D49" i="129"/>
  <c r="G48" i="129"/>
  <c r="D48" i="129"/>
  <c r="G47" i="129"/>
  <c r="D47" i="129"/>
  <c r="G46" i="129"/>
  <c r="D46" i="129"/>
  <c r="G45" i="129"/>
  <c r="D45" i="129"/>
  <c r="G44" i="129"/>
  <c r="D44" i="129"/>
  <c r="G43" i="129"/>
  <c r="D43" i="129"/>
  <c r="G42" i="129"/>
  <c r="D42" i="129"/>
  <c r="G41" i="129"/>
  <c r="D41" i="129"/>
  <c r="G40" i="129"/>
  <c r="D40" i="129"/>
  <c r="G39" i="129"/>
  <c r="D39" i="129"/>
  <c r="G38" i="129"/>
  <c r="D38" i="129"/>
  <c r="G37" i="129"/>
  <c r="D37" i="129"/>
  <c r="G36" i="129"/>
  <c r="D36" i="129"/>
  <c r="G35" i="129"/>
  <c r="D35" i="129"/>
  <c r="G34" i="129"/>
  <c r="D34" i="129"/>
  <c r="G33" i="129"/>
  <c r="D33" i="129"/>
  <c r="G10" i="129"/>
  <c r="G7" i="129"/>
  <c r="G4" i="129"/>
  <c r="F42" i="128"/>
  <c r="F41" i="128"/>
  <c r="F40" i="128"/>
  <c r="F39" i="128"/>
  <c r="F31" i="128"/>
  <c r="F30" i="128"/>
  <c r="F29" i="128"/>
  <c r="F28" i="128"/>
  <c r="E6" i="128"/>
  <c r="E5" i="128"/>
  <c r="E4" i="128"/>
  <c r="I16" i="127"/>
  <c r="I15" i="127"/>
  <c r="I14" i="127"/>
  <c r="I13" i="127"/>
  <c r="I12" i="127"/>
  <c r="F8" i="127"/>
  <c r="F7" i="127"/>
  <c r="F6" i="127"/>
  <c r="F5" i="127"/>
  <c r="F4" i="127"/>
  <c r="E7" i="126"/>
  <c r="E6" i="126"/>
  <c r="E5" i="126"/>
  <c r="E4" i="126"/>
  <c r="D25" i="125"/>
  <c r="D24" i="125"/>
  <c r="E7" i="125"/>
  <c r="E6" i="125"/>
  <c r="E5" i="125"/>
  <c r="E4" i="125"/>
  <c r="D22" i="124"/>
  <c r="D21" i="124"/>
  <c r="D4" i="124"/>
  <c r="D26" i="123"/>
  <c r="E7" i="123"/>
  <c r="E6" i="123"/>
  <c r="E5" i="123"/>
  <c r="E4" i="123"/>
  <c r="A30" i="121"/>
  <c r="A31" i="121" s="1"/>
  <c r="E29" i="121"/>
  <c r="F29" i="121" s="1"/>
  <c r="B29" i="121"/>
  <c r="G29" i="121" s="1"/>
  <c r="F30" i="120"/>
  <c r="F29" i="120"/>
  <c r="F28" i="120"/>
  <c r="F27" i="120"/>
  <c r="F7" i="120"/>
  <c r="F6" i="120"/>
  <c r="F5" i="120"/>
  <c r="F4" i="120"/>
  <c r="D9" i="119"/>
  <c r="D8" i="119"/>
  <c r="D7" i="119"/>
  <c r="D6" i="119"/>
  <c r="D5" i="119"/>
  <c r="D4" i="119"/>
  <c r="C5" i="118"/>
  <c r="C4" i="118"/>
  <c r="E35" i="117"/>
  <c r="E34" i="117"/>
  <c r="E33" i="117"/>
  <c r="E9" i="117"/>
  <c r="E8" i="117"/>
  <c r="E7" i="117"/>
  <c r="E6" i="117"/>
  <c r="E5" i="117"/>
  <c r="E4" i="117"/>
  <c r="E8" i="116"/>
  <c r="D8" i="116"/>
  <c r="C8" i="116"/>
  <c r="F7" i="116"/>
  <c r="F6" i="116"/>
  <c r="F5" i="116"/>
  <c r="D30" i="115"/>
  <c r="D29" i="115"/>
  <c r="D28" i="115"/>
  <c r="E6" i="115"/>
  <c r="E5" i="115"/>
  <c r="E4" i="115"/>
  <c r="E51" i="114"/>
  <c r="D50" i="114"/>
  <c r="E50" i="114" s="1"/>
  <c r="E49" i="114"/>
  <c r="E41" i="114"/>
  <c r="E40" i="114"/>
  <c r="E39" i="114"/>
  <c r="D13" i="114"/>
  <c r="D12" i="114"/>
  <c r="D15" i="114" s="1"/>
  <c r="D8" i="114"/>
  <c r="D7" i="114"/>
  <c r="D6" i="114"/>
  <c r="D3" i="114"/>
  <c r="D12" i="113"/>
  <c r="D11" i="113"/>
  <c r="D10" i="113"/>
  <c r="D9" i="113"/>
  <c r="D8" i="113"/>
  <c r="D7" i="113"/>
  <c r="D6" i="113"/>
  <c r="D5" i="113"/>
  <c r="D4" i="113"/>
  <c r="F21" i="112"/>
  <c r="D5" i="112"/>
  <c r="D4" i="112"/>
  <c r="I55" i="111"/>
  <c r="H43" i="111"/>
  <c r="H40" i="111"/>
  <c r="H37" i="111"/>
  <c r="I33" i="111"/>
  <c r="H12" i="111"/>
  <c r="H10" i="111"/>
  <c r="H9" i="111"/>
  <c r="H8" i="111"/>
  <c r="H6" i="111"/>
  <c r="H4" i="111"/>
  <c r="E8" i="110"/>
  <c r="E7" i="110"/>
  <c r="E6" i="110"/>
  <c r="E5" i="110"/>
  <c r="E4" i="110"/>
  <c r="D76" i="109" a="1"/>
  <c r="E79" i="109" s="1"/>
  <c r="C36" i="109" a="1"/>
  <c r="E36" i="109" s="1"/>
  <c r="F55" i="108"/>
  <c r="F53" i="108"/>
  <c r="F51" i="108"/>
  <c r="F44" i="108"/>
  <c r="F42" i="108"/>
  <c r="F40" i="108"/>
  <c r="D29" i="108"/>
  <c r="D28" i="108"/>
  <c r="D27" i="108"/>
  <c r="D8" i="108"/>
  <c r="D7" i="108"/>
  <c r="D6" i="108"/>
  <c r="D5" i="108"/>
  <c r="C4" i="108"/>
  <c r="D4" i="108" s="1"/>
  <c r="D50" i="107"/>
  <c r="D49" i="107"/>
  <c r="D48" i="107"/>
  <c r="D47" i="107"/>
  <c r="D46" i="107"/>
  <c r="D37" i="107"/>
  <c r="D36" i="107"/>
  <c r="D35" i="107"/>
  <c r="D14" i="107"/>
  <c r="D13" i="107"/>
  <c r="D12" i="107"/>
  <c r="D10" i="107"/>
  <c r="D9" i="107"/>
  <c r="D8" i="107"/>
  <c r="F6" i="107"/>
  <c r="F5" i="107"/>
  <c r="F4" i="107"/>
  <c r="H114" i="106"/>
  <c r="H113" i="106"/>
  <c r="H112" i="106"/>
  <c r="H111" i="106"/>
  <c r="H95" i="106"/>
  <c r="G80" i="106"/>
  <c r="E80" i="106"/>
  <c r="C80" i="106"/>
  <c r="G63" i="106"/>
  <c r="E63" i="106"/>
  <c r="C63" i="106"/>
  <c r="G46" i="106"/>
  <c r="E46" i="106"/>
  <c r="C46" i="106"/>
  <c r="I11" i="106"/>
  <c r="E11" i="106"/>
  <c r="D11" i="106"/>
  <c r="G42" i="105"/>
  <c r="F14" i="105"/>
  <c r="H90" i="104"/>
  <c r="C90" i="104"/>
  <c r="F14" i="104"/>
  <c r="D27" i="103"/>
  <c r="D24" i="103"/>
  <c r="D8" i="103"/>
  <c r="D7" i="103"/>
  <c r="D6" i="103"/>
  <c r="D5" i="103"/>
  <c r="D4" i="103"/>
  <c r="E6" i="102"/>
  <c r="E5" i="102"/>
  <c r="E4" i="102"/>
  <c r="E34" i="101"/>
  <c r="E7" i="101"/>
  <c r="E6" i="101"/>
  <c r="E5" i="101"/>
  <c r="E4" i="101"/>
  <c r="D9" i="100"/>
  <c r="D8" i="100"/>
  <c r="D7" i="100"/>
  <c r="D6" i="100"/>
  <c r="D5" i="100"/>
  <c r="D4" i="100"/>
  <c r="D3" i="100"/>
  <c r="D12" i="99"/>
  <c r="D11" i="99"/>
  <c r="D10" i="99"/>
  <c r="D9" i="99"/>
  <c r="D8" i="99"/>
  <c r="D7" i="99"/>
  <c r="D6" i="99"/>
  <c r="D5" i="99"/>
  <c r="D4" i="99"/>
  <c r="E36" i="98"/>
  <c r="E8" i="98"/>
  <c r="D7" i="98"/>
  <c r="E7" i="98" s="1"/>
  <c r="E6" i="98"/>
  <c r="E5" i="98"/>
  <c r="E4" i="98"/>
  <c r="F40" i="97"/>
  <c r="F39" i="97"/>
  <c r="F38" i="97"/>
  <c r="F32" i="97"/>
  <c r="F31" i="97"/>
  <c r="F30" i="97"/>
  <c r="D8" i="97"/>
  <c r="D7" i="97"/>
  <c r="D6" i="97"/>
  <c r="D5" i="97"/>
  <c r="D4" i="97"/>
  <c r="C8" i="96"/>
  <c r="D8" i="96" s="1"/>
  <c r="D7" i="96"/>
  <c r="D6" i="96"/>
  <c r="D5" i="96"/>
  <c r="D4" i="96"/>
  <c r="D10" i="95"/>
  <c r="E10" i="95" s="1"/>
  <c r="E9" i="95"/>
  <c r="E8" i="95"/>
  <c r="E7" i="95"/>
  <c r="E6" i="95"/>
  <c r="D5" i="95"/>
  <c r="E5" i="95" s="1"/>
  <c r="D4" i="95"/>
  <c r="E4" i="95" s="1"/>
  <c r="D12" i="94"/>
  <c r="D11" i="94"/>
  <c r="D10" i="94"/>
  <c r="D9" i="94"/>
  <c r="D8" i="94"/>
  <c r="D7" i="94"/>
  <c r="D6" i="94"/>
  <c r="D5" i="94"/>
  <c r="D4" i="94"/>
  <c r="D41" i="93"/>
  <c r="D32" i="93"/>
  <c r="E10" i="93"/>
  <c r="D9" i="93"/>
  <c r="E9" i="93" s="1"/>
  <c r="D8" i="93"/>
  <c r="E8" i="93" s="1"/>
  <c r="D7" i="93"/>
  <c r="E7" i="93" s="1"/>
  <c r="D6" i="93"/>
  <c r="E6" i="93" s="1"/>
  <c r="D5" i="93"/>
  <c r="E5" i="93" s="1"/>
  <c r="D4" i="93"/>
  <c r="E4" i="93" s="1"/>
  <c r="E42" i="92"/>
  <c r="E34" i="92"/>
  <c r="E10" i="92"/>
  <c r="D9" i="92"/>
  <c r="E9" i="92" s="1"/>
  <c r="D8" i="92"/>
  <c r="E8" i="92" s="1"/>
  <c r="D7" i="92"/>
  <c r="E7" i="92" s="1"/>
  <c r="D6" i="92"/>
  <c r="E6" i="92" s="1"/>
  <c r="D5" i="92"/>
  <c r="E5" i="92" s="1"/>
  <c r="D4" i="92"/>
  <c r="E4" i="92" s="1"/>
  <c r="H36" i="91"/>
  <c r="G36" i="91"/>
  <c r="H35" i="91"/>
  <c r="G35" i="91"/>
  <c r="H34" i="91"/>
  <c r="G34" i="91"/>
  <c r="H33" i="91"/>
  <c r="G33" i="91"/>
  <c r="H32" i="91"/>
  <c r="G32" i="91"/>
  <c r="D7" i="91"/>
  <c r="D6" i="91"/>
  <c r="D5" i="91"/>
  <c r="D4" i="91"/>
  <c r="E52" i="90"/>
  <c r="E51" i="90"/>
  <c r="E50" i="90"/>
  <c r="E49" i="90"/>
  <c r="E41" i="90"/>
  <c r="E40" i="90"/>
  <c r="E39" i="90"/>
  <c r="E38" i="90"/>
  <c r="E30" i="90"/>
  <c r="E29" i="90"/>
  <c r="E28" i="90"/>
  <c r="E27" i="90"/>
  <c r="D7" i="90"/>
  <c r="D6" i="90"/>
  <c r="D5" i="90"/>
  <c r="D4" i="90"/>
  <c r="C13" i="89"/>
  <c r="C12" i="89"/>
  <c r="C11" i="89"/>
  <c r="C10" i="89"/>
  <c r="C9" i="89"/>
  <c r="C8" i="89"/>
  <c r="C7" i="89"/>
  <c r="C6" i="89"/>
  <c r="C5" i="89"/>
  <c r="C4" i="89"/>
  <c r="B50" i="88"/>
  <c r="F47" i="88"/>
  <c r="B37" i="88"/>
  <c r="F35" i="88"/>
  <c r="F104" i="87"/>
  <c r="F80" i="87"/>
  <c r="F53" i="87"/>
  <c r="H37" i="87"/>
  <c r="D37" i="87"/>
  <c r="G14" i="87"/>
  <c r="E61" i="86"/>
  <c r="F61" i="86" s="1"/>
  <c r="E60" i="86"/>
  <c r="F60" i="86" s="1"/>
  <c r="E59" i="86"/>
  <c r="F59" i="86" s="1"/>
  <c r="E58" i="86"/>
  <c r="F58" i="86" s="1"/>
  <c r="E45" i="86"/>
  <c r="E44" i="86"/>
  <c r="E43" i="86"/>
  <c r="E33" i="86"/>
  <c r="E32" i="86"/>
  <c r="E31" i="86"/>
  <c r="E6" i="86"/>
  <c r="E5" i="86"/>
  <c r="E4" i="86"/>
  <c r="D5" i="85"/>
  <c r="D4" i="85"/>
  <c r="C31" i="84"/>
  <c r="D14" i="84"/>
  <c r="D13" i="84"/>
  <c r="D12" i="84"/>
  <c r="D11" i="84"/>
  <c r="D10" i="84"/>
  <c r="D9" i="84"/>
  <c r="D8" i="84"/>
  <c r="D7" i="84"/>
  <c r="D6" i="84"/>
  <c r="D5" i="84"/>
  <c r="D4" i="84"/>
  <c r="F31" i="83"/>
  <c r="F30" i="83"/>
  <c r="F29" i="83"/>
  <c r="F28" i="83"/>
  <c r="F27" i="83"/>
  <c r="E10" i="83"/>
  <c r="E9" i="83"/>
  <c r="E8" i="83"/>
  <c r="E7" i="83"/>
  <c r="E6" i="83"/>
  <c r="E5" i="83"/>
  <c r="E4" i="83"/>
  <c r="F11" i="82"/>
  <c r="F10" i="82"/>
  <c r="F9" i="82"/>
  <c r="E6" i="82"/>
  <c r="E5" i="82"/>
  <c r="E4" i="82"/>
  <c r="G38" i="81" a="1"/>
  <c r="G38" i="81" s="1"/>
  <c r="C24" i="81" a="1"/>
  <c r="C72" i="81" s="1"/>
  <c r="D60" i="80" a="1"/>
  <c r="D63" i="80" s="1"/>
  <c r="I30" i="80" a="1"/>
  <c r="I32" i="80" s="1"/>
  <c r="D11" i="80"/>
  <c r="D10" i="80"/>
  <c r="F10" i="80"/>
  <c r="F9" i="80" a="1"/>
  <c r="F9" i="80" s="1"/>
  <c r="D9" i="80"/>
  <c r="E44" i="79"/>
  <c r="E12" i="79"/>
  <c r="E29" i="78"/>
  <c r="F29" i="78" s="1"/>
  <c r="E28" i="78"/>
  <c r="F28" i="78" s="1"/>
  <c r="E27" i="78"/>
  <c r="F27" i="78" s="1"/>
  <c r="D9" i="78"/>
  <c r="D8" i="78"/>
  <c r="D7" i="78"/>
  <c r="D6" i="78"/>
  <c r="D5" i="78"/>
  <c r="D4" i="78"/>
  <c r="D14" i="77"/>
  <c r="D13" i="77"/>
  <c r="D12" i="77"/>
  <c r="D11" i="77"/>
  <c r="D10" i="77"/>
  <c r="D9" i="77"/>
  <c r="D8" i="77"/>
  <c r="D7" i="77"/>
  <c r="D6" i="77"/>
  <c r="D5" i="77"/>
  <c r="D4" i="77"/>
  <c r="D8" i="76"/>
  <c r="D7" i="76"/>
  <c r="D6" i="76"/>
  <c r="D5" i="76"/>
  <c r="D4" i="76"/>
  <c r="E29" i="75"/>
  <c r="E6" i="75"/>
  <c r="E5" i="75"/>
  <c r="E4" i="75"/>
  <c r="E7" i="74"/>
  <c r="F7" i="74" s="1"/>
  <c r="E6" i="74"/>
  <c r="F6" i="74" s="1"/>
  <c r="E5" i="74"/>
  <c r="F5" i="74" s="1"/>
  <c r="E4" i="74"/>
  <c r="F4" i="74" s="1"/>
  <c r="E6" i="73"/>
  <c r="E5" i="73"/>
  <c r="E4" i="73"/>
  <c r="E48" i="72"/>
  <c r="E47" i="72"/>
  <c r="E46" i="72"/>
  <c r="E45" i="72"/>
  <c r="E44" i="72"/>
  <c r="E43" i="72"/>
  <c r="E42" i="72"/>
  <c r="E33" i="72"/>
  <c r="E32" i="72"/>
  <c r="E31" i="72"/>
  <c r="E30" i="72"/>
  <c r="E29" i="72"/>
  <c r="E28" i="72"/>
  <c r="E27" i="72"/>
  <c r="E6" i="72"/>
  <c r="E5" i="72"/>
  <c r="E4" i="72"/>
  <c r="E8" i="71"/>
  <c r="D8" i="71"/>
  <c r="C8" i="71"/>
  <c r="F7" i="71"/>
  <c r="F6" i="71"/>
  <c r="F5" i="71"/>
  <c r="D26" i="70"/>
  <c r="I19" i="70"/>
  <c r="I18" i="70"/>
  <c r="I17" i="70"/>
  <c r="I16" i="70"/>
  <c r="I15" i="70"/>
  <c r="I14" i="70"/>
  <c r="I13" i="70"/>
  <c r="I12" i="70"/>
  <c r="I11" i="70"/>
  <c r="I10" i="70"/>
  <c r="I9" i="70"/>
  <c r="I8" i="70"/>
  <c r="I7" i="70"/>
  <c r="I6" i="70"/>
  <c r="I5" i="70"/>
  <c r="I4" i="70"/>
  <c r="D26" i="69"/>
  <c r="I19" i="69"/>
  <c r="I18" i="69"/>
  <c r="I17" i="69"/>
  <c r="I16" i="69"/>
  <c r="I15" i="69"/>
  <c r="I14" i="69"/>
  <c r="E63" i="69" s="1"/>
  <c r="I13" i="69"/>
  <c r="I12" i="69"/>
  <c r="I11" i="69"/>
  <c r="I10" i="69"/>
  <c r="I9" i="69"/>
  <c r="I8" i="69"/>
  <c r="I7" i="69"/>
  <c r="I6" i="69"/>
  <c r="I5" i="69"/>
  <c r="I4" i="69"/>
  <c r="D26" i="68"/>
  <c r="I19" i="68"/>
  <c r="I18" i="68"/>
  <c r="I17" i="68"/>
  <c r="I16" i="68"/>
  <c r="I15" i="68"/>
  <c r="I14" i="68"/>
  <c r="I13" i="68"/>
  <c r="I12" i="68"/>
  <c r="E56" i="68" s="1"/>
  <c r="I11" i="68"/>
  <c r="I10" i="68"/>
  <c r="I9" i="68"/>
  <c r="I8" i="68"/>
  <c r="E70" i="68" s="1"/>
  <c r="I7" i="68"/>
  <c r="I6" i="68"/>
  <c r="I5" i="68"/>
  <c r="I4" i="68"/>
  <c r="E26" i="68" s="1"/>
  <c r="F88" i="67"/>
  <c r="F90" i="67" s="1"/>
  <c r="F77" i="67"/>
  <c r="F66" i="67"/>
  <c r="F55" i="67"/>
  <c r="F26" i="67"/>
  <c r="I19" i="67"/>
  <c r="I18" i="67"/>
  <c r="I17" i="67"/>
  <c r="I16" i="67"/>
  <c r="I15" i="67"/>
  <c r="I14" i="67"/>
  <c r="I13" i="67"/>
  <c r="I12" i="67"/>
  <c r="I11" i="67"/>
  <c r="I10" i="67"/>
  <c r="I9" i="67"/>
  <c r="I8" i="67"/>
  <c r="I7" i="67"/>
  <c r="I6" i="67"/>
  <c r="I5" i="67"/>
  <c r="I4" i="67"/>
  <c r="E36" i="66"/>
  <c r="E35" i="66"/>
  <c r="E34" i="66"/>
  <c r="E33" i="66"/>
  <c r="E32" i="66"/>
  <c r="E31" i="66"/>
  <c r="E30" i="66"/>
  <c r="E37" i="66" s="1"/>
  <c r="E10" i="66"/>
  <c r="E9" i="66"/>
  <c r="E8" i="66"/>
  <c r="E7" i="66"/>
  <c r="E6" i="66"/>
  <c r="E5" i="66"/>
  <c r="E4" i="66"/>
  <c r="E27" i="65"/>
  <c r="E26" i="65"/>
  <c r="E25" i="65"/>
  <c r="E24" i="65"/>
  <c r="E23" i="65"/>
  <c r="D20" i="65"/>
  <c r="D19" i="65"/>
  <c r="D18" i="65"/>
  <c r="D17" i="65"/>
  <c r="D16" i="65"/>
  <c r="D15" i="65"/>
  <c r="D14" i="65"/>
  <c r="D13" i="65"/>
  <c r="D12" i="65"/>
  <c r="D11" i="65"/>
  <c r="D10" i="65"/>
  <c r="D9" i="65"/>
  <c r="D8" i="65"/>
  <c r="D7" i="65"/>
  <c r="D6" i="65"/>
  <c r="D5" i="65"/>
  <c r="D4" i="65"/>
  <c r="E21" i="64"/>
  <c r="E20" i="64"/>
  <c r="E19" i="64"/>
  <c r="E18" i="64"/>
  <c r="E17" i="64"/>
  <c r="D14" i="64"/>
  <c r="D13" i="64"/>
  <c r="D12" i="64"/>
  <c r="D11" i="64"/>
  <c r="D10" i="64"/>
  <c r="D9" i="64"/>
  <c r="D8" i="64"/>
  <c r="D7" i="64"/>
  <c r="D6" i="64"/>
  <c r="D5" i="64"/>
  <c r="D4" i="64"/>
  <c r="E72" i="63"/>
  <c r="E64" i="63"/>
  <c r="E57" i="63"/>
  <c r="E53" i="63"/>
  <c r="E26" i="63"/>
  <c r="D26" i="63"/>
  <c r="I19" i="63"/>
  <c r="I18" i="63"/>
  <c r="I17" i="63"/>
  <c r="I16" i="63"/>
  <c r="I15" i="63"/>
  <c r="I14" i="63"/>
  <c r="I13" i="63"/>
  <c r="I12" i="63"/>
  <c r="I11" i="63"/>
  <c r="I10" i="63"/>
  <c r="I9" i="63"/>
  <c r="I8" i="63"/>
  <c r="I7" i="63"/>
  <c r="I6" i="63"/>
  <c r="I5" i="63"/>
  <c r="I4" i="63"/>
  <c r="E71" i="62"/>
  <c r="E64" i="62"/>
  <c r="E57" i="62"/>
  <c r="E53" i="62"/>
  <c r="E26" i="62"/>
  <c r="D26" i="62"/>
  <c r="I19" i="62"/>
  <c r="I18" i="62"/>
  <c r="I17" i="62"/>
  <c r="I16" i="62"/>
  <c r="I15" i="62"/>
  <c r="I14" i="62"/>
  <c r="I13" i="62"/>
  <c r="I12" i="62"/>
  <c r="I11" i="62"/>
  <c r="I10" i="62"/>
  <c r="I9" i="62"/>
  <c r="I8" i="62"/>
  <c r="I7" i="62"/>
  <c r="I6" i="62"/>
  <c r="I5" i="62"/>
  <c r="I4" i="62"/>
  <c r="E125" i="61"/>
  <c r="E124" i="61"/>
  <c r="E123" i="61"/>
  <c r="E122" i="61"/>
  <c r="H122" i="61" s="1"/>
  <c r="E121" i="61"/>
  <c r="H121" i="61" s="1"/>
  <c r="G114" i="61"/>
  <c r="E92" i="61"/>
  <c r="E91" i="61"/>
  <c r="E90" i="61"/>
  <c r="E89" i="61"/>
  <c r="E88" i="61"/>
  <c r="E75" i="61"/>
  <c r="E74" i="61"/>
  <c r="E73" i="61"/>
  <c r="E72" i="61"/>
  <c r="E71" i="61"/>
  <c r="E56" i="61"/>
  <c r="E55" i="61"/>
  <c r="E54" i="61"/>
  <c r="E53" i="61"/>
  <c r="E52" i="61"/>
  <c r="E12" i="61"/>
  <c r="E11" i="61"/>
  <c r="E10" i="61"/>
  <c r="E9" i="61"/>
  <c r="E8" i="61"/>
  <c r="E7" i="60"/>
  <c r="E6" i="60"/>
  <c r="E5" i="60"/>
  <c r="E4" i="60"/>
  <c r="E70" i="59"/>
  <c r="D70" i="59"/>
  <c r="E63" i="59"/>
  <c r="D63" i="59"/>
  <c r="E56" i="59"/>
  <c r="E52" i="59"/>
  <c r="D52" i="59"/>
  <c r="E26" i="59"/>
  <c r="D26" i="59"/>
  <c r="I19" i="59"/>
  <c r="I18" i="59"/>
  <c r="I17" i="59"/>
  <c r="I16" i="59"/>
  <c r="I15" i="59"/>
  <c r="I14" i="59"/>
  <c r="I13" i="59"/>
  <c r="I12" i="59"/>
  <c r="I11" i="59"/>
  <c r="I10" i="59"/>
  <c r="I9" i="59"/>
  <c r="I8" i="59"/>
  <c r="I7" i="59"/>
  <c r="I6" i="59"/>
  <c r="I5" i="59"/>
  <c r="I4" i="59"/>
  <c r="F35" i="58"/>
  <c r="F32" i="58"/>
  <c r="F31" i="58"/>
  <c r="F30" i="58"/>
  <c r="F29" i="58"/>
  <c r="D7" i="58"/>
  <c r="D6" i="58"/>
  <c r="D5" i="58"/>
  <c r="D4" i="58"/>
  <c r="C41" i="57"/>
  <c r="D38" i="57"/>
  <c r="D37" i="57"/>
  <c r="D36" i="57"/>
  <c r="F9" i="57"/>
  <c r="F8" i="57"/>
  <c r="F7" i="57"/>
  <c r="F6" i="57"/>
  <c r="F5" i="57"/>
  <c r="F4" i="57"/>
  <c r="F6" i="56"/>
  <c r="F5" i="56"/>
  <c r="F4" i="56"/>
  <c r="H12" i="55"/>
  <c r="B26" i="55" s="1"/>
  <c r="E12" i="55"/>
  <c r="B22" i="55" s="1"/>
  <c r="F34" i="54"/>
  <c r="F33" i="54"/>
  <c r="F32" i="54"/>
  <c r="F28" i="54"/>
  <c r="F11" i="54"/>
  <c r="F10" i="54"/>
  <c r="F9" i="54"/>
  <c r="F8" i="54"/>
  <c r="F6" i="54"/>
  <c r="F5" i="54"/>
  <c r="F4" i="54"/>
  <c r="E30" i="53"/>
  <c r="E29" i="53"/>
  <c r="E28" i="53"/>
  <c r="E27" i="53"/>
  <c r="E26" i="53"/>
  <c r="E25" i="53"/>
  <c r="E9" i="53"/>
  <c r="E8" i="53"/>
  <c r="E7" i="53"/>
  <c r="E6" i="53"/>
  <c r="E5" i="53"/>
  <c r="E4" i="53"/>
  <c r="E41" i="52"/>
  <c r="E25" i="52"/>
  <c r="E6" i="52"/>
  <c r="E5" i="52"/>
  <c r="E4" i="52"/>
  <c r="D12" i="51"/>
  <c r="D11" i="51"/>
  <c r="D10" i="51"/>
  <c r="D9" i="51"/>
  <c r="D8" i="51"/>
  <c r="D7" i="51"/>
  <c r="D6" i="51"/>
  <c r="D5" i="51"/>
  <c r="D4" i="51"/>
  <c r="D34" i="50"/>
  <c r="E34" i="50" s="1"/>
  <c r="D33" i="50"/>
  <c r="E33" i="50" s="1"/>
  <c r="D32" i="50"/>
  <c r="E32" i="50" s="1"/>
  <c r="D31" i="50"/>
  <c r="E31" i="50" s="1"/>
  <c r="D30" i="50"/>
  <c r="E30" i="50" s="1"/>
  <c r="D9" i="50"/>
  <c r="D8" i="50"/>
  <c r="D7" i="50"/>
  <c r="D6" i="50"/>
  <c r="D5" i="50"/>
  <c r="D4" i="50"/>
  <c r="U48" i="49"/>
  <c r="S48" i="49"/>
  <c r="Q48" i="49"/>
  <c r="O48" i="49"/>
  <c r="M48" i="49"/>
  <c r="K48" i="49"/>
  <c r="I48" i="49"/>
  <c r="G48" i="49"/>
  <c r="E48" i="49"/>
  <c r="C48" i="49"/>
  <c r="U47" i="49"/>
  <c r="S47" i="49"/>
  <c r="Q47" i="49"/>
  <c r="O47" i="49"/>
  <c r="M47" i="49"/>
  <c r="K47" i="49"/>
  <c r="I47" i="49"/>
  <c r="G47" i="49"/>
  <c r="E47" i="49"/>
  <c r="C47" i="49"/>
  <c r="U46" i="49"/>
  <c r="S46" i="49"/>
  <c r="Q46" i="49"/>
  <c r="O46" i="49"/>
  <c r="M46" i="49"/>
  <c r="K46" i="49"/>
  <c r="I46" i="49"/>
  <c r="G46" i="49"/>
  <c r="E46" i="49"/>
  <c r="C46" i="49"/>
  <c r="U45" i="49"/>
  <c r="S45" i="49"/>
  <c r="Q45" i="49"/>
  <c r="O45" i="49"/>
  <c r="M45" i="49"/>
  <c r="K45" i="49"/>
  <c r="I45" i="49"/>
  <c r="G45" i="49"/>
  <c r="E45" i="49"/>
  <c r="C45" i="49"/>
  <c r="U44" i="49"/>
  <c r="S44" i="49"/>
  <c r="Q44" i="49"/>
  <c r="O44" i="49"/>
  <c r="M44" i="49"/>
  <c r="K44" i="49"/>
  <c r="I44" i="49"/>
  <c r="G44" i="49"/>
  <c r="E44" i="49"/>
  <c r="C44" i="49"/>
  <c r="U43" i="49"/>
  <c r="S43" i="49"/>
  <c r="Q43" i="49"/>
  <c r="O43" i="49"/>
  <c r="M43" i="49"/>
  <c r="K43" i="49"/>
  <c r="I43" i="49"/>
  <c r="G43" i="49"/>
  <c r="E43" i="49"/>
  <c r="C43" i="49"/>
  <c r="U42" i="49"/>
  <c r="S42" i="49"/>
  <c r="Q42" i="49"/>
  <c r="O42" i="49"/>
  <c r="M42" i="49"/>
  <c r="K42" i="49"/>
  <c r="I42" i="49"/>
  <c r="G42" i="49"/>
  <c r="E42" i="49"/>
  <c r="C42" i="49"/>
  <c r="U41" i="49"/>
  <c r="S41" i="49"/>
  <c r="Q41" i="49"/>
  <c r="O41" i="49"/>
  <c r="M41" i="49"/>
  <c r="K41" i="49"/>
  <c r="I41" i="49"/>
  <c r="G41" i="49"/>
  <c r="E41" i="49"/>
  <c r="C41" i="49"/>
  <c r="U40" i="49"/>
  <c r="S40" i="49"/>
  <c r="Q40" i="49"/>
  <c r="O40" i="49"/>
  <c r="M40" i="49"/>
  <c r="K40" i="49"/>
  <c r="I40" i="49"/>
  <c r="G40" i="49"/>
  <c r="E40" i="49"/>
  <c r="C40" i="49"/>
  <c r="U39" i="49"/>
  <c r="S39" i="49"/>
  <c r="Q39" i="49"/>
  <c r="O39" i="49"/>
  <c r="M39" i="49"/>
  <c r="K39" i="49"/>
  <c r="I39" i="49"/>
  <c r="G39" i="49"/>
  <c r="E39" i="49"/>
  <c r="C39" i="49"/>
  <c r="U38" i="49"/>
  <c r="S38" i="49"/>
  <c r="Q38" i="49"/>
  <c r="O38" i="49"/>
  <c r="M38" i="49"/>
  <c r="K38" i="49"/>
  <c r="I38" i="49"/>
  <c r="G38" i="49"/>
  <c r="E38" i="49"/>
  <c r="C38" i="49"/>
  <c r="U37" i="49"/>
  <c r="S37" i="49"/>
  <c r="Q37" i="49"/>
  <c r="O37" i="49"/>
  <c r="M37" i="49"/>
  <c r="K37" i="49"/>
  <c r="I37" i="49"/>
  <c r="G37" i="49"/>
  <c r="E37" i="49"/>
  <c r="C37" i="49"/>
  <c r="U36" i="49"/>
  <c r="S36" i="49"/>
  <c r="Q36" i="49"/>
  <c r="O36" i="49"/>
  <c r="M36" i="49"/>
  <c r="K36" i="49"/>
  <c r="I36" i="49"/>
  <c r="G36" i="49"/>
  <c r="E36" i="49"/>
  <c r="C36" i="49"/>
  <c r="U35" i="49"/>
  <c r="S35" i="49"/>
  <c r="Q35" i="49"/>
  <c r="O35" i="49"/>
  <c r="M35" i="49"/>
  <c r="K35" i="49"/>
  <c r="I35" i="49"/>
  <c r="G35" i="49"/>
  <c r="E35" i="49"/>
  <c r="C35" i="49"/>
  <c r="U34" i="49"/>
  <c r="S34" i="49"/>
  <c r="Q34" i="49"/>
  <c r="O34" i="49"/>
  <c r="M34" i="49"/>
  <c r="K34" i="49"/>
  <c r="I34" i="49"/>
  <c r="G34" i="49"/>
  <c r="E34" i="49"/>
  <c r="C34" i="49"/>
  <c r="U33" i="49"/>
  <c r="S33" i="49"/>
  <c r="Q33" i="49"/>
  <c r="O33" i="49"/>
  <c r="M33" i="49"/>
  <c r="K33" i="49"/>
  <c r="I33" i="49"/>
  <c r="G33" i="49"/>
  <c r="E33" i="49"/>
  <c r="C33" i="49"/>
  <c r="U32" i="49"/>
  <c r="S32" i="49"/>
  <c r="Q32" i="49"/>
  <c r="O32" i="49"/>
  <c r="M32" i="49"/>
  <c r="K32" i="49"/>
  <c r="I32" i="49"/>
  <c r="G32" i="49"/>
  <c r="E32" i="49"/>
  <c r="C32" i="49"/>
  <c r="U31" i="49"/>
  <c r="S31" i="49"/>
  <c r="Q31" i="49"/>
  <c r="O31" i="49"/>
  <c r="M31" i="49"/>
  <c r="K31" i="49"/>
  <c r="I31" i="49"/>
  <c r="G31" i="49"/>
  <c r="E31" i="49"/>
  <c r="C31" i="49"/>
  <c r="U30" i="49"/>
  <c r="S30" i="49"/>
  <c r="Q30" i="49"/>
  <c r="O30" i="49"/>
  <c r="M30" i="49"/>
  <c r="K30" i="49"/>
  <c r="I30" i="49"/>
  <c r="G30" i="49"/>
  <c r="E30" i="49"/>
  <c r="C30" i="49"/>
  <c r="U29" i="49"/>
  <c r="S29" i="49"/>
  <c r="Q29" i="49"/>
  <c r="O29" i="49"/>
  <c r="M29" i="49"/>
  <c r="K29" i="49"/>
  <c r="I29" i="49"/>
  <c r="G29" i="49"/>
  <c r="E29" i="49"/>
  <c r="C29" i="49"/>
  <c r="W28" i="49"/>
  <c r="U28" i="49"/>
  <c r="S28" i="49"/>
  <c r="Q28" i="49"/>
  <c r="O28" i="49"/>
  <c r="M28" i="49"/>
  <c r="K28" i="49"/>
  <c r="I28" i="49"/>
  <c r="G28" i="49"/>
  <c r="E28" i="49"/>
  <c r="C28" i="49"/>
  <c r="W27" i="49"/>
  <c r="U27" i="49"/>
  <c r="S27" i="49"/>
  <c r="Q27" i="49"/>
  <c r="O27" i="49"/>
  <c r="M27" i="49"/>
  <c r="K27" i="49"/>
  <c r="I27" i="49"/>
  <c r="G27" i="49"/>
  <c r="E27" i="49"/>
  <c r="C27" i="49"/>
  <c r="W26" i="49"/>
  <c r="U26" i="49"/>
  <c r="S26" i="49"/>
  <c r="Q26" i="49"/>
  <c r="O26" i="49"/>
  <c r="M26" i="49"/>
  <c r="K26" i="49"/>
  <c r="I26" i="49"/>
  <c r="G26" i="49"/>
  <c r="E26" i="49"/>
  <c r="C26" i="49"/>
  <c r="W25" i="49"/>
  <c r="U25" i="49"/>
  <c r="S25" i="49"/>
  <c r="Q25" i="49"/>
  <c r="O25" i="49"/>
  <c r="M25" i="49"/>
  <c r="K25" i="49"/>
  <c r="I25" i="49"/>
  <c r="G25" i="49"/>
  <c r="E25" i="49"/>
  <c r="C25" i="49"/>
  <c r="W24" i="49"/>
  <c r="U24" i="49"/>
  <c r="S24" i="49"/>
  <c r="Q24" i="49"/>
  <c r="O24" i="49"/>
  <c r="M24" i="49"/>
  <c r="K24" i="49"/>
  <c r="I24" i="49"/>
  <c r="G24" i="49"/>
  <c r="E24" i="49"/>
  <c r="C24" i="49"/>
  <c r="H6" i="49"/>
  <c r="H5" i="49"/>
  <c r="H4" i="49"/>
  <c r="D58" i="48"/>
  <c r="D16" i="48"/>
  <c r="D15" i="48"/>
  <c r="D14" i="48"/>
  <c r="D13" i="48"/>
  <c r="D11" i="48"/>
  <c r="D10" i="48"/>
  <c r="D9" i="48"/>
  <c r="D8" i="48"/>
  <c r="D7" i="48"/>
  <c r="D6" i="48"/>
  <c r="D5" i="48"/>
  <c r="E83" i="47"/>
  <c r="F83" i="47" s="1"/>
  <c r="E82" i="47"/>
  <c r="F82" i="47" s="1"/>
  <c r="E81" i="47"/>
  <c r="F81" i="47" s="1"/>
  <c r="E80" i="47"/>
  <c r="F80" i="47" s="1"/>
  <c r="E72" i="47"/>
  <c r="E71" i="47"/>
  <c r="E70" i="47"/>
  <c r="E69" i="47"/>
  <c r="F56" i="47"/>
  <c r="F55" i="47"/>
  <c r="F54" i="47"/>
  <c r="F47" i="47"/>
  <c r="F46" i="47"/>
  <c r="F45" i="47"/>
  <c r="E30" i="47"/>
  <c r="E29" i="47"/>
  <c r="E28" i="47"/>
  <c r="D9" i="47"/>
  <c r="D8" i="47"/>
  <c r="D7" i="47"/>
  <c r="D6" i="47"/>
  <c r="D5" i="47"/>
  <c r="D4" i="47"/>
  <c r="D13" i="46"/>
  <c r="D12" i="46"/>
  <c r="D11" i="46"/>
  <c r="D10" i="46"/>
  <c r="D9" i="46"/>
  <c r="D8" i="46"/>
  <c r="D7" i="46"/>
  <c r="D6" i="46"/>
  <c r="D5" i="46"/>
  <c r="D4" i="46"/>
  <c r="F3" i="45"/>
  <c r="E41" i="44"/>
  <c r="D41" i="44"/>
  <c r="C41" i="44"/>
  <c r="F38" i="44"/>
  <c r="F37" i="44"/>
  <c r="F36" i="44"/>
  <c r="F35" i="44"/>
  <c r="F34" i="44"/>
  <c r="F33" i="44"/>
  <c r="F32" i="44"/>
  <c r="F31" i="44"/>
  <c r="F30" i="44"/>
  <c r="F29" i="44"/>
  <c r="E7" i="44"/>
  <c r="E6" i="44"/>
  <c r="E5" i="44"/>
  <c r="E4" i="44"/>
  <c r="D15" i="43"/>
  <c r="D14" i="43"/>
  <c r="D13" i="43"/>
  <c r="D12" i="43"/>
  <c r="D10" i="43"/>
  <c r="D9" i="43"/>
  <c r="D8" i="43"/>
  <c r="D7" i="43"/>
  <c r="F45" i="42"/>
  <c r="G45" i="42" s="1"/>
  <c r="F44" i="42"/>
  <c r="G44" i="42" s="1"/>
  <c r="F43" i="42"/>
  <c r="G43" i="42" s="1"/>
  <c r="F36" i="42"/>
  <c r="G36" i="42" s="1"/>
  <c r="F35" i="42"/>
  <c r="G35" i="42" s="1"/>
  <c r="F34" i="42"/>
  <c r="G34" i="42" s="1"/>
  <c r="D7" i="42"/>
  <c r="D6" i="42"/>
  <c r="D5" i="42"/>
  <c r="D4" i="42"/>
  <c r="C25" i="41"/>
  <c r="B15" i="41"/>
  <c r="C12" i="41"/>
  <c r="C11" i="41"/>
  <c r="C10" i="41"/>
  <c r="C34" i="40"/>
  <c r="C33" i="40"/>
  <c r="C32" i="40"/>
  <c r="C30" i="40"/>
  <c r="C22" i="40"/>
  <c r="C21" i="40"/>
  <c r="C18" i="40"/>
  <c r="C17" i="40"/>
  <c r="C15" i="40"/>
  <c r="B22" i="39"/>
  <c r="B18" i="39"/>
  <c r="B14" i="39"/>
  <c r="B7" i="39"/>
  <c r="F115" i="36"/>
  <c r="E115" i="36"/>
  <c r="F114" i="36"/>
  <c r="E114" i="36"/>
  <c r="F113" i="36"/>
  <c r="E113" i="36"/>
  <c r="D102" i="36"/>
  <c r="G78" i="36"/>
  <c r="F78" i="36"/>
  <c r="E78" i="36"/>
  <c r="D78" i="36"/>
  <c r="D60" i="36"/>
  <c r="F53" i="36"/>
  <c r="F52" i="36"/>
  <c r="F51" i="36"/>
  <c r="F50" i="36"/>
  <c r="F49" i="36"/>
  <c r="F48" i="36"/>
  <c r="D35" i="36"/>
  <c r="F28" i="36"/>
  <c r="F27" i="36"/>
  <c r="F26" i="36"/>
  <c r="F25" i="36"/>
  <c r="F24" i="36"/>
  <c r="F23" i="36"/>
  <c r="D10" i="36"/>
  <c r="D45" i="35"/>
  <c r="D44" i="35"/>
  <c r="D43" i="35"/>
  <c r="D37" i="35"/>
  <c r="D36" i="35"/>
  <c r="D35" i="35"/>
  <c r="D24" i="35"/>
  <c r="D23" i="35"/>
  <c r="D22" i="35"/>
  <c r="D16" i="35"/>
  <c r="D15" i="35"/>
  <c r="D14" i="35"/>
  <c r="G10" i="34"/>
  <c r="G9" i="34"/>
  <c r="G8" i="34"/>
  <c r="G7" i="34"/>
  <c r="G11" i="34" s="1"/>
  <c r="G14" i="34" s="1"/>
  <c r="G6" i="34"/>
  <c r="B6" i="34"/>
  <c r="B7" i="34" s="1"/>
  <c r="B8" i="34" s="1"/>
  <c r="B9" i="34" s="1"/>
  <c r="B10" i="34" s="1"/>
  <c r="E58" i="30"/>
  <c r="E57" i="30"/>
  <c r="E56" i="30"/>
  <c r="E51" i="30"/>
  <c r="E50" i="30"/>
  <c r="E49" i="30"/>
  <c r="E39" i="30"/>
  <c r="E38" i="30"/>
  <c r="E37" i="30"/>
  <c r="E26" i="30"/>
  <c r="E25" i="30"/>
  <c r="E24" i="30"/>
  <c r="F126" i="29"/>
  <c r="E126" i="29"/>
  <c r="F125" i="29"/>
  <c r="E125" i="29"/>
  <c r="F124" i="29"/>
  <c r="E124" i="29"/>
  <c r="G124" i="29" s="1"/>
  <c r="F123" i="29"/>
  <c r="E123" i="29"/>
  <c r="F122" i="29"/>
  <c r="E122" i="29"/>
  <c r="F121" i="29"/>
  <c r="E121" i="29"/>
  <c r="D81" i="29"/>
  <c r="D80" i="29"/>
  <c r="D79" i="29"/>
  <c r="D78" i="29"/>
  <c r="D77" i="29"/>
  <c r="D76" i="29"/>
  <c r="D75" i="29"/>
  <c r="D74" i="29"/>
  <c r="F59" i="29"/>
  <c r="G14" i="29"/>
  <c r="D8" i="28"/>
  <c r="D7" i="28"/>
  <c r="D6" i="28"/>
  <c r="D5" i="28"/>
  <c r="D4" i="28"/>
  <c r="D7" i="27"/>
  <c r="D6" i="27"/>
  <c r="D5" i="27"/>
  <c r="D4" i="27"/>
  <c r="D36" i="26"/>
  <c r="D29" i="26"/>
  <c r="D28" i="26"/>
  <c r="D21" i="26"/>
  <c r="D20" i="26"/>
  <c r="C4" i="26"/>
  <c r="E7" i="25"/>
  <c r="E6" i="25"/>
  <c r="G5" i="25"/>
  <c r="E5" i="25"/>
  <c r="E4" i="25"/>
  <c r="C51" i="24"/>
  <c r="E26" i="24"/>
  <c r="E20" i="24"/>
  <c r="F13" i="24"/>
  <c r="C10" i="24"/>
  <c r="F4" i="24"/>
  <c r="E38" i="23"/>
  <c r="E37" i="23"/>
  <c r="E31" i="23"/>
  <c r="E30" i="23"/>
  <c r="E29" i="23"/>
  <c r="F7" i="23"/>
  <c r="F6" i="23"/>
  <c r="F5" i="23"/>
  <c r="F4" i="23"/>
  <c r="F3" i="23"/>
  <c r="G7" i="22"/>
  <c r="G6" i="22"/>
  <c r="G5" i="22"/>
  <c r="G4" i="22"/>
  <c r="D8" i="21"/>
  <c r="D7" i="21"/>
  <c r="D6" i="21"/>
  <c r="D5" i="21"/>
  <c r="D4" i="21"/>
  <c r="E8" i="20"/>
  <c r="E7" i="20"/>
  <c r="E6" i="20"/>
  <c r="E5" i="20"/>
  <c r="E4" i="20"/>
  <c r="C30" i="19"/>
  <c r="E28" i="19"/>
  <c r="D28" i="19"/>
  <c r="C28" i="19"/>
  <c r="G26" i="19"/>
  <c r="G25" i="19"/>
  <c r="G24" i="19"/>
  <c r="G23" i="19"/>
  <c r="H7" i="19"/>
  <c r="H4" i="19"/>
  <c r="H13" i="18"/>
  <c r="H11" i="18"/>
  <c r="H8" i="18"/>
  <c r="H6" i="18"/>
  <c r="H4" i="18"/>
  <c r="C30" i="17"/>
  <c r="E28" i="17"/>
  <c r="D28" i="17"/>
  <c r="C28" i="17"/>
  <c r="G26" i="17"/>
  <c r="G25" i="17"/>
  <c r="G24" i="17"/>
  <c r="G23" i="17"/>
  <c r="H7" i="17"/>
  <c r="H4" i="17"/>
  <c r="D8" i="16"/>
  <c r="D7" i="16"/>
  <c r="D6" i="16"/>
  <c r="D5" i="16"/>
  <c r="D4" i="16"/>
  <c r="D29" i="15"/>
  <c r="D28" i="15"/>
  <c r="D27" i="15"/>
  <c r="E8" i="15"/>
  <c r="E7" i="15"/>
  <c r="E6" i="15"/>
  <c r="E5" i="15"/>
  <c r="E4" i="15"/>
  <c r="E38" i="14"/>
  <c r="E37" i="14"/>
  <c r="E31" i="14"/>
  <c r="E30" i="14"/>
  <c r="E29" i="14"/>
  <c r="F7" i="14"/>
  <c r="F6" i="14"/>
  <c r="F5" i="14"/>
  <c r="F4" i="14"/>
  <c r="F3" i="14"/>
  <c r="F127" i="13"/>
  <c r="E127" i="13"/>
  <c r="F126" i="13"/>
  <c r="E126" i="13"/>
  <c r="F125" i="13"/>
  <c r="E125" i="13"/>
  <c r="F124" i="13"/>
  <c r="E124" i="13"/>
  <c r="F123" i="13"/>
  <c r="E123" i="13"/>
  <c r="F122" i="13"/>
  <c r="E122" i="13"/>
  <c r="D79" i="13"/>
  <c r="D78" i="13"/>
  <c r="D77" i="13"/>
  <c r="D76" i="13"/>
  <c r="D75" i="13"/>
  <c r="D74" i="13"/>
  <c r="D73" i="13"/>
  <c r="D72" i="13"/>
  <c r="F57" i="13"/>
  <c r="F13" i="13"/>
  <c r="E9" i="12"/>
  <c r="E8" i="12"/>
  <c r="E7" i="12"/>
  <c r="E6" i="12"/>
  <c r="E5" i="12"/>
  <c r="E4" i="12"/>
  <c r="E30" i="11"/>
  <c r="E29" i="11"/>
  <c r="E28" i="11"/>
  <c r="D7" i="11"/>
  <c r="D6" i="11"/>
  <c r="D5" i="11"/>
  <c r="D4" i="11"/>
  <c r="D11" i="10"/>
  <c r="D10" i="10"/>
  <c r="D9" i="10"/>
  <c r="D8" i="10"/>
  <c r="D7" i="10"/>
  <c r="D6" i="10"/>
  <c r="D5" i="10"/>
  <c r="D4" i="10"/>
  <c r="F22" i="9"/>
  <c r="C6" i="9"/>
  <c r="D6" i="9" s="1"/>
  <c r="C5" i="9"/>
  <c r="D5" i="9" s="1"/>
  <c r="D4" i="9"/>
  <c r="F18" i="8"/>
  <c r="F16" i="8"/>
  <c r="F15" i="8"/>
  <c r="F14" i="8"/>
  <c r="E47" i="7"/>
  <c r="E45" i="7"/>
  <c r="E43" i="7"/>
  <c r="E4" i="7"/>
  <c r="G43" i="6"/>
  <c r="F43" i="6"/>
  <c r="E43" i="6"/>
  <c r="D43" i="6"/>
  <c r="I39" i="6"/>
  <c r="I38" i="6"/>
  <c r="I37" i="6"/>
  <c r="I36" i="6"/>
  <c r="I35" i="6"/>
  <c r="D12" i="6"/>
  <c r="F12" i="6" s="1"/>
  <c r="F11" i="6"/>
  <c r="F10" i="6"/>
  <c r="D9" i="6"/>
  <c r="F9" i="6" s="1"/>
  <c r="F8" i="6"/>
  <c r="F7" i="6"/>
  <c r="F6" i="6"/>
  <c r="F5" i="6"/>
  <c r="F4" i="6"/>
  <c r="F33" i="5"/>
  <c r="E33" i="5"/>
  <c r="D33" i="5"/>
  <c r="D12" i="5"/>
  <c r="F12" i="5" s="1"/>
  <c r="F11" i="5"/>
  <c r="F10" i="5"/>
  <c r="D9" i="5"/>
  <c r="F9" i="5" s="1"/>
  <c r="F8" i="5"/>
  <c r="F7" i="5"/>
  <c r="F6" i="5"/>
  <c r="F5" i="5"/>
  <c r="F4" i="5"/>
  <c r="D6" i="4"/>
  <c r="D5" i="4"/>
  <c r="D4" i="4"/>
  <c r="K36" i="3"/>
  <c r="K35" i="3"/>
  <c r="K32" i="3"/>
  <c r="K31" i="3"/>
  <c r="K13" i="3"/>
  <c r="K12" i="3"/>
  <c r="K9" i="3"/>
  <c r="K8" i="3"/>
  <c r="K5" i="3"/>
  <c r="K4" i="3"/>
  <c r="D12" i="1"/>
  <c r="D11" i="1"/>
  <c r="D10" i="1"/>
  <c r="D20" i="43"/>
  <c r="D17" i="43"/>
  <c r="D18" i="43"/>
  <c r="D19" i="43"/>
  <c r="G47" i="88"/>
  <c r="D12" i="48"/>
  <c r="G35" i="88"/>
  <c r="H11" i="88"/>
  <c r="E40" i="30" l="1"/>
  <c r="G53" i="61"/>
  <c r="G124" i="13"/>
  <c r="G126" i="13"/>
  <c r="G121" i="29"/>
  <c r="C41" i="81"/>
  <c r="G89" i="61"/>
  <c r="F14" i="152"/>
  <c r="E52" i="30"/>
  <c r="G56" i="61"/>
  <c r="C33" i="81"/>
  <c r="C65" i="81"/>
  <c r="F35" i="141"/>
  <c r="G125" i="29"/>
  <c r="H40" i="91"/>
  <c r="H38" i="160"/>
  <c r="G123" i="13"/>
  <c r="G127" i="13"/>
  <c r="G91" i="61"/>
  <c r="F8" i="71"/>
  <c r="C49" i="81"/>
  <c r="F34" i="141"/>
  <c r="F36" i="141"/>
  <c r="H12" i="163"/>
  <c r="H14" i="163" s="1"/>
  <c r="G55" i="61"/>
  <c r="G92" i="61"/>
  <c r="C25" i="81"/>
  <c r="C57" i="81"/>
  <c r="H36" i="146"/>
  <c r="G122" i="13"/>
  <c r="G125" i="13"/>
  <c r="G123" i="29"/>
  <c r="G126" i="29"/>
  <c r="E59" i="30"/>
  <c r="E26" i="70"/>
  <c r="E70" i="70"/>
  <c r="E56" i="70"/>
  <c r="C37" i="81"/>
  <c r="C53" i="81"/>
  <c r="C69" i="81"/>
  <c r="F33" i="83"/>
  <c r="H40" i="145"/>
  <c r="F7" i="156"/>
  <c r="G122" i="29"/>
  <c r="G32" i="34"/>
  <c r="G54" i="61"/>
  <c r="G90" i="61"/>
  <c r="E26" i="69"/>
  <c r="E70" i="69"/>
  <c r="E56" i="69"/>
  <c r="E52" i="70"/>
  <c r="C29" i="81"/>
  <c r="C45" i="81"/>
  <c r="C61" i="81"/>
  <c r="F8" i="116"/>
  <c r="F8" i="144"/>
  <c r="H38" i="146"/>
  <c r="C9" i="155" a="1"/>
  <c r="E14" i="61"/>
  <c r="E59" i="61"/>
  <c r="E95" i="61"/>
  <c r="E52" i="68"/>
  <c r="G40" i="91"/>
  <c r="H40" i="159"/>
  <c r="E33" i="130" a="1"/>
  <c r="E33" i="130" s="1"/>
  <c r="G13" i="34"/>
  <c r="H125" i="61"/>
  <c r="H124" i="61"/>
  <c r="F121" i="61"/>
  <c r="F122" i="61" s="1"/>
  <c r="E127" i="61"/>
  <c r="H78" i="36"/>
  <c r="A32" i="121"/>
  <c r="B31" i="121"/>
  <c r="E31" i="121"/>
  <c r="F31" i="121" s="1"/>
  <c r="H123" i="61"/>
  <c r="F11" i="80"/>
  <c r="I30" i="80"/>
  <c r="D60" i="80"/>
  <c r="D64" i="80"/>
  <c r="C26" i="81"/>
  <c r="C30" i="81"/>
  <c r="C34" i="81"/>
  <c r="C38" i="81"/>
  <c r="C42" i="81"/>
  <c r="C46" i="81"/>
  <c r="C50" i="81"/>
  <c r="C54" i="81"/>
  <c r="C58" i="81"/>
  <c r="C62" i="81"/>
  <c r="C66" i="81"/>
  <c r="C70" i="81"/>
  <c r="D77" i="109"/>
  <c r="E78" i="109"/>
  <c r="F79" i="109"/>
  <c r="G52" i="61"/>
  <c r="G88" i="61"/>
  <c r="E63" i="68"/>
  <c r="E52" i="69"/>
  <c r="E63" i="70"/>
  <c r="I31" i="80"/>
  <c r="D61" i="80"/>
  <c r="C27" i="81"/>
  <c r="C31" i="81"/>
  <c r="C35" i="81"/>
  <c r="C39" i="81"/>
  <c r="C43" i="81"/>
  <c r="C47" i="81"/>
  <c r="C51" i="81"/>
  <c r="C55" i="81"/>
  <c r="C59" i="81"/>
  <c r="C63" i="81"/>
  <c r="C67" i="81"/>
  <c r="C71" i="81"/>
  <c r="C36" i="109"/>
  <c r="D76" i="109"/>
  <c r="E77" i="109"/>
  <c r="F78" i="109"/>
  <c r="E30" i="121"/>
  <c r="F30" i="121" s="1"/>
  <c r="D62" i="80"/>
  <c r="C24" i="81"/>
  <c r="C28" i="81"/>
  <c r="C32" i="81"/>
  <c r="C36" i="81"/>
  <c r="C40" i="81"/>
  <c r="C44" i="81"/>
  <c r="C48" i="81"/>
  <c r="C52" i="81"/>
  <c r="C56" i="81"/>
  <c r="C60" i="81"/>
  <c r="C64" i="81"/>
  <c r="C68" i="81"/>
  <c r="D36" i="109"/>
  <c r="E76" i="109"/>
  <c r="F77" i="109"/>
  <c r="D79" i="109"/>
  <c r="C29" i="121"/>
  <c r="D29" i="121" s="1"/>
  <c r="H29" i="121" s="1"/>
  <c r="B30" i="121"/>
  <c r="H66" i="152"/>
  <c r="E11" i="155"/>
  <c r="F10" i="155"/>
  <c r="G9" i="155"/>
  <c r="C9" i="155"/>
  <c r="D11" i="155"/>
  <c r="E10" i="155"/>
  <c r="F9" i="155"/>
  <c r="G11" i="155"/>
  <c r="C11" i="155"/>
  <c r="D10" i="155"/>
  <c r="E9" i="155"/>
  <c r="F11" i="155"/>
  <c r="G10" i="155"/>
  <c r="C10" i="155"/>
  <c r="D9" i="155"/>
  <c r="F76" i="109"/>
  <c r="D78" i="109"/>
  <c r="E44" i="151"/>
  <c r="E46" i="151" s="1"/>
  <c r="H76" i="152"/>
  <c r="D78" i="152"/>
  <c r="F6" i="156"/>
  <c r="F10" i="156"/>
  <c r="F43" i="156"/>
  <c r="F47" i="156"/>
  <c r="F51" i="156"/>
  <c r="F44" i="156"/>
  <c r="F48" i="156"/>
  <c r="F52" i="156"/>
  <c r="E66" i="152"/>
  <c r="E77" i="152"/>
  <c r="H77" i="152" s="1"/>
  <c r="F8" i="156"/>
  <c r="F41" i="156"/>
  <c r="F45" i="156"/>
  <c r="F49" i="156"/>
  <c r="H38" i="159"/>
  <c r="H36" i="160"/>
  <c r="F5" i="156"/>
  <c r="F42" i="156"/>
  <c r="F46" i="156"/>
  <c r="E32" i="121" l="1"/>
  <c r="F32" i="121" s="1"/>
  <c r="A33" i="121"/>
  <c r="B32" i="121"/>
  <c r="F123" i="61"/>
  <c r="G85" i="36"/>
  <c r="G94" i="36" s="1"/>
  <c r="G84" i="36"/>
  <c r="G93" i="36" s="1"/>
  <c r="G83" i="36"/>
  <c r="G92" i="36" s="1"/>
  <c r="G82" i="36"/>
  <c r="G91" i="36" s="1"/>
  <c r="D85" i="36"/>
  <c r="D94" i="36" s="1"/>
  <c r="D83" i="36"/>
  <c r="D92" i="36" s="1"/>
  <c r="F85" i="36"/>
  <c r="F94" i="36" s="1"/>
  <c r="F84" i="36"/>
  <c r="F93" i="36" s="1"/>
  <c r="F83" i="36"/>
  <c r="F92" i="36" s="1"/>
  <c r="F82" i="36"/>
  <c r="F91" i="36" s="1"/>
  <c r="D82" i="36"/>
  <c r="D91" i="36" s="1"/>
  <c r="E85" i="36"/>
  <c r="E94" i="36" s="1"/>
  <c r="E84" i="36"/>
  <c r="E93" i="36" s="1"/>
  <c r="E83" i="36"/>
  <c r="E92" i="36" s="1"/>
  <c r="E82" i="36"/>
  <c r="E91" i="36" s="1"/>
  <c r="D84" i="36"/>
  <c r="D93" i="36" s="1"/>
  <c r="G86" i="36"/>
  <c r="G95" i="36" s="1"/>
  <c r="D86" i="36"/>
  <c r="D95" i="36" s="1"/>
  <c r="F86" i="36"/>
  <c r="F95" i="36" s="1"/>
  <c r="G30" i="121"/>
  <c r="C30" i="121"/>
  <c r="D30" i="121" s="1"/>
  <c r="D79" i="152"/>
  <c r="E78" i="152"/>
  <c r="H78" i="152" s="1"/>
  <c r="G31" i="121"/>
  <c r="C31" i="121"/>
  <c r="D31" i="121" s="1"/>
  <c r="E86" i="36"/>
  <c r="E95" i="36" s="1"/>
  <c r="H30" i="121" l="1"/>
  <c r="H31" i="121"/>
  <c r="G32" i="121"/>
  <c r="C32" i="121"/>
  <c r="D32" i="121" s="1"/>
  <c r="F124" i="61"/>
  <c r="F125" i="61" s="1"/>
  <c r="H95" i="36"/>
  <c r="A34" i="121"/>
  <c r="B33" i="121"/>
  <c r="E33" i="121"/>
  <c r="F33" i="121" s="1"/>
  <c r="D80" i="152"/>
  <c r="E79" i="152"/>
  <c r="H79" i="152" s="1"/>
  <c r="H32" i="121" l="1"/>
  <c r="E80" i="152"/>
  <c r="H80" i="152" s="1"/>
  <c r="D81" i="152"/>
  <c r="A35" i="121"/>
  <c r="B34" i="121"/>
  <c r="E34" i="121"/>
  <c r="F34" i="121" s="1"/>
  <c r="F127" i="61"/>
  <c r="F129" i="61" s="1"/>
  <c r="G33" i="121"/>
  <c r="C33" i="121"/>
  <c r="D33" i="121" s="1"/>
  <c r="H33" i="121" s="1"/>
  <c r="G34" i="121" l="1"/>
  <c r="C34" i="121"/>
  <c r="D34" i="121" s="1"/>
  <c r="H34" i="121" s="1"/>
  <c r="A36" i="121"/>
  <c r="B35" i="121"/>
  <c r="E35" i="121"/>
  <c r="F35" i="121" s="1"/>
  <c r="E81" i="152"/>
  <c r="H81" i="152" s="1"/>
  <c r="D82" i="152"/>
  <c r="G35" i="121" l="1"/>
  <c r="C35" i="121"/>
  <c r="D35" i="121" s="1"/>
  <c r="E36" i="121"/>
  <c r="F36" i="121" s="1"/>
  <c r="A37" i="121"/>
  <c r="B36" i="121"/>
  <c r="D83" i="152"/>
  <c r="H82" i="152"/>
  <c r="E82" i="152"/>
  <c r="H35" i="121" l="1"/>
  <c r="D84" i="152"/>
  <c r="H83" i="152"/>
  <c r="E83" i="152"/>
  <c r="G36" i="121"/>
  <c r="C36" i="121"/>
  <c r="D36" i="121" s="1"/>
  <c r="A38" i="121"/>
  <c r="B37" i="121"/>
  <c r="E37" i="121"/>
  <c r="F37" i="121" s="1"/>
  <c r="H36" i="121" l="1"/>
  <c r="A39" i="121"/>
  <c r="B38" i="121"/>
  <c r="E38" i="121"/>
  <c r="F38" i="121" s="1"/>
  <c r="G37" i="121"/>
  <c r="C37" i="121"/>
  <c r="D37" i="121" s="1"/>
  <c r="E84" i="152"/>
  <c r="E85" i="152" s="1"/>
  <c r="H84" i="152"/>
  <c r="H85" i="152" s="1"/>
  <c r="H37" i="121" l="1"/>
  <c r="G38" i="121"/>
  <c r="C38" i="121"/>
  <c r="D38" i="121" s="1"/>
  <c r="E39" i="121"/>
  <c r="F39" i="121" s="1"/>
  <c r="A40" i="121"/>
  <c r="B39" i="121"/>
  <c r="H38" i="121" l="1"/>
  <c r="G39" i="121"/>
  <c r="C39" i="121"/>
  <c r="D39" i="121" s="1"/>
  <c r="A41" i="121"/>
  <c r="B40" i="121"/>
  <c r="E40" i="121"/>
  <c r="F40" i="121" s="1"/>
  <c r="H39" i="121" l="1"/>
  <c r="E41" i="121"/>
  <c r="F41" i="121" s="1"/>
  <c r="A42" i="121"/>
  <c r="B41" i="121"/>
  <c r="G40" i="121"/>
  <c r="C40" i="121"/>
  <c r="D40" i="121" s="1"/>
  <c r="H40" i="121" l="1"/>
  <c r="G41" i="121"/>
  <c r="C41" i="121"/>
  <c r="D41" i="121" s="1"/>
  <c r="H41" i="121" s="1"/>
  <c r="A43" i="121"/>
  <c r="B42" i="121"/>
  <c r="E42" i="121"/>
  <c r="F42" i="121" s="1"/>
  <c r="E43" i="121" l="1"/>
  <c r="F43" i="121" s="1"/>
  <c r="B43" i="121"/>
  <c r="A44" i="121"/>
  <c r="G42" i="121"/>
  <c r="C42" i="121"/>
  <c r="D42" i="121" s="1"/>
  <c r="H42" i="121" l="1"/>
  <c r="A45" i="121"/>
  <c r="B44" i="121"/>
  <c r="E44" i="121"/>
  <c r="F44" i="121" s="1"/>
  <c r="G43" i="121"/>
  <c r="C43" i="121"/>
  <c r="D43" i="121" s="1"/>
  <c r="H43" i="121" l="1"/>
  <c r="G44" i="121"/>
  <c r="C44" i="121"/>
  <c r="D44" i="121" s="1"/>
  <c r="E45" i="121"/>
  <c r="F45" i="121" s="1"/>
  <c r="A46" i="121"/>
  <c r="B45" i="121"/>
  <c r="H44" i="121" l="1"/>
  <c r="G45" i="121"/>
  <c r="C45" i="121"/>
  <c r="D45" i="121" s="1"/>
  <c r="A47" i="121"/>
  <c r="B46" i="121"/>
  <c r="E46" i="121"/>
  <c r="F46" i="121" s="1"/>
  <c r="H45" i="121" l="1"/>
  <c r="E47" i="121"/>
  <c r="F47" i="121" s="1"/>
  <c r="B47" i="121"/>
  <c r="A48" i="121"/>
  <c r="G46" i="121"/>
  <c r="C46" i="121"/>
  <c r="D46" i="121" s="1"/>
  <c r="H46" i="121" l="1"/>
  <c r="G47" i="121"/>
  <c r="C47" i="121"/>
  <c r="D47" i="121" s="1"/>
  <c r="H47" i="121" s="1"/>
  <c r="A49" i="121"/>
  <c r="B48" i="121"/>
  <c r="E48" i="121"/>
  <c r="F48" i="121" s="1"/>
  <c r="G48" i="121" l="1"/>
  <c r="C48" i="121"/>
  <c r="D48" i="121" s="1"/>
  <c r="E49" i="121"/>
  <c r="F49" i="121" s="1"/>
  <c r="A50" i="121"/>
  <c r="B49" i="121"/>
  <c r="H48" i="121" l="1"/>
  <c r="A51" i="121"/>
  <c r="B50" i="121"/>
  <c r="E50" i="121"/>
  <c r="F50" i="121" s="1"/>
  <c r="G49" i="121"/>
  <c r="C49" i="121"/>
  <c r="D49" i="121" s="1"/>
  <c r="H49" i="121" l="1"/>
  <c r="G50" i="121"/>
  <c r="C50" i="121"/>
  <c r="D50" i="121" s="1"/>
  <c r="E51" i="121"/>
  <c r="F51" i="121" s="1"/>
  <c r="A52" i="121"/>
  <c r="B51" i="121"/>
  <c r="H50" i="121" l="1"/>
  <c r="G51" i="121"/>
  <c r="C51" i="121"/>
  <c r="D51" i="121" s="1"/>
  <c r="A53" i="121"/>
  <c r="B52" i="121"/>
  <c r="E52" i="121"/>
  <c r="F52" i="121" s="1"/>
  <c r="H51" i="121" l="1"/>
  <c r="E53" i="121"/>
  <c r="F53" i="121" s="1"/>
  <c r="A54" i="121"/>
  <c r="B53" i="121"/>
  <c r="G52" i="121"/>
  <c r="C52" i="121"/>
  <c r="D52" i="121" s="1"/>
  <c r="H52" i="121" s="1"/>
  <c r="G53" i="121" l="1"/>
  <c r="C53" i="121"/>
  <c r="D53" i="121" s="1"/>
  <c r="H53" i="121" s="1"/>
  <c r="A55" i="121"/>
  <c r="B54" i="121"/>
  <c r="E54" i="121"/>
  <c r="F54" i="121" s="1"/>
  <c r="C54" i="121" l="1"/>
  <c r="D54" i="121" s="1"/>
  <c r="G54" i="121"/>
  <c r="E55" i="121"/>
  <c r="F55" i="121" s="1"/>
  <c r="A56" i="121"/>
  <c r="B55" i="121"/>
  <c r="H54" i="121" l="1"/>
  <c r="G55" i="121"/>
  <c r="C55" i="121"/>
  <c r="D55" i="121" s="1"/>
  <c r="H55" i="121" s="1"/>
  <c r="A57" i="121"/>
  <c r="B56" i="121"/>
  <c r="E56" i="121"/>
  <c r="F56" i="121" s="1"/>
  <c r="G56" i="121" l="1"/>
  <c r="C56" i="121"/>
  <c r="D56" i="121" s="1"/>
  <c r="E57" i="121"/>
  <c r="F57" i="121" s="1"/>
  <c r="A58" i="121"/>
  <c r="B57" i="121"/>
  <c r="H56" i="121" l="1"/>
  <c r="G57" i="121"/>
  <c r="C57" i="121"/>
  <c r="D57" i="121" s="1"/>
  <c r="A59" i="121"/>
  <c r="B58" i="121"/>
  <c r="E58" i="121"/>
  <c r="F58" i="121" s="1"/>
  <c r="H57" i="121" l="1"/>
  <c r="E59" i="121"/>
  <c r="F59" i="121" s="1"/>
  <c r="B59" i="121"/>
  <c r="G58" i="121"/>
  <c r="C58" i="121"/>
  <c r="D58" i="121" s="1"/>
  <c r="H58" i="121" s="1"/>
  <c r="G59" i="121" l="1"/>
  <c r="C59" i="121"/>
  <c r="D59" i="121" s="1"/>
  <c r="H59" i="121" l="1"/>
  <c r="I59" i="121" s="1"/>
  <c r="I29" i="121"/>
  <c r="I31" i="121"/>
  <c r="I30" i="121"/>
  <c r="I32" i="121"/>
  <c r="I33" i="121"/>
  <c r="I34" i="121"/>
  <c r="I35" i="121"/>
  <c r="I36" i="121"/>
  <c r="I37" i="121"/>
  <c r="I38" i="121"/>
  <c r="I39" i="121"/>
  <c r="I40" i="121"/>
  <c r="I41" i="121"/>
  <c r="I42" i="121"/>
  <c r="I43" i="121"/>
  <c r="I44" i="121"/>
  <c r="I45" i="121"/>
  <c r="I46" i="121"/>
  <c r="I48" i="121"/>
  <c r="I47" i="121"/>
  <c r="I50" i="121"/>
  <c r="I49" i="121"/>
  <c r="I51" i="121"/>
  <c r="I52" i="121"/>
  <c r="I53" i="121"/>
  <c r="I55" i="121"/>
  <c r="I56" i="121"/>
  <c r="I58" i="121"/>
  <c r="I54" i="121"/>
  <c r="I57" i="121"/>
</calcChain>
</file>

<file path=xl/sharedStrings.xml><?xml version="1.0" encoding="utf-8"?>
<sst xmlns="http://schemas.openxmlformats.org/spreadsheetml/2006/main" count="6911" uniqueCount="4230">
  <si>
    <t>Show all formula</t>
  </si>
  <si>
    <r>
      <t xml:space="preserve">You can view all the formula on the worksheet by pressing </t>
    </r>
    <r>
      <rPr>
        <b/>
        <sz val="10"/>
        <color indexed="12"/>
        <rFont val="Arial"/>
        <family val="2"/>
      </rPr>
      <t>Ctrl</t>
    </r>
    <r>
      <rPr>
        <sz val="10"/>
        <rFont val="Arial"/>
        <family val="2"/>
      </rPr>
      <t xml:space="preserve"> and </t>
    </r>
    <r>
      <rPr>
        <b/>
        <sz val="10"/>
        <color indexed="12"/>
        <rFont val="Arial"/>
        <family val="2"/>
      </rPr>
      <t>`</t>
    </r>
    <r>
      <rPr>
        <sz val="10"/>
        <rFont val="Arial"/>
        <family val="2"/>
      </rPr>
      <t>.</t>
    </r>
  </si>
  <si>
    <r>
      <t xml:space="preserve">The </t>
    </r>
    <r>
      <rPr>
        <b/>
        <sz val="10"/>
        <color indexed="12"/>
        <rFont val="Arial"/>
        <family val="2"/>
      </rPr>
      <t>'</t>
    </r>
    <r>
      <rPr>
        <sz val="10"/>
        <rFont val="Arial"/>
        <family val="2"/>
      </rPr>
      <t xml:space="preserve"> is the left single quote usually found on the key to left of number 1.</t>
    </r>
  </si>
  <si>
    <r>
      <t xml:space="preserve">Press </t>
    </r>
    <r>
      <rPr>
        <b/>
        <sz val="10"/>
        <color indexed="12"/>
        <rFont val="Arial"/>
        <family val="2"/>
      </rPr>
      <t>Ctrl</t>
    </r>
    <r>
      <rPr>
        <sz val="10"/>
        <rFont val="Arial"/>
        <family val="2"/>
      </rPr>
      <t xml:space="preserve"> and </t>
    </r>
    <r>
      <rPr>
        <b/>
        <sz val="10"/>
        <color indexed="12"/>
        <rFont val="Arial"/>
        <family val="2"/>
      </rPr>
      <t>`</t>
    </r>
    <r>
      <rPr>
        <sz val="10"/>
        <rFont val="Arial"/>
        <family val="2"/>
      </rPr>
      <t xml:space="preserve"> to see the formula below. </t>
    </r>
    <r>
      <rPr>
        <i/>
        <sz val="10"/>
        <rFont val="Arial"/>
        <family val="2"/>
      </rPr>
      <t>(The screen may look a bit odd.)</t>
    </r>
  </si>
  <si>
    <t>Press the same combination to see the original view.</t>
  </si>
  <si>
    <t>AutoSum Shortcut Key</t>
  </si>
  <si>
    <t>Instead of using the AutoSum button from the toolbar,</t>
  </si>
  <si>
    <r>
      <t xml:space="preserve">you can press </t>
    </r>
    <r>
      <rPr>
        <b/>
        <sz val="10"/>
        <color indexed="12"/>
        <rFont val="Arial"/>
        <family val="2"/>
      </rPr>
      <t>Alt</t>
    </r>
    <r>
      <rPr>
        <sz val="10"/>
        <rFont val="Arial"/>
        <family val="2"/>
      </rPr>
      <t xml:space="preserve"> and </t>
    </r>
    <r>
      <rPr>
        <b/>
        <sz val="10"/>
        <color indexed="12"/>
        <rFont val="Arial"/>
        <family val="2"/>
      </rPr>
      <t>=</t>
    </r>
    <r>
      <rPr>
        <sz val="10"/>
        <rFont val="Arial"/>
        <family val="2"/>
      </rPr>
      <t xml:space="preserve"> to achieve the same result.</t>
    </r>
  </si>
  <si>
    <t>Try it here :</t>
  </si>
  <si>
    <r>
      <t xml:space="preserve">Move to a blank cell in the Total row or column, then press </t>
    </r>
    <r>
      <rPr>
        <b/>
        <sz val="10"/>
        <color indexed="12"/>
        <rFont val="Arial"/>
        <family val="2"/>
      </rPr>
      <t>Alt</t>
    </r>
    <r>
      <rPr>
        <sz val="10"/>
        <rFont val="Arial"/>
        <family val="2"/>
      </rPr>
      <t xml:space="preserve"> and </t>
    </r>
    <r>
      <rPr>
        <b/>
        <sz val="10"/>
        <color indexed="12"/>
        <rFont val="Arial"/>
        <family val="2"/>
      </rPr>
      <t>=</t>
    </r>
    <r>
      <rPr>
        <sz val="10"/>
        <rFont val="Arial"/>
        <family val="2"/>
      </rPr>
      <t>.</t>
    </r>
  </si>
  <si>
    <t>or</t>
  </si>
  <si>
    <r>
      <t xml:space="preserve">Select a row, column or all cells and then press </t>
    </r>
    <r>
      <rPr>
        <b/>
        <sz val="10"/>
        <color indexed="12"/>
        <rFont val="Arial"/>
        <family val="2"/>
      </rPr>
      <t>Alt</t>
    </r>
    <r>
      <rPr>
        <sz val="10"/>
        <rFont val="Arial"/>
        <family val="2"/>
      </rPr>
      <t xml:space="preserve"> and </t>
    </r>
    <r>
      <rPr>
        <b/>
        <sz val="10"/>
        <color indexed="12"/>
        <rFont val="Arial"/>
        <family val="2"/>
      </rPr>
      <t>=</t>
    </r>
    <r>
      <rPr>
        <sz val="10"/>
        <rFont val="Arial"/>
        <family val="2"/>
      </rPr>
      <t>.</t>
    </r>
  </si>
  <si>
    <t>Jan</t>
  </si>
  <si>
    <t>Feb</t>
  </si>
  <si>
    <t>Mar</t>
  </si>
  <si>
    <t>Total</t>
  </si>
  <si>
    <t>North</t>
  </si>
  <si>
    <t>South</t>
  </si>
  <si>
    <t>East</t>
  </si>
  <si>
    <t>West</t>
  </si>
  <si>
    <t>AVERAGE</t>
  </si>
  <si>
    <t>Mon</t>
  </si>
  <si>
    <t>Tue</t>
  </si>
  <si>
    <t>Wed</t>
  </si>
  <si>
    <t>Thu</t>
  </si>
  <si>
    <t>Fri</t>
  </si>
  <si>
    <t>Sat</t>
  </si>
  <si>
    <t>Sun</t>
  </si>
  <si>
    <t>Average</t>
  </si>
  <si>
    <t>Temp</t>
  </si>
  <si>
    <t xml:space="preserve"> =AVERAGE(D4:J4)</t>
  </si>
  <si>
    <t>Rain</t>
  </si>
  <si>
    <t xml:space="preserve"> =AVERAGE(D5:J5)</t>
  </si>
  <si>
    <t xml:space="preserve"> =AVERAGE(D8:J8)</t>
  </si>
  <si>
    <t xml:space="preserve"> =AVERAGE(D9:J9)</t>
  </si>
  <si>
    <t>No</t>
  </si>
  <si>
    <t xml:space="preserve"> =AVERAGE(D12:J12)</t>
  </si>
  <si>
    <t>Reading</t>
  </si>
  <si>
    <t xml:space="preserve"> =AVERAGE(D13:J13)</t>
  </si>
  <si>
    <t>What Does It Do ?</t>
  </si>
  <si>
    <t>This function calculates the average from a list of numbers.</t>
  </si>
  <si>
    <t>If the cell is blank or contains text, the cell will not be used in the average calculation.</t>
  </si>
  <si>
    <t>If the cell contains zero 0, the cell will be included in the average calculation.</t>
  </si>
  <si>
    <t>Syntax</t>
  </si>
  <si>
    <t>=AVERAGE(Range1,Range2,Range3... through to Range30)</t>
  </si>
  <si>
    <t>Formatting</t>
  </si>
  <si>
    <t>No special formatting is needed.</t>
  </si>
  <si>
    <t>Note</t>
  </si>
  <si>
    <t>To calculate the average of cells which contain text or blanks use =SUM() to get the total and</t>
  </si>
  <si>
    <t>then divide by the count of the entries using =COUNTA().</t>
  </si>
  <si>
    <t xml:space="preserve"> =SUM(D31:J31)/COUNTA(D31:J31)</t>
  </si>
  <si>
    <t xml:space="preserve"> =SUM(D32:J32)/COUNTA(D32:J32)</t>
  </si>
  <si>
    <t xml:space="preserve"> =SUM(D35:J35)/COUNTA(D35:J35)</t>
  </si>
  <si>
    <t xml:space="preserve"> =SUM(D36:J36)/COUNTA(D36:J36)</t>
  </si>
  <si>
    <t>Further Usage</t>
  </si>
  <si>
    <t>CLEAN</t>
  </si>
  <si>
    <t>Dirty Text</t>
  </si>
  <si>
    <t>Clean Text</t>
  </si>
  <si>
    <t>Hello</t>
  </si>
  <si>
    <t xml:space="preserve"> =CLEAN(C4)</t>
  </si>
  <si>
    <t>He_x0007_llo</t>
  </si>
  <si>
    <t xml:space="preserve"> =CLEAN(C5)</t>
  </si>
  <si>
    <t>_x0007_Hello_x0007_</t>
  </si>
  <si>
    <t xml:space="preserve"> =CLEAN(C6)</t>
  </si>
  <si>
    <t>What Does It Do?</t>
  </si>
  <si>
    <t>This function removes any nonprintable characters from text.</t>
  </si>
  <si>
    <t>These nonprinting characters are often found in data which has been imported</t>
  </si>
  <si>
    <t>from other systems such as database imports from mainframes.</t>
  </si>
  <si>
    <t>=CLEAN(TextToBeCleaned)</t>
  </si>
  <si>
    <t>No special formatting is needed. The result will show as normal text.</t>
  </si>
  <si>
    <t>COUNT</t>
  </si>
  <si>
    <t>Entries To Be Counted</t>
  </si>
  <si>
    <t>Count</t>
  </si>
  <si>
    <t xml:space="preserve"> =COUNT(C4:E4)</t>
  </si>
  <si>
    <t xml:space="preserve"> =COUNT(C5:E5)</t>
  </si>
  <si>
    <t xml:space="preserve"> =COUNT(C6:E6)</t>
  </si>
  <si>
    <t xml:space="preserve"> =COUNT(C7:E7)</t>
  </si>
  <si>
    <t xml:space="preserve"> =COUNT(C8:E8)</t>
  </si>
  <si>
    <t xml:space="preserve"> =COUNT(C9:E9)</t>
  </si>
  <si>
    <t xml:space="preserve"> =COUNT(C10:E10)</t>
  </si>
  <si>
    <t xml:space="preserve"> =COUNT(C11:E11)</t>
  </si>
  <si>
    <t xml:space="preserve"> =COUNT(C12:E12)</t>
  </si>
  <si>
    <t>This function counts the number of numeric entries in a list.</t>
  </si>
  <si>
    <t>It will ignore blanks, text and errors.</t>
  </si>
  <si>
    <t>=COUNT(Range1,Range2,Range3... through to Range30)</t>
  </si>
  <si>
    <t>Example</t>
  </si>
  <si>
    <t>The following table was used by a builders merchant to calculate the number of sales</t>
  </si>
  <si>
    <t>for various products in each month.</t>
  </si>
  <si>
    <t>Item</t>
  </si>
  <si>
    <t>Bricks</t>
  </si>
  <si>
    <t>Wood</t>
  </si>
  <si>
    <t>Glass</t>
  </si>
  <si>
    <t>Metal</t>
  </si>
  <si>
    <t xml:space="preserve"> =COUNT(D29:D32)</t>
  </si>
  <si>
    <t>COUNTA</t>
  </si>
  <si>
    <t xml:space="preserve"> =COUNTA(C4:E4)</t>
  </si>
  <si>
    <t xml:space="preserve"> =COUNTA(C5:E5)</t>
  </si>
  <si>
    <t xml:space="preserve"> =COUNTA(C6:E6)</t>
  </si>
  <si>
    <t xml:space="preserve"> =COUNTA(C7:E7)</t>
  </si>
  <si>
    <t xml:space="preserve"> =COUNTA(C8:E8)</t>
  </si>
  <si>
    <t xml:space="preserve"> =COUNTA(C9:E9)</t>
  </si>
  <si>
    <t xml:space="preserve"> =COUNTA(C10:E10)</t>
  </si>
  <si>
    <t xml:space="preserve"> =COUNTA(C11:E11)</t>
  </si>
  <si>
    <t xml:space="preserve"> =COUNTA(C12:E12)</t>
  </si>
  <si>
    <t>This function counts the number of numeric or text entries in a list.</t>
  </si>
  <si>
    <t>It will ignore blanks.</t>
  </si>
  <si>
    <t>=COUNTA(Range1,Range2,Range3... through to Range30)</t>
  </si>
  <si>
    <t>The following table was used by a school to keep track of the examinations taken by each pupil.</t>
  </si>
  <si>
    <t>Each exam passed was graded as 1, 2 or 3.</t>
  </si>
  <si>
    <t>A failure was entered as Fail.</t>
  </si>
  <si>
    <t>The school needed to known how many pupils sat each exam.</t>
  </si>
  <si>
    <t>The school also needed to know how many exams were taken by each pupil.</t>
  </si>
  <si>
    <t>The =COUNTA() function has been used because of its ability to count text and numeric entries.</t>
  </si>
  <si>
    <t>Maths</t>
  </si>
  <si>
    <t>English</t>
  </si>
  <si>
    <t>Art</t>
  </si>
  <si>
    <t>History</t>
  </si>
  <si>
    <t>Exams Taken
By Each Pupil</t>
  </si>
  <si>
    <t>Alan</t>
  </si>
  <si>
    <t>Fail</t>
  </si>
  <si>
    <t>Bob</t>
  </si>
  <si>
    <t>Carol</t>
  </si>
  <si>
    <t>David</t>
  </si>
  <si>
    <t>Elaine</t>
  </si>
  <si>
    <t xml:space="preserve"> =COUNTA(D39:G39)</t>
  </si>
  <si>
    <t>How many pupils sat each Exam.</t>
  </si>
  <si>
    <t xml:space="preserve"> =COUNTA(D35:D39)</t>
  </si>
  <si>
    <t>COUNTBLANK</t>
  </si>
  <si>
    <t>Range To Test</t>
  </si>
  <si>
    <t>Blanks</t>
  </si>
  <si>
    <t xml:space="preserve"> =COUNTBLANK(C4:C11)</t>
  </si>
  <si>
    <t>This function counts the number of blank cells in a range.</t>
  </si>
  <si>
    <t>=COUNTBLANK(RangeToTest)</t>
  </si>
  <si>
    <t>The following table was used by a company which was balloting its workers on whether</t>
  </si>
  <si>
    <t>the company should have a no smoking policy.</t>
  </si>
  <si>
    <t>Each of the departments in the various factories were questioned.</t>
  </si>
  <si>
    <t>The response to the question could be Y or N.</t>
  </si>
  <si>
    <t>As the results of the vote were collated they were entered in to the table.</t>
  </si>
  <si>
    <t>The =COUNTBLANK() function has been used to calculate the number of departments which</t>
  </si>
  <si>
    <t>have no yet registered a vote.</t>
  </si>
  <si>
    <t>Admin</t>
  </si>
  <si>
    <t>Accounts</t>
  </si>
  <si>
    <t>Production</t>
  </si>
  <si>
    <t>Personnel</t>
  </si>
  <si>
    <t>Factory 1</t>
  </si>
  <si>
    <t>Y</t>
  </si>
  <si>
    <t>N</t>
  </si>
  <si>
    <t>Factory 2</t>
  </si>
  <si>
    <t>Factory 3</t>
  </si>
  <si>
    <t>Factory 4</t>
  </si>
  <si>
    <t>Factory 5</t>
  </si>
  <si>
    <t>Factory 6</t>
  </si>
  <si>
    <t>Factory 7</t>
  </si>
  <si>
    <t>Factory 8</t>
  </si>
  <si>
    <t>Factory 9</t>
  </si>
  <si>
    <t>Factory 10</t>
  </si>
  <si>
    <t xml:space="preserve">Votes not vet registered : </t>
  </si>
  <si>
    <t xml:space="preserve"> =COUNTBLANK(C32:F41)</t>
  </si>
  <si>
    <t xml:space="preserve">Votes for Yes : </t>
  </si>
  <si>
    <t xml:space="preserve"> =COUNTIF(C32:F41,"Y")</t>
  </si>
  <si>
    <t xml:space="preserve">Votes for No : </t>
  </si>
  <si>
    <t xml:space="preserve"> =COUNTIF(C32:F41,"N")</t>
  </si>
  <si>
    <t>COUNTIF</t>
  </si>
  <si>
    <t>Date</t>
  </si>
  <si>
    <t>Cost</t>
  </si>
  <si>
    <t>Brakes</t>
  </si>
  <si>
    <t>Tyres</t>
  </si>
  <si>
    <t>Service</t>
  </si>
  <si>
    <t>Window</t>
  </si>
  <si>
    <t>Clutch</t>
  </si>
  <si>
    <t>How many Brake Shoes Have been bought.</t>
  </si>
  <si>
    <t>=COUNTIF(C4:C12,"Brakes")</t>
  </si>
  <si>
    <t>How many Tyres have been bought.</t>
  </si>
  <si>
    <t>=COUNTIF(C4:C12,"Tyres")</t>
  </si>
  <si>
    <t>How many items cost £100 or above.</t>
  </si>
  <si>
    <t>=COUNTIF(E4:E12,"&gt;=100")</t>
  </si>
  <si>
    <t>Type the name of the item to count.</t>
  </si>
  <si>
    <t>service</t>
  </si>
  <si>
    <t>=COUNTIF(C4:C12,E18)</t>
  </si>
  <si>
    <t>This function counts the number of items which match criteria set by the user.</t>
  </si>
  <si>
    <t>=COUNTIF(RangeOfThingsToBeCounted,CriteriaToBeMatched)</t>
  </si>
  <si>
    <t>The criteria can be typed in any of the  following ways.</t>
  </si>
  <si>
    <r>
      <t>To match a specific number type the number, such as =COUNTIF(A1:A5,</t>
    </r>
    <r>
      <rPr>
        <b/>
        <sz val="10"/>
        <rFont val="Arial"/>
        <family val="2"/>
      </rPr>
      <t>100</t>
    </r>
    <r>
      <rPr>
        <sz val="10"/>
        <rFont val="Arial"/>
        <family val="2"/>
      </rPr>
      <t>)</t>
    </r>
  </si>
  <si>
    <r>
      <t>To match a piece of text type the text in quotes, such as =COUNTIF(A1:A5,</t>
    </r>
    <r>
      <rPr>
        <b/>
        <sz val="10"/>
        <rFont val="Arial"/>
        <family val="2"/>
      </rPr>
      <t>"Hello"</t>
    </r>
    <r>
      <rPr>
        <sz val="10"/>
        <rFont val="Arial"/>
        <family val="2"/>
      </rPr>
      <t>)</t>
    </r>
  </si>
  <si>
    <r>
      <t>To match using operators surround the expression with quotes, such as =COUNTIF(A1:A5,</t>
    </r>
    <r>
      <rPr>
        <b/>
        <sz val="10"/>
        <rFont val="Arial"/>
        <family val="2"/>
      </rPr>
      <t>"&gt;100"</t>
    </r>
    <r>
      <rPr>
        <sz val="10"/>
        <rFont val="Arial"/>
        <family val="2"/>
      </rPr>
      <t>)</t>
    </r>
  </si>
  <si>
    <t>DAY</t>
  </si>
  <si>
    <t>Full Date</t>
  </si>
  <si>
    <t>The Day</t>
  </si>
  <si>
    <t xml:space="preserve"> =DAY(C4)</t>
  </si>
  <si>
    <t xml:space="preserve"> =DAY(C5)</t>
  </si>
  <si>
    <t xml:space="preserve"> =DAY(C6)</t>
  </si>
  <si>
    <t>This function extracts the day of the month from a complete date.</t>
  </si>
  <si>
    <t xml:space="preserve"> =DAY(value)</t>
  </si>
  <si>
    <t>Normally the result will be a number, but this can be formatted to show the actual</t>
  </si>
  <si>
    <t>day of the week by using Format,Cells,Number,Custom and using the code ddd or dddd.</t>
  </si>
  <si>
    <t>The =DAY function has been used to calculate the name of the day for your birthday.</t>
  </si>
  <si>
    <t xml:space="preserve">Please enter your date of birth in the format dd/mm/yy : </t>
  </si>
  <si>
    <t xml:space="preserve">You were born on  : </t>
  </si>
  <si>
    <t xml:space="preserve"> =DAY(F21)</t>
  </si>
  <si>
    <t>DOLLAR</t>
  </si>
  <si>
    <t>Original Number</t>
  </si>
  <si>
    <t>Converted To Text</t>
  </si>
  <si>
    <t xml:space="preserve"> =DOLLAR(C4)</t>
  </si>
  <si>
    <t xml:space="preserve"> =DOLLAR(C5,0)</t>
  </si>
  <si>
    <t xml:space="preserve"> =DOLLAR(C6,1)</t>
  </si>
  <si>
    <t xml:space="preserve"> =DOLLAR(C7,2)</t>
  </si>
  <si>
    <t xml:space="preserve"> =DOLLAR(C8)</t>
  </si>
  <si>
    <t xml:space="preserve"> =DOLLAR(C9,0)</t>
  </si>
  <si>
    <t xml:space="preserve"> =DOLLAR(C10,1)</t>
  </si>
  <si>
    <t xml:space="preserve"> =DOLLAR(C11,2)</t>
  </si>
  <si>
    <t>This function converts a number into a piece of text formatted as currency.</t>
  </si>
  <si>
    <t xml:space="preserve"> =DOLLAR(Number,DecimalPlaces)</t>
  </si>
  <si>
    <t xml:space="preserve"> Number : This is the number which needs to be converted.</t>
  </si>
  <si>
    <t xml:space="preserve"> DecimalPlaces : This is the amount of decimal places needed in the converted number.</t>
  </si>
  <si>
    <t>The result will be shown as a text entry.</t>
  </si>
  <si>
    <t>EVEN</t>
  </si>
  <si>
    <t>Original Value</t>
  </si>
  <si>
    <t>Evenly Rounded</t>
  </si>
  <si>
    <t xml:space="preserve"> =EVEN(C4)</t>
  </si>
  <si>
    <t xml:space="preserve"> =EVEN(C5)</t>
  </si>
  <si>
    <t xml:space="preserve"> =EVEN(C6)</t>
  </si>
  <si>
    <t xml:space="preserve"> =EVEN(C7)</t>
  </si>
  <si>
    <t>This function round a number up the  nearest even whole number.</t>
  </si>
  <si>
    <t>=EVEN(Number)</t>
  </si>
  <si>
    <t>The following table is used by a garage which repairs cars.</t>
  </si>
  <si>
    <t>The garage is repairing a fleet of cars from three manufactures.</t>
  </si>
  <si>
    <t>Each manufacturer uses a different type of windscreen wiper which are only supplied in pairs.</t>
  </si>
  <si>
    <t>Table 1 was used to enter the number of wipers required for each type of car</t>
  </si>
  <si>
    <t>and then show how many pairs need to be ordered.</t>
  </si>
  <si>
    <t>Table 1</t>
  </si>
  <si>
    <t>Car</t>
  </si>
  <si>
    <t>Wipers To Order</t>
  </si>
  <si>
    <t>Pairs to Order</t>
  </si>
  <si>
    <t>Vauxhall</t>
  </si>
  <si>
    <t xml:space="preserve"> =EVEN(D28)/2</t>
  </si>
  <si>
    <t>Ford</t>
  </si>
  <si>
    <t xml:space="preserve"> =EVEN(D29)/2</t>
  </si>
  <si>
    <t>Peugeot</t>
  </si>
  <si>
    <t xml:space="preserve"> =EVEN(D30)/2</t>
  </si>
  <si>
    <t>FIND</t>
  </si>
  <si>
    <t>Text</t>
  </si>
  <si>
    <t>Letter To Find</t>
  </si>
  <si>
    <t>Position Of Letter</t>
  </si>
  <si>
    <t>e</t>
  </si>
  <si>
    <t xml:space="preserve"> =FIND(D4,C4)</t>
  </si>
  <si>
    <t>H</t>
  </si>
  <si>
    <t xml:space="preserve"> =FIND(D5,C5)</t>
  </si>
  <si>
    <t>o</t>
  </si>
  <si>
    <t xml:space="preserve"> =FIND(D6,C6)</t>
  </si>
  <si>
    <t>Alan Williams</t>
  </si>
  <si>
    <t>a</t>
  </si>
  <si>
    <t xml:space="preserve"> =FIND(D7,C7)</t>
  </si>
  <si>
    <t xml:space="preserve"> =FIND(D8,C8,6)</t>
  </si>
  <si>
    <t>T</t>
  </si>
  <si>
    <t xml:space="preserve"> =FIND(D9,C9)</t>
  </si>
  <si>
    <t>This function looks for a specified letter inside another piece of text.</t>
  </si>
  <si>
    <t>When the letter is found the position is shown as a number.</t>
  </si>
  <si>
    <t>If the text contains more than one reference to the letter, the first occurrence is used.</t>
  </si>
  <si>
    <t>An additional option can be used to start the search at a specific point in the text, thus</t>
  </si>
  <si>
    <t>enabling the search to find duplicate occurrences of the letter.</t>
  </si>
  <si>
    <t>If the letter is not found in the text, the result #VALUE is shown.</t>
  </si>
  <si>
    <t xml:space="preserve"> =FIND(LetterToLookFor,TextToLookInside,StartPosition)</t>
  </si>
  <si>
    <t>LetterToLookFor : This needs to be a single character.</t>
  </si>
  <si>
    <t>TextToLookInside : This is the piece of text to be searched through.</t>
  </si>
  <si>
    <t>StartPosition : This is optional, it specifies at which point in the text the search should begin.</t>
  </si>
  <si>
    <t>No special formatting is needed, the result will be shown as a number.</t>
  </si>
  <si>
    <t>HLOOKUP</t>
  </si>
  <si>
    <t>row 1</t>
  </si>
  <si>
    <t>The row numbers are not needed.</t>
  </si>
  <si>
    <t>row 2</t>
  </si>
  <si>
    <t>they are part of the illustration.</t>
  </si>
  <si>
    <t>row 3</t>
  </si>
  <si>
    <t>row 4</t>
  </si>
  <si>
    <t>row 5</t>
  </si>
  <si>
    <t>row 6</t>
  </si>
  <si>
    <t xml:space="preserve">Type a month to look for : </t>
  </si>
  <si>
    <t xml:space="preserve">Which row needs to be picked out : </t>
  </si>
  <si>
    <t xml:space="preserve">The result is : </t>
  </si>
  <si>
    <t xml:space="preserve"> =HLOOKUP(F10,D3:F10,F11,FALSE)</t>
  </si>
  <si>
    <t>This function scans across the column headings at the top of a table to find a specified item.</t>
  </si>
  <si>
    <t>When the item is found, it then scans down the column to pick a cell entry.</t>
  </si>
  <si>
    <t>=HLOOKUP(ItemToFind,RangeToLookIn,RowToPickFrom,SortedOrUnsorted)</t>
  </si>
  <si>
    <t>The ItemToFind is a single item specified by the user.</t>
  </si>
  <si>
    <t>The RangeToLookIn is the range of data with the column headings at the top.</t>
  </si>
  <si>
    <t>The RowToPickFrom is how far down the column the function should look to pick from.</t>
  </si>
  <si>
    <t>The Sorted/Unsorted is whether the column headings are sorted. TRUE for yes, FALSE for no.</t>
  </si>
  <si>
    <t>Example 1</t>
  </si>
  <si>
    <t>This table is used to find a value based on a specified month and name.</t>
  </si>
  <si>
    <t>The =HLOOKUP() is used to scan across to find the month.</t>
  </si>
  <si>
    <t>The problem arises when we need to scan down to find the row adjacent to the name.</t>
  </si>
  <si>
    <t>To solve the problem the =MATCH() function is used.</t>
  </si>
  <si>
    <t>The =MATCH() looks through the list of names to find the name we require. It then calculates</t>
  </si>
  <si>
    <t>the position of the name in the list. Unfortunately, because the list of names is not as deep</t>
  </si>
  <si>
    <t>as the lookup range, the =MATCH() number is 1 less than we require, so and extra 1 is</t>
  </si>
  <si>
    <t>added to compensate.</t>
  </si>
  <si>
    <t>The =HLOOKUP() now uses this =MATCH() number to look down the month column and</t>
  </si>
  <si>
    <t>picks out the correct cell entry.</t>
  </si>
  <si>
    <t>The =HLOOKUP() uses FALSE at the end of the function to indicate to Excel that the</t>
  </si>
  <si>
    <t>column headings are not sorted, even though to us the order of Jan,Feb,Mar is correct.</t>
  </si>
  <si>
    <r>
      <t xml:space="preserve">If they were sorted alphabetically they would have read as </t>
    </r>
    <r>
      <rPr>
        <b/>
        <sz val="10"/>
        <rFont val="Arial"/>
        <family val="2"/>
      </rPr>
      <t>F</t>
    </r>
    <r>
      <rPr>
        <sz val="10"/>
        <rFont val="Arial"/>
        <family val="2"/>
      </rPr>
      <t>eb,</t>
    </r>
    <r>
      <rPr>
        <b/>
        <sz val="10"/>
        <rFont val="Arial"/>
        <family val="2"/>
      </rPr>
      <t>J</t>
    </r>
    <r>
      <rPr>
        <sz val="10"/>
        <rFont val="Arial"/>
        <family val="2"/>
      </rPr>
      <t>an,</t>
    </r>
    <r>
      <rPr>
        <b/>
        <sz val="10"/>
        <rFont val="Arial"/>
        <family val="2"/>
      </rPr>
      <t>M</t>
    </r>
    <r>
      <rPr>
        <sz val="10"/>
        <rFont val="Arial"/>
        <family val="2"/>
      </rPr>
      <t>ar.</t>
    </r>
  </si>
  <si>
    <t>Eric</t>
  </si>
  <si>
    <t>feb</t>
  </si>
  <si>
    <t xml:space="preserve">Type a name to look for : </t>
  </si>
  <si>
    <t>alan</t>
  </si>
  <si>
    <t xml:space="preserve"> =HLOOKUP(F54,D47:F54,MATCH(F55,C48:C52,0)+1,FALSE)</t>
  </si>
  <si>
    <t>Example 2</t>
  </si>
  <si>
    <t>This example shows how the =HLOOKUP() is used to pick the cost of a spare part for</t>
  </si>
  <si>
    <t>different makes of cars.</t>
  </si>
  <si>
    <t>The =HLOOKUP() scans the column headings for the make of car specified in column B.</t>
  </si>
  <si>
    <t>When the make is found, the =HLOOKUP() then looks down the column to the row specified</t>
  </si>
  <si>
    <t>by the =MATCH() function, which scans the list of spares for the item specified in column C.</t>
  </si>
  <si>
    <t>The function uses the absolute ranges indicated by the dollar symbol $. This ensures that</t>
  </si>
  <si>
    <t>when the formula is copied to more cells, the ranges for =HLOOKUP() and =MATCH() do</t>
  </si>
  <si>
    <t>not change.</t>
  </si>
  <si>
    <t>Maker</t>
  </si>
  <si>
    <t>Spare</t>
  </si>
  <si>
    <t>Ignition</t>
  </si>
  <si>
    <t>VW</t>
  </si>
  <si>
    <t>GearBox</t>
  </si>
  <si>
    <t>Engine</t>
  </si>
  <si>
    <t>Steering</t>
  </si>
  <si>
    <t>CYHead</t>
  </si>
  <si>
    <t xml:space="preserve"> =HLOOKUP(B79,G72:I77,MATCH(C79,F73:F77,0)+1,FALSE)</t>
  </si>
  <si>
    <t>Example 3</t>
  </si>
  <si>
    <t>In the following example a builders merchant is offering discount on large orders.</t>
  </si>
  <si>
    <t>The Unit Cost Table holds the cost of 1 unit of Brick, Wood and Glass.</t>
  </si>
  <si>
    <t>The Discount Table holds the various discounts for different quantities of each product.</t>
  </si>
  <si>
    <t>The Orders Table is used to enter the orders and calculate the Total.</t>
  </si>
  <si>
    <t>All the calculations take place in the Orders Table.</t>
  </si>
  <si>
    <t>The name of the Item is typed in column C.</t>
  </si>
  <si>
    <t>The Unit Cost of the item is then looked up in the Unit Cost Table.</t>
  </si>
  <si>
    <t xml:space="preserve">   The FALSE option has been used at the end of the function to indicate that the product</t>
  </si>
  <si>
    <t xml:space="preserve">   names across the top of the Unit Cost Table are not sorted.</t>
  </si>
  <si>
    <t xml:space="preserve">   Using the FALSE option forces the function to search for an exact match. If a match is</t>
  </si>
  <si>
    <t xml:space="preserve">   not found, the function will produce an error.</t>
  </si>
  <si>
    <t xml:space="preserve">   =HLOOKUP(C127,E111:G112,2,FALSE)</t>
  </si>
  <si>
    <t>The discount is then looked up in the Discount Table</t>
  </si>
  <si>
    <t>If the Quantity Ordered matches a value at the top of the Discount Table the =HLOOKUP will</t>
  </si>
  <si>
    <t>look down the column to find the correct discount.</t>
  </si>
  <si>
    <t xml:space="preserve">   The TRUE option has been used at the end of the function to indicate that the values</t>
  </si>
  <si>
    <t xml:space="preserve">   across the top of the Discount Table are sorted.</t>
  </si>
  <si>
    <t xml:space="preserve">   Using TRUE will allow the function to make an approximate match. If  the Quantity Ordered does</t>
  </si>
  <si>
    <t xml:space="preserve">   not match a value at the top of the Discount Table, the next lowest value is used. </t>
  </si>
  <si>
    <t xml:space="preserve">   Trying to match an order of 125 will drop down to 100, and the discount from</t>
  </si>
  <si>
    <t xml:space="preserve">   the 100 column is used.</t>
  </si>
  <si>
    <t xml:space="preserve">   =HLOOKUP(D127,E115:G118,MATCH(C127,D116:D118,0)+1,TRUE)</t>
  </si>
  <si>
    <t>Unit Cost Table</t>
  </si>
  <si>
    <t>Brick</t>
  </si>
  <si>
    <t>Discount Table</t>
  </si>
  <si>
    <t>Orders Table</t>
  </si>
  <si>
    <t>Units</t>
  </si>
  <si>
    <t>Unit Cost</t>
  </si>
  <si>
    <t>Discount</t>
  </si>
  <si>
    <t xml:space="preserve"> =HLOOKUP(C127,E111:G112,2,FALSE)</t>
  </si>
  <si>
    <t xml:space="preserve"> =HLOOKUP(D127,E115:G118,MATCH(C127,D116:D118,0)+1,TRUE)</t>
  </si>
  <si>
    <t>LARGE</t>
  </si>
  <si>
    <t>Values</t>
  </si>
  <si>
    <t>Highest Value</t>
  </si>
  <si>
    <t xml:space="preserve"> =LARGE(C4:C8,1)</t>
  </si>
  <si>
    <t>2nd Highest Value</t>
  </si>
  <si>
    <t xml:space="preserve"> =LARGE(C4:C8,2)</t>
  </si>
  <si>
    <t>3rd Highest Value</t>
  </si>
  <si>
    <t xml:space="preserve"> =LARGE(C4:C8,3)</t>
  </si>
  <si>
    <t>4th Highest Value</t>
  </si>
  <si>
    <t xml:space="preserve"> =LARGE(C4:C8,4)</t>
  </si>
  <si>
    <t>5th Highest Value</t>
  </si>
  <si>
    <t xml:space="preserve"> =LARGE(C4:C8,5)</t>
  </si>
  <si>
    <t>This function examines a list of values and picks the value at a user specified position</t>
  </si>
  <si>
    <t>in the list.</t>
  </si>
  <si>
    <t>=LARGE(ListOfNumbersToExamine,PositionToPickFrom)</t>
  </si>
  <si>
    <t>The following table was used to calculate the top 3 sales figures between Jan, Feb and Mar.</t>
  </si>
  <si>
    <t>Sales</t>
  </si>
  <si>
    <t xml:space="preserve"> =LARGE(D24:F27,1)</t>
  </si>
  <si>
    <t xml:space="preserve"> =LARGE(D24:F27,2)</t>
  </si>
  <si>
    <t xml:space="preserve"> =LARGE(D24:F27,3)</t>
  </si>
  <si>
    <t>Another way to find the Highest and Lowest values would have been to use</t>
  </si>
  <si>
    <t>the =MAX() and =MIN() functions.</t>
  </si>
  <si>
    <t>Highest</t>
  </si>
  <si>
    <t xml:space="preserve"> =MAX(D24:F27)</t>
  </si>
  <si>
    <t>Lowest</t>
  </si>
  <si>
    <t xml:space="preserve"> =MIN(D24:F27)</t>
  </si>
  <si>
    <t>LEFT</t>
  </si>
  <si>
    <t>Number Of
Characters Required</t>
  </si>
  <si>
    <t>Left String</t>
  </si>
  <si>
    <t>Alan Jones</t>
  </si>
  <si>
    <t xml:space="preserve"> =LEFT(C4,D4)</t>
  </si>
  <si>
    <t xml:space="preserve"> =LEFT(C5,D5)</t>
  </si>
  <si>
    <t xml:space="preserve"> =LEFT(C6,D6)</t>
  </si>
  <si>
    <t>Cardiff</t>
  </si>
  <si>
    <t xml:space="preserve"> =LEFT(C7,D7)</t>
  </si>
  <si>
    <t>ABC123</t>
  </si>
  <si>
    <t xml:space="preserve"> =LEFT(C8,D8)</t>
  </si>
  <si>
    <t>This function displays a specified number of characters from the left hand side of a</t>
  </si>
  <si>
    <t>piece of text.</t>
  </si>
  <si>
    <t>=LEFT(OriginalText,NumberOfCharactersRequired)</t>
  </si>
  <si>
    <t>The following table was used to extract the first name of a person from their full name.</t>
  </si>
  <si>
    <t>The =FIND() function was used to locate position of the space between the first and second name.</t>
  </si>
  <si>
    <t>The length of the first name is therefore the position of the space minus one character.</t>
  </si>
  <si>
    <t>The =LEFT() function can now extract the first name based on the position of the space.</t>
  </si>
  <si>
    <t>Full Name</t>
  </si>
  <si>
    <t>First Name</t>
  </si>
  <si>
    <t xml:space="preserve"> =LEFT(C27,FIND(" ",C27)-1)</t>
  </si>
  <si>
    <t>Bob Smith</t>
  </si>
  <si>
    <t xml:space="preserve"> =LEFT(C28,FIND(" ",C28)-1)</t>
  </si>
  <si>
    <t>Carol Williams</t>
  </si>
  <si>
    <t xml:space="preserve"> =LEFT(C29,FIND(" ",C29)-1)</t>
  </si>
  <si>
    <t>LOWER</t>
  </si>
  <si>
    <t>Upper Case Text</t>
  </si>
  <si>
    <t>Lower Case</t>
  </si>
  <si>
    <t>ALAN JONES</t>
  </si>
  <si>
    <t xml:space="preserve"> =LOWER(C4)</t>
  </si>
  <si>
    <t>BOB SMITH</t>
  </si>
  <si>
    <t xml:space="preserve"> =LOWER(C5)</t>
  </si>
  <si>
    <t>CAROL WILLIAMS</t>
  </si>
  <si>
    <t xml:space="preserve"> =LOWER(C6)</t>
  </si>
  <si>
    <t>CARDIFF</t>
  </si>
  <si>
    <t xml:space="preserve"> =LOWER(C7)</t>
  </si>
  <si>
    <t xml:space="preserve"> =LOWER(C8)</t>
  </si>
  <si>
    <t>This function converts all characters in a piece of text to lower case.</t>
  </si>
  <si>
    <t>=LOWER(TextToConvert)</t>
  </si>
  <si>
    <t>MAX</t>
  </si>
  <si>
    <t>Maximum</t>
  </si>
  <si>
    <t xml:space="preserve"> =MAX(C4:G4)</t>
  </si>
  <si>
    <t>Dates</t>
  </si>
  <si>
    <t xml:space="preserve"> =MAX(C7:G7)</t>
  </si>
  <si>
    <t>This function picks the highest value from a list of data.</t>
  </si>
  <si>
    <t>=MAX(Range1,Range2,Range3... through to Range30)</t>
  </si>
  <si>
    <t>In the following example the =MAX() function has been used to find the highest value for</t>
  </si>
  <si>
    <t>each region, month and overall.</t>
  </si>
  <si>
    <t>Region Max</t>
  </si>
  <si>
    <t xml:space="preserve"> =MAX(C23:E23)</t>
  </si>
  <si>
    <t>Month Max</t>
  </si>
  <si>
    <t xml:space="preserve"> =MAX(E23:E26)</t>
  </si>
  <si>
    <t>Overall Max</t>
  </si>
  <si>
    <t xml:space="preserve"> =MAX(C23:E26)</t>
  </si>
  <si>
    <t>MEDIAN</t>
  </si>
  <si>
    <t>Value1</t>
  </si>
  <si>
    <t>Value2</t>
  </si>
  <si>
    <t>Value3</t>
  </si>
  <si>
    <t>Value4</t>
  </si>
  <si>
    <t>Value5</t>
  </si>
  <si>
    <t>Median</t>
  </si>
  <si>
    <t xml:space="preserve"> =MEDIAN(C4:G4)</t>
  </si>
  <si>
    <t xml:space="preserve"> =MEDIAN(C6:G6)</t>
  </si>
  <si>
    <t xml:space="preserve"> =MEDIAN(C8:G8)</t>
  </si>
  <si>
    <t xml:space="preserve"> =MEDIAN(C11:F11)</t>
  </si>
  <si>
    <t xml:space="preserve"> =MEDIAN(C13:F13)</t>
  </si>
  <si>
    <t>This function finds the median value of a group of values.</t>
  </si>
  <si>
    <t>The median is not the average, it is the half way point where half the numbers in the group are</t>
  </si>
  <si>
    <t>larger than it and half the numbers are less than it.</t>
  </si>
  <si>
    <t>If there is no exact median number in the group, the two nearest the half way point are</t>
  </si>
  <si>
    <t>added and their average is used as the median.</t>
  </si>
  <si>
    <t>=MEDIAN(Range1,Range2,Range3... through to Range30)</t>
  </si>
  <si>
    <t>MIN</t>
  </si>
  <si>
    <t>Minimum</t>
  </si>
  <si>
    <t xml:space="preserve"> =MIN(C4:G4)</t>
  </si>
  <si>
    <t xml:space="preserve"> =MIN(C7:G7)</t>
  </si>
  <si>
    <t>This function picks the lowest value from a list of data.</t>
  </si>
  <si>
    <t>=MIN(Range1,Range2,Range3... through to Range30)</t>
  </si>
  <si>
    <t>In the following example the =MIN() function has been used to find the lowest value for</t>
  </si>
  <si>
    <t>Region Min</t>
  </si>
  <si>
    <t xml:space="preserve"> =MIN(C23:E23)</t>
  </si>
  <si>
    <t>Month MIN</t>
  </si>
  <si>
    <t xml:space="preserve"> =MIN(E23:E26)</t>
  </si>
  <si>
    <t>Overall MIN</t>
  </si>
  <si>
    <t xml:space="preserve"> =MIN(C23:E26)</t>
  </si>
  <si>
    <t>MROUND</t>
  </si>
  <si>
    <t>Number</t>
  </si>
  <si>
    <t>Multiple</t>
  </si>
  <si>
    <t>Rounded
Value</t>
  </si>
  <si>
    <t xml:space="preserve"> =MROUND(C4,D4)</t>
  </si>
  <si>
    <t xml:space="preserve"> =MROUND(C5,D5)</t>
  </si>
  <si>
    <t xml:space="preserve"> =MROUND(C6,D6)</t>
  </si>
  <si>
    <t xml:space="preserve"> =MROUND(C7,D7)</t>
  </si>
  <si>
    <t xml:space="preserve"> =MROUND(C8,D8)</t>
  </si>
  <si>
    <t>This function rounds a number up or down to the nearest multiple specified by the user.</t>
  </si>
  <si>
    <t>=MROUND(NumberToRound,MultipleToUse)</t>
  </si>
  <si>
    <t>PROPER</t>
  </si>
  <si>
    <t>Original Text</t>
  </si>
  <si>
    <t>Proper</t>
  </si>
  <si>
    <t>alan jones</t>
  </si>
  <si>
    <t xml:space="preserve"> =PROPER(C4)</t>
  </si>
  <si>
    <t>bob smith</t>
  </si>
  <si>
    <t xml:space="preserve"> =PROPER(C5)</t>
  </si>
  <si>
    <t>caRol wILLIAMS</t>
  </si>
  <si>
    <t xml:space="preserve"> =PROPER(C6)</t>
  </si>
  <si>
    <t>cardiff</t>
  </si>
  <si>
    <t xml:space="preserve"> =PROPER(C7)</t>
  </si>
  <si>
    <t xml:space="preserve"> =PROPER(C8)</t>
  </si>
  <si>
    <t>This function converts the first letter of each word to uppercase, and all subsequent letters</t>
  </si>
  <si>
    <t>are converted to lower case.</t>
  </si>
  <si>
    <t>=PROPER(TextToConvert)</t>
  </si>
  <si>
    <t>REPLACE</t>
  </si>
  <si>
    <t>Start
Position</t>
  </si>
  <si>
    <t>Characters
To Replace</t>
  </si>
  <si>
    <t>New
Character</t>
  </si>
  <si>
    <t>Modified
Text</t>
  </si>
  <si>
    <t>ABCDEFGH</t>
  </si>
  <si>
    <t>x</t>
  </si>
  <si>
    <t xml:space="preserve"> =REPLACE(C4,D4,E4,F4)</t>
  </si>
  <si>
    <t xml:space="preserve"> =REPLACE(C5,D5,E5,F5)</t>
  </si>
  <si>
    <t>hello</t>
  </si>
  <si>
    <t xml:space="preserve"> =REPLACE(C6,D6,E6,F6)</t>
  </si>
  <si>
    <t xml:space="preserve"> =REPLACE(C7,D7,E7,F7)</t>
  </si>
  <si>
    <t>This function replaces a portion of text with a new piece of text.</t>
  </si>
  <si>
    <t>You need to specify where the replacement should start, how many characters to</t>
  </si>
  <si>
    <t>remove and what the new replacement text should be.</t>
  </si>
  <si>
    <t>=REPLACE(OriginalText,StartPosition,NumberOfCharactersToReplace,NewText)</t>
  </si>
  <si>
    <t>SMALL</t>
  </si>
  <si>
    <t>Lowest Value</t>
  </si>
  <si>
    <t xml:space="preserve"> =SMALL(C4:C8,1)</t>
  </si>
  <si>
    <t>2nd Lowest Value</t>
  </si>
  <si>
    <t xml:space="preserve"> =SMALL(C4:C8,2)</t>
  </si>
  <si>
    <t>3rd Lowest Value</t>
  </si>
  <si>
    <t xml:space="preserve"> =SMALL(C4:C8,3)</t>
  </si>
  <si>
    <t>4th Lowest Value</t>
  </si>
  <si>
    <t xml:space="preserve"> =SMALL(C4:C8,4)</t>
  </si>
  <si>
    <t>5th Lowest Value</t>
  </si>
  <si>
    <t xml:space="preserve"> =SMALL(C4:C8,5)</t>
  </si>
  <si>
    <t>=SMALL(ListOfNumbersToExamine,PositionToPickFrom)</t>
  </si>
  <si>
    <t>The following table was used to calculate the bottom 3 sales figures between Jan, Feb and Mar.</t>
  </si>
  <si>
    <t xml:space="preserve"> =SMALL(D24:F27,1)</t>
  </si>
  <si>
    <t xml:space="preserve"> =SMALL(D24:F27,2)</t>
  </si>
  <si>
    <t xml:space="preserve"> =SMALL(D24:F27,3)</t>
  </si>
  <si>
    <t>SUM</t>
  </si>
  <si>
    <t>Horizontal</t>
  </si>
  <si>
    <t xml:space="preserve"> =SUM(C4:E4)</t>
  </si>
  <si>
    <t>Vertical</t>
  </si>
  <si>
    <t xml:space="preserve"> =SUM(C7:C9)</t>
  </si>
  <si>
    <t>Single Cells</t>
  </si>
  <si>
    <t xml:space="preserve"> =SUM(C13,D14,E13)</t>
  </si>
  <si>
    <t>Multiple Ranges</t>
  </si>
  <si>
    <t xml:space="preserve"> =SUM(C17:C19,E17:E19)</t>
  </si>
  <si>
    <t>Functions</t>
  </si>
  <si>
    <t xml:space="preserve"> =SUM(AVERAGE(C23:C25),MAX(E23:E25))</t>
  </si>
  <si>
    <t>This function creates a total from a list of numbers.</t>
  </si>
  <si>
    <t>It can be used either horizontally or vertically.</t>
  </si>
  <si>
    <t>The numbers can be in single cells, ranges are from other functions.</t>
  </si>
  <si>
    <t>=SUM(Range1,Range2,Range3... through to Range30).</t>
  </si>
  <si>
    <t>Many people use the =SUM() function incorrectly.</t>
  </si>
  <si>
    <t>This example shows how the SUM has been combined with plus + symbols.</t>
  </si>
  <si>
    <t>The formula is actually doing more work than needed.</t>
  </si>
  <si>
    <t>It should have been entered as either =C48+C49+C50 or =SUM(C48:C50).</t>
  </si>
  <si>
    <t xml:space="preserve"> =SUM(C48+C49+C50)</t>
  </si>
  <si>
    <t>Wrong!</t>
  </si>
  <si>
    <t xml:space="preserve"> =SUM(C48:C50)</t>
  </si>
  <si>
    <t>Correct</t>
  </si>
  <si>
    <t xml:space="preserve"> =C48+C49+C50</t>
  </si>
  <si>
    <t>Cell To Test</t>
  </si>
  <si>
    <t>Result</t>
  </si>
  <si>
    <t xml:space="preserve"> =T(D4)</t>
  </si>
  <si>
    <t xml:space="preserve"> =T(D5)</t>
  </si>
  <si>
    <t xml:space="preserve"> =T(D6)</t>
  </si>
  <si>
    <t xml:space="preserve"> =T(D7)</t>
  </si>
  <si>
    <t>This function examines an entry to determine whether it is text or not.</t>
  </si>
  <si>
    <t>If the value is text, then the text is the result of the function</t>
  </si>
  <si>
    <t>If the value is not text, the result is a blank.</t>
  </si>
  <si>
    <t>The function is not specifically needed by Excel, but is included for compatibility with</t>
  </si>
  <si>
    <t>other spreadsheet programs.</t>
  </si>
  <si>
    <t>=T(CellToTest)</t>
  </si>
  <si>
    <t>TODAY</t>
  </si>
  <si>
    <t>Today Is</t>
  </si>
  <si>
    <t xml:space="preserve"> =TODAY()</t>
  </si>
  <si>
    <t>Use this to show the current date.</t>
  </si>
  <si>
    <t>The result will normally be displayed using the DD-MMM-YY format.</t>
  </si>
  <si>
    <t>The following example shows how the Today function is used to calculate the number</t>
  </si>
  <si>
    <t>of days since a particular day.</t>
  </si>
  <si>
    <t>Days Since</t>
  </si>
  <si>
    <t xml:space="preserve"> =TODAY()-C20</t>
  </si>
  <si>
    <t xml:space="preserve"> =TODAY()-C21</t>
  </si>
  <si>
    <t>Note that the result is actually the number of days before todays date. To calculate</t>
  </si>
  <si>
    <t>a result which includes the current date an extra 1 will need to be added.</t>
  </si>
  <si>
    <t xml:space="preserve"> =TODAY()-C28+1</t>
  </si>
  <si>
    <t xml:space="preserve"> =TODAY()-C29+1</t>
  </si>
  <si>
    <t>The following example shows the number of days from today until the year 2000.</t>
  </si>
  <si>
    <t>Year 2000</t>
  </si>
  <si>
    <t>Days Until</t>
  </si>
  <si>
    <t xml:space="preserve"> =C36-TODAY()</t>
  </si>
  <si>
    <t>TRIM</t>
  </si>
  <si>
    <t>Trimmed Text</t>
  </si>
  <si>
    <t xml:space="preserve">  ABCD</t>
  </si>
  <si>
    <t xml:space="preserve"> =TRIM(C4)</t>
  </si>
  <si>
    <t xml:space="preserve">  A   B   C   D</t>
  </si>
  <si>
    <t xml:space="preserve"> =TRIM(C5)</t>
  </si>
  <si>
    <t xml:space="preserve">   Alan        Jones</t>
  </si>
  <si>
    <t xml:space="preserve"> =TRIM(C6)</t>
  </si>
  <si>
    <t>ABCD</t>
  </si>
  <si>
    <t xml:space="preserve"> =TRIM(C7)</t>
  </si>
  <si>
    <t>This function removes unwanted spaces from a piece of text.</t>
  </si>
  <si>
    <t>The spaces before and after the text will be removed completely.</t>
  </si>
  <si>
    <t>Multiple spaces within the text will be trimmed to a single space</t>
  </si>
  <si>
    <t>=TRIM(TextToTrim)</t>
  </si>
  <si>
    <t>UPPER</t>
  </si>
  <si>
    <t>Upper Case</t>
  </si>
  <si>
    <t xml:space="preserve"> =UPPER(C4)</t>
  </si>
  <si>
    <t xml:space="preserve"> =UPPER(C5)</t>
  </si>
  <si>
    <t>carOl wiLLiamS</t>
  </si>
  <si>
    <t xml:space="preserve"> =UPPER(C6)</t>
  </si>
  <si>
    <t xml:space="preserve"> =UPPER(C7)</t>
  </si>
  <si>
    <t>abc123</t>
  </si>
  <si>
    <t xml:space="preserve"> =UPPER(C8)</t>
  </si>
  <si>
    <t>This function converts all characters in a piece of text to upper case.</t>
  </si>
  <si>
    <t>=UPPER(TextToConvert)</t>
  </si>
  <si>
    <t>See the example for FREQUENCY.</t>
  </si>
  <si>
    <t xml:space="preserve">alan </t>
  </si>
  <si>
    <t>VLOOKUP</t>
  </si>
  <si>
    <t>The column numbers are not needed.</t>
  </si>
  <si>
    <t>col 1</t>
  </si>
  <si>
    <t>col 2</t>
  </si>
  <si>
    <t>col 3</t>
  </si>
  <si>
    <t>col 4</t>
  </si>
  <si>
    <t>col 5</t>
  </si>
  <si>
    <t>col 6</t>
  </si>
  <si>
    <t xml:space="preserve">Which column needs to be picked out : </t>
  </si>
  <si>
    <t xml:space="preserve"> =VLOOKUP(G11,C6:H8,G12,FALSE)</t>
  </si>
  <si>
    <t>This function scans down the row headings at the side of a table to find a specified item.</t>
  </si>
  <si>
    <t>When the item is found, it then scans across to pick a cell entry.</t>
  </si>
  <si>
    <t>=VLOOKUP(ItemToFind,RangeToLookIn,ColumnToPickFrom,SortedOrUnsorted)</t>
  </si>
  <si>
    <t>The RangeToLookIn is the range of data with the row headings at the left hand side.</t>
  </si>
  <si>
    <t>The ColumnToPickFrom is how far across the table the function should look to pick from.</t>
  </si>
  <si>
    <t>This table is used to find a value based on a specified name and month.</t>
  </si>
  <si>
    <t>The =VLOOKUP() is used to scan down to find the name.</t>
  </si>
  <si>
    <t>The problem arises when we need to scan across to find the month column.</t>
  </si>
  <si>
    <t>The =MATCH() looks through the list of names to find the month we require. It then calculates</t>
  </si>
  <si>
    <t>the position of the month in the list. Unfortunately, because the list of months is not as wide</t>
  </si>
  <si>
    <t>The =VLOOKUP() now uses this =MATCH() number to look across the columns and</t>
  </si>
  <si>
    <t>The =VLOOKUP() uses FALSE at the end of the function to indicate to Excel that the</t>
  </si>
  <si>
    <t>row headings are not sorted.</t>
  </si>
  <si>
    <t>eric</t>
  </si>
  <si>
    <t>mar</t>
  </si>
  <si>
    <t xml:space="preserve"> =VLOOKUP(F56,C50:F54,MATCH(F57,D49:F49,0)+1,FALSE)</t>
  </si>
  <si>
    <t>This example shows how the =VLOOKUP() is used to pick the cost of a spare part for</t>
  </si>
  <si>
    <t>The =VLOOKUP() scans down row headings in column F for the spare part entered in column C.</t>
  </si>
  <si>
    <t>When the make is found, the =VLOOKUP() then scans across to find the price, using the</t>
  </si>
  <si>
    <t>result of the =MATCH() function to find the position of the make of car.</t>
  </si>
  <si>
    <t>The functions use the absolute ranges indicated by the dollar symbol . This ensures that</t>
  </si>
  <si>
    <t>when the formula is copied to more cells, the ranges for =VLOOKUP() and =MATCH() do</t>
  </si>
  <si>
    <t>Lookup Table</t>
  </si>
  <si>
    <t xml:space="preserve"> =VLOOKUP(C81,F75:I79,MATCH(B81,G74:I74,0)+1,FALSE)</t>
  </si>
  <si>
    <t>The name of the Item is typed in column C of the Orders Table.</t>
  </si>
  <si>
    <t xml:space="preserve">   names down the side of the Unit Cost Table are not sorted.</t>
  </si>
  <si>
    <t xml:space="preserve">   =VLOOKUP(C126,C114:D116,2,FALSE)</t>
  </si>
  <si>
    <t>If the Quantity Ordered matches a value at the side of the Discount Table the =VLOOKUP will</t>
  </si>
  <si>
    <t>look across to find the correct discount.</t>
  </si>
  <si>
    <t xml:space="preserve">   down the side of the Discount Table are sorted.</t>
  </si>
  <si>
    <t xml:space="preserve">   not match a value at the side of the Discount Table, the next lowest value is used. </t>
  </si>
  <si>
    <t xml:space="preserve">   the 100 row is used.</t>
  </si>
  <si>
    <t xml:space="preserve">   =VLOOKUP(D126,F114:I116,MATCH(C126,G113:I113,0)+1,TRUE)</t>
  </si>
  <si>
    <t>Formula for :</t>
  </si>
  <si>
    <t xml:space="preserve"> =VLOOKUP(C126,C114:D116,2,FALSE)</t>
  </si>
  <si>
    <t xml:space="preserve"> =VLOOKUP(D126,F114:I116,MATCH(C126,G113:I113,0)+1,TRUE)</t>
  </si>
  <si>
    <t xml:space="preserve"> =(D126*E126)-(D126*E126*F126)</t>
  </si>
  <si>
    <t>Time Calculation</t>
  </si>
  <si>
    <t>Excel can work with time very easily.</t>
  </si>
  <si>
    <t>Time can be entered in various different formats and calculations performed.</t>
  </si>
  <si>
    <t>There are one or two oddities, but nothing which should put you off working with it.</t>
  </si>
  <si>
    <r>
      <t xml:space="preserve">See the </t>
    </r>
    <r>
      <rPr>
        <b/>
        <sz val="10"/>
        <color indexed="12"/>
        <rFont val="Arial"/>
        <family val="2"/>
      </rPr>
      <t>TimeSheet</t>
    </r>
    <r>
      <rPr>
        <sz val="10"/>
        <rFont val="Arial"/>
        <family val="2"/>
      </rPr>
      <t xml:space="preserve"> example for an example.</t>
    </r>
  </si>
  <si>
    <t>Typing time</t>
  </si>
  <si>
    <t>When time is entered into worksheet it should be entered with a colon between</t>
  </si>
  <si>
    <r>
      <t xml:space="preserve">the hour and the minutes, such as </t>
    </r>
    <r>
      <rPr>
        <b/>
        <sz val="10"/>
        <color indexed="12"/>
        <rFont val="Arial"/>
        <family val="2"/>
      </rPr>
      <t>12:30</t>
    </r>
    <r>
      <rPr>
        <sz val="10"/>
        <rFont val="Arial"/>
        <family val="2"/>
      </rPr>
      <t xml:space="preserve">, rather than </t>
    </r>
    <r>
      <rPr>
        <b/>
        <sz val="10"/>
        <color indexed="17"/>
        <rFont val="Arial"/>
        <family val="2"/>
      </rPr>
      <t>12.30</t>
    </r>
  </si>
  <si>
    <t>Excel can cope with either the 24hour system or the am/pm system.</t>
  </si>
  <si>
    <r>
      <t xml:space="preserve">To use the am/pm system you must enter the </t>
    </r>
    <r>
      <rPr>
        <b/>
        <sz val="10"/>
        <color indexed="12"/>
        <rFont val="Arial"/>
        <family val="2"/>
      </rPr>
      <t>am</t>
    </r>
    <r>
      <rPr>
        <sz val="10"/>
        <rFont val="Arial"/>
        <family val="2"/>
      </rPr>
      <t xml:space="preserve"> or </t>
    </r>
    <r>
      <rPr>
        <b/>
        <sz val="10"/>
        <color indexed="12"/>
        <rFont val="Arial"/>
        <family val="2"/>
      </rPr>
      <t>pm</t>
    </r>
    <r>
      <rPr>
        <sz val="10"/>
        <rFont val="Arial"/>
        <family val="2"/>
      </rPr>
      <t xml:space="preserve"> after the time.</t>
    </r>
  </si>
  <si>
    <t>You must leave a space between the number and the text.</t>
  </si>
  <si>
    <t>Finding the difference between two times</t>
  </si>
  <si>
    <t>You can subtract two time values to find the length of time between.</t>
  </si>
  <si>
    <t>Start</t>
  </si>
  <si>
    <t>End</t>
  </si>
  <si>
    <t>Duration</t>
  </si>
  <si>
    <t xml:space="preserve"> =D24-C24</t>
  </si>
  <si>
    <t xml:space="preserve"> =D25-C25</t>
  </si>
  <si>
    <t>If the result is not shown correctly,</t>
  </si>
  <si>
    <t>You may need to reformat the answer.</t>
  </si>
  <si>
    <t>Look at the section about formatting</t>
  </si>
  <si>
    <t>further in this worksheet.</t>
  </si>
  <si>
    <t>Adding time</t>
  </si>
  <si>
    <t>You can add time to find a total time.</t>
  </si>
  <si>
    <t>This works well until the total time goes above 24 hours.</t>
  </si>
  <si>
    <t>For totals greater than 24 hours you may need to apply some special formatting.</t>
  </si>
  <si>
    <t>Formatting time</t>
  </si>
  <si>
    <t>When time is added together the result may go beyond 24 hours.</t>
  </si>
  <si>
    <t>Usually this gives an incorrect result, as in the example below.</t>
  </si>
  <si>
    <t>To correct this error, the result needs to be formatted with a Custom format.</t>
  </si>
  <si>
    <t>Example 1 : Incorrect formatting</t>
  </si>
  <si>
    <t xml:space="preserve"> =SUM(E49:E51)</t>
  </si>
  <si>
    <t>Example 2 : Correct formatting</t>
  </si>
  <si>
    <t xml:space="preserve"> =SUM(E56:E58)</t>
  </si>
  <si>
    <t>How To Apply Custom Formatting</t>
  </si>
  <si>
    <t>The custom format for time use a pair of square brackets [hh] on either side</t>
  </si>
  <si>
    <t>of the hours indicators.</t>
  </si>
  <si>
    <t>1. Click on the cell which needs the format.</t>
  </si>
  <si>
    <r>
      <t xml:space="preserve">2. Choose the </t>
    </r>
    <r>
      <rPr>
        <b/>
        <sz val="10"/>
        <rFont val="Arial"/>
        <family val="2"/>
      </rPr>
      <t>Format</t>
    </r>
    <r>
      <rPr>
        <sz val="10"/>
        <rFont val="Arial"/>
        <family val="2"/>
      </rPr>
      <t xml:space="preserve"> menu.</t>
    </r>
  </si>
  <si>
    <r>
      <t xml:space="preserve">3. Choose </t>
    </r>
    <r>
      <rPr>
        <b/>
        <sz val="10"/>
        <rFont val="Arial"/>
        <family val="2"/>
      </rPr>
      <t>Cells</t>
    </r>
    <r>
      <rPr>
        <sz val="10"/>
        <rFont val="Arial"/>
        <family val="2"/>
      </rPr>
      <t>.</t>
    </r>
  </si>
  <si>
    <r>
      <t xml:space="preserve">4. Click the </t>
    </r>
    <r>
      <rPr>
        <b/>
        <sz val="10"/>
        <rFont val="Arial"/>
        <family val="2"/>
      </rPr>
      <t>Number</t>
    </r>
    <r>
      <rPr>
        <sz val="10"/>
        <rFont val="Arial"/>
        <family val="2"/>
      </rPr>
      <t xml:space="preserve"> tag at the top right.</t>
    </r>
  </si>
  <si>
    <r>
      <t xml:space="preserve">5. Choose </t>
    </r>
    <r>
      <rPr>
        <b/>
        <sz val="10"/>
        <rFont val="Arial"/>
        <family val="2"/>
      </rPr>
      <t>Custom</t>
    </r>
    <r>
      <rPr>
        <sz val="10"/>
        <rFont val="Arial"/>
        <family val="2"/>
      </rPr>
      <t>.</t>
    </r>
  </si>
  <si>
    <r>
      <t xml:space="preserve">6. Click inside the </t>
    </r>
    <r>
      <rPr>
        <b/>
        <sz val="10"/>
        <rFont val="Arial"/>
        <family val="2"/>
      </rPr>
      <t>Type</t>
    </r>
    <r>
      <rPr>
        <sz val="10"/>
        <rFont val="Arial"/>
        <family val="2"/>
      </rPr>
      <t>: box.</t>
    </r>
  </si>
  <si>
    <r>
      <t xml:space="preserve">7. Type </t>
    </r>
    <r>
      <rPr>
        <b/>
        <sz val="10"/>
        <rFont val="Arial"/>
        <family val="2"/>
      </rPr>
      <t>[hh]:mm</t>
    </r>
    <r>
      <rPr>
        <sz val="10"/>
        <rFont val="Arial"/>
        <family val="2"/>
      </rPr>
      <t xml:space="preserve"> as the format.</t>
    </r>
  </si>
  <si>
    <r>
      <t xml:space="preserve">8. Click </t>
    </r>
    <r>
      <rPr>
        <b/>
        <sz val="10"/>
        <rFont val="Arial"/>
        <family val="2"/>
      </rPr>
      <t>OK</t>
    </r>
    <r>
      <rPr>
        <sz val="10"/>
        <rFont val="Arial"/>
        <family val="2"/>
      </rPr>
      <t xml:space="preserve"> to confirm.</t>
    </r>
  </si>
  <si>
    <t>TimeSheet for Flexi</t>
  </si>
  <si>
    <t>Week beginning</t>
  </si>
  <si>
    <t>Normal Hours</t>
  </si>
  <si>
    <t>Day</t>
  </si>
  <si>
    <t>Arrive</t>
  </si>
  <si>
    <t>Lunch Out</t>
  </si>
  <si>
    <t>Lunch In</t>
  </si>
  <si>
    <t>Depart</t>
  </si>
  <si>
    <t xml:space="preserve"> =(F6-C6)-(E6-D6)</t>
  </si>
  <si>
    <t>Total Hours</t>
  </si>
  <si>
    <t xml:space="preserve"> =SUM(G6:G10)</t>
  </si>
  <si>
    <t xml:space="preserve">Under worked by </t>
  </si>
  <si>
    <t xml:space="preserve"> =IF(G3-G11&gt;0,G3-G11, "-")</t>
  </si>
  <si>
    <t xml:space="preserve">Over worked by </t>
  </si>
  <si>
    <t xml:space="preserve"> =IF(G3-G11&lt;0,ABS(G3-G11),"-")</t>
  </si>
  <si>
    <t>This is simple example of a timesheet.</t>
  </si>
  <si>
    <t>Instructions :</t>
  </si>
  <si>
    <t>Type the week start date in cell C3, the Week beginning.</t>
  </si>
  <si>
    <t>Use the format dd/mm/yy, the name of the day will appear automatically.</t>
  </si>
  <si>
    <t>The date is then passed down to the Day column.</t>
  </si>
  <si>
    <t>Type the amount of hours you are expected to work in G3, the Normal Hours.</t>
  </si>
  <si>
    <t>This is used later to calculate if have worked over or under the required hours.</t>
  </si>
  <si>
    <t>Type the times you arrive and leave work in the appropriate columns.</t>
  </si>
  <si>
    <t>Use the format of hh:mm.</t>
  </si>
  <si>
    <t>The Total Hours cell has been formatted as [hh]:mm.</t>
  </si>
  <si>
    <t>This ensures the total hours can be expressed as a value above 24 hours.</t>
  </si>
  <si>
    <t xml:space="preserve">If the [hh]:mm format had not been used the Total Hours would show as : </t>
  </si>
  <si>
    <t>If the [hh]:mm format does not show in the cell format dialog box</t>
  </si>
  <si>
    <t>on your computer, it can be created using Format, Cells, Number, Custom.</t>
  </si>
  <si>
    <t>Split Forename and Surname</t>
  </si>
  <si>
    <t>The following formula are useful when you have one cell containing text which needs</t>
  </si>
  <si>
    <t>to be split up.</t>
  </si>
  <si>
    <t>One of the most common examples of this is when a persons Forename and Surname</t>
  </si>
  <si>
    <t>are entered in full into a cell.</t>
  </si>
  <si>
    <t>The formula use various text functions to accomplish the task.</t>
  </si>
  <si>
    <t>Each of the techniques uses the space between the names to identify where to split.</t>
  </si>
  <si>
    <t>Finding the First Name</t>
  </si>
  <si>
    <t xml:space="preserve"> =LEFT(C14,FIND(" ",C14,1))</t>
  </si>
  <si>
    <t xml:space="preserve"> =LEFT(C15,FIND(" ",C15,1))</t>
  </si>
  <si>
    <t xml:space="preserve"> =LEFT(C16,FIND(" ",C16,1))</t>
  </si>
  <si>
    <t>Finding the Last Name</t>
  </si>
  <si>
    <t>Last Name</t>
  </si>
  <si>
    <t xml:space="preserve"> =RIGHT(C22,LEN(C22)-FIND(" ",C22))</t>
  </si>
  <si>
    <t xml:space="preserve"> =RIGHT(C23,LEN(C23)-FIND(" ",C23))</t>
  </si>
  <si>
    <t xml:space="preserve"> =RIGHT(C24,LEN(C24)-FIND(" ",C24))</t>
  </si>
  <si>
    <t>Finding the Last name when a Middle name is present</t>
  </si>
  <si>
    <t>The formula above cannot handle any more than two names.</t>
  </si>
  <si>
    <t>If there is also a middle name, the last name formula will be incorrect.</t>
  </si>
  <si>
    <t>To solve the problem you have to use a much longer calculation.</t>
  </si>
  <si>
    <t>Alan David Jones</t>
  </si>
  <si>
    <t>Bob John Smith</t>
  </si>
  <si>
    <t>Carol Susan Williams</t>
  </si>
  <si>
    <t xml:space="preserve"> =RIGHT(C37,LEN(C37)-FIND("#",SUBSTITUTE(C37," ","#",LEN(C37)-LEN(SUBSTITUTE(C37," ","")))))</t>
  </si>
  <si>
    <t>Finding the Middle name</t>
  </si>
  <si>
    <t>Middle Name</t>
  </si>
  <si>
    <t xml:space="preserve"> =LEFT(RIGHT(C45,LEN(C45)-FIND(" ",C45,1)),FIND(" ",RIGHT(C45,LEN(C45)-FIND(" ",C45,1)),1))</t>
  </si>
  <si>
    <t>Percentages</t>
  </si>
  <si>
    <t>There are no specific functions for calculating percentages.</t>
  </si>
  <si>
    <t>You have to use the skills you were taught in your maths class at school!</t>
  </si>
  <si>
    <t>Finding a percentage of a value</t>
  </si>
  <si>
    <t>Initial value</t>
  </si>
  <si>
    <t>% to find</t>
  </si>
  <si>
    <t>Percentage value</t>
  </si>
  <si>
    <t xml:space="preserve"> =D8*D9</t>
  </si>
  <si>
    <t>A company is about to give its staff a pay rise.</t>
  </si>
  <si>
    <t>The wages department need to calculate the increases.</t>
  </si>
  <si>
    <t>Staff on different grades get different pay rises.</t>
  </si>
  <si>
    <t>Grade</t>
  </si>
  <si>
    <t>% Rise</t>
  </si>
  <si>
    <t>A</t>
  </si>
  <si>
    <t>B</t>
  </si>
  <si>
    <t>C</t>
  </si>
  <si>
    <t>Name</t>
  </si>
  <si>
    <t>Old Salary</t>
  </si>
  <si>
    <t>Increase</t>
  </si>
  <si>
    <t xml:space="preserve"> =E23*LOOKUP(D23,$C$18:$C$20,$D$18:$D$20)</t>
  </si>
  <si>
    <t xml:space="preserve"> =E24*LOOKUP(D24,$C$18:$C$20,$D$18:$D$20)</t>
  </si>
  <si>
    <t xml:space="preserve"> =E25*LOOKUP(D25,$C$18:$C$20,$D$18:$D$20)</t>
  </si>
  <si>
    <t xml:space="preserve"> =E26*LOOKUP(D26,$C$18:$C$20,$D$18:$D$20)</t>
  </si>
  <si>
    <t xml:space="preserve"> =E27*LOOKUP(D27,$C$18:$C$20,$D$18:$D$20)</t>
  </si>
  <si>
    <t>Frank</t>
  </si>
  <si>
    <t xml:space="preserve"> =E28*LOOKUP(D28,$C$18:$C$20,$D$18:$D$20)</t>
  </si>
  <si>
    <t xml:space="preserve">Finding a percentage increase </t>
  </si>
  <si>
    <t>% increase</t>
  </si>
  <si>
    <t>Increased value</t>
  </si>
  <si>
    <t xml:space="preserve"> =D33*D34+D33</t>
  </si>
  <si>
    <t>The wages department need to calculate the new salary including the % increase.</t>
  </si>
  <si>
    <t xml:space="preserve"> =E48*LOOKUP(D48,$C$18:$C$20,$D$18:$D$20)+E48</t>
  </si>
  <si>
    <t xml:space="preserve"> =E49*LOOKUP(D49,$C$18:$C$20,$D$18:$D$20)+E49</t>
  </si>
  <si>
    <t xml:space="preserve"> =E50*LOOKUP(D50,$C$18:$C$20,$D$18:$D$20)+E50</t>
  </si>
  <si>
    <t xml:space="preserve"> =E51*LOOKUP(D51,$C$18:$C$20,$D$18:$D$20)+E51</t>
  </si>
  <si>
    <t xml:space="preserve"> =E52*LOOKUP(D52,$C$18:$C$20,$D$18:$D$20)+E52</t>
  </si>
  <si>
    <t xml:space="preserve"> =E53*LOOKUP(D53,$C$18:$C$20,$D$18:$D$20)+E53</t>
  </si>
  <si>
    <t>Finding one value as percentage of another</t>
  </si>
  <si>
    <t>Value A</t>
  </si>
  <si>
    <t>Value B</t>
  </si>
  <si>
    <t>A as % of B</t>
  </si>
  <si>
    <t xml:space="preserve"> =D59/D58</t>
  </si>
  <si>
    <t>You will need to format the result as % by using the % button</t>
  </si>
  <si>
    <t>on the toolbar.</t>
  </si>
  <si>
    <t>An manager has been asked to submit budget requirements for next year.</t>
  </si>
  <si>
    <t>The manger needs to specify what will be required each quarter.</t>
  </si>
  <si>
    <t>The manager knows what has been spent by each region in the previous year.</t>
  </si>
  <si>
    <t>By analysing the past years spending, the manager hopes to predict</t>
  </si>
  <si>
    <t>what will need to be spent in the next year.</t>
  </si>
  <si>
    <t>Last years figures</t>
  </si>
  <si>
    <t>Region</t>
  </si>
  <si>
    <t>Q1</t>
  </si>
  <si>
    <t>Q2</t>
  </si>
  <si>
    <t>Q3</t>
  </si>
  <si>
    <t>Q4</t>
  </si>
  <si>
    <t>Last years Quarters as % of last years Total</t>
  </si>
  <si>
    <t xml:space="preserve"> =G74/$H$78</t>
  </si>
  <si>
    <t xml:space="preserve"> =G75/$H$78</t>
  </si>
  <si>
    <t xml:space="preserve"> =G76/$H$78</t>
  </si>
  <si>
    <t xml:space="preserve"> =G77/$H$78</t>
  </si>
  <si>
    <t xml:space="preserve"> =G78/$H$78</t>
  </si>
  <si>
    <t>Next years budget</t>
  </si>
  <si>
    <t>Next years estimated budget requirements</t>
  </si>
  <si>
    <t xml:space="preserve"> =G82*$E$88</t>
  </si>
  <si>
    <t xml:space="preserve"> =G83*$E$88</t>
  </si>
  <si>
    <t xml:space="preserve"> =G84*$E$88</t>
  </si>
  <si>
    <t>Finding an original value after an increase has been applied</t>
  </si>
  <si>
    <t>Original value</t>
  </si>
  <si>
    <t xml:space="preserve"> =D100/(100%+D101)</t>
  </si>
  <si>
    <t>Example 4</t>
  </si>
  <si>
    <t>An employ has to submit an expenses claim for travelling and accommodation.</t>
  </si>
  <si>
    <t>The claim needs to show the VAT tax portion of each receipt.</t>
  </si>
  <si>
    <t>Unfortunately the receipts held by the employee only show the total amount.</t>
  </si>
  <si>
    <t>The employee needs to split this total to show the original value and the VAT amount.</t>
  </si>
  <si>
    <t>VAT rate</t>
  </si>
  <si>
    <t>Receipt</t>
  </si>
  <si>
    <t>Actual Value</t>
  </si>
  <si>
    <t>Vat Value</t>
  </si>
  <si>
    <t>Petrol</t>
  </si>
  <si>
    <t xml:space="preserve"> =D113-D113/(100%+$D$110)</t>
  </si>
  <si>
    <t>Hotel</t>
  </si>
  <si>
    <t xml:space="preserve"> =D115/(100%+$D$110)</t>
  </si>
  <si>
    <t>SUM using names</t>
  </si>
  <si>
    <t>You can use the names typed at the top of columns or side of rows in calculations</t>
  </si>
  <si>
    <t>simply by typing the name into the formula.</t>
  </si>
  <si>
    <t>Try this example:</t>
  </si>
  <si>
    <r>
      <t xml:space="preserve">Go to cell </t>
    </r>
    <r>
      <rPr>
        <b/>
        <sz val="10"/>
        <color indexed="12"/>
        <rFont val="Arial"/>
        <family val="2"/>
      </rPr>
      <t>C16</t>
    </r>
    <r>
      <rPr>
        <sz val="10"/>
        <rFont val="Arial"/>
        <family val="2"/>
      </rPr>
      <t xml:space="preserve"> and then enter the formula </t>
    </r>
    <r>
      <rPr>
        <b/>
        <sz val="10"/>
        <color indexed="12"/>
        <rFont val="Arial"/>
        <family val="2"/>
      </rPr>
      <t>=SUM(jan)</t>
    </r>
  </si>
  <si>
    <t>The result will show.</t>
  </si>
  <si>
    <r>
      <t xml:space="preserve">This formula can be copied to </t>
    </r>
    <r>
      <rPr>
        <b/>
        <sz val="10"/>
        <color indexed="12"/>
        <rFont val="Arial"/>
        <family val="2"/>
      </rPr>
      <t>D16</t>
    </r>
    <r>
      <rPr>
        <sz val="10"/>
        <rFont val="Arial"/>
        <family val="2"/>
      </rPr>
      <t xml:space="preserve"> and </t>
    </r>
    <r>
      <rPr>
        <b/>
        <sz val="10"/>
        <color indexed="12"/>
        <rFont val="Arial"/>
        <family val="2"/>
      </rPr>
      <t>E16</t>
    </r>
    <r>
      <rPr>
        <sz val="10"/>
        <rFont val="Arial"/>
        <family val="2"/>
      </rPr>
      <t xml:space="preserve">, and the names change to </t>
    </r>
    <r>
      <rPr>
        <b/>
        <sz val="10"/>
        <color indexed="12"/>
        <rFont val="Arial"/>
        <family val="2"/>
      </rPr>
      <t>Feb</t>
    </r>
    <r>
      <rPr>
        <sz val="10"/>
        <rFont val="Arial"/>
        <family val="2"/>
      </rPr>
      <t xml:space="preserve"> and </t>
    </r>
    <r>
      <rPr>
        <b/>
        <sz val="10"/>
        <color indexed="12"/>
        <rFont val="Arial"/>
        <family val="2"/>
      </rPr>
      <t>Mar</t>
    </r>
    <r>
      <rPr>
        <sz val="10"/>
        <rFont val="Arial"/>
        <family val="2"/>
      </rPr>
      <t>.</t>
    </r>
  </si>
  <si>
    <t>If it does not work !</t>
  </si>
  <si>
    <t>The feature may have been switched off on your computer.</t>
  </si>
  <si>
    <r>
      <t xml:space="preserve">You can switch it on by using </t>
    </r>
    <r>
      <rPr>
        <b/>
        <sz val="10"/>
        <color indexed="20"/>
        <rFont val="Arial"/>
        <family val="2"/>
      </rPr>
      <t>Tools</t>
    </r>
    <r>
      <rPr>
        <sz val="10"/>
        <rFont val="Arial"/>
        <family val="2"/>
      </rPr>
      <t xml:space="preserve">, </t>
    </r>
    <r>
      <rPr>
        <b/>
        <sz val="10"/>
        <color indexed="20"/>
        <rFont val="Arial"/>
        <family val="2"/>
      </rPr>
      <t>Options</t>
    </r>
    <r>
      <rPr>
        <sz val="10"/>
        <rFont val="Arial"/>
        <family val="2"/>
      </rPr>
      <t xml:space="preserve">, </t>
    </r>
    <r>
      <rPr>
        <b/>
        <sz val="10"/>
        <color indexed="20"/>
        <rFont val="Arial"/>
        <family val="2"/>
      </rPr>
      <t>Calculation</t>
    </r>
    <r>
      <rPr>
        <sz val="10"/>
        <rFont val="Arial"/>
        <family val="2"/>
      </rPr>
      <t xml:space="preserve">, </t>
    </r>
    <r>
      <rPr>
        <b/>
        <sz val="10"/>
        <color indexed="20"/>
        <rFont val="Arial"/>
        <family val="2"/>
      </rPr>
      <t>Accept Labels in Formula</t>
    </r>
    <r>
      <rPr>
        <sz val="10"/>
        <rFont val="Arial"/>
        <family val="2"/>
      </rPr>
      <t>.</t>
    </r>
  </si>
  <si>
    <t>Instant Charts</t>
  </si>
  <si>
    <t>You can create a chart quickly without having to use the chart button on</t>
  </si>
  <si>
    <r>
      <t xml:space="preserve">the toolbar by pressing the function key </t>
    </r>
    <r>
      <rPr>
        <sz val="10"/>
        <color indexed="12"/>
        <rFont val="Arial"/>
        <family val="2"/>
      </rPr>
      <t>F11</t>
    </r>
    <r>
      <rPr>
        <sz val="10"/>
        <rFont val="Arial"/>
        <family val="2"/>
      </rPr>
      <t xml:space="preserve"> whilst inside a range of data.</t>
    </r>
  </si>
  <si>
    <t>Click anywhere inside the table above.</t>
  </si>
  <si>
    <r>
      <t>Then press</t>
    </r>
    <r>
      <rPr>
        <sz val="10"/>
        <color indexed="12"/>
        <rFont val="Arial"/>
        <family val="2"/>
      </rPr>
      <t xml:space="preserve"> F11</t>
    </r>
    <r>
      <rPr>
        <sz val="10"/>
        <rFont val="Arial"/>
        <family val="2"/>
      </rPr>
      <t>.</t>
    </r>
  </si>
  <si>
    <t>Filename formula</t>
  </si>
  <si>
    <t>There may be times when you need to insert the name of the current workbook</t>
  </si>
  <si>
    <t>or worksheet in to a cell.</t>
  </si>
  <si>
    <t>This can be done by using the CELL() function, shown below.</t>
  </si>
  <si>
    <t xml:space="preserve"> =CELL("filename")</t>
  </si>
  <si>
    <t>The problem with this is that it gives the complete path including drive letter and folders.</t>
  </si>
  <si>
    <t>To just pick out the workbook or worksheet name you need to use text functions.</t>
  </si>
  <si>
    <t>To pick the Path.</t>
  </si>
  <si>
    <t xml:space="preserve"> =MID(CELL("filename"),1,FIND("[",CELL("filename"))-1)</t>
  </si>
  <si>
    <t>To pick the Workbook name.</t>
  </si>
  <si>
    <t xml:space="preserve"> =MID(CELL("filename"),FIND("[",CELL("filename"))+1,FIND("]",CELL("filename"))-FIND("[",CELL("filename"))-1)</t>
  </si>
  <si>
    <t>To pick the Worksheet name.</t>
  </si>
  <si>
    <t xml:space="preserve"> =MID(CELL("filename"),FIND("]",CELL("filename"))+1,255)</t>
  </si>
  <si>
    <t>Brackets in formula</t>
  </si>
  <si>
    <t>Sometimes you will need to use brackets, (also known as 'braces'), in formula.</t>
  </si>
  <si>
    <t>This is to ensure that the calculations are performed in the order that you need.</t>
  </si>
  <si>
    <r>
      <t xml:space="preserve">The need for brackets occurs when you mix </t>
    </r>
    <r>
      <rPr>
        <sz val="10"/>
        <color indexed="12"/>
        <rFont val="Arial"/>
        <family val="2"/>
      </rPr>
      <t>plus</t>
    </r>
    <r>
      <rPr>
        <sz val="10"/>
        <rFont val="Arial"/>
        <family val="2"/>
      </rPr>
      <t xml:space="preserve"> or </t>
    </r>
    <r>
      <rPr>
        <sz val="10"/>
        <color indexed="12"/>
        <rFont val="Arial"/>
        <family val="2"/>
      </rPr>
      <t>minus</t>
    </r>
    <r>
      <rPr>
        <sz val="10"/>
        <rFont val="Arial"/>
        <family val="2"/>
      </rPr>
      <t xml:space="preserve"> with </t>
    </r>
    <r>
      <rPr>
        <sz val="10"/>
        <color indexed="17"/>
        <rFont val="Arial"/>
        <family val="2"/>
      </rPr>
      <t>divide</t>
    </r>
    <r>
      <rPr>
        <sz val="10"/>
        <rFont val="Arial"/>
        <family val="2"/>
      </rPr>
      <t xml:space="preserve"> or </t>
    </r>
    <r>
      <rPr>
        <sz val="10"/>
        <color indexed="17"/>
        <rFont val="Arial"/>
        <family val="2"/>
      </rPr>
      <t>multiply</t>
    </r>
    <r>
      <rPr>
        <sz val="10"/>
        <rFont val="Arial"/>
        <family val="2"/>
      </rPr>
      <t>.</t>
    </r>
  </si>
  <si>
    <r>
      <t xml:space="preserve">Mathematically speaking the </t>
    </r>
    <r>
      <rPr>
        <sz val="10"/>
        <color indexed="17"/>
        <rFont val="Arial"/>
        <family val="2"/>
      </rPr>
      <t>*</t>
    </r>
    <r>
      <rPr>
        <sz val="10"/>
        <rFont val="Arial"/>
        <family val="2"/>
      </rPr>
      <t xml:space="preserve"> and </t>
    </r>
    <r>
      <rPr>
        <sz val="10"/>
        <color indexed="17"/>
        <rFont val="Arial"/>
        <family val="2"/>
      </rPr>
      <t>/</t>
    </r>
    <r>
      <rPr>
        <sz val="10"/>
        <rFont val="Arial"/>
        <family val="2"/>
      </rPr>
      <t xml:space="preserve"> are more important than </t>
    </r>
    <r>
      <rPr>
        <sz val="10"/>
        <color indexed="12"/>
        <rFont val="Arial"/>
        <family val="2"/>
      </rPr>
      <t>+</t>
    </r>
    <r>
      <rPr>
        <sz val="10"/>
        <rFont val="Arial"/>
        <family val="2"/>
      </rPr>
      <t xml:space="preserve"> and</t>
    </r>
    <r>
      <rPr>
        <sz val="10"/>
        <color indexed="12"/>
        <rFont val="Arial"/>
        <family val="2"/>
      </rPr>
      <t xml:space="preserve"> -</t>
    </r>
    <r>
      <rPr>
        <sz val="10"/>
        <rFont val="Arial"/>
        <family val="2"/>
      </rPr>
      <t xml:space="preserve"> .</t>
    </r>
  </si>
  <si>
    <r>
      <t xml:space="preserve">The </t>
    </r>
    <r>
      <rPr>
        <b/>
        <sz val="12"/>
        <color indexed="17"/>
        <rFont val="Arial"/>
        <family val="2"/>
      </rPr>
      <t>*</t>
    </r>
    <r>
      <rPr>
        <sz val="10"/>
        <rFont val="Arial"/>
        <family val="2"/>
      </rPr>
      <t xml:space="preserve"> and </t>
    </r>
    <r>
      <rPr>
        <b/>
        <sz val="12"/>
        <color indexed="17"/>
        <rFont val="Arial"/>
        <family val="2"/>
      </rPr>
      <t>/</t>
    </r>
    <r>
      <rPr>
        <sz val="10"/>
        <rFont val="Arial"/>
        <family val="2"/>
      </rPr>
      <t xml:space="preserve"> operations will be calculated before </t>
    </r>
    <r>
      <rPr>
        <b/>
        <sz val="12"/>
        <color indexed="12"/>
        <rFont val="Arial"/>
        <family val="2"/>
      </rPr>
      <t>+</t>
    </r>
    <r>
      <rPr>
        <sz val="10"/>
        <rFont val="Arial"/>
        <family val="2"/>
      </rPr>
      <t xml:space="preserve"> and</t>
    </r>
    <r>
      <rPr>
        <b/>
        <sz val="12"/>
        <color indexed="12"/>
        <rFont val="Arial"/>
        <family val="2"/>
      </rPr>
      <t xml:space="preserve"> -</t>
    </r>
    <r>
      <rPr>
        <sz val="10"/>
        <rFont val="Arial"/>
        <family val="2"/>
      </rPr>
      <t xml:space="preserve"> .</t>
    </r>
  </si>
  <si>
    <t>Example 1 : The wrong answer !</t>
  </si>
  <si>
    <t>=C12+C13*C14</t>
  </si>
  <si>
    <t>But because the * is calculated first Excel sees the</t>
  </si>
  <si>
    <t>Example 2 : The correct answer.</t>
  </si>
  <si>
    <t>=(C27+C28)*C29</t>
  </si>
  <si>
    <t>Age Calculation</t>
  </si>
  <si>
    <t>You can calculate a persons age based on their birthday and todays date.</t>
  </si>
  <si>
    <r>
      <t xml:space="preserve">The calculation uses the </t>
    </r>
    <r>
      <rPr>
        <sz val="10"/>
        <color indexed="12"/>
        <rFont val="Arial"/>
        <family val="2"/>
      </rPr>
      <t>DATEDIF()</t>
    </r>
    <r>
      <rPr>
        <sz val="10"/>
        <rFont val="Arial"/>
        <family val="2"/>
      </rPr>
      <t xml:space="preserve"> function.</t>
    </r>
  </si>
  <si>
    <t>The DATEDIF() is not documented in Excel 5, 7 or 97, but it is in 2000.</t>
  </si>
  <si>
    <t>(Makes you wonder what else Microsoft forgot to tell us!)</t>
  </si>
  <si>
    <t>Birth date :</t>
  </si>
  <si>
    <t>Years lived :</t>
  </si>
  <si>
    <t xml:space="preserve"> =DATEDIF(C8,TODAY(),"y")</t>
  </si>
  <si>
    <t>and the months :</t>
  </si>
  <si>
    <t xml:space="preserve"> =DATEDIF(C8,TODAY(),"ym")</t>
  </si>
  <si>
    <t>and the days :</t>
  </si>
  <si>
    <t xml:space="preserve"> =DATEDIF(C8,TODAY(),"md")</t>
  </si>
  <si>
    <t>You can put this all together in one calculation, which creates a text version.</t>
  </si>
  <si>
    <t xml:space="preserve"> ="Age is "&amp;DATEDIF(C8,TODAY(),"y")&amp;" Years, "&amp;DATEDIF(C8,TODAY(),"ym")&amp;" Months and "&amp;DATEDIF(C8,TODAY(),"md")&amp;" Days"</t>
  </si>
  <si>
    <t>Another way to calculate age</t>
  </si>
  <si>
    <t>This method gives you an age which may potentially have decimal places representing the months.</t>
  </si>
  <si>
    <t>If the age is 20.5, the .5 represents 6 months.</t>
  </si>
  <si>
    <t>Age is :</t>
  </si>
  <si>
    <t xml:space="preserve"> =(TODAY()-C23)/365.25</t>
  </si>
  <si>
    <t>ABS</t>
  </si>
  <si>
    <t>Absolute Value</t>
  </si>
  <si>
    <t>=ABS(C4)</t>
  </si>
  <si>
    <t>=ABS(C5)</t>
  </si>
  <si>
    <t>=ABS(C6)</t>
  </si>
  <si>
    <t>=ABS(C7)</t>
  </si>
  <si>
    <t>What Does it Do ?</t>
  </si>
  <si>
    <t>This function calculates the value of a number, irrespective of whether it is positive or negative.</t>
  </si>
  <si>
    <t xml:space="preserve"> =ABS(CellAddress or Number)</t>
  </si>
  <si>
    <t>The result will be shown as a number, no special formatting is needed.</t>
  </si>
  <si>
    <t>The following table was used by a company testing a machine which cuts timber.</t>
  </si>
  <si>
    <t>The machine needs to cut timber to an exact length.</t>
  </si>
  <si>
    <t>Three pieces of timber were cut and then measured.</t>
  </si>
  <si>
    <t>In calculating the difference between the Required Length and the Actual Length it does</t>
  </si>
  <si>
    <t>not matter if the wood was cut too long or short, the measurement needs to be expressed as</t>
  </si>
  <si>
    <t>an absolute value.</t>
  </si>
  <si>
    <t>Table 1 shows the original calculations.</t>
  </si>
  <si>
    <t>The Difference for Test 3 is shown as negative, which has a knock on effect</t>
  </si>
  <si>
    <t>when the Error Percentage is calculated.</t>
  </si>
  <si>
    <t>Whether the wood was too long or short, the percentage should still be expressed</t>
  </si>
  <si>
    <t>as an absolute value.</t>
  </si>
  <si>
    <t>Test
Cut</t>
  </si>
  <si>
    <t>Required
Length</t>
  </si>
  <si>
    <t>Actual
Length</t>
  </si>
  <si>
    <t>Difference</t>
  </si>
  <si>
    <t>Error
Percentage</t>
  </si>
  <si>
    <t>Test 1</t>
  </si>
  <si>
    <t>Test 2</t>
  </si>
  <si>
    <t>Test 3</t>
  </si>
  <si>
    <t>=D36-E36</t>
  </si>
  <si>
    <t>Table 2 shows the same data but using the =ABS() function to correct the calculations.</t>
  </si>
  <si>
    <t>Table 2</t>
  </si>
  <si>
    <t>=ABS(D45-E45)</t>
  </si>
  <si>
    <t>ADDRESS</t>
  </si>
  <si>
    <t xml:space="preserve">Type a column number : </t>
  </si>
  <si>
    <t xml:space="preserve">Type a row number : </t>
  </si>
  <si>
    <t xml:space="preserve">Type a sheet name : </t>
  </si>
  <si>
    <t xml:space="preserve"> =ADDRESS(F4,F3,1,TRUE)</t>
  </si>
  <si>
    <t xml:space="preserve"> =ADDRESS(F4,F3,2,TRUE)</t>
  </si>
  <si>
    <t xml:space="preserve"> =ADDRESS(F4,F3,3,TRUE)</t>
  </si>
  <si>
    <t xml:space="preserve"> =ADDRESS(F4,F3,4,TRUE)</t>
  </si>
  <si>
    <t xml:space="preserve"> =ADDRESS(F4,F3,1,FALSE)</t>
  </si>
  <si>
    <t xml:space="preserve"> =ADDRESS(F4,F3,2,FALSE)</t>
  </si>
  <si>
    <t xml:space="preserve"> =ADDRESS(F4,F3,3,FALSE)</t>
  </si>
  <si>
    <t xml:space="preserve"> =ADDRESS(F4,F3,4,FALSE)</t>
  </si>
  <si>
    <t xml:space="preserve"> =ADDRESS(F4,F3,1,TRUE,F5)</t>
  </si>
  <si>
    <t xml:space="preserve"> =ADDRESS(F4,F3,2,TRUE,F5)</t>
  </si>
  <si>
    <t xml:space="preserve"> =ADDRESS(F4,F3,3,TRUE,F5)</t>
  </si>
  <si>
    <t xml:space="preserve"> =ADDRESS(F4,F3,4,TRUE,F5)</t>
  </si>
  <si>
    <t>This function creates a cell reference as a piece of text, based on a row and column</t>
  </si>
  <si>
    <t>numbers given by the user.</t>
  </si>
  <si>
    <t>This type of function is used in macros rather than on the actual worksheet.</t>
  </si>
  <si>
    <t>=ADDRESS(RowNumber,ColNumber,Absolute,A1orR1C1,SheetName)</t>
  </si>
  <si>
    <t>The RowNumber is the normal row number from 1 to 16384.</t>
  </si>
  <si>
    <t>The ColNumber is from 1 to 256, cols A to IV.</t>
  </si>
  <si>
    <t>The Absolute can be 1,2,3 or 4.</t>
  </si>
  <si>
    <t xml:space="preserve">   When 1 the reference will be in the form $A$1, column and row absolute.</t>
  </si>
  <si>
    <t xml:space="preserve">   When 2 the reference will be in the form A$1, only the row absolute.</t>
  </si>
  <si>
    <t xml:space="preserve">   When 3 the reference will be in the form $A1, only the column absolute.</t>
  </si>
  <si>
    <t xml:space="preserve">   When 4 the reference will be in the form A1, neither col or row absolute.</t>
  </si>
  <si>
    <t>The A1orR1C1 is either TRUE of FALSE.</t>
  </si>
  <si>
    <t xml:space="preserve">   When TRUE the reference will be in the form A1, the normal style for cell addresses.</t>
  </si>
  <si>
    <t xml:space="preserve">   When FALSE the reference will be in the form R1C1, the alternative style of cell address.</t>
  </si>
  <si>
    <t>The SheetName is a piece of text to be used as the worksheet name in the reference.</t>
  </si>
  <si>
    <t xml:space="preserve">   The SheetName does not actually have to exist.</t>
  </si>
  <si>
    <t>AND</t>
  </si>
  <si>
    <t>Items To Test</t>
  </si>
  <si>
    <t>=AND(C4&gt;=100,D4&gt;=100)</t>
  </si>
  <si>
    <t>=AND(C5&gt;=100,D5&gt;=100)</t>
  </si>
  <si>
    <t>=AND(C6&gt;=100,D6&gt;=100)</t>
  </si>
  <si>
    <t>=AND(D7&gt;=1,D7&lt;=52)</t>
  </si>
  <si>
    <t>This function tests two or more conditions to see if they are all true.</t>
  </si>
  <si>
    <t>It can be used to test that a series of numbers meet certain conditions.</t>
  </si>
  <si>
    <t>It can be used to test that a number or a date falls between an upper and lower limit.</t>
  </si>
  <si>
    <t>Normally the AND() function would be used in conjunction with a function such as =IF().</t>
  </si>
  <si>
    <t xml:space="preserve"> =AND(Test1,Test2)</t>
  </si>
  <si>
    <t xml:space="preserve"> Note that there can be up to 30 possible tests.</t>
  </si>
  <si>
    <t>When used by itself it will show TRUE or FALSE.</t>
  </si>
  <si>
    <t>The following example shows a list of examination results.</t>
  </si>
  <si>
    <t>The teacher wants to find the pupils who scored above average in all three exams.</t>
  </si>
  <si>
    <t>The =AND() function has been used to test that each score is above the average.</t>
  </si>
  <si>
    <t>The result of TRUE is shown for pupils who have scored above average in all three exams.</t>
  </si>
  <si>
    <t>Physics</t>
  </si>
  <si>
    <t>Passed</t>
  </si>
  <si>
    <t>Absent</t>
  </si>
  <si>
    <t>Fred</t>
  </si>
  <si>
    <t>Gail</t>
  </si>
  <si>
    <t>Harry</t>
  </si>
  <si>
    <t>Ian</t>
  </si>
  <si>
    <t>Janice</t>
  </si>
  <si>
    <t>=AND(C38&gt;=AVERAGE($C$29:$C$38),D38&gt;=AVERAGE($D$29:$D$38),E38&gt;=AVERAGE($E$29:$E$38))</t>
  </si>
  <si>
    <t>Averages</t>
  </si>
  <si>
    <t>AREAS</t>
  </si>
  <si>
    <t>Pink</t>
  </si>
  <si>
    <t>Age</t>
  </si>
  <si>
    <t xml:space="preserve"> =AREAS(PeopleLists)</t>
  </si>
  <si>
    <t>Green</t>
  </si>
  <si>
    <t>This function tests a range to determine whether it is a single block of data, or whether</t>
  </si>
  <si>
    <t>it is a multiple selection.</t>
  </si>
  <si>
    <t>If it is a single block the result will be 1.</t>
  </si>
  <si>
    <t>If it is a multiple block the result will be the number of ranges selected.</t>
  </si>
  <si>
    <t>The function is designed to be used in macros.</t>
  </si>
  <si>
    <t xml:space="preserve"> =AREAS(RangeToTest)</t>
  </si>
  <si>
    <t>The result will be shown as a number.</t>
  </si>
  <si>
    <t>The example at the top of this page shows two ranges coloured pink and green.</t>
  </si>
  <si>
    <t>These ranges have been given the name PeopleLists.</t>
  </si>
  <si>
    <t>The =AREAS(PeopleLists) gives a result of 2 indicating that there are two separate</t>
  </si>
  <si>
    <t>selections which form the PeopleLists range.</t>
  </si>
  <si>
    <t>To name multiple ranges the CTRL key must be used.</t>
  </si>
  <si>
    <t>In the above example the pink range was selected as normal, then the Ctrl key</t>
  </si>
  <si>
    <t>was held down before selecting the green range.</t>
  </si>
  <si>
    <t>When a Range Name is created it will consider both Pink and Green as being one range.</t>
  </si>
  <si>
    <t>BIN2DEC</t>
  </si>
  <si>
    <t>Binary Number</t>
  </si>
  <si>
    <t>Decimal Equivalent</t>
  </si>
  <si>
    <t xml:space="preserve"> =BIN2DEC(C4)</t>
  </si>
  <si>
    <t xml:space="preserve"> =BIN2DEC(C5)</t>
  </si>
  <si>
    <t xml:space="preserve"> =BIN2DEC(C6)</t>
  </si>
  <si>
    <t xml:space="preserve"> =BIN2DEC(C7)</t>
  </si>
  <si>
    <t xml:space="preserve"> =BIN2DEC(C8)</t>
  </si>
  <si>
    <t xml:space="preserve"> =BIN2DEC(C9)</t>
  </si>
  <si>
    <t xml:space="preserve"> =BIN2DEC(C10)</t>
  </si>
  <si>
    <t xml:space="preserve"> =BIN2DEC(C11)</t>
  </si>
  <si>
    <t xml:space="preserve"> =BIN2DEC(C12)</t>
  </si>
  <si>
    <t xml:space="preserve"> =BIN2DEC(C13)</t>
  </si>
  <si>
    <t>This function converts a binary number to decimal.</t>
  </si>
  <si>
    <t>Negative numbers are represented using two's-complement notation.</t>
  </si>
  <si>
    <t>=BIN2DEC(BinaryNumber)</t>
  </si>
  <si>
    <t>The binary number has a limit of ten characters.</t>
  </si>
  <si>
    <t>CEILING</t>
  </si>
  <si>
    <t>Raised Up</t>
  </si>
  <si>
    <t xml:space="preserve"> =CEILING(C4,1)</t>
  </si>
  <si>
    <t xml:space="preserve"> =CEILING(C5,1)</t>
  </si>
  <si>
    <t xml:space="preserve"> =CEILING(C6,1)</t>
  </si>
  <si>
    <t xml:space="preserve"> =CEILING(C7,30)</t>
  </si>
  <si>
    <t xml:space="preserve"> =CEILING(C8,30)</t>
  </si>
  <si>
    <t xml:space="preserve"> =CEILING(C9,30)</t>
  </si>
  <si>
    <t>This function rounds a number up to the nearest multiple specified by the user.</t>
  </si>
  <si>
    <t>=CEILING(ValueToRound,MultipleToRoundUpTo)</t>
  </si>
  <si>
    <t>The ValueToRound can be a cell address or a calculation.</t>
  </si>
  <si>
    <t>The following table was used by a estate agent renting holiday apartments.</t>
  </si>
  <si>
    <t>The properties being rented are only available on a weekly basis.</t>
  </si>
  <si>
    <t>When the customer supplies the number of days required in the property the =CEILING()</t>
  </si>
  <si>
    <t>function rounds it up by a multiple of 7 to calculate the number of full weeks to be billed.</t>
  </si>
  <si>
    <t>Days Required</t>
  </si>
  <si>
    <t>Days To
Be Billed</t>
  </si>
  <si>
    <t>Customer 1</t>
  </si>
  <si>
    <t xml:space="preserve"> =CEILING(D28,7)</t>
  </si>
  <si>
    <t>Customer 2</t>
  </si>
  <si>
    <t xml:space="preserve"> =CEILING(D29,7)</t>
  </si>
  <si>
    <t>Customer 3</t>
  </si>
  <si>
    <t xml:space="preserve"> =CEILING(D30,7)</t>
  </si>
  <si>
    <t>The following table was used by a builders merchant delivering products to a construction site.</t>
  </si>
  <si>
    <t>The merchant needs to hire trucks to move each product.</t>
  </si>
  <si>
    <t>Each product needs a particular type of truck of a fixed capacity.</t>
  </si>
  <si>
    <t>Table 1 calculates the number of trucks required by dividing the Units To Be Moved by</t>
  </si>
  <si>
    <t>the Capacity of the truck.</t>
  </si>
  <si>
    <t>This results of the division are not whole numbers, and the builder cannot hire just part</t>
  </si>
  <si>
    <t>of a truck.</t>
  </si>
  <si>
    <t>Units To
Be Moved</t>
  </si>
  <si>
    <t>Truck
Capacity</t>
  </si>
  <si>
    <t>Trucks
Needed</t>
  </si>
  <si>
    <t xml:space="preserve"> =D45/E45</t>
  </si>
  <si>
    <t xml:space="preserve"> =D46/E46</t>
  </si>
  <si>
    <t>Cement</t>
  </si>
  <si>
    <t xml:space="preserve"> =D47/E47</t>
  </si>
  <si>
    <t>Table 2 shows how the =CEILING() function has been used to round up the result of</t>
  </si>
  <si>
    <t>the division to a whole number, and thus given the exact amount of trucks needed.</t>
  </si>
  <si>
    <t xml:space="preserve"> =CEILING(D54/E54,1)</t>
  </si>
  <si>
    <t xml:space="preserve"> =CEILING(D55/E55,1)</t>
  </si>
  <si>
    <t xml:space="preserve"> =CEILING(D56/E56,1)</t>
  </si>
  <si>
    <t>The following tables were used by a shopkeeper to calculate the selling price of an item.</t>
  </si>
  <si>
    <t>The shopkeeper buys products by the box.</t>
  </si>
  <si>
    <t>The cost of the item is calculated by dividing the Box Cost by the Box Quantity.</t>
  </si>
  <si>
    <t>The shopkeeper always wants the price to end in 99 pence.</t>
  </si>
  <si>
    <t>Table 1 shows how just a normal division results in varying Item Costs.</t>
  </si>
  <si>
    <t>Box Qnty</t>
  </si>
  <si>
    <t>Box Cost</t>
  </si>
  <si>
    <t>Cost Per Item</t>
  </si>
  <si>
    <t>Plugs</t>
  </si>
  <si>
    <t xml:space="preserve"> =D69/C69</t>
  </si>
  <si>
    <t>Sockets</t>
  </si>
  <si>
    <t xml:space="preserve"> =D70/C70</t>
  </si>
  <si>
    <t>Junctions</t>
  </si>
  <si>
    <t xml:space="preserve"> =D71/C71</t>
  </si>
  <si>
    <t>Adapters</t>
  </si>
  <si>
    <t xml:space="preserve"> =D72/C72</t>
  </si>
  <si>
    <t>Table 2 shows how the =CEILING() function has been used to raise the Item Cost to</t>
  </si>
  <si>
    <t>always end in 99 pence.</t>
  </si>
  <si>
    <t>In Box</t>
  </si>
  <si>
    <t>Raised Cost</t>
  </si>
  <si>
    <t xml:space="preserve"> =INT(E83)+CEILING(MOD(E83,1),0.99)</t>
  </si>
  <si>
    <t>Explanation</t>
  </si>
  <si>
    <t>=INT(E83)</t>
  </si>
  <si>
    <t>Calculates the integer part of the price.</t>
  </si>
  <si>
    <t>=MOD(E83,1)</t>
  </si>
  <si>
    <t>Calculates the decimal part of the price.</t>
  </si>
  <si>
    <t>=CEILING(MOD(E83),0.99)</t>
  </si>
  <si>
    <t>Raises the decimal to 0.99</t>
  </si>
  <si>
    <t>CELL</t>
  </si>
  <si>
    <t>This is the cell and contents to test.</t>
  </si>
  <si>
    <t>The cell address.</t>
  </si>
  <si>
    <t xml:space="preserve"> =CELL("address",D3)</t>
  </si>
  <si>
    <t>The column number.</t>
  </si>
  <si>
    <t xml:space="preserve"> =CELL("col",D3)</t>
  </si>
  <si>
    <t>The row number.</t>
  </si>
  <si>
    <t xml:space="preserve"> =CELL("row",D3)</t>
  </si>
  <si>
    <t>The actual contents of the cell.</t>
  </si>
  <si>
    <t xml:space="preserve"> =CELL("contents",D3)</t>
  </si>
  <si>
    <r>
      <t xml:space="preserve">The type of entry in the cell.
Shown as </t>
    </r>
    <r>
      <rPr>
        <b/>
        <sz val="10"/>
        <rFont val="Arial"/>
        <family val="2"/>
      </rPr>
      <t>b</t>
    </r>
    <r>
      <rPr>
        <sz val="10"/>
        <rFont val="Arial"/>
        <family val="2"/>
      </rPr>
      <t xml:space="preserve"> for blank, </t>
    </r>
    <r>
      <rPr>
        <b/>
        <sz val="10"/>
        <rFont val="Arial"/>
        <family val="2"/>
      </rPr>
      <t>l</t>
    </r>
    <r>
      <rPr>
        <sz val="10"/>
        <rFont val="Arial"/>
        <family val="2"/>
      </rPr>
      <t xml:space="preserve"> for text, </t>
    </r>
    <r>
      <rPr>
        <b/>
        <sz val="10"/>
        <rFont val="Arial"/>
        <family val="2"/>
      </rPr>
      <t>v</t>
    </r>
    <r>
      <rPr>
        <sz val="10"/>
        <rFont val="Arial"/>
        <family val="2"/>
      </rPr>
      <t xml:space="preserve"> for value.</t>
    </r>
  </si>
  <si>
    <t xml:space="preserve"> =CELL("type",D3)</t>
  </si>
  <si>
    <r>
      <t xml:space="preserve">The alignment of the cell.
Shown as </t>
    </r>
    <r>
      <rPr>
        <b/>
        <sz val="10"/>
        <rFont val="Arial"/>
        <family val="2"/>
      </rPr>
      <t>'</t>
    </r>
    <r>
      <rPr>
        <sz val="10"/>
        <rFont val="Arial"/>
        <family val="2"/>
      </rPr>
      <t xml:space="preserve"> for left, </t>
    </r>
    <r>
      <rPr>
        <b/>
        <sz val="10"/>
        <rFont val="Arial"/>
        <family val="2"/>
      </rPr>
      <t>^</t>
    </r>
    <r>
      <rPr>
        <sz val="10"/>
        <rFont val="Arial"/>
        <family val="2"/>
      </rPr>
      <t xml:space="preserve"> for centre, </t>
    </r>
    <r>
      <rPr>
        <b/>
        <sz val="10"/>
        <rFont val="Arial"/>
        <family val="2"/>
      </rPr>
      <t>"</t>
    </r>
    <r>
      <rPr>
        <sz val="10"/>
        <rFont val="Arial"/>
        <family val="2"/>
      </rPr>
      <t xml:space="preserve"> for right.
Nothing is shown for numeric entries.</t>
    </r>
  </si>
  <si>
    <t xml:space="preserve"> =CELL("prefix",D3)</t>
  </si>
  <si>
    <t>The width of the cell.</t>
  </si>
  <si>
    <t xml:space="preserve"> =CELL("width",D3)</t>
  </si>
  <si>
    <t>The number format fo the cell.
(See the table shown below)</t>
  </si>
  <si>
    <t xml:space="preserve"> =CELL("format",D3)</t>
  </si>
  <si>
    <r>
      <t xml:space="preserve">Formatted for braces ( ) on positive values.
</t>
    </r>
    <r>
      <rPr>
        <b/>
        <sz val="10"/>
        <rFont val="Arial"/>
        <family val="2"/>
      </rPr>
      <t>1</t>
    </r>
    <r>
      <rPr>
        <sz val="10"/>
        <rFont val="Arial"/>
        <family val="2"/>
      </rPr>
      <t xml:space="preserve"> for yes, </t>
    </r>
    <r>
      <rPr>
        <b/>
        <sz val="10"/>
        <rFont val="Arial"/>
        <family val="2"/>
      </rPr>
      <t>0</t>
    </r>
    <r>
      <rPr>
        <sz val="10"/>
        <rFont val="Arial"/>
        <family val="2"/>
      </rPr>
      <t xml:space="preserve"> for no.</t>
    </r>
  </si>
  <si>
    <t xml:space="preserve"> =CELL("parentheses",D3)</t>
  </si>
  <si>
    <r>
      <t xml:space="preserve">Formatted for coloured negatives.
</t>
    </r>
    <r>
      <rPr>
        <b/>
        <sz val="10"/>
        <rFont val="Arial"/>
        <family val="2"/>
      </rPr>
      <t>1</t>
    </r>
    <r>
      <rPr>
        <sz val="10"/>
        <rFont val="Arial"/>
        <family val="2"/>
      </rPr>
      <t xml:space="preserve"> for yes, </t>
    </r>
    <r>
      <rPr>
        <b/>
        <sz val="10"/>
        <rFont val="Arial"/>
        <family val="2"/>
      </rPr>
      <t>0</t>
    </r>
    <r>
      <rPr>
        <sz val="10"/>
        <rFont val="Arial"/>
        <family val="2"/>
      </rPr>
      <t xml:space="preserve"> for no.</t>
    </r>
  </si>
  <si>
    <t xml:space="preserve"> =CELL("color",D3)</t>
  </si>
  <si>
    <r>
      <t xml:space="preserve">The type of cell protection.
</t>
    </r>
    <r>
      <rPr>
        <b/>
        <sz val="10"/>
        <rFont val="Arial"/>
        <family val="2"/>
      </rPr>
      <t>1</t>
    </r>
    <r>
      <rPr>
        <sz val="10"/>
        <rFont val="Arial"/>
        <family val="2"/>
      </rPr>
      <t xml:space="preserve"> for a locked, </t>
    </r>
    <r>
      <rPr>
        <b/>
        <sz val="10"/>
        <rFont val="Arial"/>
        <family val="2"/>
      </rPr>
      <t>0</t>
    </r>
    <r>
      <rPr>
        <sz val="10"/>
        <rFont val="Arial"/>
        <family val="2"/>
      </rPr>
      <t xml:space="preserve"> for unlocked.</t>
    </r>
  </si>
  <si>
    <t xml:space="preserve"> =CELL("protect",D3)</t>
  </si>
  <si>
    <t>The filename containing the cell.</t>
  </si>
  <si>
    <t xml:space="preserve"> =CELL("filename",D3)</t>
  </si>
  <si>
    <t>This function examines a cell and displays information about the contents, position and formatting.</t>
  </si>
  <si>
    <t>=CELL("TypeOfInfoRequired",CellToTest)</t>
  </si>
  <si>
    <t>The TypeOfInfoRequired is a text entry which must be surrounded with quotes " ".</t>
  </si>
  <si>
    <t>Codes used to show the formatting of the cell.</t>
  </si>
  <si>
    <t>Numeric Format</t>
  </si>
  <si>
    <t>Code</t>
  </si>
  <si>
    <t xml:space="preserve">General </t>
  </si>
  <si>
    <t>G</t>
  </si>
  <si>
    <t>F0</t>
  </si>
  <si>
    <t xml:space="preserve">#,##0 </t>
  </si>
  <si>
    <t>,0</t>
  </si>
  <si>
    <t>0.00</t>
  </si>
  <si>
    <t>F2</t>
  </si>
  <si>
    <t xml:space="preserve">#,##0.00 </t>
  </si>
  <si>
    <t>,2</t>
  </si>
  <si>
    <t xml:space="preserve">$#,##0_);($#,##0) </t>
  </si>
  <si>
    <t>C0</t>
  </si>
  <si>
    <t xml:space="preserve">$#,##0_);[Red]($#,##0) </t>
  </si>
  <si>
    <t>C0-</t>
  </si>
  <si>
    <t>$#,##0.00_);($#,##0.00)</t>
  </si>
  <si>
    <t>C2</t>
  </si>
  <si>
    <t xml:space="preserve">$#,##0.00_);[Red]($#,##0.00) </t>
  </si>
  <si>
    <t>C2-</t>
  </si>
  <si>
    <t>P0</t>
  </si>
  <si>
    <t>P2</t>
  </si>
  <si>
    <t>S2</t>
  </si>
  <si>
    <t># ?/? or # ??/??</t>
  </si>
  <si>
    <t>m/d/yy or m/d/yy h:mm or mm/dd/yy.</t>
  </si>
  <si>
    <t>D4</t>
  </si>
  <si>
    <t>d-mmm-yy or dd-mmm-yy</t>
  </si>
  <si>
    <t>D1</t>
  </si>
  <si>
    <t>d-mmm or dd-mmm</t>
  </si>
  <si>
    <t>D2</t>
  </si>
  <si>
    <t xml:space="preserve">mmm-yy </t>
  </si>
  <si>
    <t>D3</t>
  </si>
  <si>
    <t>mm/dd</t>
  </si>
  <si>
    <t>D5</t>
  </si>
  <si>
    <t xml:space="preserve">h:mm AM/PM </t>
  </si>
  <si>
    <t>D7</t>
  </si>
  <si>
    <t xml:space="preserve">h:mm:ss AM/PM </t>
  </si>
  <si>
    <t>D6</t>
  </si>
  <si>
    <t xml:space="preserve">h:mm </t>
  </si>
  <si>
    <t>D9</t>
  </si>
  <si>
    <t xml:space="preserve">h:mm:ss </t>
  </si>
  <si>
    <t>D8</t>
  </si>
  <si>
    <t>The following example uses the =CELL() function as part of a formula which extracts the filename.</t>
  </si>
  <si>
    <t>The name of the current file is :</t>
  </si>
  <si>
    <t>CHAR</t>
  </si>
  <si>
    <t>ANSI Number</t>
  </si>
  <si>
    <t>Character</t>
  </si>
  <si>
    <t xml:space="preserve"> =CHAR(G4)</t>
  </si>
  <si>
    <t xml:space="preserve"> =CHAR(G5)</t>
  </si>
  <si>
    <t xml:space="preserve"> =CHAR(G6)</t>
  </si>
  <si>
    <t>This function converts a normal number to the character it represent in the ANSI</t>
  </si>
  <si>
    <t>character set used by Windows.</t>
  </si>
  <si>
    <t xml:space="preserve"> =CHAR(Number)</t>
  </si>
  <si>
    <t xml:space="preserve"> The Number must be between 1 and 255.</t>
  </si>
  <si>
    <t>The result will be a character with no special formatting.</t>
  </si>
  <si>
    <t>The following is a list of all 255 numbers and the characters they represent.</t>
  </si>
  <si>
    <t>Note that most Windows based program may not display some of the special characters,</t>
  </si>
  <si>
    <t>these  will be displayed as a small box.</t>
  </si>
  <si>
    <t>Number 32 does not show as it is the SPACEBAR character.</t>
  </si>
  <si>
    <t>CHOOSE</t>
  </si>
  <si>
    <t>Index Value</t>
  </si>
  <si>
    <t xml:space="preserve"> =CHOOSE(C4,"Alan","Bob","Carol")</t>
  </si>
  <si>
    <t xml:space="preserve"> =CHOOSE(C5,"Alan","Bob","Carol")</t>
  </si>
  <si>
    <t xml:space="preserve"> =CHOOSE(C6,"Alan","Bob","Carol")</t>
  </si>
  <si>
    <t xml:space="preserve"> =CHOOSE(C7,10%,15%,18%)</t>
  </si>
  <si>
    <t xml:space="preserve"> =CHOOSE(C8,10%,15%,18%)</t>
  </si>
  <si>
    <t xml:space="preserve"> =CHOOSE(C9,10%,15%,18%)</t>
  </si>
  <si>
    <t>This function picks from a list of options based upon an Index value given to by the user.</t>
  </si>
  <si>
    <t xml:space="preserve"> =CHOOSE(UserValue, Item1, Item2, Item3 through to Item29)</t>
  </si>
  <si>
    <t>No special formatting is required.</t>
  </si>
  <si>
    <t>The following table was used to calculate the medals for athletes taking part in a race.</t>
  </si>
  <si>
    <t>The Time for each athlete is entered.</t>
  </si>
  <si>
    <t>The =RANK() function calculates the finishing position of each athlete.</t>
  </si>
  <si>
    <t>The =CHOOSE() then allocates the correct medal.</t>
  </si>
  <si>
    <t>The =IF() has been used to filter out any positions above 3, as this would cause</t>
  </si>
  <si>
    <t>the error of #VALUE to appear, due to the fact the =CHOOSE() has only three items in it.</t>
  </si>
  <si>
    <t>Time</t>
  </si>
  <si>
    <t>Position</t>
  </si>
  <si>
    <t>Medal</t>
  </si>
  <si>
    <t xml:space="preserve"> =IF(D30&lt;=3,CHOOSE(D30,"Gold","Silver","Bronze"),"unplaced")</t>
  </si>
  <si>
    <t xml:space="preserve"> =IF(D31&lt;=3,CHOOSE(D31,"Gold","Silver","Bronze"),"unplaced")</t>
  </si>
  <si>
    <t xml:space="preserve"> =IF(D32&lt;=3,CHOOSE(D32,"Gold","Silver","Bronze"),"unplaced")</t>
  </si>
  <si>
    <t xml:space="preserve"> =IF(D33&lt;=3,CHOOSE(D33,"Gold","Silver","Bronze"),"unplaced")</t>
  </si>
  <si>
    <t xml:space="preserve"> =IF(D34&lt;=3,CHOOSE(D34,"Gold","Silver","Bronze"),"unplaced")</t>
  </si>
  <si>
    <t xml:space="preserve"> =RANK(C34,C30:C34)</t>
  </si>
  <si>
    <t>CODE</t>
  </si>
  <si>
    <t>Letter</t>
  </si>
  <si>
    <t>ANSI Code</t>
  </si>
  <si>
    <t xml:space="preserve"> =CODE(C4)</t>
  </si>
  <si>
    <t xml:space="preserve"> =CODE(C5)</t>
  </si>
  <si>
    <t xml:space="preserve"> =CODE(C6)</t>
  </si>
  <si>
    <t xml:space="preserve"> =CODE(C7)</t>
  </si>
  <si>
    <t>b</t>
  </si>
  <si>
    <t xml:space="preserve"> =CODE(C8)</t>
  </si>
  <si>
    <t>c</t>
  </si>
  <si>
    <t xml:space="preserve"> =CODE(C9)</t>
  </si>
  <si>
    <t xml:space="preserve"> =CODE(C10)</t>
  </si>
  <si>
    <t xml:space="preserve"> =CODE(C11)</t>
  </si>
  <si>
    <t xml:space="preserve"> =CODE(C12)</t>
  </si>
  <si>
    <t>This function shows the ANSI value of a single character, or the first character in a piece</t>
  </si>
  <si>
    <t>of text.</t>
  </si>
  <si>
    <t>The ANSI character set is used by Windows to identify each keyboard character by using</t>
  </si>
  <si>
    <t>a unique number.</t>
  </si>
  <si>
    <t>There are 255 characters in the ANSI set.</t>
  </si>
  <si>
    <t xml:space="preserve"> =CODE(Text)</t>
  </si>
  <si>
    <t>No special formatting is needed, the result will be shown as a number between 1 and 255.</t>
  </si>
  <si>
    <t>COMBIN</t>
  </si>
  <si>
    <t>Pool Of Items</t>
  </si>
  <si>
    <t>Items In A Group</t>
  </si>
  <si>
    <t>Possible Groups</t>
  </si>
  <si>
    <t xml:space="preserve"> =COMBIN(C4,D4)</t>
  </si>
  <si>
    <t xml:space="preserve"> =COMBIN(C5,D5)</t>
  </si>
  <si>
    <t xml:space="preserve"> =COMBIN(C6,D6)</t>
  </si>
  <si>
    <t>This function calculates the highest number of combinations available based upon</t>
  </si>
  <si>
    <t>a fixed number of items.</t>
  </si>
  <si>
    <t>The internal order of the combination does not matter, so AB is the  same as BA.</t>
  </si>
  <si>
    <t xml:space="preserve"> =COMBIN(HowManyItems,GroupSize)</t>
  </si>
  <si>
    <t>This example calculates the possible number of pairs of letters available</t>
  </si>
  <si>
    <t>from the four characters ABCD.</t>
  </si>
  <si>
    <t>Total Characters</t>
  </si>
  <si>
    <t>Group Size</t>
  </si>
  <si>
    <t>Combinations</t>
  </si>
  <si>
    <t xml:space="preserve"> =COMBIN(C25,D25)</t>
  </si>
  <si>
    <t>The proof !</t>
  </si>
  <si>
    <t>The four letters :</t>
  </si>
  <si>
    <t>Pair 1</t>
  </si>
  <si>
    <t>AB</t>
  </si>
  <si>
    <t>Pair 2</t>
  </si>
  <si>
    <t>AC</t>
  </si>
  <si>
    <t>Pair 3</t>
  </si>
  <si>
    <t>AD</t>
  </si>
  <si>
    <t>Pair 4</t>
  </si>
  <si>
    <t>BC</t>
  </si>
  <si>
    <t>Pair 5</t>
  </si>
  <si>
    <t>BD</t>
  </si>
  <si>
    <t>Pair 6</t>
  </si>
  <si>
    <t>CD</t>
  </si>
  <si>
    <t>A decorator is asked to design a colour scheme for a new office.</t>
  </si>
  <si>
    <t>The decorator is given five colours to work with, but can only use three in any scheme.</t>
  </si>
  <si>
    <t>How many colours schemes can be created ?</t>
  </si>
  <si>
    <t>Available Colours</t>
  </si>
  <si>
    <t>Colours Per Scheme</t>
  </si>
  <si>
    <t>Totals Schemes</t>
  </si>
  <si>
    <t xml:space="preserve"> =COMBIN(C41,D41)</t>
  </si>
  <si>
    <t>The colours</t>
  </si>
  <si>
    <t>Red</t>
  </si>
  <si>
    <t>Blue</t>
  </si>
  <si>
    <t>Yellow</t>
  </si>
  <si>
    <t>Black</t>
  </si>
  <si>
    <t>Scheme 1</t>
  </si>
  <si>
    <t>Scheme 2</t>
  </si>
  <si>
    <t>Scheme 3</t>
  </si>
  <si>
    <t>Scheme 4</t>
  </si>
  <si>
    <t>Scheme 5</t>
  </si>
  <si>
    <t>Scheme 6</t>
  </si>
  <si>
    <t>Scheme 7</t>
  </si>
  <si>
    <t>Scheme 8</t>
  </si>
  <si>
    <t>Scheme 9</t>
  </si>
  <si>
    <t>Scheme 10</t>
  </si>
  <si>
    <t>??????</t>
  </si>
  <si>
    <t>CONCATENATE</t>
  </si>
  <si>
    <t>Name 1</t>
  </si>
  <si>
    <t>Name 2</t>
  </si>
  <si>
    <t>Concatenated Text</t>
  </si>
  <si>
    <t>Jones</t>
  </si>
  <si>
    <t xml:space="preserve"> =CONCATENATE(C4,D4)</t>
  </si>
  <si>
    <t>Williams</t>
  </si>
  <si>
    <t xml:space="preserve"> =CONCATENATE(C5,D5)</t>
  </si>
  <si>
    <t>Davies</t>
  </si>
  <si>
    <t xml:space="preserve"> =CONCATENATE(C6,D6)</t>
  </si>
  <si>
    <t xml:space="preserve"> =CONCATENATE(C7," ",D7)</t>
  </si>
  <si>
    <t xml:space="preserve"> =CONCATENATE(D8,", ",C8)</t>
  </si>
  <si>
    <t xml:space="preserve"> =CONCATENATE(D9,", ",C9)</t>
  </si>
  <si>
    <t>This function joins separate pieces of text into one item.</t>
  </si>
  <si>
    <t xml:space="preserve"> =CONCATENATE(Text1,Text2,Text3...Text30)</t>
  </si>
  <si>
    <t>Up to thirty pieces of text can be joined.</t>
  </si>
  <si>
    <t>No special formatting is needed, the result will be shown as normal text.</t>
  </si>
  <si>
    <r>
      <t xml:space="preserve">You can achieve the same result by using the </t>
    </r>
    <r>
      <rPr>
        <b/>
        <sz val="10"/>
        <rFont val="Arial"/>
        <family val="2"/>
      </rPr>
      <t>&amp;</t>
    </r>
    <r>
      <rPr>
        <sz val="10"/>
        <rFont val="Arial"/>
        <family val="2"/>
      </rPr>
      <t xml:space="preserve"> operator.</t>
    </r>
  </si>
  <si>
    <t xml:space="preserve"> =C25&amp;D25</t>
  </si>
  <si>
    <t xml:space="preserve"> =C26&amp;D26</t>
  </si>
  <si>
    <t xml:space="preserve"> =C27&amp;D27</t>
  </si>
  <si>
    <t xml:space="preserve"> =C28&amp;" "&amp;D28</t>
  </si>
  <si>
    <t xml:space="preserve"> =D29&amp;", "&amp;C29</t>
  </si>
  <si>
    <t xml:space="preserve"> =D30&amp;", "&amp;C30</t>
  </si>
  <si>
    <t>CONVERT</t>
  </si>
  <si>
    <t>Amount
To Convert</t>
  </si>
  <si>
    <t>Converting
From</t>
  </si>
  <si>
    <t>Converting
To</t>
  </si>
  <si>
    <t>Converted
Amount</t>
  </si>
  <si>
    <t>in</t>
  </si>
  <si>
    <t>cm</t>
  </si>
  <si>
    <t xml:space="preserve"> =CONVERT(C4,D4,E4)</t>
  </si>
  <si>
    <t>ft</t>
  </si>
  <si>
    <t>m</t>
  </si>
  <si>
    <t xml:space="preserve"> =CONVERT(C5,D5,E5)</t>
  </si>
  <si>
    <t>yd</t>
  </si>
  <si>
    <t xml:space="preserve"> =CONVERT(C6,D6,E6)</t>
  </si>
  <si>
    <t>yr</t>
  </si>
  <si>
    <t>day</t>
  </si>
  <si>
    <t xml:space="preserve"> =CONVERT(C8,D8,E8)</t>
  </si>
  <si>
    <t>hr</t>
  </si>
  <si>
    <t xml:space="preserve"> =CONVERT(C9,D9,E9)</t>
  </si>
  <si>
    <t>mn</t>
  </si>
  <si>
    <t xml:space="preserve"> =CONVERT(C10,D10,E10)</t>
  </si>
  <si>
    <t>sec</t>
  </si>
  <si>
    <t xml:space="preserve"> =CONVERT(C11,D11,E11)</t>
  </si>
  <si>
    <t>This function converts a value measure in one type of unit, to the same value expressed</t>
  </si>
  <si>
    <t>in a different type of unit, such as Inches to Centimetres.</t>
  </si>
  <si>
    <t>=CONVERT(AmountToConvert,UnitToConvertFrom,UnitToConvertTo)</t>
  </si>
  <si>
    <t>The following table was used by an Import / Exporting company to convert the weight</t>
  </si>
  <si>
    <t>and size of packages from old style UK measuring system to European system.</t>
  </si>
  <si>
    <t>Pounds</t>
  </si>
  <si>
    <t>Ounces</t>
  </si>
  <si>
    <t>Kilograms</t>
  </si>
  <si>
    <t>Weight</t>
  </si>
  <si>
    <t xml:space="preserve"> =CONVERT(D28,"lbm","kg")+CONVERT(E28,"ozm","kg")</t>
  </si>
  <si>
    <t>Feet</t>
  </si>
  <si>
    <t>Inches</t>
  </si>
  <si>
    <t>Metres</t>
  </si>
  <si>
    <t>Height</t>
  </si>
  <si>
    <t>Length</t>
  </si>
  <si>
    <t>Width</t>
  </si>
  <si>
    <t xml:space="preserve"> =CONVERT(D34,"ft","m")+CONVERT(E34,"in","m")</t>
  </si>
  <si>
    <t>Abbreviations</t>
  </si>
  <si>
    <t>This is a list of all the possible abbreviations which can be used to denote measuring systems.</t>
  </si>
  <si>
    <t>Weight &amp; Mass</t>
  </si>
  <si>
    <t>Distance</t>
  </si>
  <si>
    <t>Gram</t>
  </si>
  <si>
    <t>g</t>
  </si>
  <si>
    <t>Meter</t>
  </si>
  <si>
    <t>Kilogram</t>
  </si>
  <si>
    <t>kg</t>
  </si>
  <si>
    <t>Statute mile</t>
  </si>
  <si>
    <t>mi</t>
  </si>
  <si>
    <t>Slug</t>
  </si>
  <si>
    <t>sg</t>
  </si>
  <si>
    <t>Nautical mile</t>
  </si>
  <si>
    <t>Nmi</t>
  </si>
  <si>
    <t>Pound mass</t>
  </si>
  <si>
    <t>lbm</t>
  </si>
  <si>
    <t>Inch</t>
  </si>
  <si>
    <t>U (atomic mass)</t>
  </si>
  <si>
    <t>u</t>
  </si>
  <si>
    <t>Foot</t>
  </si>
  <si>
    <t>Ounce mass</t>
  </si>
  <si>
    <t>ozm</t>
  </si>
  <si>
    <t>Yard</t>
  </si>
  <si>
    <t>Angstrom</t>
  </si>
  <si>
    <t>ang</t>
  </si>
  <si>
    <t>Pica (1/72 in.)</t>
  </si>
  <si>
    <t>Pica</t>
  </si>
  <si>
    <t>Year</t>
  </si>
  <si>
    <t>Pressure</t>
  </si>
  <si>
    <t>Hour</t>
  </si>
  <si>
    <t>Pascal</t>
  </si>
  <si>
    <t>Pa</t>
  </si>
  <si>
    <t>Minute</t>
  </si>
  <si>
    <t>Atmosphere</t>
  </si>
  <si>
    <t>atm</t>
  </si>
  <si>
    <t>Second</t>
  </si>
  <si>
    <t>mm of Mercury</t>
  </si>
  <si>
    <t>mmHg</t>
  </si>
  <si>
    <t>Temperature</t>
  </si>
  <si>
    <t>Liquid</t>
  </si>
  <si>
    <t>Degree Celsius</t>
  </si>
  <si>
    <t>Teaspoon</t>
  </si>
  <si>
    <t>tsp</t>
  </si>
  <si>
    <t>Degree Fahrenheit</t>
  </si>
  <si>
    <t>F</t>
  </si>
  <si>
    <t>Tablespoon</t>
  </si>
  <si>
    <t>tbs</t>
  </si>
  <si>
    <t>Degree Kelvin</t>
  </si>
  <si>
    <t>K</t>
  </si>
  <si>
    <t>Fluid ounce</t>
  </si>
  <si>
    <t>oz</t>
  </si>
  <si>
    <t>Cup</t>
  </si>
  <si>
    <t>cup</t>
  </si>
  <si>
    <t>Force</t>
  </si>
  <si>
    <t>Pint</t>
  </si>
  <si>
    <t>pt</t>
  </si>
  <si>
    <t>Newton</t>
  </si>
  <si>
    <t>Quart</t>
  </si>
  <si>
    <t>qt</t>
  </si>
  <si>
    <t>Dyne</t>
  </si>
  <si>
    <t>dyn</t>
  </si>
  <si>
    <t>Gallon</t>
  </si>
  <si>
    <t>gal</t>
  </si>
  <si>
    <t>Pound force</t>
  </si>
  <si>
    <t>lbf</t>
  </si>
  <si>
    <t>Liter</t>
  </si>
  <si>
    <t>l</t>
  </si>
  <si>
    <t>Energy</t>
  </si>
  <si>
    <t>Power</t>
  </si>
  <si>
    <t>Joule</t>
  </si>
  <si>
    <t>J</t>
  </si>
  <si>
    <t>Horsepower</t>
  </si>
  <si>
    <t>HP</t>
  </si>
  <si>
    <t>Erg</t>
  </si>
  <si>
    <t>Watt</t>
  </si>
  <si>
    <t>W</t>
  </si>
  <si>
    <t>Thermodynamic
calorie</t>
  </si>
  <si>
    <t>IT calorie</t>
  </si>
  <si>
    <t>cal</t>
  </si>
  <si>
    <t>Magnetism</t>
  </si>
  <si>
    <t>Electron volt</t>
  </si>
  <si>
    <t>eV</t>
  </si>
  <si>
    <t>Tesla</t>
  </si>
  <si>
    <t>Horsepower-hour</t>
  </si>
  <si>
    <t>HPh</t>
  </si>
  <si>
    <t>Gauss</t>
  </si>
  <si>
    <t>ga</t>
  </si>
  <si>
    <t>Watt-hour</t>
  </si>
  <si>
    <t>Wh</t>
  </si>
  <si>
    <t>Foot-pound</t>
  </si>
  <si>
    <t>flb</t>
  </si>
  <si>
    <t>BTU</t>
  </si>
  <si>
    <t>These characters can be used as a prefix  to access further units of measure.</t>
  </si>
  <si>
    <r>
      <t>Using "</t>
    </r>
    <r>
      <rPr>
        <b/>
        <sz val="10"/>
        <rFont val="Arial"/>
        <family val="2"/>
      </rPr>
      <t>c</t>
    </r>
    <r>
      <rPr>
        <sz val="10"/>
        <rFont val="Arial"/>
        <family val="2"/>
      </rPr>
      <t>" as a prefix to meters "</t>
    </r>
    <r>
      <rPr>
        <b/>
        <sz val="10"/>
        <rFont val="Arial"/>
        <family val="2"/>
      </rPr>
      <t>m</t>
    </r>
    <r>
      <rPr>
        <sz val="10"/>
        <rFont val="Arial"/>
        <family val="2"/>
      </rPr>
      <t>" will allow centimetres "</t>
    </r>
    <r>
      <rPr>
        <b/>
        <sz val="10"/>
        <rFont val="Arial"/>
        <family val="2"/>
      </rPr>
      <t>cm</t>
    </r>
    <r>
      <rPr>
        <sz val="10"/>
        <rFont val="Arial"/>
        <family val="2"/>
      </rPr>
      <t>" to be calculated.</t>
    </r>
  </si>
  <si>
    <t>Prefix</t>
  </si>
  <si>
    <t>Multiplier</t>
  </si>
  <si>
    <t>Abbreviation</t>
  </si>
  <si>
    <t>exa</t>
  </si>
  <si>
    <t>E</t>
  </si>
  <si>
    <t>deci</t>
  </si>
  <si>
    <t>d</t>
  </si>
  <si>
    <t>peta</t>
  </si>
  <si>
    <t>P</t>
  </si>
  <si>
    <t>centi</t>
  </si>
  <si>
    <t>tera</t>
  </si>
  <si>
    <t>milli</t>
  </si>
  <si>
    <t>giga</t>
  </si>
  <si>
    <t>micro</t>
  </si>
  <si>
    <t>mega</t>
  </si>
  <si>
    <t>M</t>
  </si>
  <si>
    <t>nano</t>
  </si>
  <si>
    <t>n</t>
  </si>
  <si>
    <t>kilo</t>
  </si>
  <si>
    <t>k</t>
  </si>
  <si>
    <t>pico</t>
  </si>
  <si>
    <t>p</t>
  </si>
  <si>
    <t>hecto</t>
  </si>
  <si>
    <t>h</t>
  </si>
  <si>
    <t>femto</t>
  </si>
  <si>
    <t>f</t>
  </si>
  <si>
    <t>dekao</t>
  </si>
  <si>
    <t>atto</t>
  </si>
  <si>
    <t>CORREL</t>
  </si>
  <si>
    <t>Month</t>
  </si>
  <si>
    <t>Avg Temp</t>
  </si>
  <si>
    <t>Air Cond
Sales</t>
  </si>
  <si>
    <t>Advertising
Costs</t>
  </si>
  <si>
    <t>Apr</t>
  </si>
  <si>
    <t>May</t>
  </si>
  <si>
    <t>Jun</t>
  </si>
  <si>
    <t>Correlation</t>
  </si>
  <si>
    <t xml:space="preserve"> =CORREL(D5:D10,E5:E10)</t>
  </si>
  <si>
    <t xml:space="preserve"> =CORREL(G5:G10,H5:H10)</t>
  </si>
  <si>
    <t>This function examines two sets of data to determine the degree of relationship</t>
  </si>
  <si>
    <t>between the two sets.</t>
  </si>
  <si>
    <t>The result will be a decimal between 0 and 1.</t>
  </si>
  <si>
    <t>The larger the result, the greater the correlation.</t>
  </si>
  <si>
    <t>In Table 1 the Monthly temperature is compared against the Sales of air conditioning units.</t>
  </si>
  <si>
    <t>In Table 2 the Cost of advertising has been compared to Sales.</t>
  </si>
  <si>
    <t>It can be formatted as percentage % to show a more meaning full result.</t>
  </si>
  <si>
    <t>=CORREL(Range1,Range2)</t>
  </si>
  <si>
    <t>The result will normally be shown in decimal format.</t>
  </si>
  <si>
    <t>DATE</t>
  </si>
  <si>
    <t xml:space="preserve"> =DATE(E4,D4,C4)</t>
  </si>
  <si>
    <t xml:space="preserve"> =DATE(E5,D5,C5)</t>
  </si>
  <si>
    <t xml:space="preserve"> =DATE(E6,D6,C6)</t>
  </si>
  <si>
    <t>This function creates a real date by using three normal numbers typed into separate cells.</t>
  </si>
  <si>
    <t xml:space="preserve"> =DATE(year,month,day)</t>
  </si>
  <si>
    <t>The result will normally be displayed in the dd/mm/yy format.</t>
  </si>
  <si>
    <t>By using the Format,Cells,Number,Date command the format can be changed.</t>
  </si>
  <si>
    <t>DATEDIF</t>
  </si>
  <si>
    <t>FirstDate</t>
  </si>
  <si>
    <t>SecondDate</t>
  </si>
  <si>
    <t>Interval</t>
  </si>
  <si>
    <t>days</t>
  </si>
  <si>
    <t xml:space="preserve"> =DATEDIF(C4,D4,"d")</t>
  </si>
  <si>
    <t>months</t>
  </si>
  <si>
    <t xml:space="preserve"> =DATEDIF(C5,D5,"m")</t>
  </si>
  <si>
    <t>years</t>
  </si>
  <si>
    <t xml:space="preserve"> =DATEDIF(C6,D6,"y")</t>
  </si>
  <si>
    <t>yeardays</t>
  </si>
  <si>
    <t xml:space="preserve"> =DATEDIF(C7,D7,"yd")</t>
  </si>
  <si>
    <t>yearmonths</t>
  </si>
  <si>
    <t xml:space="preserve"> =DATEDIF(C8,D8,"ym")</t>
  </si>
  <si>
    <t>monthdays</t>
  </si>
  <si>
    <t xml:space="preserve"> =DATEDIF(C9,D9,"md")</t>
  </si>
  <si>
    <t>This function calculates the difference between two dates.</t>
  </si>
  <si>
    <t>It can show the result in weeks, months or years.</t>
  </si>
  <si>
    <t xml:space="preserve"> =DATEDIF(FirstDate,SecondDate,"Interval")</t>
  </si>
  <si>
    <t>FirstDate : This is the earliest of the two dates.</t>
  </si>
  <si>
    <t>SecondDate : This is the most recent of the two dates.</t>
  </si>
  <si>
    <t>"Interval" : This indicates what you want to calculate.</t>
  </si>
  <si>
    <t>These are the available intervals.</t>
  </si>
  <si>
    <t>"d"</t>
  </si>
  <si>
    <t>Days between the two dates.</t>
  </si>
  <si>
    <t>"m"</t>
  </si>
  <si>
    <t>Months between the two dates.</t>
  </si>
  <si>
    <t>"y"</t>
  </si>
  <si>
    <t>Years between the two dates.</t>
  </si>
  <si>
    <t>"yd"</t>
  </si>
  <si>
    <t>Days between the dates, as if the dates were in the same year.</t>
  </si>
  <si>
    <t>"ym"</t>
  </si>
  <si>
    <t>Months between the dates, as if the dates were in the same year.</t>
  </si>
  <si>
    <t>"md"</t>
  </si>
  <si>
    <t>Days between the two dates, as if the dates were in the same month and year.</t>
  </si>
  <si>
    <t>DATEVALUE</t>
  </si>
  <si>
    <t>Date Value</t>
  </si>
  <si>
    <t>25-dec-99</t>
  </si>
  <si>
    <t xml:space="preserve"> =DATEVALUE(C4)</t>
  </si>
  <si>
    <t>25/12/99</t>
  </si>
  <si>
    <t xml:space="preserve"> =DATEVALUE(C5)</t>
  </si>
  <si>
    <t xml:space="preserve"> =DATEVALUE(C6)</t>
  </si>
  <si>
    <t xml:space="preserve"> =DATEVALUE(C7)</t>
  </si>
  <si>
    <t>The function is used to convert a piece of text into a date which can be used in calculations.</t>
  </si>
  <si>
    <t>Dates expressed as text are often created when data is imported from other programs, such as</t>
  </si>
  <si>
    <t>exports from mainframe computers.</t>
  </si>
  <si>
    <t xml:space="preserve"> =DATEVALUE(text)</t>
  </si>
  <si>
    <t>The result will normally be shown as a number which represents the date. This number can</t>
  </si>
  <si>
    <t>be formatted to any of the  normal date formats by using Format,Cells,Number,Date.</t>
  </si>
  <si>
    <t>The example uses the =DATEVALUE and the =TODAY functions to calculate the number of</t>
  </si>
  <si>
    <t>days remaining on a property lease.</t>
  </si>
  <si>
    <t>The =DATEVALUE function was used because the date has been entered in the cell as</t>
  </si>
  <si>
    <t>a piece of text, probably after being imported from an external program.</t>
  </si>
  <si>
    <t>Property Ref.</t>
  </si>
  <si>
    <t>Expiry Date</t>
  </si>
  <si>
    <t>Days Until Expiry</t>
  </si>
  <si>
    <t>BC100</t>
  </si>
  <si>
    <t>FG700</t>
  </si>
  <si>
    <t>10-july/99</t>
  </si>
  <si>
    <t>TD200</t>
  </si>
  <si>
    <t>13-sep-98</t>
  </si>
  <si>
    <t>HJ900</t>
  </si>
  <si>
    <t>30-may-98</t>
  </si>
  <si>
    <t xml:space="preserve"> =DATEVALUE(E32)-TODAY()</t>
  </si>
  <si>
    <t>DAVERAGE</t>
  </si>
  <si>
    <r>
      <t xml:space="preserve">This is the </t>
    </r>
    <r>
      <rPr>
        <b/>
        <i/>
        <sz val="10"/>
        <rFont val="Arial"/>
        <family val="2"/>
      </rPr>
      <t>Database</t>
    </r>
    <r>
      <rPr>
        <i/>
        <sz val="10"/>
        <rFont val="Arial"/>
        <family val="2"/>
      </rPr>
      <t xml:space="preserve"> range.</t>
    </r>
  </si>
  <si>
    <t>Product</t>
  </si>
  <si>
    <t>Wattage</t>
  </si>
  <si>
    <t>Life Hours</t>
  </si>
  <si>
    <t>Brand</t>
  </si>
  <si>
    <t>Box Quantity</t>
  </si>
  <si>
    <t>Boxes In Stock</t>
  </si>
  <si>
    <t>Value Of Stock</t>
  </si>
  <si>
    <t>Bulb</t>
  </si>
  <si>
    <t>Horizon</t>
  </si>
  <si>
    <t>Neon</t>
  </si>
  <si>
    <t>Spot</t>
  </si>
  <si>
    <t>Other</t>
  </si>
  <si>
    <t>Sunbeam</t>
  </si>
  <si>
    <t>unknown</t>
  </si>
  <si>
    <t>To calculate the Average cost of a particular Brand of bulb.</t>
  </si>
  <si>
    <r>
      <t xml:space="preserve">These two cells are the </t>
    </r>
    <r>
      <rPr>
        <b/>
        <i/>
        <sz val="10"/>
        <rFont val="Arial"/>
        <family val="2"/>
      </rPr>
      <t>Criteria</t>
    </r>
    <r>
      <rPr>
        <i/>
        <sz val="10"/>
        <rFont val="Arial"/>
        <family val="2"/>
      </rPr>
      <t xml:space="preserve"> range.</t>
    </r>
  </si>
  <si>
    <t xml:space="preserve">Type the brand name : </t>
  </si>
  <si>
    <t>sunbeam</t>
  </si>
  <si>
    <t xml:space="preserve"> =DAVERAGE(B3:I19,F3,E23:E24)</t>
  </si>
  <si>
    <t>This function examines a list of information and produces and average.</t>
  </si>
  <si>
    <t>=DAVERAGE(DatabaseRange,FieldName,CriteriaRange)</t>
  </si>
  <si>
    <r>
      <t xml:space="preserve">The </t>
    </r>
    <r>
      <rPr>
        <b/>
        <sz val="10"/>
        <rFont val="Arial"/>
        <family val="2"/>
      </rPr>
      <t>DatabaseRange</t>
    </r>
    <r>
      <rPr>
        <sz val="10"/>
        <rFont val="Arial"/>
        <family val="2"/>
      </rPr>
      <t xml:space="preserve"> is the entire list of information you need to examine, including the</t>
    </r>
  </si>
  <si>
    <t>field names at the top of the columns.</t>
  </si>
  <si>
    <r>
      <t xml:space="preserve">The </t>
    </r>
    <r>
      <rPr>
        <b/>
        <sz val="10"/>
        <rFont val="Arial"/>
        <family val="2"/>
      </rPr>
      <t>FieldName</t>
    </r>
    <r>
      <rPr>
        <sz val="10"/>
        <rFont val="Arial"/>
        <family val="2"/>
      </rPr>
      <t xml:space="preserve"> is the name, or cell, of the values to be averaged, such as "Unit Cost" or F3.</t>
    </r>
  </si>
  <si>
    <r>
      <t xml:space="preserve">The </t>
    </r>
    <r>
      <rPr>
        <b/>
        <sz val="10"/>
        <rFont val="Arial"/>
        <family val="2"/>
      </rPr>
      <t>CriteriaRange</t>
    </r>
    <r>
      <rPr>
        <sz val="10"/>
        <rFont val="Arial"/>
        <family val="2"/>
      </rPr>
      <t xml:space="preserve"> is made up of two types of information.</t>
    </r>
  </si>
  <si>
    <t xml:space="preserve">   The first set of information is the name, or names, of the Fields(s) to be used as the basis</t>
  </si>
  <si>
    <t xml:space="preserve">   for selecting the records, such as the category Brand or Wattage.</t>
  </si>
  <si>
    <t xml:space="preserve">   The second set of information is the actual record, or records, which are to be selected, such </t>
  </si>
  <si>
    <t xml:space="preserve">   as Horizon as a brand name, or 100 as the wattage.</t>
  </si>
  <si>
    <t>Examples</t>
  </si>
  <si>
    <t>The average Unit Cost of a particular Product of a particular Brand.</t>
  </si>
  <si>
    <t xml:space="preserve"> =DAVERAGE(B3:I19,F3,E49:F50)</t>
  </si>
  <si>
    <t>This is the same calculation but using the actual name "Unit Cost" instead of the cell address.</t>
  </si>
  <si>
    <t xml:space="preserve"> =DAVERAGE(B3:I19,"Unit Cost",E49:F50)</t>
  </si>
  <si>
    <t>The average Unit Cost of a Bulb equal to a particular Wattage.</t>
  </si>
  <si>
    <t xml:space="preserve"> =DAVERAGE(B3:I19,"Unit Cost",E60:F61)</t>
  </si>
  <si>
    <t>The average Unit Cost of a Bulb less then a particular Wattage.</t>
  </si>
  <si>
    <t>&lt;100</t>
  </si>
  <si>
    <t xml:space="preserve"> =DAVERAGE(B3:I19,"Unit Cost",E67:F68)</t>
  </si>
  <si>
    <t>DAYS360</t>
  </si>
  <si>
    <t>StartDate</t>
  </si>
  <si>
    <t>EndDate</t>
  </si>
  <si>
    <t>Days Between</t>
  </si>
  <si>
    <t>* See the Note below.</t>
  </si>
  <si>
    <t xml:space="preserve"> =DAYS360(C4,D4,TRUE)</t>
  </si>
  <si>
    <t xml:space="preserve"> =DAYS360(C5,D5,TRUE)</t>
  </si>
  <si>
    <t xml:space="preserve"> =DAYS360(C6,D6,TRUE)</t>
  </si>
  <si>
    <t xml:space="preserve"> =DAYS360(C7,D7,TRUE)</t>
  </si>
  <si>
    <t>Shows the number of days between two dates based on a 360-day year (twelve 30-day months).</t>
  </si>
  <si>
    <t>Use this function if your accounting system is based on twelve 30-day months.</t>
  </si>
  <si>
    <t xml:space="preserve"> =DAYS360(StartDate,EndDate,TRUE of FALSE)</t>
  </si>
  <si>
    <t xml:space="preserve">   TRUE : Use this for European accounting systems.</t>
  </si>
  <si>
    <t xml:space="preserve">   FALSE : Use this for USA accounting systems.</t>
  </si>
  <si>
    <t>The calculation does not include the last day. The result of using 1-Jan-98 and 5-Jan-98 will</t>
  </si>
  <si>
    <t>give a result of 4. To correct this add 1 to the result. =DAYS360(Start,End,TRUE)+1</t>
  </si>
  <si>
    <t>DB</t>
  </si>
  <si>
    <t xml:space="preserve">Purchase Price : </t>
  </si>
  <si>
    <t xml:space="preserve">Life in Years : </t>
  </si>
  <si>
    <t xml:space="preserve">Salvage value : </t>
  </si>
  <si>
    <t>Deprecation</t>
  </si>
  <si>
    <t xml:space="preserve"> =DB(E3,E5,E4,D8)</t>
  </si>
  <si>
    <t xml:space="preserve"> =DB(E3,E5,E4,D9)</t>
  </si>
  <si>
    <t xml:space="preserve"> =DB(E3,E5,E4,D10)</t>
  </si>
  <si>
    <t xml:space="preserve"> =DB(E3,E5,E4,D11)</t>
  </si>
  <si>
    <t xml:space="preserve"> =DB(E3,E5,E4,D12)</t>
  </si>
  <si>
    <t xml:space="preserve">Total Depreciation : </t>
  </si>
  <si>
    <t>* See example 4 below.</t>
  </si>
  <si>
    <t>This function calculates deprecation based upon a fixed percentage.</t>
  </si>
  <si>
    <t>The first year is depreciated by the fixed percentage.</t>
  </si>
  <si>
    <t>The second year uses the same percentage, but uses the original value of the item less</t>
  </si>
  <si>
    <t>the first years depreciation.</t>
  </si>
  <si>
    <t>Any subsequent years use the same percentage, using the original value of the item less</t>
  </si>
  <si>
    <t>the depreciation of the previous years.</t>
  </si>
  <si>
    <t>The percentage used in the depreciation is not set by the user, the function calculates</t>
  </si>
  <si>
    <t>the necessary percentage, which will be vary based upon the values inputted by the user.</t>
  </si>
  <si>
    <t>An additional feature of this function is the ability to take into account when the item was</t>
  </si>
  <si>
    <t>originally purchased.</t>
  </si>
  <si>
    <t>If the item was purchased part way through the financial year, the first years depreciation</t>
  </si>
  <si>
    <t>will be based on the remaining part of the year.</t>
  </si>
  <si>
    <t>=DB(PurchasePrice,SalvageValue,Life,PeriodToCalculate,FirstYearMonth)</t>
  </si>
  <si>
    <t>The FirstYearMonth is the month in which the item was purchased during the</t>
  </si>
  <si>
    <t>first financial year. This is an optional value, if it not used the function will assume 12 as</t>
  </si>
  <si>
    <t>the value.</t>
  </si>
  <si>
    <t>This example shows the percentage used in the depreciation.</t>
  </si>
  <si>
    <t>Year 1 depreciation is based upon the original Purchase Price alone.</t>
  </si>
  <si>
    <t>Year 2 depreciation is based upon the original Purchase Price minus Year 1 deprecation.</t>
  </si>
  <si>
    <t>Year 3 deprecation is based upon original Purchase Price minus Year 1 + Year 2 deprecation.</t>
  </si>
  <si>
    <t>The % Deprc has been calculated purely to demonstrate what % is being used.</t>
  </si>
  <si>
    <t>% Deprc</t>
  </si>
  <si>
    <t xml:space="preserve"> =DB(E47,E48,E49,D56)</t>
  </si>
  <si>
    <t>This example is similar to the previous, with the exception of the deprecation being calculated</t>
  </si>
  <si>
    <t>on a monthly basis. This has been done by multiplying the years by 12.</t>
  </si>
  <si>
    <t xml:space="preserve"> =DB(E66,E68,E67*12,D75)</t>
  </si>
  <si>
    <t>This example shows how the length of the first years ownership has been taken into account.</t>
  </si>
  <si>
    <t xml:space="preserve">First Year Ownership In Months : </t>
  </si>
  <si>
    <t xml:space="preserve"> =DB(E74,E76,E75,D84,E77)</t>
  </si>
  <si>
    <t>Why Is The Answer Wrong ?</t>
  </si>
  <si>
    <t>In all of the examples above the total depreceation may not be exactly the expected value.</t>
  </si>
  <si>
    <t>This is due to the way in which the percentage value for the depreceation has been calculated</t>
  </si>
  <si>
    <t>by the =DB() fumction.</t>
  </si>
  <si>
    <t>The percentage rate is calculated by Execl using the formula = 1 - ((salvage / cost) ^ (1 / life)).</t>
  </si>
  <si>
    <t>The result of this calculation is then rounded to three decimal places.</t>
  </si>
  <si>
    <t>Although this rounding may only make a minor change to the percentage rate, when applied</t>
  </si>
  <si>
    <t>to large values, the differnce is compounded resulting in what could be considered as</t>
  </si>
  <si>
    <t>approximate values for the the depreceation.</t>
  </si>
  <si>
    <t>This example has been created with both the Excel calculated percentage and the 'real'</t>
  </si>
  <si>
    <t>percentage calculated manually.</t>
  </si>
  <si>
    <t>The Excel Deprecation uses the =DB() function.</t>
  </si>
  <si>
    <t>The Real Deprecation uses a manual calculation.</t>
  </si>
  <si>
    <t xml:space="preserve">This is the 'real' deprecation percentage, calculated manually : </t>
  </si>
  <si>
    <t xml:space="preserve"> =1-((E117/E116)^(1/E118))</t>
  </si>
  <si>
    <t>= 1 - ((salvage / cost) ^ (1 / life)).</t>
  </si>
  <si>
    <t>Excel
Deprecation</t>
  </si>
  <si>
    <t>Real
Depreciation</t>
  </si>
  <si>
    <t>Excel
% Deprc</t>
  </si>
  <si>
    <t xml:space="preserve">Error difference : </t>
  </si>
  <si>
    <t>DCOUNT</t>
  </si>
  <si>
    <t>Count the number of products of a particular Brand which have a Life Hours rating.</t>
  </si>
  <si>
    <t xml:space="preserve"> =DCOUNT(B3:I19,D3,E23:E24)</t>
  </si>
  <si>
    <t>This function examines a list of information and counts the values in a specified column.</t>
  </si>
  <si>
    <t>It can only count values, the text items and blank cells are ignored.</t>
  </si>
  <si>
    <t>=DCOUNT(DatabaseRange,FieldName,CriteriaRange)</t>
  </si>
  <si>
    <r>
      <t xml:space="preserve">The </t>
    </r>
    <r>
      <rPr>
        <b/>
        <sz val="10"/>
        <rFont val="Arial"/>
        <family val="2"/>
      </rPr>
      <t>FieldName</t>
    </r>
    <r>
      <rPr>
        <sz val="10"/>
        <rFont val="Arial"/>
        <family val="2"/>
      </rPr>
      <t xml:space="preserve"> is the name, or cell, of the values to Count, such as "Value Of Stock" or I3.</t>
    </r>
  </si>
  <si>
    <t>The count of a particular product, with a specific number of boxes in stock.</t>
  </si>
  <si>
    <t xml:space="preserve">The number of products is : </t>
  </si>
  <si>
    <t xml:space="preserve"> =DCOUNT(B3:I19,H3,E50:F51)</t>
  </si>
  <si>
    <t>This is the same calculation but using the name "Boxes In Stock" instead of the cell address.</t>
  </si>
  <si>
    <t xml:space="preserve"> =DCOUNT(B3:I19,"Boxes In Stock",E50:F51)</t>
  </si>
  <si>
    <t>The count of the number of  Bulb products equal to a particular Wattage.</t>
  </si>
  <si>
    <t xml:space="preserve">The count is : </t>
  </si>
  <si>
    <t xml:space="preserve"> =DCOUNT(B3:I19,"Boxes In Stock",E61:F62)</t>
  </si>
  <si>
    <t>The count of Bulb products between two Wattage values.</t>
  </si>
  <si>
    <t>&gt;=80</t>
  </si>
  <si>
    <t>&lt;=100</t>
  </si>
  <si>
    <t xml:space="preserve"> =DCOUNT(B3:I19,"Boxes In Stock",E68:G69)</t>
  </si>
  <si>
    <t>DCOUNTA</t>
  </si>
  <si>
    <t>Count the number of products of a particular Brand.</t>
  </si>
  <si>
    <t xml:space="preserve"> =DCOUNTA(B3:I19,E3,E23:E24)</t>
  </si>
  <si>
    <t>This function examines a list of information and counts the non blank cells in a specified column.</t>
  </si>
  <si>
    <t>It counts values and text items, but blank cells are ignored.</t>
  </si>
  <si>
    <t>=DCOUNTA(DatabaseRange,FieldName,CriteriaRange)</t>
  </si>
  <si>
    <t>The count of a product with an unknown Life Hours value.</t>
  </si>
  <si>
    <t xml:space="preserve"> =DCOUNTA(B3:I19,D3,E50:F51)</t>
  </si>
  <si>
    <t>This is the same calculation but using the name "Life Hours" instead of the cell address.</t>
  </si>
  <si>
    <t xml:space="preserve"> =DCOUNTA(B3:I19,"Life Hours",E50:F51)</t>
  </si>
  <si>
    <t>The count of the number of  particular product of a specific brand.</t>
  </si>
  <si>
    <t xml:space="preserve"> =DCOUNTA(B3:I19,"Product",E61:F62)</t>
  </si>
  <si>
    <t>The count of particular products from specific brands.</t>
  </si>
  <si>
    <t xml:space="preserve"> =DCOUNTA(B3:I19,"Product",E68:F70)</t>
  </si>
  <si>
    <t>DEC2BIN</t>
  </si>
  <si>
    <t>Decimal Number</t>
  </si>
  <si>
    <t>Binary Equivalent</t>
  </si>
  <si>
    <t xml:space="preserve"> =DEC2BIN(C4)</t>
  </si>
  <si>
    <t xml:space="preserve"> =DEC2BIN(C5)</t>
  </si>
  <si>
    <t xml:space="preserve"> =DEC2BIN(C6)</t>
  </si>
  <si>
    <t xml:space="preserve"> =DEC2BIN(C7)</t>
  </si>
  <si>
    <t xml:space="preserve"> =DEC2BIN(C8)</t>
  </si>
  <si>
    <t xml:space="preserve"> =DEC2BIN(C9)</t>
  </si>
  <si>
    <t xml:space="preserve"> =DEC2BIN(C10)</t>
  </si>
  <si>
    <t xml:space="preserve"> =DEC2BIN(C11)</t>
  </si>
  <si>
    <t xml:space="preserve"> =DEC2BIN(C12)</t>
  </si>
  <si>
    <t xml:space="preserve"> =DEC2BIN(C13)</t>
  </si>
  <si>
    <t xml:space="preserve"> =DEC2BIN(C14)</t>
  </si>
  <si>
    <t>Places To Pad</t>
  </si>
  <si>
    <t xml:space="preserve"> =DEC2BIN(C17,D17)</t>
  </si>
  <si>
    <t xml:space="preserve"> =DEC2BIN(C18,D18)</t>
  </si>
  <si>
    <t xml:space="preserve"> =DEC2BIN(C19,D19)</t>
  </si>
  <si>
    <t xml:space="preserve"> =DEC2BIN(C20,D20)</t>
  </si>
  <si>
    <t xml:space="preserve"> =DEC2BIN(C21,D21)</t>
  </si>
  <si>
    <t>This function converts a decimal number to its binary equivalent.</t>
  </si>
  <si>
    <t>It can only cope with decimals ranging from -512 to 511.</t>
  </si>
  <si>
    <t>The result can be padded with leading 0 zeros, although this is ignored for negatives.</t>
  </si>
  <si>
    <t>=DEC2BIN(DecimalNumber,PlacesToPad)</t>
  </si>
  <si>
    <t>The PlacesToPad is optional.</t>
  </si>
  <si>
    <t>DEC2HEX</t>
  </si>
  <si>
    <t>Hexadecimal</t>
  </si>
  <si>
    <t xml:space="preserve"> =DEC2HEX(C4)</t>
  </si>
  <si>
    <t xml:space="preserve"> =DEC2HEX(C5)</t>
  </si>
  <si>
    <t xml:space="preserve"> =DEC2HEX(C6)</t>
  </si>
  <si>
    <t xml:space="preserve"> =DEC2HEX(C7)</t>
  </si>
  <si>
    <t xml:space="preserve"> =DEC2HEX(C8)</t>
  </si>
  <si>
    <t xml:space="preserve"> =DEC2HEX(C9)</t>
  </si>
  <si>
    <t xml:space="preserve"> =DEC2HEX(C10)</t>
  </si>
  <si>
    <t xml:space="preserve"> =DEC2HEX(C11)</t>
  </si>
  <si>
    <t xml:space="preserve"> =DEC2HEX(C12)</t>
  </si>
  <si>
    <t xml:space="preserve"> =DEC2HEX(C13)</t>
  </si>
  <si>
    <t xml:space="preserve"> =DEC2HEX(C14)</t>
  </si>
  <si>
    <t xml:space="preserve"> =DEC2HEX(C15)</t>
  </si>
  <si>
    <t xml:space="preserve"> =DEC2HEX(C16)</t>
  </si>
  <si>
    <t xml:space="preserve"> =DEC2HEX(C17)</t>
  </si>
  <si>
    <t xml:space="preserve"> =DEC2HEX(C18)</t>
  </si>
  <si>
    <t xml:space="preserve"> =DEC2HEX(C19)</t>
  </si>
  <si>
    <t xml:space="preserve"> =DEC2HEX(C20)</t>
  </si>
  <si>
    <t xml:space="preserve"> =DEC2HEX(C23,D23)</t>
  </si>
  <si>
    <t xml:space="preserve"> =DEC2HEX(C24,D24)</t>
  </si>
  <si>
    <t xml:space="preserve"> =DEC2HEX(C25,D25)</t>
  </si>
  <si>
    <t xml:space="preserve"> =DEC2HEX(C26,D26)</t>
  </si>
  <si>
    <t xml:space="preserve"> =DEC2HEX(C27,D27)</t>
  </si>
  <si>
    <t>This function converts a decimal number to its hexadecimal equivalent.</t>
  </si>
  <si>
    <t>It can only cope with decimals ranging from -549,755,813,888 to 549,755,813,887.</t>
  </si>
  <si>
    <t>=DEC2HEX(DecimalNumber,PlacesToPad)</t>
  </si>
  <si>
    <t>DELTA</t>
  </si>
  <si>
    <t>Number1</t>
  </si>
  <si>
    <t>Number2</t>
  </si>
  <si>
    <t>Delta</t>
  </si>
  <si>
    <t xml:space="preserve"> =DELTA(C4,D4)</t>
  </si>
  <si>
    <t xml:space="preserve"> =DELTA(C5,D5)</t>
  </si>
  <si>
    <t xml:space="preserve"> =DELTA(C6,D6)</t>
  </si>
  <si>
    <t xml:space="preserve"> =DELTA(C7,D7)</t>
  </si>
  <si>
    <t xml:space="preserve"> =DELTA(C8,D8)</t>
  </si>
  <si>
    <t xml:space="preserve"> =DELTA(C9,D9)</t>
  </si>
  <si>
    <t xml:space="preserve"> =DELTA(C10,D10)</t>
  </si>
  <si>
    <t>This function compares two values and tests whether they are exactly the same.</t>
  </si>
  <si>
    <t>If the numbers are the same the result will be 1, otherwise the result is 0.</t>
  </si>
  <si>
    <t>It only works with numbers, text values produce a result of #VALUE.</t>
  </si>
  <si>
    <t>The formatting of the number is not significant, so numbers which appear rounded due</t>
  </si>
  <si>
    <t>to the removal of decimal places will still match correctly with non rounded values.</t>
  </si>
  <si>
    <t>=DELTA(FirstNumber,SecondNumber)</t>
  </si>
  <si>
    <t>The following table is used to determine how may pairs of similar numbers are in a list.</t>
  </si>
  <si>
    <t>The =DELTA() function tests each pair and then the =SUM() function totals them.</t>
  </si>
  <si>
    <t xml:space="preserve"> =DELTA(C30,D30)</t>
  </si>
  <si>
    <t xml:space="preserve"> =DELTA(C31,D31)</t>
  </si>
  <si>
    <t xml:space="preserve"> =DELTA(C32,D32)</t>
  </si>
  <si>
    <t xml:space="preserve"> =DELTA(C33,D33)</t>
  </si>
  <si>
    <t xml:space="preserve"> =DELTA(C34,D34)</t>
  </si>
  <si>
    <t xml:space="preserve"> =DELTA(C35,D35)</t>
  </si>
  <si>
    <t xml:space="preserve"> =DELTA(C36,D36)</t>
  </si>
  <si>
    <t>Total Pairs</t>
  </si>
  <si>
    <t xml:space="preserve"> =SUM(E30:E36)</t>
  </si>
  <si>
    <t>DGET</t>
  </si>
  <si>
    <t>How many boxes of a particular item do we have in stock?</t>
  </si>
  <si>
    <t xml:space="preserve">The number in stock is : </t>
  </si>
  <si>
    <t xml:space="preserve"> =DGET(B3:I19,H3,C23:F24)</t>
  </si>
  <si>
    <t>This function examines a list of information and produces one result.</t>
  </si>
  <si>
    <t>If more than one record matches the criteria the error #NUM is shown.</t>
  </si>
  <si>
    <t>If no records match the criteria the error #VALUE is shown.</t>
  </si>
  <si>
    <t>=DGET(DatabaseRange,FieldName,CriteriaRange)</t>
  </si>
  <si>
    <r>
      <t xml:space="preserve">The </t>
    </r>
    <r>
      <rPr>
        <b/>
        <sz val="10"/>
        <rFont val="Arial"/>
        <family val="2"/>
      </rPr>
      <t>FieldName</t>
    </r>
    <r>
      <rPr>
        <sz val="10"/>
        <rFont val="Arial"/>
        <family val="2"/>
      </rPr>
      <t xml:space="preserve"> is the name, or cell, of the values to Get, such as "Value Of Stock" or I3.</t>
    </r>
  </si>
  <si>
    <t xml:space="preserve">   The second set of information is the actual record which needs to be selected, such </t>
  </si>
  <si>
    <t>This example extracts information from just one record.</t>
  </si>
  <si>
    <t xml:space="preserve"> =DGET(B3:I19,H3,C51:F52)</t>
  </si>
  <si>
    <r>
      <t xml:space="preserve">This example extracts information from multiple records and therefore shows the </t>
    </r>
    <r>
      <rPr>
        <sz val="10"/>
        <color indexed="10"/>
        <rFont val="Arial"/>
        <family val="2"/>
      </rPr>
      <t>#NUM</t>
    </r>
    <r>
      <rPr>
        <sz val="10"/>
        <color indexed="8"/>
        <rFont val="Arial"/>
        <family val="2"/>
      </rPr>
      <t xml:space="preserve"> error.</t>
    </r>
  </si>
  <si>
    <t xml:space="preserve"> =DGET(B3:I19,H3,C63:F64)</t>
  </si>
  <si>
    <t>This example extracts information from no records and therefore shows the #VALUE error.</t>
  </si>
  <si>
    <t xml:space="preserve"> =DGET(B3:I19,H3,C64:F65)</t>
  </si>
  <si>
    <t>This example uses the =IF() function to display a message when an error occurs.</t>
  </si>
  <si>
    <t xml:space="preserve"> =DGET(B3:I19,H3,C85:F86)</t>
  </si>
  <si>
    <t xml:space="preserve"> =IF(ISERR(F88),CHOOSE(ERROR.TYPE(F88)/3,"No such product.","Duplicates products found."),"One product found.")</t>
  </si>
  <si>
    <t>DMIN</t>
  </si>
  <si>
    <t>To calculate lowest Value Of Stock of a particular Brand of bulb.</t>
  </si>
  <si>
    <t xml:space="preserve"> =DMIN(B3:I19,I3,E23:E24)</t>
  </si>
  <si>
    <t>This function examines a list of information and produces smallest value from a specified column.</t>
  </si>
  <si>
    <t>=DMIN(DatabaseRange,FieldName,CriteriaRange)</t>
  </si>
  <si>
    <r>
      <t xml:space="preserve">The </t>
    </r>
    <r>
      <rPr>
        <b/>
        <sz val="10"/>
        <rFont val="Arial"/>
        <family val="2"/>
      </rPr>
      <t>FieldName</t>
    </r>
    <r>
      <rPr>
        <sz val="10"/>
        <rFont val="Arial"/>
        <family val="2"/>
      </rPr>
      <t xml:space="preserve"> is the name, or cell, of the values to pick the Min from, such as "Value Of Stock" or I3.</t>
    </r>
  </si>
  <si>
    <t>The lowest Value Of Stock of a particular Product of a particular Brand.</t>
  </si>
  <si>
    <t xml:space="preserve">The lowest value is : </t>
  </si>
  <si>
    <t xml:space="preserve"> =DMIN(B3:I19,I3,E49:F50)</t>
  </si>
  <si>
    <t>This is the same calculation but using the name "Value Of Stock" instead of the cell address.</t>
  </si>
  <si>
    <t xml:space="preserve"> =DMIN(B3:I19,"Value Of Stock",E49:F50)</t>
  </si>
  <si>
    <t>The lowest Value Of Stock of a Bulb equal to a particular Wattage.</t>
  </si>
  <si>
    <t xml:space="preserve">The lowest Value Of Stock is : </t>
  </si>
  <si>
    <t xml:space="preserve"> =DMIN(B3:I19,"Value Of Stock",E60:F61)</t>
  </si>
  <si>
    <t>The lowest Value Of Stock of a Bulb between two Wattage values.</t>
  </si>
  <si>
    <t xml:space="preserve"> =DMIN(B3:I19,"Value Of Stock",E67:G68)</t>
  </si>
  <si>
    <t>DMAX</t>
  </si>
  <si>
    <t>To calculate largest Value Of Stock of a particular Brand of bulb.</t>
  </si>
  <si>
    <t xml:space="preserve"> =DMAX(B3:I19,I3,E23:E24)</t>
  </si>
  <si>
    <t>This function examines a list of information and produces the largest value from a specified column.</t>
  </si>
  <si>
    <t>=DMAX(DatabaseRange,FieldName,CriteriaRange)</t>
  </si>
  <si>
    <r>
      <t xml:space="preserve">The </t>
    </r>
    <r>
      <rPr>
        <b/>
        <sz val="10"/>
        <rFont val="Arial"/>
        <family val="2"/>
      </rPr>
      <t>FieldName</t>
    </r>
    <r>
      <rPr>
        <sz val="10"/>
        <rFont val="Arial"/>
        <family val="2"/>
      </rPr>
      <t xml:space="preserve"> is the name or cell, of the values to pick the Max from, such as "Value Of Stock" or I3.</t>
    </r>
  </si>
  <si>
    <t>The largest Value Of Stock of a particular Product of a particular Brand.</t>
  </si>
  <si>
    <t xml:space="preserve">The largest value is : </t>
  </si>
  <si>
    <t xml:space="preserve"> =DMAX(B3:I19,I3,E49:F50)</t>
  </si>
  <si>
    <t xml:space="preserve"> =DMAX(B3:I19,"Value Of Stock",E49:F50)</t>
  </si>
  <si>
    <t>The largest Value Of Stock of a Bulb equal to a particular Wattage.</t>
  </si>
  <si>
    <t xml:space="preserve">The largest Value Of Stock is : </t>
  </si>
  <si>
    <t xml:space="preserve"> =DMAX(B3:I19,"Value Of Stock",E60:F61)</t>
  </si>
  <si>
    <t>The largest Value Of Stock of a Bulb less than a particular Wattage.</t>
  </si>
  <si>
    <t xml:space="preserve"> =DMAX(B3:I19,"Value Of Stock",E67:F68)</t>
  </si>
  <si>
    <t>DSUM</t>
  </si>
  <si>
    <t>To calculate the total Value Of Stock of a particular Brand of bulb.</t>
  </si>
  <si>
    <t xml:space="preserve"> =DSUM(B3:I19,I3,E23:E24)</t>
  </si>
  <si>
    <t>This function examines a list of information and produces the total.</t>
  </si>
  <si>
    <t>=DSUM(DatabaseRange,FieldName,CriteriaRange)</t>
  </si>
  <si>
    <r>
      <t xml:space="preserve">The </t>
    </r>
    <r>
      <rPr>
        <b/>
        <sz val="10"/>
        <rFont val="Arial"/>
        <family val="2"/>
      </rPr>
      <t>FieldName</t>
    </r>
    <r>
      <rPr>
        <sz val="10"/>
        <rFont val="Arial"/>
        <family val="2"/>
      </rPr>
      <t xml:space="preserve"> is the name, or cell, of the values to be totalled, such as "Value Of Stock" or I3.</t>
    </r>
  </si>
  <si>
    <t>The total Value Of Stock of a particular Product of a particular Brand.</t>
  </si>
  <si>
    <t xml:space="preserve">Total stock value is : </t>
  </si>
  <si>
    <t xml:space="preserve"> =DSUM(B3:I19,I3,E49:F50)</t>
  </si>
  <si>
    <t xml:space="preserve"> =DSUM(B3:I19,"Value Of Stock",E49:F50)</t>
  </si>
  <si>
    <t>The total Value Of Stock of a Bulb equal to a particular Wattage.</t>
  </si>
  <si>
    <t xml:space="preserve">Total Value Of Stock is : </t>
  </si>
  <si>
    <t xml:space="preserve"> =DSUM(B3:I19,"Value Of Stock",E60:F61)</t>
  </si>
  <si>
    <t>The total Value Of Stock of a Bulb less than a particular Wattage.</t>
  </si>
  <si>
    <t xml:space="preserve"> =DSUM(B3:I19,"Value Of Stock",E67:F68)</t>
  </si>
  <si>
    <t>Eastern data.</t>
  </si>
  <si>
    <t>Used by the example for the =INDIRECT() function.</t>
  </si>
  <si>
    <t>EDATE</t>
  </si>
  <si>
    <t>Start Date</t>
  </si>
  <si>
    <t>Plus Months</t>
  </si>
  <si>
    <t>End Date</t>
  </si>
  <si>
    <t xml:space="preserve"> =EDATE(C4,D4)</t>
  </si>
  <si>
    <t xml:space="preserve"> =EDATE(C5,D5)</t>
  </si>
  <si>
    <t xml:space="preserve"> =EDATE(C6,D6)</t>
  </si>
  <si>
    <t>This function is used to calculate a date which is a specific number of months in the past or</t>
  </si>
  <si>
    <t>in the future.</t>
  </si>
  <si>
    <t xml:space="preserve"> =EDATE(StartDate,Months)</t>
  </si>
  <si>
    <t>The result will normally be expressed as a number, this can be formatted to represent</t>
  </si>
  <si>
    <t>a date by using the Format,Cells,Number,Date command.</t>
  </si>
  <si>
    <t>This example was used by a company hiring contract staff.</t>
  </si>
  <si>
    <t>The company needed to know the end date of the employment.</t>
  </si>
  <si>
    <t>The Start date is entered.</t>
  </si>
  <si>
    <t>The contract Duration is entered as months.</t>
  </si>
  <si>
    <t>The =EDATE() function has been used to calculate the end of the contract.</t>
  </si>
  <si>
    <t xml:space="preserve"> =EDATE(C27,D27)</t>
  </si>
  <si>
    <t xml:space="preserve"> =EDATE(C28,D28)</t>
  </si>
  <si>
    <t xml:space="preserve"> =EDATE(C29,D29)</t>
  </si>
  <si>
    <t xml:space="preserve"> =EDATE(C30,D30)</t>
  </si>
  <si>
    <t xml:space="preserve"> =EDATE(C31,D31)</t>
  </si>
  <si>
    <t xml:space="preserve"> =EDATE(C32,D32)</t>
  </si>
  <si>
    <t xml:space="preserve"> =EDATE(C33,D33)</t>
  </si>
  <si>
    <t>The company decide not to end contracts on Saturday or Sunday.</t>
  </si>
  <si>
    <t>The =WEEKDAY() function has been used to identify the actaul weekday number of the end date.</t>
  </si>
  <si>
    <t xml:space="preserve">If the week day number is 6 or 7, (Sat or Sun), then 5 is subtracted from the =EDATE() to </t>
  </si>
  <si>
    <t>ensure the end of contract falls on a Friday.</t>
  </si>
  <si>
    <t xml:space="preserve"> =EDATE(C48,D48)-IF(WEEKDAY(EDATE(C48,D48),2)&gt;5,WEEKDAY(EDATE(C48,D48),2)-5,0)</t>
  </si>
  <si>
    <t>EOMONTH</t>
  </si>
  <si>
    <t>End Of Month</t>
  </si>
  <si>
    <t xml:space="preserve"> =EOMONTH(C4,D4)</t>
  </si>
  <si>
    <t xml:space="preserve"> =EOMONTH(C5,D5)</t>
  </si>
  <si>
    <t xml:space="preserve"> =EOMONTH(C6,D6)</t>
  </si>
  <si>
    <t>This function will show the last day of the month which is a specified number of months</t>
  </si>
  <si>
    <t>before or after a given date.</t>
  </si>
  <si>
    <t xml:space="preserve"> =EOMONTH(StartDate,Months)</t>
  </si>
  <si>
    <t>ERROR.TYPE</t>
  </si>
  <si>
    <t>Data</t>
  </si>
  <si>
    <t>The Error</t>
  </si>
  <si>
    <t>Error Type</t>
  </si>
  <si>
    <t xml:space="preserve"> =ERROR.TYPE(E4)</t>
  </si>
  <si>
    <t xml:space="preserve"> =ERROR.TYPE(E5)</t>
  </si>
  <si>
    <t xml:space="preserve"> =ERROR.TYPE(E6)</t>
  </si>
  <si>
    <t xml:space="preserve"> =ERROR.TYPE(E7)</t>
  </si>
  <si>
    <t>This function will show a number which corresponds to an error produced by a formula.</t>
  </si>
  <si>
    <t xml:space="preserve"> =ERROR.TYPE(Error)</t>
  </si>
  <si>
    <t xml:space="preserve">   Error is the cell reference where the error occurred.</t>
  </si>
  <si>
    <t>The result will be formatted as a normal number.</t>
  </si>
  <si>
    <t>See Example 4 in the =DGET() function.</t>
  </si>
  <si>
    <t>EXACT</t>
  </si>
  <si>
    <t>Text1</t>
  </si>
  <si>
    <t>Text2</t>
  </si>
  <si>
    <t xml:space="preserve"> =EXACT(C4,D4)</t>
  </si>
  <si>
    <t xml:space="preserve"> =EXACT(C5,D5)</t>
  </si>
  <si>
    <t>Goodbye</t>
  </si>
  <si>
    <t xml:space="preserve"> =EXACT(C6,D6)</t>
  </si>
  <si>
    <t>This function compares two items of text and determine whether they are exactly the same.</t>
  </si>
  <si>
    <t>The case of the characters is taken into account, only words which are spelt the same and</t>
  </si>
  <si>
    <t>which have upper and lower case characters in the same position will be considered as equal.</t>
  </si>
  <si>
    <t xml:space="preserve"> =EXACT(Text1,Text2)</t>
  </si>
  <si>
    <t xml:space="preserve"> Only two items of text can be compared.</t>
  </si>
  <si>
    <t>If the two items of text are exactly the same the result of TRUE will be shown.</t>
  </si>
  <si>
    <t>If there is any difference in the two items of text the result of FALSE will be shown.</t>
  </si>
  <si>
    <t>Here is a simple password checking formula.</t>
  </si>
  <si>
    <t>You need to guess the correct password.</t>
  </si>
  <si>
    <t>The password is the name of a colour, either red blue or green.</t>
  </si>
  <si>
    <t>The case of the password is important.</t>
  </si>
  <si>
    <t>The =EXACT() function is used to check your guess.</t>
  </si>
  <si>
    <t xml:space="preserve">Guess the password : </t>
  </si>
  <si>
    <t>red</t>
  </si>
  <si>
    <t xml:space="preserve">Is it correct : </t>
  </si>
  <si>
    <t>(To stop you from cheating, the correct password has been entered as a series of =CHAR()</t>
  </si>
  <si>
    <t>functions, which use the ANSI number of the characters rather than the character itself!)</t>
  </si>
  <si>
    <t>Its still very easy though.</t>
  </si>
  <si>
    <t>FACT</t>
  </si>
  <si>
    <t>Factorial</t>
  </si>
  <si>
    <t xml:space="preserve"> =FACT(C4)</t>
  </si>
  <si>
    <t xml:space="preserve"> =FACT(C5)</t>
  </si>
  <si>
    <t xml:space="preserve"> =FACT(C6)</t>
  </si>
  <si>
    <t xml:space="preserve"> =FACT(C7)</t>
  </si>
  <si>
    <t xml:space="preserve"> =FACT(C8)</t>
  </si>
  <si>
    <t>This function calculates the factorial of a number.</t>
  </si>
  <si>
    <t>The factorial is calculated as 1*2*3*4..etc.</t>
  </si>
  <si>
    <t>The factorial of 5 is calculated as 1*2*3*4*5, which results in 120.</t>
  </si>
  <si>
    <t>Decimal fractions of the number are ignored.</t>
  </si>
  <si>
    <t>=FACT(Number)</t>
  </si>
  <si>
    <t>Formatting.</t>
  </si>
  <si>
    <t>FIXED</t>
  </si>
  <si>
    <t xml:space="preserve"> =FIXED(C4)</t>
  </si>
  <si>
    <t xml:space="preserve"> =FIXED(C5,0)</t>
  </si>
  <si>
    <t xml:space="preserve"> =FIXED(C6,1)</t>
  </si>
  <si>
    <t xml:space="preserve"> =FIXED(C7,2)</t>
  </si>
  <si>
    <t xml:space="preserve"> =FIXED(C8)</t>
  </si>
  <si>
    <t xml:space="preserve"> =FIXED(C9,0)</t>
  </si>
  <si>
    <t xml:space="preserve"> =FIXED(C10,1)</t>
  </si>
  <si>
    <t xml:space="preserve"> =FIXED(C11,2)</t>
  </si>
  <si>
    <t xml:space="preserve"> =FIXED(C12)</t>
  </si>
  <si>
    <t xml:space="preserve"> =FIXED(C13,0)</t>
  </si>
  <si>
    <t xml:space="preserve"> =FIXED(C14,0,TRUE)</t>
  </si>
  <si>
    <t>This function converts a numeric value to text.</t>
  </si>
  <si>
    <t>During the conversion the value can be rounded to a specific number of decimal places,</t>
  </si>
  <si>
    <t>and commas can be inserted at the 1,000's.</t>
  </si>
  <si>
    <t>=FIXED(NumberToConvert,DecimalPlaces,Commas)</t>
  </si>
  <si>
    <t>If DecimalPlaces places is not specified the function will assume 2.</t>
  </si>
  <si>
    <t>The Commas option can be TRUE for commas or FALSE for no commas.</t>
  </si>
  <si>
    <t>If the Commas is not specified the function will assume TRUE.</t>
  </si>
  <si>
    <t>Note that any further formatting with the Format, Cells, Number command will not have any effect.</t>
  </si>
  <si>
    <t>FLOOR</t>
  </si>
  <si>
    <t>Rounded Down</t>
  </si>
  <si>
    <t xml:space="preserve"> =FLOOR(C4,1)</t>
  </si>
  <si>
    <t xml:space="preserve"> =FLOOR(C5,1)</t>
  </si>
  <si>
    <t xml:space="preserve"> =FLOOR(C6,1)</t>
  </si>
  <si>
    <t xml:space="preserve"> =FLOOR(C7,50)</t>
  </si>
  <si>
    <t xml:space="preserve"> =FLOOR(C8,50)</t>
  </si>
  <si>
    <t xml:space="preserve"> =FLOOR(C9,50)</t>
  </si>
  <si>
    <t>This function rounds a value down to the nearest multiple specified by the user.</t>
  </si>
  <si>
    <t>=FLOOR(NumberToRound,SignificantValue)</t>
  </si>
  <si>
    <t>The following table was used to calculate commission for members of a sales team.</t>
  </si>
  <si>
    <t>Commission is only paid for every £1000 of sales.</t>
  </si>
  <si>
    <t>The =FLOOR() function has been used to round down the Actual Sales to the</t>
  </si>
  <si>
    <t>nearest 1000, which is then used as the basis for Commission.</t>
  </si>
  <si>
    <t>Actual Sales</t>
  </si>
  <si>
    <t>Relevant Sales</t>
  </si>
  <si>
    <t>Commission</t>
  </si>
  <si>
    <t xml:space="preserve"> =FLOOR(D29,1000)</t>
  </si>
  <si>
    <t>FORECAST</t>
  </si>
  <si>
    <t xml:space="preserve">Type the month number to predict : </t>
  </si>
  <si>
    <t xml:space="preserve">The Forecast sales figure is : </t>
  </si>
  <si>
    <t xml:space="preserve"> =FORECAST(E11,F4:F9,E4:E9)</t>
  </si>
  <si>
    <t>This function uses two sets of values to predict a single value.</t>
  </si>
  <si>
    <t>The predicted value is based on the relationship between the two original sets of values.</t>
  </si>
  <si>
    <t>If the values are sales figures for months 1 to 6, (Jan to Jun), you can use the function</t>
  </si>
  <si>
    <t>to predict what the sales figure will be in any other month.</t>
  </si>
  <si>
    <t>The way in which the prediction is calculated is based upon the assumption of a Linear Trend.</t>
  </si>
  <si>
    <t>=FORECAST(ItemToForeCast,RangeY,RangeX)</t>
  </si>
  <si>
    <t>ItemToForecast is the point in the future, (or past), for which you need the forecast.</t>
  </si>
  <si>
    <t>RangeY is the list of values which contain the historical data to be used as the basis</t>
  </si>
  <si>
    <t>of the forecast, such as Sales figures.</t>
  </si>
  <si>
    <t>RangeX is the intervals used when recording the historical data, such as Month number.</t>
  </si>
  <si>
    <t>The following table was used by a company considering expansion of their sales team.</t>
  </si>
  <si>
    <t>The Size and Performance of the previous teams over a period of three years were entered.</t>
  </si>
  <si>
    <t>The size of the New Sales team is entered.</t>
  </si>
  <si>
    <t>The =FORECAST() function is used to calculate the predicted performance for the new sales</t>
  </si>
  <si>
    <t>team based upon a linear trend.</t>
  </si>
  <si>
    <t>Size Of
Sales Team</t>
  </si>
  <si>
    <t>Known
Performance</t>
  </si>
  <si>
    <t>Size Of The New Sales Team :</t>
  </si>
  <si>
    <t>Estimated Forecast Of Performance :</t>
  </si>
  <si>
    <t xml:space="preserve"> =FORECAST(E43,E39:E41,D39:D41)</t>
  </si>
  <si>
    <t>FREQUENCY</t>
  </si>
  <si>
    <t xml:space="preserve"> {=FREQUENCY(D4:F7,E9:E11)}</t>
  </si>
  <si>
    <t>This function compares a range of data against a list of intervals.</t>
  </si>
  <si>
    <t>The result shows how many items in the range of data fall between the intervals.</t>
  </si>
  <si>
    <t>The function is entered in the cells as an array, that is why it is enclosed in { } braces.</t>
  </si>
  <si>
    <t>=FREQUENCY(RangeOfData,ListOfIntervals)</t>
  </si>
  <si>
    <t>The following tables were used to record the weight of a group of children.</t>
  </si>
  <si>
    <t>The =FREQUENCY() function was then used to calculate the number of children whose</t>
  </si>
  <si>
    <t>weights fell between specified intervals.</t>
  </si>
  <si>
    <t>Weight Kg</t>
  </si>
  <si>
    <t>Number Of Children:</t>
  </si>
  <si>
    <t>Child 1</t>
  </si>
  <si>
    <t>Between 0 - 15 Kg</t>
  </si>
  <si>
    <t>Child 2</t>
  </si>
  <si>
    <t>Above 15 but less than or equal to 20 Kg</t>
  </si>
  <si>
    <t>Child 3</t>
  </si>
  <si>
    <t>Above 20 Kg</t>
  </si>
  <si>
    <t>Child 4</t>
  </si>
  <si>
    <t xml:space="preserve"> {=FREQUENCY(C30:C38,C41:C43)}</t>
  </si>
  <si>
    <t>Child 5</t>
  </si>
  <si>
    <t>Child 6</t>
  </si>
  <si>
    <t>Child 7</t>
  </si>
  <si>
    <t>Child 8</t>
  </si>
  <si>
    <t>Child 9</t>
  </si>
  <si>
    <t>Kg Weight Intervals</t>
  </si>
  <si>
    <t>This example uses characters instead of values.</t>
  </si>
  <si>
    <t>A restaurant has asked 40 customers for their rating of the food in the restaurant.</t>
  </si>
  <si>
    <t>The ratings were entered into a table as a single letter, E, V, A, P or D.</t>
  </si>
  <si>
    <t>The manager now wants to calculate how many responses fell into each category.</t>
  </si>
  <si>
    <t>Unfortunately, the =FREQUENCY() function ignores text entries, so how can the frequency</t>
  </si>
  <si>
    <t>of text be calculated?</t>
  </si>
  <si>
    <t>The answer is to use the =CODE() and =UPPER() functions.</t>
  </si>
  <si>
    <t>The =UPPER() forces all the text entries to be considered as capital letters.</t>
  </si>
  <si>
    <t>The =CODE() function calculates the unique ANSI code for each character.</t>
  </si>
  <si>
    <t>As this code is a numeric value, the =FREQUENCY() function can then be used!</t>
  </si>
  <si>
    <t>Rating</t>
  </si>
  <si>
    <t>Frequency</t>
  </si>
  <si>
    <t>Excellent</t>
  </si>
  <si>
    <t xml:space="preserve">  {=FREQUENCY(CODE(UPPER(B67:I71)),CODE(UPPER(C60:C64)))}</t>
  </si>
  <si>
    <t>Very Good</t>
  </si>
  <si>
    <t>V</t>
  </si>
  <si>
    <t>Poor</t>
  </si>
  <si>
    <t>Disgusting</t>
  </si>
  <si>
    <t>D</t>
  </si>
  <si>
    <t>Customer Ratings</t>
  </si>
  <si>
    <t>FREQUENCY 2</t>
  </si>
  <si>
    <t>This example shows how the =FREQUENCY() function has been used to calculate</t>
  </si>
  <si>
    <t>how often certain numbers appear in the Lottery results.</t>
  </si>
  <si>
    <t>Table 1 is a record of all the results from the past seven weeks.</t>
  </si>
  <si>
    <t>Week 1</t>
  </si>
  <si>
    <t>Week 2</t>
  </si>
  <si>
    <t>Week 3</t>
  </si>
  <si>
    <t>Week 4</t>
  </si>
  <si>
    <t>Week 5</t>
  </si>
  <si>
    <t>Week 6</t>
  </si>
  <si>
    <t>Week 7</t>
  </si>
  <si>
    <t>1st Number</t>
  </si>
  <si>
    <t>2nd Number</t>
  </si>
  <si>
    <t>3rd Number</t>
  </si>
  <si>
    <t>4th Number</t>
  </si>
  <si>
    <t>5th Number</t>
  </si>
  <si>
    <t>6th Number</t>
  </si>
  <si>
    <t>Bonus Ball</t>
  </si>
  <si>
    <t>Table 2 is the list of possible number from 1 to 49, and how many appearances</t>
  </si>
  <si>
    <t>each number has made during the past seven weeks.</t>
  </si>
  <si>
    <t>Lottery
Number</t>
  </si>
  <si>
    <t>How Many
Appearances</t>
  </si>
  <si>
    <t>{=FREQUENCY(C10:I16,B24:B72)}</t>
  </si>
  <si>
    <t>Special tip!</t>
  </si>
  <si>
    <t>To count how many unique numbers in a range</t>
  </si>
  <si>
    <t>use the following formula. It has to be entered,</t>
  </si>
  <si>
    <t>as an array, so press Ctrl+Shift+Enter rather than,</t>
  </si>
  <si>
    <t>just Enter alone.</t>
  </si>
  <si>
    <t>Unique values.</t>
  </si>
  <si>
    <t xml:space="preserve"> =SUM(1/COUNTIF(C10:I16,C10:I16))</t>
  </si>
  <si>
    <t>GCD</t>
  </si>
  <si>
    <t>Numbers</t>
  </si>
  <si>
    <t>Greatest
Divisor</t>
  </si>
  <si>
    <t xml:space="preserve"> =GCD(C4,D4)</t>
  </si>
  <si>
    <t xml:space="preserve"> =GCD(C5,D5)</t>
  </si>
  <si>
    <t xml:space="preserve"> =GCD(C6,D6)</t>
  </si>
  <si>
    <t xml:space="preserve"> =GCD(C9,D9,E9)</t>
  </si>
  <si>
    <t xml:space="preserve"> =GCD(C10,D10,E10)</t>
  </si>
  <si>
    <t xml:space="preserve"> =GCD(C11,D11,E11)</t>
  </si>
  <si>
    <t>This function calculates the largest number which can be used to divided all the</t>
  </si>
  <si>
    <t>values specified.</t>
  </si>
  <si>
    <t>The result is always a whole number.</t>
  </si>
  <si>
    <t>Where there is no common divisor the value of 1 is used.</t>
  </si>
  <si>
    <t>Decimal fractions are ignored.</t>
  </si>
  <si>
    <t>=GCD(Number1,Number2,Number3... through to Number29)</t>
  </si>
  <si>
    <t>GESTEP</t>
  </si>
  <si>
    <t xml:space="preserve"> =GESTEP(C4,D4)</t>
  </si>
  <si>
    <t xml:space="preserve"> =GESTEP(C5,D5)</t>
  </si>
  <si>
    <t xml:space="preserve"> =GESTEP(C6,D6)</t>
  </si>
  <si>
    <t xml:space="preserve"> =GESTEP(C7,D7)</t>
  </si>
  <si>
    <t xml:space="preserve"> =GESTEP(C8,D8)</t>
  </si>
  <si>
    <t xml:space="preserve"> =GESTEP(C9,D9)</t>
  </si>
  <si>
    <t xml:space="preserve"> =GESTEP(C10,D10)</t>
  </si>
  <si>
    <t>This function test a number to see if it is greater than or equal to another number.</t>
  </si>
  <si>
    <t>If the number is greater than or equal, the result of 1 will be shown, otherwise 0 is shown.</t>
  </si>
  <si>
    <t>=GESTEP(NumberToTest,NumberToTestAgainst)</t>
  </si>
  <si>
    <t>The following table was used to calculate how many sales staff achieved their targets.</t>
  </si>
  <si>
    <t>The =GESTEP() function compares the Sales with Target, and the results are totalled.</t>
  </si>
  <si>
    <t>Target</t>
  </si>
  <si>
    <t xml:space="preserve"> =GESTEP(D27,E27)</t>
  </si>
  <si>
    <t xml:space="preserve"> =GESTEP(D28,E28)</t>
  </si>
  <si>
    <t xml:space="preserve"> =GESTEP(D29,E29)</t>
  </si>
  <si>
    <t xml:space="preserve"> =GESTEP(D30,E30)</t>
  </si>
  <si>
    <t xml:space="preserve"> =GESTEP(D31,E31)</t>
  </si>
  <si>
    <t>Targets Achieved</t>
  </si>
  <si>
    <t xml:space="preserve"> =SUM(F27:F31)</t>
  </si>
  <si>
    <t>HEX2DEC</t>
  </si>
  <si>
    <t xml:space="preserve"> =HEX2DEC(C4)</t>
  </si>
  <si>
    <t xml:space="preserve"> =HEX2DEC(C5)</t>
  </si>
  <si>
    <t xml:space="preserve"> =HEX2DEC(C6)</t>
  </si>
  <si>
    <t xml:space="preserve"> =HEX2DEC(C7)</t>
  </si>
  <si>
    <t>1A</t>
  </si>
  <si>
    <t xml:space="preserve"> =HEX2DEC(C8)</t>
  </si>
  <si>
    <t>1B</t>
  </si>
  <si>
    <t xml:space="preserve"> =HEX2DEC(C9)</t>
  </si>
  <si>
    <t>7FFFFFFFFF</t>
  </si>
  <si>
    <t xml:space="preserve"> =HEX2DEC(C10)</t>
  </si>
  <si>
    <t xml:space="preserve"> =HEX2DEC(C11)</t>
  </si>
  <si>
    <t>FFFFFFFFFF</t>
  </si>
  <si>
    <t xml:space="preserve"> =HEX2DEC(C12)</t>
  </si>
  <si>
    <t>FFFFFFFFFE</t>
  </si>
  <si>
    <t xml:space="preserve"> =HEX2DEC(C13)</t>
  </si>
  <si>
    <t>FFFFFFFFFD</t>
  </si>
  <si>
    <t xml:space="preserve"> =HEX2DEC(C14)</t>
  </si>
  <si>
    <t>This function converts a hexadecimal number to its decimal equivalent.</t>
  </si>
  <si>
    <t>=HEX2DEC(HexaDecimalNumber)</t>
  </si>
  <si>
    <t>The following table was used to add two hexadecimal values together.</t>
  </si>
  <si>
    <t>Value 1</t>
  </si>
  <si>
    <t>Value 2</t>
  </si>
  <si>
    <t xml:space="preserve"> =DEC2HEX(HEX2DEC(C29)+HEX2DEC(C30))</t>
  </si>
  <si>
    <t>HOUR</t>
  </si>
  <si>
    <t xml:space="preserve"> =HOUR(C4)</t>
  </si>
  <si>
    <t xml:space="preserve"> =HOUR(C5)</t>
  </si>
  <si>
    <t>The function will show the hour of the day based upon a time or a number.</t>
  </si>
  <si>
    <t xml:space="preserve"> =HOUR(Number)</t>
  </si>
  <si>
    <t>The result will be shown as a normal number between 0 and 23.</t>
  </si>
  <si>
    <t>IF</t>
  </si>
  <si>
    <t xml:space="preserve"> =IF(C4&gt;=D4,"Achieved","Not Achieved")</t>
  </si>
  <si>
    <t xml:space="preserve"> =IF(C5&gt;=D5,"Achieved","Not Achieved")</t>
  </si>
  <si>
    <t xml:space="preserve"> =IF(C6&gt;=D6,"Achieved","Not Achieved")</t>
  </si>
  <si>
    <t>This function tests a condition.</t>
  </si>
  <si>
    <t>If the condition is met it is considered to be TRUE.</t>
  </si>
  <si>
    <t>If the condition is not met it is considered as FALSE.</t>
  </si>
  <si>
    <t>Depending upon the result, one of two actions will be carried out.</t>
  </si>
  <si>
    <t xml:space="preserve"> =IF(Condition,ActionIfTrue,ActionIfFalse)</t>
  </si>
  <si>
    <t>The Condition is usually a test of two cells, such as A1=A2.</t>
  </si>
  <si>
    <t>The ActionIfTrue and ActionIfFalse can be numbers, text or calculations.</t>
  </si>
  <si>
    <t>The following table shows the Sales figures and Targets for sales reps.</t>
  </si>
  <si>
    <t>Each has their own target which they must reach.</t>
  </si>
  <si>
    <t>The =IF() function is used to compare the Sales with the Target.</t>
  </si>
  <si>
    <t>If the Sales are greater than or equal to the Target the result of Achieved is shown.</t>
  </si>
  <si>
    <t>If the Sales do not reach the target the result of Not Achieved is shown.</t>
  </si>
  <si>
    <t>Note that the text used in the =IF() function needs to be placed in double quotes "Achieved".</t>
  </si>
  <si>
    <t xml:space="preserve"> =IF(C31&gt;=D31,"Achieved","Not Achieved")</t>
  </si>
  <si>
    <t xml:space="preserve"> =IF(C32&gt;=D32,"Achieved","Not Achieved")</t>
  </si>
  <si>
    <t xml:space="preserve"> =IF(C33&gt;=D33,"Achieved","Not Achieved")</t>
  </si>
  <si>
    <t>The following table is similar to that in Example 1.</t>
  </si>
  <si>
    <t>This time the Commission to be paid to the sales rep is calculated.</t>
  </si>
  <si>
    <t>If the Sales are greater than or equal to the Target, the Commission is 10% of Sales.</t>
  </si>
  <si>
    <t>If the Sales do not reach Target, the Commission is only 5% of Sales.</t>
  </si>
  <si>
    <t xml:space="preserve"> =IF(C43&gt;=D43,C43*10%,C43*5%)</t>
  </si>
  <si>
    <t xml:space="preserve"> =IF(C44&gt;=D44,C44*10%,C44*5%)</t>
  </si>
  <si>
    <t xml:space="preserve"> =IF(C45&gt;=D45,C45*10%,C45*5%)</t>
  </si>
  <si>
    <t>This example uses the =AND() within the =IF() function.</t>
  </si>
  <si>
    <t>A builders merchant gives 10% discount on certain product lines.</t>
  </si>
  <si>
    <t>The discount is only given on products which are on Special Offer, when the Order Value</t>
  </si>
  <si>
    <t>is £1000 or above.</t>
  </si>
  <si>
    <r>
      <t xml:space="preserve">The =AND() function is used with the =IF() to check that the product is on offer </t>
    </r>
    <r>
      <rPr>
        <b/>
        <sz val="10"/>
        <rFont val="Arial"/>
        <family val="2"/>
      </rPr>
      <t>and</t>
    </r>
    <r>
      <rPr>
        <sz val="10"/>
        <rFont val="Arial"/>
        <family val="2"/>
      </rPr>
      <t xml:space="preserve"> that</t>
    </r>
  </si>
  <si>
    <t>the value of the order is above £1000.</t>
  </si>
  <si>
    <t>Special</t>
  </si>
  <si>
    <t>Order</t>
  </si>
  <si>
    <t>Offer</t>
  </si>
  <si>
    <t>Value</t>
  </si>
  <si>
    <t>Yes</t>
  </si>
  <si>
    <t>Turf</t>
  </si>
  <si>
    <t xml:space="preserve"> =IF(AND(C61="Yes",D61&gt;=1000),D61*10%,0)</t>
  </si>
  <si>
    <t>INDEX</t>
  </si>
  <si>
    <t>Holiday booking price list.</t>
  </si>
  <si>
    <t>People</t>
  </si>
  <si>
    <t>Weeks</t>
  </si>
  <si>
    <t xml:space="preserve">How many weeks required : </t>
  </si>
  <si>
    <t xml:space="preserve">How many people in the party : </t>
  </si>
  <si>
    <t xml:space="preserve">Cost per person is : </t>
  </si>
  <si>
    <t xml:space="preserve"> =INDEX(D7:G9,G11,G12)</t>
  </si>
  <si>
    <t>This function picks a value from a range of data by looking down a specified number</t>
  </si>
  <si>
    <t>of rows and then across a specified number of columns.</t>
  </si>
  <si>
    <t>It can be used with a single block of data, or non-continuos blocks.</t>
  </si>
  <si>
    <t>There are various forms of syntax for this function.</t>
  </si>
  <si>
    <t>Syntax 1</t>
  </si>
  <si>
    <t>=INDEX(RangeToLookIn,Coordinate)</t>
  </si>
  <si>
    <t>This is used when the RangeToLookIn is either a single column or row.</t>
  </si>
  <si>
    <t>The Co-ordinate indicates how far down or across to look when picking the data from the range.</t>
  </si>
  <si>
    <t>Both of the examples below use the same syntax, but the Co-ordinate refers to a row when</t>
  </si>
  <si>
    <t>the range is vertical and a column when the range is horizontal.</t>
  </si>
  <si>
    <t>Colours</t>
  </si>
  <si>
    <t>Size</t>
  </si>
  <si>
    <t>Large</t>
  </si>
  <si>
    <t>Medium</t>
  </si>
  <si>
    <t>Small</t>
  </si>
  <si>
    <t xml:space="preserve">Type either 1, 2 or 3 : </t>
  </si>
  <si>
    <t xml:space="preserve">The colour is : </t>
  </si>
  <si>
    <t xml:space="preserve">The size is : </t>
  </si>
  <si>
    <t xml:space="preserve"> =INDEX(D32:D34,D36)</t>
  </si>
  <si>
    <t xml:space="preserve"> =INDEX(G34:I34,H36)</t>
  </si>
  <si>
    <t>Syntax 2</t>
  </si>
  <si>
    <t>=INDEX(RangeToLookIn,RowCoordinate,ColumnColumnCordinate)</t>
  </si>
  <si>
    <t>This syntax is used when the range is made up of rows and columns.</t>
  </si>
  <si>
    <t>Country</t>
  </si>
  <si>
    <t>Currency</t>
  </si>
  <si>
    <t>Population</t>
  </si>
  <si>
    <t>Capitol</t>
  </si>
  <si>
    <t>England</t>
  </si>
  <si>
    <t>Sterling</t>
  </si>
  <si>
    <t>50 M</t>
  </si>
  <si>
    <t>London</t>
  </si>
  <si>
    <t>France</t>
  </si>
  <si>
    <t>Franc</t>
  </si>
  <si>
    <t>40 M</t>
  </si>
  <si>
    <t>Paris</t>
  </si>
  <si>
    <t>Germany</t>
  </si>
  <si>
    <t>DM</t>
  </si>
  <si>
    <t>60 M</t>
  </si>
  <si>
    <t>Bonn</t>
  </si>
  <si>
    <t>Spain</t>
  </si>
  <si>
    <t>Peseta</t>
  </si>
  <si>
    <t>30 M</t>
  </si>
  <si>
    <t>Barcelona</t>
  </si>
  <si>
    <t xml:space="preserve">Type 1,2,3 or 4 for the country : </t>
  </si>
  <si>
    <t xml:space="preserve">Type 1,2 or 3 for statistics : </t>
  </si>
  <si>
    <t xml:space="preserve"> =INDEX(D45:F48,F50,F51)</t>
  </si>
  <si>
    <t>Syntax 3</t>
  </si>
  <si>
    <t>=INDEX(NamedRangeToLookIn,RowCoordinate,ColumnColumnCordinate,AreaToPickFrom)</t>
  </si>
  <si>
    <t>Using this syntax the range to look in can be made up of multiple areas.</t>
  </si>
  <si>
    <t>The easiest way to refer to these areas is to select them and give them a single name.</t>
  </si>
  <si>
    <t>The AreaToPickFrom indicates which of the multiple areas should be used.</t>
  </si>
  <si>
    <t>In the following example the figures for North and South have been named as one</t>
  </si>
  <si>
    <t>range called NorthAndSouth.</t>
  </si>
  <si>
    <t>NORTH</t>
  </si>
  <si>
    <t>Qtr1</t>
  </si>
  <si>
    <t>Qtr2</t>
  </si>
  <si>
    <t>Qtr3</t>
  </si>
  <si>
    <t>Qtr4</t>
  </si>
  <si>
    <t>SOUTH</t>
  </si>
  <si>
    <t xml:space="preserve">Type 1, 2 or 3 for the product : </t>
  </si>
  <si>
    <t xml:space="preserve">Type 1, 2, 3 or 4 for the Qtr : </t>
  </si>
  <si>
    <t xml:space="preserve">Type 1 for North or 2 for South : </t>
  </si>
  <si>
    <t xml:space="preserve"> =INDEX(NorthAndSouth,F76,F77,F78)</t>
  </si>
  <si>
    <t>This is an extended version of the previous example.</t>
  </si>
  <si>
    <t>It allows the names of products and the quarters to be entered.</t>
  </si>
  <si>
    <t>The =MATCH() function is used to find the row and column positions of the names entered.</t>
  </si>
  <si>
    <t>These positions are then used by the =INDEX() function to look for the data.</t>
  </si>
  <si>
    <t>EAST</t>
  </si>
  <si>
    <t>WEST</t>
  </si>
  <si>
    <t>wood</t>
  </si>
  <si>
    <t>qtr2</t>
  </si>
  <si>
    <t>west</t>
  </si>
  <si>
    <r>
      <t xml:space="preserve"> =INDEX(</t>
    </r>
    <r>
      <rPr>
        <sz val="8"/>
        <color indexed="20"/>
        <rFont val="Arial"/>
        <family val="2"/>
      </rPr>
      <t>EastAndWest</t>
    </r>
    <r>
      <rPr>
        <sz val="8"/>
        <rFont val="Arial"/>
        <family val="2"/>
      </rPr>
      <t>,</t>
    </r>
    <r>
      <rPr>
        <sz val="8"/>
        <color indexed="17"/>
        <rFont val="Arial"/>
        <family val="2"/>
      </rPr>
      <t>MATCH(F100,C91:C93,0)</t>
    </r>
    <r>
      <rPr>
        <sz val="8"/>
        <rFont val="Arial"/>
        <family val="2"/>
      </rPr>
      <t>,</t>
    </r>
    <r>
      <rPr>
        <sz val="8"/>
        <color indexed="10"/>
        <rFont val="Arial"/>
        <family val="2"/>
      </rPr>
      <t>MATCH(F101,D90:G90,0)</t>
    </r>
    <r>
      <rPr>
        <sz val="8"/>
        <rFont val="Arial"/>
        <family val="2"/>
      </rPr>
      <t>,</t>
    </r>
    <r>
      <rPr>
        <sz val="8"/>
        <color indexed="14"/>
        <rFont val="Arial"/>
        <family val="2"/>
      </rPr>
      <t>IF(F102=C90,1,IF(F102=C95,2))</t>
    </r>
    <r>
      <rPr>
        <sz val="8"/>
        <rFont val="Arial"/>
        <family val="2"/>
      </rPr>
      <t>)</t>
    </r>
  </si>
  <si>
    <t>INDIRECT</t>
  </si>
  <si>
    <t xml:space="preserve">Type address of any of the cells in the above table, such as G6 : </t>
  </si>
  <si>
    <t>G6</t>
  </si>
  <si>
    <t xml:space="preserve">The value in the cell you typed is : </t>
  </si>
  <si>
    <t xml:space="preserve"> =INDIRECT(H9)</t>
  </si>
  <si>
    <t>This function converts a plain piece of text which looks like a cell address into a usable</t>
  </si>
  <si>
    <t>cell reference.</t>
  </si>
  <si>
    <t>The address can be either on the same worksheet or on a different worksheet.</t>
  </si>
  <si>
    <t>=INDIRECT(Text)</t>
  </si>
  <si>
    <t>This example shows how data can be picked form other worksheets by using</t>
  </si>
  <si>
    <t>the worksheet name and a cell address.</t>
  </si>
  <si>
    <t>The example uses three other worksheets named NORTH, SOUTH and EAST.</t>
  </si>
  <si>
    <t>The data on these three sheets is laid out in the same cells on each sheet.</t>
  </si>
  <si>
    <t>When a reference to a sheet is made the exclamation symbol ! needs to be placed</t>
  </si>
  <si>
    <t>between the sheet name and cell address acting as punctuation.</t>
  </si>
  <si>
    <r>
      <t xml:space="preserve">Type the name of the </t>
    </r>
    <r>
      <rPr>
        <b/>
        <sz val="10"/>
        <rFont val="Arial"/>
        <family val="2"/>
      </rPr>
      <t>sheet</t>
    </r>
    <r>
      <rPr>
        <sz val="10"/>
        <rFont val="Arial"/>
        <family val="2"/>
      </rPr>
      <t xml:space="preserve">, such as North : </t>
    </r>
  </si>
  <si>
    <r>
      <t xml:space="preserve">Type the </t>
    </r>
    <r>
      <rPr>
        <b/>
        <sz val="10"/>
        <rFont val="Arial"/>
        <family val="2"/>
      </rPr>
      <t>cell</t>
    </r>
    <r>
      <rPr>
        <sz val="10"/>
        <rFont val="Arial"/>
        <family val="2"/>
      </rPr>
      <t xml:space="preserve"> to pick data from, such as C8 : </t>
    </r>
  </si>
  <si>
    <t>C8</t>
  </si>
  <si>
    <t xml:space="preserve"> =INDIRECT(G33&amp;"!"&amp;G34)</t>
  </si>
  <si>
    <t>This example uses the same data as above, but this time the =SUM() function is</t>
  </si>
  <si>
    <t>used to calculate a total from a range of cells.</t>
  </si>
  <si>
    <r>
      <t xml:space="preserve">Type the name of the </t>
    </r>
    <r>
      <rPr>
        <b/>
        <sz val="10"/>
        <rFont val="Arial"/>
        <family val="2"/>
      </rPr>
      <t>sheet</t>
    </r>
    <r>
      <rPr>
        <sz val="10"/>
        <rFont val="Arial"/>
        <family val="2"/>
      </rPr>
      <t>,</t>
    </r>
    <r>
      <rPr>
        <sz val="10"/>
        <rFont val="Arial"/>
        <family val="2"/>
      </rPr>
      <t xml:space="preserve"> such as South : </t>
    </r>
  </si>
  <si>
    <r>
      <t xml:space="preserve">Type the </t>
    </r>
    <r>
      <rPr>
        <b/>
        <sz val="10"/>
        <rFont val="Arial"/>
        <family val="2"/>
      </rPr>
      <t>start</t>
    </r>
    <r>
      <rPr>
        <sz val="10"/>
        <rFont val="Arial"/>
        <family val="2"/>
      </rPr>
      <t xml:space="preserve"> cell of the range, such as C5 : </t>
    </r>
  </si>
  <si>
    <t>C5</t>
  </si>
  <si>
    <r>
      <t xml:space="preserve">Type the </t>
    </r>
    <r>
      <rPr>
        <b/>
        <sz val="10"/>
        <rFont val="Arial"/>
        <family val="2"/>
      </rPr>
      <t>end</t>
    </r>
    <r>
      <rPr>
        <sz val="10"/>
        <rFont val="Arial"/>
        <family val="2"/>
      </rPr>
      <t xml:space="preserve"> cell of the range, such as C7 : </t>
    </r>
  </si>
  <si>
    <t>C7</t>
  </si>
  <si>
    <t xml:space="preserve"> =SUM(INDIRECT(G44&amp;"!"&amp;G45&amp;":"&amp;G46))</t>
  </si>
  <si>
    <t>INFO</t>
  </si>
  <si>
    <t>System Information</t>
  </si>
  <si>
    <t>Current directory</t>
  </si>
  <si>
    <t xml:space="preserve"> =INFO("directory")</t>
  </si>
  <si>
    <t>Available bytes of memory</t>
  </si>
  <si>
    <t xml:space="preserve"> =INFO("memavail")</t>
  </si>
  <si>
    <t>Memory in use</t>
  </si>
  <si>
    <t xml:space="preserve"> =INFO("memused")</t>
  </si>
  <si>
    <t>Total bytes of memory</t>
  </si>
  <si>
    <t xml:space="preserve"> =INFO("totmem")</t>
  </si>
  <si>
    <t>Number of active worksheets</t>
  </si>
  <si>
    <t xml:space="preserve"> =INFO("numfile")</t>
  </si>
  <si>
    <t>Cell currently in the top left of the window</t>
  </si>
  <si>
    <t xml:space="preserve"> =INFO("origin")</t>
  </si>
  <si>
    <t>Operating system</t>
  </si>
  <si>
    <t xml:space="preserve"> =INFO("osversion")</t>
  </si>
  <si>
    <t>Recalculation mode</t>
  </si>
  <si>
    <t xml:space="preserve"> =INFO("recalc")</t>
  </si>
  <si>
    <t>Excel version</t>
  </si>
  <si>
    <t xml:space="preserve"> =INFO("release")</t>
  </si>
  <si>
    <t>Name of system. (PC or Mac)</t>
  </si>
  <si>
    <t xml:space="preserve"> =INFO("system")</t>
  </si>
  <si>
    <t>This function provides information about the operating environment of the computer.</t>
  </si>
  <si>
    <t xml:space="preserve"> =INFO(text)</t>
  </si>
  <si>
    <t xml:space="preserve">   text : This is the name of the item you require information about.</t>
  </si>
  <si>
    <t>The results will be shown as text or a number depending upon what was requested.</t>
  </si>
  <si>
    <t>INT</t>
  </si>
  <si>
    <t>Integer</t>
  </si>
  <si>
    <t xml:space="preserve"> =INT(C4)</t>
  </si>
  <si>
    <t xml:space="preserve"> =INT(C5)</t>
  </si>
  <si>
    <t xml:space="preserve"> =INT(C6)</t>
  </si>
  <si>
    <t xml:space="preserve"> =INT(C7)</t>
  </si>
  <si>
    <t>This function rounds a number down to the nearest whole number.</t>
  </si>
  <si>
    <t>=INT(Number)</t>
  </si>
  <si>
    <t>The following table was used by a school to calculate the age a child when the</t>
  </si>
  <si>
    <t>school year started.</t>
  </si>
  <si>
    <t>A child can only be admitted to school if they are over 8 years old.</t>
  </si>
  <si>
    <t>The Birth Date and the Term Start date are entered and the age calculated.</t>
  </si>
  <si>
    <t>Table 1 shows the age of the child with decimal places</t>
  </si>
  <si>
    <t>Birth Date</t>
  </si>
  <si>
    <t>Term Start</t>
  </si>
  <si>
    <t xml:space="preserve"> =(D27-C27)/365.25</t>
  </si>
  <si>
    <t>Table 2 shows the age of the child with the Age formatted with no decimal places.</t>
  </si>
  <si>
    <t>This has the effect of increasing the child age.</t>
  </si>
  <si>
    <t xml:space="preserve"> =(D38-C38)/365.25</t>
  </si>
  <si>
    <t>Table 3 shows the age of the child with the Age calculated using the =INT() function to</t>
  </si>
  <si>
    <t>remove the decimal part of the number to give the correct age.</t>
  </si>
  <si>
    <t>Table 3</t>
  </si>
  <si>
    <t xml:space="preserve"> =INT((D49-C49)/365.25)</t>
  </si>
  <si>
    <t>The age is calculated by subtracting the Birth Date from the Term Start to find the</t>
  </si>
  <si>
    <t>age of the child in days.</t>
  </si>
  <si>
    <t>The number of days is then divided by 365.25</t>
  </si>
  <si>
    <t>The reason for using 365.25 is to take account of the leap years.</t>
  </si>
  <si>
    <t>ISBLANK</t>
  </si>
  <si>
    <t>Is The Cell Blank</t>
  </si>
  <si>
    <t xml:space="preserve"> =ISBLANK(C4)</t>
  </si>
  <si>
    <t xml:space="preserve"> =ISBLANK(C5)</t>
  </si>
  <si>
    <t xml:space="preserve"> =ISBLANK(C6)</t>
  </si>
  <si>
    <t xml:space="preserve"> =ISBLANK(C7)</t>
  </si>
  <si>
    <t>This function will determine if there is an entry in a particular cell.</t>
  </si>
  <si>
    <t>It can be used when a  spreadsheet has blank cells which may cause errors, but which</t>
  </si>
  <si>
    <t>will be filled later as the data is received by the user.</t>
  </si>
  <si>
    <t>Usually the function is used in conjunction with the =IF() function which can test the result</t>
  </si>
  <si>
    <t>of the =ISBLANK()</t>
  </si>
  <si>
    <t xml:space="preserve"> =ISBLANK(CellToTest)</t>
  </si>
  <si>
    <t>Used by itself the result will be shown as TRUE or FALSE.</t>
  </si>
  <si>
    <t>The following example shows a list of cheques received by a company.</t>
  </si>
  <si>
    <t>When the cheque is cleared the date is entered.</t>
  </si>
  <si>
    <t>Until the Cleared date is entered the Cleared column is blank.</t>
  </si>
  <si>
    <t>While the Cleared column is blank the cheque will still be Outstanding.</t>
  </si>
  <si>
    <t>When the Cleared date is entered the cheque will be shown as Banked.</t>
  </si>
  <si>
    <t>The =ISBLANK() function is used to determine whether the Cleared column is empty or not.</t>
  </si>
  <si>
    <t>Cheques Received</t>
  </si>
  <si>
    <t>Num</t>
  </si>
  <si>
    <t>From</t>
  </si>
  <si>
    <t>Received</t>
  </si>
  <si>
    <t>Amount</t>
  </si>
  <si>
    <t>Cleared</t>
  </si>
  <si>
    <t>Banked</t>
  </si>
  <si>
    <t>Outstanding</t>
  </si>
  <si>
    <t>chq1</t>
  </si>
  <si>
    <t>ABC Ltd</t>
  </si>
  <si>
    <t>chq2</t>
  </si>
  <si>
    <t>CJ Design</t>
  </si>
  <si>
    <t>chq3</t>
  </si>
  <si>
    <t>J Smith</t>
  </si>
  <si>
    <t>chq4</t>
  </si>
  <si>
    <t>Travel Co.</t>
  </si>
  <si>
    <t>chq5</t>
  </si>
  <si>
    <t xml:space="preserve"> =IF(ISBLANK(F36),0,E36)</t>
  </si>
  <si>
    <t xml:space="preserve"> =IF(ISBLANK(F36),E36,0)</t>
  </si>
  <si>
    <t>Totals</t>
  </si>
  <si>
    <t>ISERR</t>
  </si>
  <si>
    <t>Cell to test</t>
  </si>
  <si>
    <t xml:space="preserve"> =ISERR(D4)</t>
  </si>
  <si>
    <t xml:space="preserve"> =ISERR(D5)</t>
  </si>
  <si>
    <t xml:space="preserve"> =ISERR(D6)</t>
  </si>
  <si>
    <t xml:space="preserve"> =ISERR(D7)</t>
  </si>
  <si>
    <t xml:space="preserve"> =ISERR(D8)</t>
  </si>
  <si>
    <t xml:space="preserve"> =ISERR(D9)</t>
  </si>
  <si>
    <t xml:space="preserve"> =ISERR(D10)</t>
  </si>
  <si>
    <t>This function tests a cell and shows TRUE if there is an error value in the cell.</t>
  </si>
  <si>
    <t>It will show FALSE if the contents of the cell calculate without an error, or if the error</t>
  </si>
  <si>
    <t>is the #NA message.</t>
  </si>
  <si>
    <t>=ISERR(CellToTest)</t>
  </si>
  <si>
    <t>The CellToTest can be a cell reference or a calculation.</t>
  </si>
  <si>
    <t>The following tables were used by a publican to calculate the cost of a single bottle</t>
  </si>
  <si>
    <t>of champagne, by dividing the cost of the crate by the quantity of bottles in the crate.</t>
  </si>
  <si>
    <t>Table 1 shows what happens when the value zero 0 is entered as the number of bottles.</t>
  </si>
  <si>
    <t>The #DIV/0 indicates that an attempt was made to divide by zero 0, which Excel does not do.</t>
  </si>
  <si>
    <t xml:space="preserve">Cost Of Crate : </t>
  </si>
  <si>
    <t xml:space="preserve">Bottles In Crate : </t>
  </si>
  <si>
    <t xml:space="preserve">Cost of single bottle : </t>
  </si>
  <si>
    <t xml:space="preserve"> =E32/E33</t>
  </si>
  <si>
    <t>Table 2 shows how this error can be trapped by using the =ISERR() function.</t>
  </si>
  <si>
    <t xml:space="preserve"> =IF(ISERR(E40/E41),"Try again!",E40/E41)</t>
  </si>
  <si>
    <t>ISERROR</t>
  </si>
  <si>
    <t xml:space="preserve"> =ISERROR(D4)</t>
  </si>
  <si>
    <t xml:space="preserve"> =ISERROR(D5)</t>
  </si>
  <si>
    <t xml:space="preserve"> =ISERROR(D6)</t>
  </si>
  <si>
    <t xml:space="preserve"> =ISERROR(D7)</t>
  </si>
  <si>
    <t xml:space="preserve"> =ISERROR(D8)</t>
  </si>
  <si>
    <t xml:space="preserve"> =ISERROR(D9)</t>
  </si>
  <si>
    <t xml:space="preserve"> =ISERROR(D10)</t>
  </si>
  <si>
    <t>This function tests a cell or calculation to determine whether an error has been generated.</t>
  </si>
  <si>
    <t>It will show TRUE for any type of error and FALSE if no error is found.</t>
  </si>
  <si>
    <t>=ISERROR(CellToTest)</t>
  </si>
  <si>
    <t>The CellToTest can be a cell reference or a formula.</t>
  </si>
  <si>
    <t>The following tables was used to calculate the difference between two dates.</t>
  </si>
  <si>
    <t>Table 1 shows an error due to the fact that the first entry was entered using an inappropriate</t>
  </si>
  <si>
    <t>date format.</t>
  </si>
  <si>
    <t xml:space="preserve">Start date : </t>
  </si>
  <si>
    <t>Jan 01 98</t>
  </si>
  <si>
    <t>End date :</t>
  </si>
  <si>
    <t xml:space="preserve">Difference : </t>
  </si>
  <si>
    <t xml:space="preserve"> =D31-D30</t>
  </si>
  <si>
    <t>Table 2 shows how the =ISERROR() function has been used to trap the error and inform the</t>
  </si>
  <si>
    <t>user that there has been an error in the data entry.</t>
  </si>
  <si>
    <t xml:space="preserve"> =IF(ISERROR(D40-D39),"Error in data entry",D40-D39)</t>
  </si>
  <si>
    <t>ISEVEN</t>
  </si>
  <si>
    <t>Is it Even</t>
  </si>
  <si>
    <t xml:space="preserve"> =ISEVEN(C4)</t>
  </si>
  <si>
    <t xml:space="preserve"> =ISEVEN(C5)</t>
  </si>
  <si>
    <t xml:space="preserve"> =ISEVEN(C6)</t>
  </si>
  <si>
    <t xml:space="preserve"> =ISEVEN(C7)</t>
  </si>
  <si>
    <t xml:space="preserve"> =ISEVEN(C8)</t>
  </si>
  <si>
    <t xml:space="preserve"> =ISEVEN(C9)</t>
  </si>
  <si>
    <t xml:space="preserve"> =ISEVEN(C10)</t>
  </si>
  <si>
    <t xml:space="preserve"> =ISEVEN(C11)</t>
  </si>
  <si>
    <t xml:space="preserve"> =ISEVEN(C12)</t>
  </si>
  <si>
    <t>This function tests a number to determine whether it is even.</t>
  </si>
  <si>
    <t>An even number is shown as TRUE an odd number is shown as FALSE.</t>
  </si>
  <si>
    <t>Note that decimal fractions are ignored.</t>
  </si>
  <si>
    <t>Note that dates can be even or odd.</t>
  </si>
  <si>
    <t>Note that text entries result in the #VALUE! error.</t>
  </si>
  <si>
    <t xml:space="preserve"> =ISEVEN(CellToTest)</t>
  </si>
  <si>
    <t>ISLOGICAL</t>
  </si>
  <si>
    <t xml:space="preserve"> =ISLOGICAL(D4)</t>
  </si>
  <si>
    <t xml:space="preserve"> =ISLOGICAL(D5)</t>
  </si>
  <si>
    <t xml:space="preserve"> =ISLOGICAL(D6)</t>
  </si>
  <si>
    <t xml:space="preserve"> =ISLOGICAL(D7)</t>
  </si>
  <si>
    <t xml:space="preserve"> =ISLOGICAL(D8)</t>
  </si>
  <si>
    <t xml:space="preserve"> =ISLOGICAL(D9)</t>
  </si>
  <si>
    <t xml:space="preserve"> =ISLOGICAL(D10)</t>
  </si>
  <si>
    <t>This function tests a cell to determine whether the cell contents are logical.</t>
  </si>
  <si>
    <t>The logical values can only be TRUE or FALSE.</t>
  </si>
  <si>
    <t>If the cell does contain a logical value, the result TRUE is shown.</t>
  </si>
  <si>
    <t>If the cell does not contain a logical value, the result FALSE is shown.</t>
  </si>
  <si>
    <t>=ISLOGICAL(CellToTest)</t>
  </si>
  <si>
    <t>ISNA</t>
  </si>
  <si>
    <t xml:space="preserve"> =ISNA(C4)</t>
  </si>
  <si>
    <t xml:space="preserve"> =ISNA(C5)</t>
  </si>
  <si>
    <t xml:space="preserve"> =ISNA(C6)</t>
  </si>
  <si>
    <t xml:space="preserve"> =ISNA(C7)</t>
  </si>
  <si>
    <t xml:space="preserve"> =ISNA(C8)</t>
  </si>
  <si>
    <t>This function tests a cell to determine whether it contains the Not Available error #N/A.</t>
  </si>
  <si>
    <t>The #N/A is generated when a function cannot work properly because of missing data.</t>
  </si>
  <si>
    <t>The #N/A can also be typed in to a cell by the user to indicate the cell is currently empty,</t>
  </si>
  <si>
    <t>but will be used for data entry in the future.</t>
  </si>
  <si>
    <t>The function is normally used with other functions such as the =IF() function.</t>
  </si>
  <si>
    <t xml:space="preserve"> =ISNA(CellToTest)</t>
  </si>
  <si>
    <t>ISNONTEXT</t>
  </si>
  <si>
    <t>Item To Test</t>
  </si>
  <si>
    <t>Is It A Number?</t>
  </si>
  <si>
    <t xml:space="preserve"> =ISNONTEXT(C4)</t>
  </si>
  <si>
    <t xml:space="preserve"> =ISNONTEXT(C5)</t>
  </si>
  <si>
    <t xml:space="preserve"> =ISNONTEXT(C6)</t>
  </si>
  <si>
    <t xml:space="preserve"> =ISNONTEXT(C7)</t>
  </si>
  <si>
    <t>1OO</t>
  </si>
  <si>
    <t xml:space="preserve"> =ISNONTEXT(C8)</t>
  </si>
  <si>
    <t>This functions tests an entry to determine whether it is a number, rather than text.</t>
  </si>
  <si>
    <t>It would be used to ensure that only numeric entries are used in calculations, rather</t>
  </si>
  <si>
    <t>than text which looks like a number, such as typing the letter O instead of zero 0.</t>
  </si>
  <si>
    <t>The function is normally used with other function such as the =IF() function.</t>
  </si>
  <si>
    <t xml:space="preserve"> =ISNONTEXT(CellToTest)</t>
  </si>
  <si>
    <t>No special formatting.</t>
  </si>
  <si>
    <t>The following table is used by an electrical retailer to calculate the selling price</t>
  </si>
  <si>
    <t>of an item based on the buying price and the shop mark-up.</t>
  </si>
  <si>
    <t>Table 1 shows the #VALUE! error generated when a number, 300, is entered</t>
  </si>
  <si>
    <t>using the letter O instead of the zero 0.</t>
  </si>
  <si>
    <t>Buying Price</t>
  </si>
  <si>
    <t>Mark-up</t>
  </si>
  <si>
    <t>Profit</t>
  </si>
  <si>
    <t>Radio</t>
  </si>
  <si>
    <t>TV</t>
  </si>
  <si>
    <t>Video</t>
  </si>
  <si>
    <t>3OO</t>
  </si>
  <si>
    <t xml:space="preserve"> =D32*E32</t>
  </si>
  <si>
    <t>Table 2 shows how the error is trapped using the =ISNONTEXT function and</t>
  </si>
  <si>
    <t>the =IF() function in the calculation.</t>
  </si>
  <si>
    <t xml:space="preserve"> =IF(ISNONTEXT(D40),D40*E40,"Retype the Price")</t>
  </si>
  <si>
    <t>ISNUMBER</t>
  </si>
  <si>
    <t>Cell Entry</t>
  </si>
  <si>
    <t xml:space="preserve"> =ISNUMBER(D4)</t>
  </si>
  <si>
    <t xml:space="preserve"> =ISNUMBER(D5)</t>
  </si>
  <si>
    <t xml:space="preserve"> =ISNUMBER(D6)</t>
  </si>
  <si>
    <t xml:space="preserve"> =ISNUMBER(D7)</t>
  </si>
  <si>
    <t xml:space="preserve"> =ISNUMBER(D8)</t>
  </si>
  <si>
    <t>This function examines a cell or calculation to determine whether it is a numeric value.</t>
  </si>
  <si>
    <t>If the cell or calculation is a numeric value the result TRUE is shown.</t>
  </si>
  <si>
    <t>If the cell or calculation is not numeric, or is blank, the result FALSE is shown.</t>
  </si>
  <si>
    <t>=ISNUMBER(CellToTest)</t>
  </si>
  <si>
    <t>The cell to test can be a cell reference or a calculation.</t>
  </si>
  <si>
    <t>The following table was used by a personnel department to lookup the salary of an employee.</t>
  </si>
  <si>
    <t>The employee can be entered as a Name or as a Numeric value.</t>
  </si>
  <si>
    <t>The =ISNUMBER() function has been used to identify the type of entry made, and then</t>
  </si>
  <si>
    <t>the =IF() decides which VLOOKUP to perform.</t>
  </si>
  <si>
    <t>ID No.</t>
  </si>
  <si>
    <t>Salary</t>
  </si>
  <si>
    <t xml:space="preserve">Type Employee Name or ID : </t>
  </si>
  <si>
    <t xml:space="preserve">The Salary is : </t>
  </si>
  <si>
    <t xml:space="preserve"> =IF(ISNUMBER(E35),VLOOKUP(E35,C29:E33,3,FALSE),VLOOKUP(E35,D29:E33,2,FALSE))</t>
  </si>
  <si>
    <t>ISODD</t>
  </si>
  <si>
    <t>Is it Odd</t>
  </si>
  <si>
    <t xml:space="preserve"> =ISODD(C4)</t>
  </si>
  <si>
    <t xml:space="preserve"> =ISODD(C5)</t>
  </si>
  <si>
    <t xml:space="preserve"> =ISODD(C6)</t>
  </si>
  <si>
    <t xml:space="preserve"> =ISODD(C7)</t>
  </si>
  <si>
    <t xml:space="preserve"> =ISODD(C8)</t>
  </si>
  <si>
    <t xml:space="preserve"> =ISODD(C9)</t>
  </si>
  <si>
    <t xml:space="preserve"> =ISODD(C10)</t>
  </si>
  <si>
    <t xml:space="preserve"> =ISODD(C11)</t>
  </si>
  <si>
    <t xml:space="preserve"> =ISODD(C12)</t>
  </si>
  <si>
    <t>This function tests a number to determine whether it is odd.</t>
  </si>
  <si>
    <t>An odd number is shown as TRUE an even number is shown as FALSE.</t>
  </si>
  <si>
    <t>Note that dates can be odd or even.</t>
  </si>
  <si>
    <t xml:space="preserve"> =ISODD(CellToTest)</t>
  </si>
  <si>
    <t>ISREF</t>
  </si>
  <si>
    <t xml:space="preserve"> =ISREF(A1)</t>
  </si>
  <si>
    <t xml:space="preserve"> =ISREF(B99)</t>
  </si>
  <si>
    <t xml:space="preserve"> =ISREF(Hello)</t>
  </si>
  <si>
    <t xml:space="preserve"> =ISREF(10)</t>
  </si>
  <si>
    <t xml:space="preserve"> =ISREF(NOW())</t>
  </si>
  <si>
    <t xml:space="preserve"> =ISREF("A1")</t>
  </si>
  <si>
    <t xml:space="preserve"> =ISREF(XX99)</t>
  </si>
  <si>
    <t>This function shows TRUE if given a cell address, or FALSE for any other type of value.</t>
  </si>
  <si>
    <t>Its a bit of an odd one, and is normally used in macros rather than on the worksheet.</t>
  </si>
  <si>
    <t>=ISREF(ValueToTest)</t>
  </si>
  <si>
    <t>The ValueToTest can be any type of data, but when used on the worksheet, it cannot be a</t>
  </si>
  <si>
    <t>reference to the contents of another cell, as the reference will itself be evaluated by the function.</t>
  </si>
  <si>
    <t>ISTEXT</t>
  </si>
  <si>
    <t xml:space="preserve"> =ISTEXT(D4)</t>
  </si>
  <si>
    <t xml:space="preserve"> =ISTEXT(D5)</t>
  </si>
  <si>
    <t xml:space="preserve"> =ISTEXT(D6)</t>
  </si>
  <si>
    <t xml:space="preserve"> =ISTEXT(D7)</t>
  </si>
  <si>
    <t>This functions tests an entry to determine whether it is text.</t>
  </si>
  <si>
    <t>If the entry is text is shows TRUE.</t>
  </si>
  <si>
    <t>If the entry is any other type it shows FALSE.</t>
  </si>
  <si>
    <t>=ISTEXT(CellToTest)</t>
  </si>
  <si>
    <t>The =ISTEXT() function has been used to identify the type of entry made, and then</t>
  </si>
  <si>
    <t xml:space="preserve"> =IF(ISTEXT(E33),VLOOKUP(E33,D27:E31,2,FALSE),VLOOKUP(E33,C27:E31,3,FALSE))</t>
  </si>
  <si>
    <t>LCM</t>
  </si>
  <si>
    <t>Least
Common
Multiple</t>
  </si>
  <si>
    <t xml:space="preserve"> =LCM(C4,D4)</t>
  </si>
  <si>
    <t xml:space="preserve"> =LCM(C5,D5)</t>
  </si>
  <si>
    <t xml:space="preserve"> =LCM(C6,D6)</t>
  </si>
  <si>
    <t>This function calculate the Least Common Multiple, which is the smallest number</t>
  </si>
  <si>
    <t>that can be divided by each of the given numbers.</t>
  </si>
  <si>
    <t>=LCM(Number1,Number2,Number3... through to Number29)</t>
  </si>
  <si>
    <t>LEN</t>
  </si>
  <si>
    <t xml:space="preserve"> =LEN(C4)</t>
  </si>
  <si>
    <t xml:space="preserve"> =LEN(C5)</t>
  </si>
  <si>
    <t xml:space="preserve"> =LEN(C6)</t>
  </si>
  <si>
    <t xml:space="preserve"> =LEN(C7)</t>
  </si>
  <si>
    <t xml:space="preserve"> =LEN(C8)</t>
  </si>
  <si>
    <t>This function counts the number of characters, including spaces and numbers, in a piece of text.</t>
  </si>
  <si>
    <t>=LEN(Text)</t>
  </si>
  <si>
    <t>No Special formatting is needed.</t>
  </si>
  <si>
    <t>This example shows how the =LEN() function is used in a formula which extracts the</t>
  </si>
  <si>
    <t>second name from a text entry containing both first and second names.</t>
  </si>
  <si>
    <t xml:space="preserve"> =FIND(" ",C24)</t>
  </si>
  <si>
    <t>This is the position of the space.</t>
  </si>
  <si>
    <t xml:space="preserve"> =LEN(C24)-FIND(" ",C24)</t>
  </si>
  <si>
    <t>This is the length of the second name.</t>
  </si>
  <si>
    <t>Calculated by taking the overall length of the complete</t>
  </si>
  <si>
    <t>name and subtracting the position of the space.</t>
  </si>
  <si>
    <t>This is just the second name.</t>
  </si>
  <si>
    <t>Calculated by using the =RIGHT() function to extract</t>
  </si>
  <si>
    <t>the rightmost characters up to the length of</t>
  </si>
  <si>
    <t>the second name.</t>
  </si>
  <si>
    <t>LOOKUP (Array)</t>
  </si>
  <si>
    <t>Francis</t>
  </si>
  <si>
    <t>Type a Name in this cell :</t>
  </si>
  <si>
    <r>
      <t xml:space="preserve">The </t>
    </r>
    <r>
      <rPr>
        <b/>
        <sz val="10"/>
        <rFont val="Arial"/>
        <family val="2"/>
      </rPr>
      <t>March</t>
    </r>
    <r>
      <rPr>
        <sz val="10"/>
        <rFont val="Arial"/>
        <family val="2"/>
      </rPr>
      <t xml:space="preserve"> value for this person is : </t>
    </r>
  </si>
  <si>
    <t xml:space="preserve"> =LOOKUP(F12,D4:G10)</t>
  </si>
  <si>
    <t>This function looks for a piece of information in a list, and then picks an item from the</t>
  </si>
  <si>
    <t>last cell in the adjacent row or column.</t>
  </si>
  <si>
    <t>It always picks the data from the end of the row or column, so it is no good if you need</t>
  </si>
  <si>
    <t>to pick data from part way across a list, (use VLOOKUP or HLOOKUP).</t>
  </si>
  <si>
    <t>The way in which the function decides whether to pick from the row or column is based</t>
  </si>
  <si>
    <t>on the size of the table.</t>
  </si>
  <si>
    <r>
      <t xml:space="preserve">If the table has more </t>
    </r>
    <r>
      <rPr>
        <b/>
        <sz val="10"/>
        <rFont val="Arial"/>
        <family val="2"/>
      </rPr>
      <t>rows</t>
    </r>
    <r>
      <rPr>
        <sz val="10"/>
        <rFont val="Arial"/>
        <family val="2"/>
      </rPr>
      <t xml:space="preserve"> than columns : </t>
    </r>
  </si>
  <si>
    <r>
      <t xml:space="preserve">the function will look </t>
    </r>
    <r>
      <rPr>
        <b/>
        <sz val="10"/>
        <rFont val="Arial"/>
        <family val="2"/>
      </rPr>
      <t>down</t>
    </r>
    <r>
      <rPr>
        <sz val="10"/>
        <rFont val="Arial"/>
        <family val="2"/>
      </rPr>
      <t xml:space="preserve"> the left most column</t>
    </r>
  </si>
  <si>
    <t>trying to find a match for the piece of information</t>
  </si>
  <si>
    <t>you asked it to look for.</t>
  </si>
  <si>
    <t>When a match is found, the function will look</t>
  </si>
  <si>
    <t xml:space="preserve">across to the right most column to pick the </t>
  </si>
  <si>
    <t>last entry on the row.</t>
  </si>
  <si>
    <r>
      <t xml:space="preserve">If the table has the </t>
    </r>
    <r>
      <rPr>
        <b/>
        <sz val="10"/>
        <rFont val="Arial"/>
        <family val="2"/>
      </rPr>
      <t>same</t>
    </r>
    <r>
      <rPr>
        <sz val="10"/>
        <rFont val="Arial"/>
        <family val="2"/>
      </rPr>
      <t xml:space="preserve"> amount of rows and columns :</t>
    </r>
  </si>
  <si>
    <r>
      <t xml:space="preserve">the function will look </t>
    </r>
    <r>
      <rPr>
        <b/>
        <sz val="10"/>
        <rFont val="Arial"/>
        <family val="2"/>
      </rPr>
      <t>down</t>
    </r>
    <r>
      <rPr>
        <sz val="10"/>
        <rFont val="Arial"/>
        <family val="2"/>
      </rPr>
      <t xml:space="preserve"> the left most column and</t>
    </r>
  </si>
  <si>
    <t>work in just the same way as if the table had more</t>
  </si>
  <si>
    <t>rows than columns, as in the description above.</t>
  </si>
  <si>
    <r>
      <t xml:space="preserve">If the table has more </t>
    </r>
    <r>
      <rPr>
        <b/>
        <sz val="10"/>
        <rFont val="Arial"/>
        <family val="2"/>
      </rPr>
      <t>columns</t>
    </r>
    <r>
      <rPr>
        <sz val="10"/>
        <rFont val="Arial"/>
        <family val="2"/>
      </rPr>
      <t xml:space="preserve"> than rows :</t>
    </r>
  </si>
  <si>
    <r>
      <t xml:space="preserve">the function will look </t>
    </r>
    <r>
      <rPr>
        <b/>
        <sz val="10"/>
        <rFont val="Arial"/>
        <family val="2"/>
      </rPr>
      <t>across</t>
    </r>
    <r>
      <rPr>
        <sz val="10"/>
        <rFont val="Arial"/>
        <family val="2"/>
      </rPr>
      <t xml:space="preserve"> the top row trying</t>
    </r>
  </si>
  <si>
    <t>to find a match for the piece of information you</t>
  </si>
  <si>
    <t>have asked it to look for.</t>
  </si>
  <si>
    <t>When a match is found, the function will then look</t>
  </si>
  <si>
    <t>down to the bottom cell of the column to pick</t>
  </si>
  <si>
    <t>the last entry of the column.</t>
  </si>
  <si>
    <t>=LOOKUP(WhatToLookFor,RangeToLookIn)</t>
  </si>
  <si>
    <t>The WhatToLookFor should be a single item.</t>
  </si>
  <si>
    <t>The RangeToLook in can be either horizontal or vertical.</t>
  </si>
  <si>
    <t>Be careful not to include unnecessary heading in the range as these will cause errors.</t>
  </si>
  <si>
    <t>In this table there are more</t>
  </si>
  <si>
    <t>In this table there are more columns than rows, so</t>
  </si>
  <si>
    <t>rows than columns, so the</t>
  </si>
  <si>
    <t xml:space="preserve">the row heading of Jan is not included in the </t>
  </si>
  <si>
    <t>column heading of Jan is</t>
  </si>
  <si>
    <t>lookup range.</t>
  </si>
  <si>
    <t>not included in the lookup</t>
  </si>
  <si>
    <t>range.</t>
  </si>
  <si>
    <t>Problems</t>
  </si>
  <si>
    <t>The list of information to be looked through must be sorted in ascending order, otherwise errors</t>
  </si>
  <si>
    <t>will occur, either as #N/A or incorrect results.</t>
  </si>
  <si>
    <t>Table 1 shows the Name column sorted alphabetically, the results of using =LOOKUP() will</t>
  </si>
  <si>
    <t>be correct.</t>
  </si>
  <si>
    <t>Table 2 shows the same data, but not sorted. Sometimes the results will be correct, but other</t>
  </si>
  <si>
    <t>times the result will be an #N/A error or incorrect figure.</t>
  </si>
  <si>
    <t xml:space="preserve">Name : </t>
  </si>
  <si>
    <t>Value :</t>
  </si>
  <si>
    <t xml:space="preserve"> =LOOKUP(C88,B80:E86)</t>
  </si>
  <si>
    <t xml:space="preserve"> =LOOKUP(H88,G80:J86)</t>
  </si>
  <si>
    <t>LOOKUP (Vector)</t>
  </si>
  <si>
    <r>
      <t xml:space="preserve">The </t>
    </r>
    <r>
      <rPr>
        <b/>
        <sz val="10"/>
        <rFont val="Arial"/>
        <family val="2"/>
      </rPr>
      <t>Feb</t>
    </r>
    <r>
      <rPr>
        <sz val="10"/>
        <rFont val="Arial"/>
        <family val="2"/>
      </rPr>
      <t xml:space="preserve"> value for this person is : </t>
    </r>
  </si>
  <si>
    <t xml:space="preserve"> =LOOKUP(F12,D4:G10,F4:F10)</t>
  </si>
  <si>
    <t>This function looks for a piece of information in a list, and then picks an item from</t>
  </si>
  <si>
    <t>a second range of cells.</t>
  </si>
  <si>
    <t>=LOOKUP(WhatToLookFor,RangeToLookIn,RangeToPickFrom)</t>
  </si>
  <si>
    <t>The RangeToPickFrom must have the same number of cells in it as the RangeToLookin.</t>
  </si>
  <si>
    <t>Be careful not to include unnecessary heading in the ranges as these will cause errors.</t>
  </si>
  <si>
    <t>The following example shows how the =LOOKUP() function was used to match a name typed</t>
  </si>
  <si>
    <t>in cell G41 against the list of names in C38:C43. When a match is found the =LOOKUP() then</t>
  </si>
  <si>
    <t>picks from the second range E38:J38.</t>
  </si>
  <si>
    <t>If the name Carol is used, the match is made in the third cell of the list of names, and then</t>
  </si>
  <si>
    <t>the function picks the third cell from the list of values.</t>
  </si>
  <si>
    <t>RangeToLookIn</t>
  </si>
  <si>
    <t>RangeToPickFrom</t>
  </si>
  <si>
    <t>Type a name :</t>
  </si>
  <si>
    <t xml:space="preserve">Value : </t>
  </si>
  <si>
    <t xml:space="preserve"> =LOOKUP(G41,C38:C43,E38:J38)</t>
  </si>
  <si>
    <t>MATCH</t>
  </si>
  <si>
    <t>Names</t>
  </si>
  <si>
    <t xml:space="preserve">Type a value : </t>
  </si>
  <si>
    <t xml:space="preserve">Value position : </t>
  </si>
  <si>
    <t xml:space="preserve"> =MATCH(E9,E4:E7,0)</t>
  </si>
  <si>
    <t xml:space="preserve"> =MATCH(I9,I4:I7,1)</t>
  </si>
  <si>
    <t>This function looks for an item in a list and shows its position.</t>
  </si>
  <si>
    <t>It can be used with text and numbers.</t>
  </si>
  <si>
    <t>It can look for an exact match or an approximate match.</t>
  </si>
  <si>
    <t>=MATCH(WhatToLookFor,WhereToLook,TypeOfMatch)</t>
  </si>
  <si>
    <t>The TypeOfMatch either 0, 1 or -1.</t>
  </si>
  <si>
    <t>Using 0 will look for an exact match. If no match is found the #NA error will be shown.</t>
  </si>
  <si>
    <t>Using 1 will look for an exact match, or the next lowest number if no exact match exists.</t>
  </si>
  <si>
    <t xml:space="preserve">   If there is no match or next lowest number the error #NA is shown.</t>
  </si>
  <si>
    <t xml:space="preserve">   The list of values being examined must be sorted for this to work correctly.</t>
  </si>
  <si>
    <t>Using -1 will look for an exact match, or the next highest number if no exact match exists.</t>
  </si>
  <si>
    <t xml:space="preserve">   If there is no exact match or next highest number the error #NA is shown.</t>
  </si>
  <si>
    <t xml:space="preserve">   The list must be sorted for this to work properly.</t>
  </si>
  <si>
    <t>Examples 1</t>
  </si>
  <si>
    <t>Using the 0 option suitable for an exact match.</t>
  </si>
  <si>
    <r>
      <t xml:space="preserve">The </t>
    </r>
    <r>
      <rPr>
        <b/>
        <sz val="10"/>
        <rFont val="Arial"/>
        <family val="2"/>
      </rPr>
      <t>Ascending</t>
    </r>
    <r>
      <rPr>
        <sz val="10"/>
        <rFont val="Arial"/>
        <family val="2"/>
      </rPr>
      <t xml:space="preserve"> list gives the exact match.</t>
    </r>
  </si>
  <si>
    <r>
      <t xml:space="preserve">The </t>
    </r>
    <r>
      <rPr>
        <b/>
        <sz val="10"/>
        <rFont val="Arial"/>
        <family val="2"/>
      </rPr>
      <t>Descending</t>
    </r>
    <r>
      <rPr>
        <sz val="10"/>
        <rFont val="Arial"/>
        <family val="2"/>
      </rPr>
      <t xml:space="preserve"> list gives the exact match.</t>
    </r>
  </si>
  <si>
    <r>
      <t xml:space="preserve">The </t>
    </r>
    <r>
      <rPr>
        <b/>
        <sz val="10"/>
        <color indexed="10"/>
        <rFont val="Arial"/>
        <family val="2"/>
      </rPr>
      <t>Wrong Value</t>
    </r>
    <r>
      <rPr>
        <sz val="10"/>
        <rFont val="Arial"/>
        <family val="2"/>
      </rPr>
      <t xml:space="preserve"> list cannot find an exact match, so the #NA is shown.</t>
    </r>
  </si>
  <si>
    <t>Ascending</t>
  </si>
  <si>
    <t>Descending</t>
  </si>
  <si>
    <t>Wrong Value</t>
  </si>
  <si>
    <t xml:space="preserve"> =MATCH(G45,G40:G43,0)</t>
  </si>
  <si>
    <t>Using the 1 option suitable for a ascending list to find an exact or next lowest match.</t>
  </si>
  <si>
    <r>
      <t xml:space="preserve">The </t>
    </r>
    <r>
      <rPr>
        <b/>
        <sz val="10"/>
        <color indexed="10"/>
        <rFont val="Arial"/>
        <family val="2"/>
      </rPr>
      <t>Descending</t>
    </r>
    <r>
      <rPr>
        <sz val="10"/>
        <rFont val="Arial"/>
        <family val="2"/>
      </rPr>
      <t xml:space="preserve"> list gives the #NA error.</t>
    </r>
  </si>
  <si>
    <r>
      <t xml:space="preserve">The </t>
    </r>
    <r>
      <rPr>
        <b/>
        <sz val="10"/>
        <rFont val="Arial"/>
        <family val="2"/>
      </rPr>
      <t>Wrong Value</t>
    </r>
    <r>
      <rPr>
        <sz val="10"/>
        <rFont val="Arial"/>
        <family val="2"/>
      </rPr>
      <t xml:space="preserve"> list finds the </t>
    </r>
    <r>
      <rPr>
        <b/>
        <sz val="10"/>
        <rFont val="Arial"/>
        <family val="2"/>
      </rPr>
      <t>next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lowest</t>
    </r>
    <r>
      <rPr>
        <sz val="10"/>
        <rFont val="Arial"/>
        <family val="2"/>
      </rPr>
      <t xml:space="preserve"> number..</t>
    </r>
  </si>
  <si>
    <t xml:space="preserve"> =MATCH(G62,G57:G60,1)</t>
  </si>
  <si>
    <t>Using the -1 option suitable for a descending list to find an exact or next highest match.</t>
  </si>
  <si>
    <r>
      <t xml:space="preserve">The </t>
    </r>
    <r>
      <rPr>
        <b/>
        <sz val="10"/>
        <color indexed="10"/>
        <rFont val="Arial"/>
        <family val="2"/>
      </rPr>
      <t>Ascending</t>
    </r>
    <r>
      <rPr>
        <sz val="10"/>
        <rFont val="Arial"/>
        <family val="2"/>
      </rPr>
      <t xml:space="preserve"> list gives the #NA error.</t>
    </r>
  </si>
  <si>
    <r>
      <t xml:space="preserve">The </t>
    </r>
    <r>
      <rPr>
        <b/>
        <sz val="10"/>
        <rFont val="Arial"/>
        <family val="2"/>
      </rPr>
      <t>Descending</t>
    </r>
    <r>
      <rPr>
        <sz val="10"/>
        <rFont val="Arial"/>
        <family val="2"/>
      </rPr>
      <t xml:space="preserve"> list gives the exact match.</t>
    </r>
  </si>
  <si>
    <r>
      <t xml:space="preserve">The </t>
    </r>
    <r>
      <rPr>
        <b/>
        <sz val="10"/>
        <rFont val="Arial"/>
        <family val="2"/>
      </rPr>
      <t>Wrong Value</t>
    </r>
    <r>
      <rPr>
        <sz val="10"/>
        <rFont val="Arial"/>
        <family val="2"/>
      </rPr>
      <t xml:space="preserve"> list finds the </t>
    </r>
    <r>
      <rPr>
        <b/>
        <sz val="10"/>
        <rFont val="Arial"/>
        <family val="2"/>
      </rPr>
      <t>next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highest</t>
    </r>
    <r>
      <rPr>
        <sz val="10"/>
        <rFont val="Arial"/>
        <family val="2"/>
      </rPr>
      <t xml:space="preserve"> number.</t>
    </r>
  </si>
  <si>
    <t xml:space="preserve"> =MATCH(G79,G74:G77,-1)</t>
  </si>
  <si>
    <t>The tables below were used to by a bus company taking booking for bus tours.</t>
  </si>
  <si>
    <t>They need to allocate a bus with enough seats for the all the passengers.</t>
  </si>
  <si>
    <t>The list of bus sizes has been entered in a list.</t>
  </si>
  <si>
    <t>The number of passengers on the tour is then entered.</t>
  </si>
  <si>
    <t>The =MATCH() function looks down the list to find the bus with enough seats.</t>
  </si>
  <si>
    <t>If the number of passengers is not an exact match, the next biggest bus will be picked.</t>
  </si>
  <si>
    <t>After the =MATCH() function has found the bus, the =INDEX() function has been used</t>
  </si>
  <si>
    <t>to look down the list again and pick out the actual bus size required.</t>
  </si>
  <si>
    <t>Bus Size</t>
  </si>
  <si>
    <t xml:space="preserve">Passengers on the tour : </t>
  </si>
  <si>
    <t>Bus 1</t>
  </si>
  <si>
    <t xml:space="preserve">Bus size needed : </t>
  </si>
  <si>
    <t>Bus 2</t>
  </si>
  <si>
    <t xml:space="preserve"> =INDEX(D95:D99,MATCH(H94,D95:D99,-1),0)</t>
  </si>
  <si>
    <t>Bus 3</t>
  </si>
  <si>
    <t>Bus 4</t>
  </si>
  <si>
    <t>Bus 5</t>
  </si>
  <si>
    <t>Example 5</t>
  </si>
  <si>
    <t>The tables below were used by a school to calculate the exam grades for pupils.</t>
  </si>
  <si>
    <t>The list of grade breakpoints was entered in a list.</t>
  </si>
  <si>
    <t>The pupils scores were entered in another list.</t>
  </si>
  <si>
    <t>The pupils scores are compared against the breakpoints.</t>
  </si>
  <si>
    <t>If an exact match is not found, the next lowest breakpoint is used.</t>
  </si>
  <si>
    <t>The =INDEX() function then looks down the Grade list to find the grade.</t>
  </si>
  <si>
    <t>Exam Score</t>
  </si>
  <si>
    <t>Pupil Score</t>
  </si>
  <si>
    <t>Pass</t>
  </si>
  <si>
    <t>Merit</t>
  </si>
  <si>
    <t>Distinction</t>
  </si>
  <si>
    <t xml:space="preserve"> =INDEX(D111:D114,MATCH(G114,C111:C114,1),0)</t>
  </si>
  <si>
    <t>MID</t>
  </si>
  <si>
    <t>How Many
Characters</t>
  </si>
  <si>
    <t>Mid String</t>
  </si>
  <si>
    <t>ABCDEDF</t>
  </si>
  <si>
    <t xml:space="preserve"> =MID(C4,D4,E4)</t>
  </si>
  <si>
    <t xml:space="preserve"> =MID(C5,D5,E5)</t>
  </si>
  <si>
    <t xml:space="preserve"> =MID(C6,D6,E6)</t>
  </si>
  <si>
    <t>ABC-100-DEF</t>
  </si>
  <si>
    <t xml:space="preserve"> =MID(C8,5,3)</t>
  </si>
  <si>
    <t>ABC-200-DEF</t>
  </si>
  <si>
    <t xml:space="preserve"> =MID(C9,5,3)</t>
  </si>
  <si>
    <t>ABC-300-DEF</t>
  </si>
  <si>
    <t xml:space="preserve"> =MID(C10,5,3)</t>
  </si>
  <si>
    <t>Item Size: Large</t>
  </si>
  <si>
    <t xml:space="preserve"> =MID(C12,12,99)</t>
  </si>
  <si>
    <t>Item Size: Medium</t>
  </si>
  <si>
    <t xml:space="preserve"> =MID(C13,12,99)</t>
  </si>
  <si>
    <t>Item Size: Small</t>
  </si>
  <si>
    <t xml:space="preserve"> =MID(C14,12,99)</t>
  </si>
  <si>
    <t>This function picks out a piece of text from the middle of a text entry.</t>
  </si>
  <si>
    <t>The function needs to know at what point it should start, and how many characters to pick.</t>
  </si>
  <si>
    <t>If the number of characters to pick exceeds what is available, only the available characters</t>
  </si>
  <si>
    <t>will be picked.</t>
  </si>
  <si>
    <t>=MID(OriginalText,PositionToStartPicking,NumberOfCharactersToPick)</t>
  </si>
  <si>
    <t>The following table uses the =MID() function to extract a post code from a branch ID used</t>
  </si>
  <si>
    <t>by a company.</t>
  </si>
  <si>
    <t>It is assumed that all branch ID's follow the same format with the letters identifying the</t>
  </si>
  <si>
    <t>postal region being in the 5th and 6th positions.</t>
  </si>
  <si>
    <t>Branch ID</t>
  </si>
  <si>
    <t>Postal Region</t>
  </si>
  <si>
    <t>DRS-CF-476</t>
  </si>
  <si>
    <t xml:space="preserve"> =MID(C35,5,2)</t>
  </si>
  <si>
    <t>DRS-WA-842</t>
  </si>
  <si>
    <t xml:space="preserve"> =MID(C36,5,2)</t>
  </si>
  <si>
    <t>HLT-NP-190</t>
  </si>
  <si>
    <t xml:space="preserve"> =MID(C37,5,2)</t>
  </si>
  <si>
    <t>This example shows how to extract an item which is of variable length, which is inside</t>
  </si>
  <si>
    <t>a piece of text which has no standard format, other than the required text is always</t>
  </si>
  <si>
    <t>between two slash / symbols.</t>
  </si>
  <si>
    <t>Full Branch Code</t>
  </si>
  <si>
    <t>DRS/STC/872</t>
  </si>
  <si>
    <t>HDRS/FC/111</t>
  </si>
  <si>
    <t>S/NORTH/874</t>
  </si>
  <si>
    <t>HQ/K/875</t>
  </si>
  <si>
    <t>SPECIAL/UK &amp; FR/876</t>
  </si>
  <si>
    <r>
      <t xml:space="preserve"> =MID(C50,</t>
    </r>
    <r>
      <rPr>
        <sz val="10"/>
        <color indexed="12"/>
        <rFont val="Arial"/>
        <family val="2"/>
      </rPr>
      <t>FIND("/",C50)+1</t>
    </r>
    <r>
      <rPr>
        <sz val="10"/>
        <rFont val="Arial"/>
        <family val="2"/>
      </rPr>
      <t>,</t>
    </r>
    <r>
      <rPr>
        <sz val="10"/>
        <color indexed="10"/>
        <rFont val="Arial"/>
        <family val="2"/>
      </rPr>
      <t>FIND("/",C50,FIND("/",C50)+1)</t>
    </r>
    <r>
      <rPr>
        <sz val="10"/>
        <color indexed="17"/>
        <rFont val="Arial"/>
        <family val="2"/>
      </rPr>
      <t>-FIND("/",C50)-1</t>
    </r>
    <r>
      <rPr>
        <sz val="10"/>
        <rFont val="Arial"/>
        <family val="2"/>
      </rPr>
      <t>)</t>
    </r>
  </si>
  <si>
    <t>Find the first /, plus 1 for the Start of the code.</t>
  </si>
  <si>
    <t>Find the second /, occurring after the first /</t>
  </si>
  <si>
    <t>Calculate the length of the text to extract, by subtracting the position</t>
  </si>
  <si>
    <r>
      <t xml:space="preserve">of the </t>
    </r>
    <r>
      <rPr>
        <sz val="10"/>
        <color indexed="17"/>
        <rFont val="Arial"/>
        <family val="2"/>
      </rPr>
      <t>first /</t>
    </r>
    <r>
      <rPr>
        <sz val="10"/>
        <rFont val="Arial"/>
        <family val="2"/>
      </rPr>
      <t xml:space="preserve"> from the position of the </t>
    </r>
    <r>
      <rPr>
        <sz val="10"/>
        <color indexed="10"/>
        <rFont val="Arial"/>
        <family val="2"/>
      </rPr>
      <t>second /</t>
    </r>
  </si>
  <si>
    <t>MINUTE</t>
  </si>
  <si>
    <t xml:space="preserve"> =MINUTE(D4)</t>
  </si>
  <si>
    <t xml:space="preserve"> =MINUTE(D5)</t>
  </si>
  <si>
    <t xml:space="preserve"> =MINUTE(D6)</t>
  </si>
  <si>
    <t xml:space="preserve"> =MINUTE(D7)</t>
  </si>
  <si>
    <t xml:space="preserve"> =MINUTE(D8)</t>
  </si>
  <si>
    <t>The function will show the minute of the hour based upon a time or a number.</t>
  </si>
  <si>
    <t>Only the fraction part of the number is used as it is this which relates to time of day.</t>
  </si>
  <si>
    <t xml:space="preserve"> =MINUTE(Number)</t>
  </si>
  <si>
    <t>The result will be shown as a normal number between 0 and 59.</t>
  </si>
  <si>
    <t>The =REPT() function has been used to make a digital display for the current time.</t>
  </si>
  <si>
    <t>The time functions of =HOUR(), =MINUTE() and =SECOND() have been used in conjunction</t>
  </si>
  <si>
    <t>with the =NOW() as the basis for the number of repeats.</t>
  </si>
  <si>
    <t>To update the clock press the function key F9.</t>
  </si>
  <si>
    <t>Clock</t>
  </si>
  <si>
    <t xml:space="preserve">Hour  </t>
  </si>
  <si>
    <t xml:space="preserve">Minute  </t>
  </si>
  <si>
    <t xml:space="preserve">Second  </t>
  </si>
  <si>
    <t xml:space="preserve"> =REPT("|",HOUR(NOW()))&amp;" "&amp;TEXT(HOUR(NOW()),"00")</t>
  </si>
  <si>
    <t xml:space="preserve"> =REPT("|",MINUTE(NOW()))&amp;" "&amp;TEXT(MINUTE(NOW()),"00")</t>
  </si>
  <si>
    <t xml:space="preserve"> =REPT("|",SECOND(NOW()))&amp;" "&amp;TEXT(SECOND(NOW()),"00")</t>
  </si>
  <si>
    <t>Related Information</t>
  </si>
  <si>
    <t>To convert a time in hh:mm format to decimal format.</t>
  </si>
  <si>
    <t xml:space="preserve">Enter a time in hh:mm format : </t>
  </si>
  <si>
    <t xml:space="preserve">The same time converted to a decimal : </t>
  </si>
  <si>
    <t xml:space="preserve"> =F38*24</t>
  </si>
  <si>
    <t xml:space="preserve">To extract the hours as a decimal : </t>
  </si>
  <si>
    <t xml:space="preserve"> =INT(F38*24)</t>
  </si>
  <si>
    <t xml:space="preserve">To extract the minutes as a decimal : </t>
  </si>
  <si>
    <t xml:space="preserve"> =MOD(F38*24,1)</t>
  </si>
  <si>
    <t>To convert a time in decimal format to hh:mm format.</t>
  </si>
  <si>
    <t xml:space="preserve">Enter a time in decimal format : </t>
  </si>
  <si>
    <t xml:space="preserve">The same time converted to hh:mm format is : </t>
  </si>
  <si>
    <t xml:space="preserve"> =F49/24</t>
  </si>
  <si>
    <t>To extract the hours in hh:mm format :</t>
  </si>
  <si>
    <t xml:space="preserve"> =INT(F49)/24</t>
  </si>
  <si>
    <t xml:space="preserve">To extract the minutes in hh:mm format : </t>
  </si>
  <si>
    <t xml:space="preserve"> =MOD(F49,1)/24</t>
  </si>
  <si>
    <r>
      <t xml:space="preserve">The three formula above have also been formatted as </t>
    </r>
    <r>
      <rPr>
        <b/>
        <sz val="10"/>
        <rFont val="Arial"/>
        <family val="2"/>
      </rPr>
      <t>hh:mm</t>
    </r>
    <r>
      <rPr>
        <sz val="10"/>
        <rFont val="Arial"/>
        <family val="2"/>
      </rPr>
      <t xml:space="preserve"> using</t>
    </r>
  </si>
  <si>
    <r>
      <t xml:space="preserve">the </t>
    </r>
    <r>
      <rPr>
        <b/>
        <sz val="10"/>
        <rFont val="Arial"/>
        <family val="2"/>
      </rPr>
      <t>Format</t>
    </r>
    <r>
      <rPr>
        <sz val="10"/>
        <rFont val="Arial"/>
        <family val="2"/>
      </rPr>
      <t xml:space="preserve">, </t>
    </r>
    <r>
      <rPr>
        <b/>
        <sz val="10"/>
        <rFont val="Arial"/>
        <family val="2"/>
      </rPr>
      <t>Cells</t>
    </r>
    <r>
      <rPr>
        <sz val="10"/>
        <rFont val="Arial"/>
        <family val="2"/>
      </rPr>
      <t xml:space="preserve">, </t>
    </r>
    <r>
      <rPr>
        <b/>
        <sz val="10"/>
        <rFont val="Arial"/>
        <family val="2"/>
      </rPr>
      <t>Number</t>
    </r>
    <r>
      <rPr>
        <sz val="10"/>
        <rFont val="Arial"/>
        <family val="2"/>
      </rPr>
      <t xml:space="preserve">, </t>
    </r>
    <r>
      <rPr>
        <b/>
        <sz val="10"/>
        <rFont val="Arial"/>
        <family val="2"/>
      </rPr>
      <t>Time</t>
    </r>
    <r>
      <rPr>
        <sz val="10"/>
        <rFont val="Arial"/>
        <family val="2"/>
      </rPr>
      <t xml:space="preserve"> command.</t>
    </r>
  </si>
  <si>
    <t>MMULT</t>
  </si>
  <si>
    <t>This function multiplies one range of values with another range of values.</t>
  </si>
  <si>
    <t>The ranges do not have to be of equal size.</t>
  </si>
  <si>
    <t>The dimensions of the result range is in direct proportion to dimensions of the two input ranges.</t>
  </si>
  <si>
    <t>It is an Array function and must be entered using the Ctrl+Shift+Enter combination.</t>
  </si>
  <si>
    <t>=MMULT(Range1,Range2)</t>
  </si>
  <si>
    <t>The following tables were used by a company producing boxes of chocolates.</t>
  </si>
  <si>
    <t>The types of chocolate produced were Milk, Dark and White.</t>
  </si>
  <si>
    <t>The company boxed the chocolates in three differing mixtures of Milk, Dark and White.</t>
  </si>
  <si>
    <t>In the run up to Christmas customers ordered various quantities of each box.</t>
  </si>
  <si>
    <t>The chocolate company now needed to know what quantity of each type of chocolate to produce.</t>
  </si>
  <si>
    <t>The =MMULT() function was used to multiply the contents of boxes by the customer orders.</t>
  </si>
  <si>
    <t>The result of the =MMULT() is the total number of each type of chocolate to produce.</t>
  </si>
  <si>
    <t>Chocolates in the box</t>
  </si>
  <si>
    <t>Milk</t>
  </si>
  <si>
    <t>Dark</t>
  </si>
  <si>
    <t>White</t>
  </si>
  <si>
    <t>Giant</t>
  </si>
  <si>
    <t>Standard</t>
  </si>
  <si>
    <t>Economy</t>
  </si>
  <si>
    <t>Customers Orders</t>
  </si>
  <si>
    <t>Quantity To Produce</t>
  </si>
  <si>
    <t>{=MMULT(C32:E32,C26:E28)}</t>
  </si>
  <si>
    <t>In all three cells</t>
  </si>
  <si>
    <t>How It Was Done</t>
  </si>
  <si>
    <t>Cells C36 to E36 were selected.</t>
  </si>
  <si>
    <t>The formula =MMULT(C32:E32,C26:E28) was typed, (but not yet entered).</t>
  </si>
  <si>
    <t>The keys Ctrl+Shift+Enter were pressed to confirm the entry as an array.</t>
  </si>
  <si>
    <t>The formula then showed the correct result.</t>
  </si>
  <si>
    <t>Getting The Dimensions Correct</t>
  </si>
  <si>
    <t>The dimensions of the Result range are directly related to the two input ranges.</t>
  </si>
  <si>
    <t>The number of rows in the Result should be equal to the rows in Range1.</t>
  </si>
  <si>
    <t>The number of columns in the Result should be equal to the columns in Range2.</t>
  </si>
  <si>
    <t>The following tables were used by the chocolate company to calculate the amount of</t>
  </si>
  <si>
    <t>ingredients needed to produce batches of chocolate.</t>
  </si>
  <si>
    <t>The company has four factories, each of which has to order enough Butter, Eggs and Sugar</t>
  </si>
  <si>
    <t>to ensure they can meet production targets.</t>
  </si>
  <si>
    <t>Range 1 contains the planned production of Milk and Dark chocolate for each factory.</t>
  </si>
  <si>
    <t>Range 2 contains the amount Butter, Eggs and Sugar needed to make 1 unit of Milk or Plain.</t>
  </si>
  <si>
    <t>The Result range shows the quantities of each ingredient that will have to be ordered to</t>
  </si>
  <si>
    <t>meet the production target.</t>
  </si>
  <si>
    <t>Note the depth of the Result is the same as the depth of Range 1, and the width of</t>
  </si>
  <si>
    <t>the Result is the same as the width of Range 2.</t>
  </si>
  <si>
    <t>Range 1</t>
  </si>
  <si>
    <t>Range 2</t>
  </si>
  <si>
    <t>Ingredients</t>
  </si>
  <si>
    <t>Butter</t>
  </si>
  <si>
    <t>Eggs</t>
  </si>
  <si>
    <t>Sugar</t>
  </si>
  <si>
    <t>Ingredients To Order</t>
  </si>
  <si>
    <t>{=MMULT(C69:D72,G69:I70)}</t>
  </si>
  <si>
    <t>In all cells</t>
  </si>
  <si>
    <t>Hint</t>
  </si>
  <si>
    <t>To get a feel for how the =MMULT() function operates, set all values in Range1 and Range2</t>
  </si>
  <si>
    <t>to zero 0, then change a single value in each.</t>
  </si>
  <si>
    <t>MOD</t>
  </si>
  <si>
    <t>Divisor</t>
  </si>
  <si>
    <t>Remainder</t>
  </si>
  <si>
    <t xml:space="preserve"> =MOD(C4,D4)</t>
  </si>
  <si>
    <t xml:space="preserve"> =MOD(C5,D5)</t>
  </si>
  <si>
    <t xml:space="preserve"> =MOD(C6,D6)</t>
  </si>
  <si>
    <t xml:space="preserve"> =MOD(C7,D7)</t>
  </si>
  <si>
    <t xml:space="preserve"> =MOD(C8,D8)</t>
  </si>
  <si>
    <t>This function calculates the remainder after a number has been divided by another number.</t>
  </si>
  <si>
    <t>=MOD(Number,Divisor)</t>
  </si>
  <si>
    <t>MODE</t>
  </si>
  <si>
    <t>Mode</t>
  </si>
  <si>
    <t xml:space="preserve"> =MODE(C4:G4)</t>
  </si>
  <si>
    <t xml:space="preserve"> =MODE(C6:G6)</t>
  </si>
  <si>
    <t xml:space="preserve"> =MODE(C8:G8)</t>
  </si>
  <si>
    <t xml:space="preserve"> =MODE(C9:G9)</t>
  </si>
  <si>
    <t xml:space="preserve"> =MODE(C10:G10)</t>
  </si>
  <si>
    <t xml:space="preserve"> =MODE(C12:G12)</t>
  </si>
  <si>
    <t>This function displays the most frequently occurring number in a group of numbers.</t>
  </si>
  <si>
    <t>For it to work correctly there must be at least two numbers which are the same.</t>
  </si>
  <si>
    <t>If all the values in the group are unique the function shows the error #N/A.</t>
  </si>
  <si>
    <t>When there is more than one set of duplicates, the number closest to the beginning</t>
  </si>
  <si>
    <t>of the group will be used. (Which is not really an accurate answer!)</t>
  </si>
  <si>
    <t>=MODE(Range1,Range2,Range3... through to Range30)</t>
  </si>
  <si>
    <t>The following table shows garments sold in a clothes shop.</t>
  </si>
  <si>
    <t>The shopkeeper wants to keep track of the most commonly sold size.</t>
  </si>
  <si>
    <t>The =MODE() function has been used to calulate this.</t>
  </si>
  <si>
    <t>Garmet</t>
  </si>
  <si>
    <t>Blouse</t>
  </si>
  <si>
    <t xml:space="preserve">Most frequently ordered size : </t>
  </si>
  <si>
    <t>Skirt</t>
  </si>
  <si>
    <t xml:space="preserve"> =MODE(D33:D52)</t>
  </si>
  <si>
    <t>Shirt</t>
  </si>
  <si>
    <t xml:space="preserve">Count of size 8 : </t>
  </si>
  <si>
    <t>Dress</t>
  </si>
  <si>
    <t xml:space="preserve"> =COUNTIF(D33:D52,"8")</t>
  </si>
  <si>
    <t>Count of size 10 :</t>
  </si>
  <si>
    <t xml:space="preserve"> =COUNTIF(D33:D52,"10")</t>
  </si>
  <si>
    <t>Count of size 12 :</t>
  </si>
  <si>
    <t xml:space="preserve"> =COUNTIF(D33:D52,"12")</t>
  </si>
  <si>
    <t>If the =AVERAGE() function had been used the answer would have been :</t>
  </si>
  <si>
    <t>This figure is of no benefit to the shopkeeper as there are no garmets of this size!</t>
  </si>
  <si>
    <t>MONTH</t>
  </si>
  <si>
    <t>Original Date</t>
  </si>
  <si>
    <t xml:space="preserve"> =MONTH(C4)</t>
  </si>
  <si>
    <t xml:space="preserve"> =MONTH(C5)</t>
  </si>
  <si>
    <t>This function extracts the month from a complete date.</t>
  </si>
  <si>
    <t xml:space="preserve"> =MONTH(Date)</t>
  </si>
  <si>
    <t>month by using Format,Cells,Number,Custom and using the code mmm or mmmm.</t>
  </si>
  <si>
    <t>The =MONTH function has been used to calculate the name of the month for your birthday.</t>
  </si>
  <si>
    <t>Please enter your date of birth in the format dd/mm/yy</t>
  </si>
  <si>
    <t xml:space="preserve">You were born in </t>
  </si>
  <si>
    <t xml:space="preserve"> =MONTH(F20)</t>
  </si>
  <si>
    <t>Original</t>
  </si>
  <si>
    <t>Converted</t>
  </si>
  <si>
    <t xml:space="preserve"> =N(C4)</t>
  </si>
  <si>
    <t xml:space="preserve"> =N(C5)</t>
  </si>
  <si>
    <t xml:space="preserve"> =N(C6)</t>
  </si>
  <si>
    <t xml:space="preserve"> =N(C7)</t>
  </si>
  <si>
    <t xml:space="preserve"> =N(C8)</t>
  </si>
  <si>
    <t xml:space="preserve"> =N(C9)</t>
  </si>
  <si>
    <t xml:space="preserve"> =N(C10)</t>
  </si>
  <si>
    <t xml:space="preserve"> =N(C11)</t>
  </si>
  <si>
    <t xml:space="preserve"> =N(C12)</t>
  </si>
  <si>
    <t>This function converts a numeric entry to its mathematical value.</t>
  </si>
  <si>
    <t>Anything which will not convert is shown as 0 zero.</t>
  </si>
  <si>
    <t>Excel does not really need this function, due to the fact that Excel calculates in this way</t>
  </si>
  <si>
    <t>naturally. The function is included for compatibility with other spreadsheet programs.</t>
  </si>
  <si>
    <t>=N(NumericEntry)</t>
  </si>
  <si>
    <t>NA</t>
  </si>
  <si>
    <t xml:space="preserve"> =NA()</t>
  </si>
  <si>
    <t>Test</t>
  </si>
  <si>
    <t xml:space="preserve"> =IF(ISBLANK(C6),NA(),C6+1)</t>
  </si>
  <si>
    <t xml:space="preserve"> =IF(ISBLANK(C7),NA(),C7+1)</t>
  </si>
  <si>
    <t xml:space="preserve"> =IF(ISBLANK(C8),NA(),C8+1)</t>
  </si>
  <si>
    <t xml:space="preserve"> =SUM(D11:D14)</t>
  </si>
  <si>
    <t>This function is a place marker used to indicate that required information is Not Available.</t>
  </si>
  <si>
    <t>It can be type directly in to a cell as =NA() or it can be used as part of a calculation.</t>
  </si>
  <si>
    <t>When the =NA() is used, any calculations which depend upon the cell will also show #NA.</t>
  </si>
  <si>
    <t>It is used to indicate that all the data has not yet been entered in to the spreadsheet.</t>
  </si>
  <si>
    <t>=NA()</t>
  </si>
  <si>
    <t>The following table was used by a company to calculate the monthly Wage of an employee.</t>
  </si>
  <si>
    <t>The Salary and Tax percentage are entered.</t>
  </si>
  <si>
    <t>The Tax is then deducted from the Salary to calculate the Wage.</t>
  </si>
  <si>
    <t>Table 1 shows that when the Tax is not entered, the Wage is still calculated.</t>
  </si>
  <si>
    <t>On a large spreadsheet this may go unnoticed and the wrong Wage paid.</t>
  </si>
  <si>
    <t>Tax %</t>
  </si>
  <si>
    <t>Pay</t>
  </si>
  <si>
    <t xml:space="preserve"> =C39-C39*D39</t>
  </si>
  <si>
    <t xml:space="preserve"> =C40-C40*D40</t>
  </si>
  <si>
    <t xml:space="preserve"> =C41-C41*D41</t>
  </si>
  <si>
    <t>Table 2 shows how the =NA() has been inserted in the unknown Tax to act as a</t>
  </si>
  <si>
    <t>reminder that the Tax still needs to be entered.</t>
  </si>
  <si>
    <t xml:space="preserve"> =C49-C49*D49</t>
  </si>
  <si>
    <t xml:space="preserve"> =C50-C50*D50</t>
  </si>
  <si>
    <t xml:space="preserve"> =C51-C51*D51</t>
  </si>
  <si>
    <t>NETWORKDAYS</t>
  </si>
  <si>
    <t>Work Days</t>
  </si>
  <si>
    <t xml:space="preserve"> =NETWORKDAYS(C4,D4)</t>
  </si>
  <si>
    <t xml:space="preserve"> =NETWORKDAYS(C5,D5)</t>
  </si>
  <si>
    <t xml:space="preserve"> =NETWORKDAYS(C6,D6)</t>
  </si>
  <si>
    <t>This function will calculate the number of working days between two dates.</t>
  </si>
  <si>
    <t>It will exclude weekends and any holidays.</t>
  </si>
  <si>
    <t xml:space="preserve"> =NETWORKDAYS(StartDate,EndDate,Holidays)</t>
  </si>
  <si>
    <t xml:space="preserve">   Holidays : This is a list of dates which will be excluded from the calculation, such as Xmas</t>
  </si>
  <si>
    <t xml:space="preserve">   and Bank holidays.</t>
  </si>
  <si>
    <t>give a result of 4. To correct this add 1 to the result. =NETWORKDAYS(Start,End,Holidays)+1</t>
  </si>
  <si>
    <t>The following example shows how a list of Holidays can be created.</t>
  </si>
  <si>
    <t xml:space="preserve"> =NETWORKDAYS(B28,C28,C33:C37)</t>
  </si>
  <si>
    <t xml:space="preserve"> =NETWORKDAYS(B29,C29,C33:C37)</t>
  </si>
  <si>
    <t xml:space="preserve"> =NETWORKDAYS(B30,C30,C33:C37)</t>
  </si>
  <si>
    <t>Holidays</t>
  </si>
  <si>
    <t>Bank Holiday</t>
  </si>
  <si>
    <t>Xmas</t>
  </si>
  <si>
    <t>New Year</t>
  </si>
  <si>
    <t>Northern data.</t>
  </si>
  <si>
    <t>NOT</t>
  </si>
  <si>
    <t>Cells To Test</t>
  </si>
  <si>
    <t xml:space="preserve"> =NOT(C4&gt;D4)</t>
  </si>
  <si>
    <t xml:space="preserve"> =NOT(C5=D5)</t>
  </si>
  <si>
    <t xml:space="preserve"> =NOT(C6&lt;D6)</t>
  </si>
  <si>
    <t xml:space="preserve"> =NOT(C7&gt;D7)</t>
  </si>
  <si>
    <t xml:space="preserve"> =NOT(C8=D8)</t>
  </si>
  <si>
    <t xml:space="preserve"> =NOT(C9=D9)</t>
  </si>
  <si>
    <t>This function performs a test to see if the test fails. (A type of reverse logic).</t>
  </si>
  <si>
    <t>If the test fails, the result is TRUE.</t>
  </si>
  <si>
    <t>If the test is met, then the result is FALSE.</t>
  </si>
  <si>
    <t>=NOT(TestToPerform)</t>
  </si>
  <si>
    <t>The TestToPerform can be reference to cells or another calculation.</t>
  </si>
  <si>
    <t>The following table was used by a library to track books borrowed.</t>
  </si>
  <si>
    <t>The date the book was Taken out is entered.</t>
  </si>
  <si>
    <t>The period of the Loan is entered.</t>
  </si>
  <si>
    <t>The date the book was returned is entered.</t>
  </si>
  <si>
    <t>The =NOT() function has been used to calculate whether the book was returned within</t>
  </si>
  <si>
    <t>the correct time, by adding the Loan value to the Taken date.</t>
  </si>
  <si>
    <t>If the book was not returned on time the result Overdue is shown, otherwise OK is shown.</t>
  </si>
  <si>
    <t>Taken</t>
  </si>
  <si>
    <t>Loan</t>
  </si>
  <si>
    <t>Returned</t>
  </si>
  <si>
    <t>Status</t>
  </si>
  <si>
    <t xml:space="preserve"> =IF(NOT(D33&lt;=B33+C33),"Overdue","OK")</t>
  </si>
  <si>
    <t xml:space="preserve"> =IF(NOT(D34&lt;=B34+C34),"Overdue","OK")</t>
  </si>
  <si>
    <t xml:space="preserve"> =IF(NOT(D35&lt;=B35+C35),"Overdue","OK")</t>
  </si>
  <si>
    <t>NOW</t>
  </si>
  <si>
    <t>The current Date and Time</t>
  </si>
  <si>
    <t xml:space="preserve"> =NOW()</t>
  </si>
  <si>
    <t>This function shows the current date and time. The result will be updated each time the</t>
  </si>
  <si>
    <t>worksheet is opened and every time an entry is made anywhere on the worksheet.</t>
  </si>
  <si>
    <t>The result will be shown as a date and time. If it is formatted to show as a number</t>
  </si>
  <si>
    <t>the integer part is used for the date and the decimal portion represent the time.</t>
  </si>
  <si>
    <t>ODD</t>
  </si>
  <si>
    <t>Rounded To
Next Odd</t>
  </si>
  <si>
    <t xml:space="preserve"> =ODD(C4)</t>
  </si>
  <si>
    <t xml:space="preserve"> =ODD(C5)</t>
  </si>
  <si>
    <t xml:space="preserve"> =ODD(C6)</t>
  </si>
  <si>
    <t xml:space="preserve"> =ODD(C7)</t>
  </si>
  <si>
    <t xml:space="preserve"> =ODD(C8)</t>
  </si>
  <si>
    <t xml:space="preserve"> =ODD(C9)</t>
  </si>
  <si>
    <t>This function rounds a number up to the next highest whole odd number.</t>
  </si>
  <si>
    <t>=ODD(NumberToBeRounded)</t>
  </si>
  <si>
    <t>OR</t>
  </si>
  <si>
    <t>Order No.</t>
  </si>
  <si>
    <t>Payment Type</t>
  </si>
  <si>
    <t>Handling Charge</t>
  </si>
  <si>
    <t>AB001</t>
  </si>
  <si>
    <t>Cash</t>
  </si>
  <si>
    <t xml:space="preserve"> =IF(OR(E4="Visa",E4="Delta"),5,0)</t>
  </si>
  <si>
    <t>AB002</t>
  </si>
  <si>
    <t>Visa</t>
  </si>
  <si>
    <t xml:space="preserve"> =IF(OR(E5="Visa",E5="Delta"),5,0)</t>
  </si>
  <si>
    <t>AB003</t>
  </si>
  <si>
    <t>Cheque</t>
  </si>
  <si>
    <t xml:space="preserve"> =IF(OR(E6="Visa",E6="Delta"),5,0)</t>
  </si>
  <si>
    <t>AB004</t>
  </si>
  <si>
    <t xml:space="preserve"> =IF(OR(E7="Visa",E7="Delta"),5,0)</t>
  </si>
  <si>
    <t>This function tests two or more conditions to see if any of them are true.</t>
  </si>
  <si>
    <t>It can be used to test that at least one of a series of numbers meets certain conditions.</t>
  </si>
  <si>
    <t>Normally the OR() function would be used in conjunction with a function such as =IF().</t>
  </si>
  <si>
    <t xml:space="preserve"> =OR(Test1,Test2)</t>
  </si>
  <si>
    <t>The following table shows a list of orders taken by a company.</t>
  </si>
  <si>
    <t>A handling charge of £5 is made on all orders paid by Visa or Delta cards.</t>
  </si>
  <si>
    <t>The =OR() function has been used to determine whether the charge needs to be applied.</t>
  </si>
  <si>
    <t xml:space="preserve"> =IF(OR(E27="Visa",E27="Delta"),5,0)</t>
  </si>
  <si>
    <t>Ordering Stock</t>
  </si>
  <si>
    <t>This is an example of a spreadsheet to calculate the best time interval to order stock.</t>
  </si>
  <si>
    <t>Scenario</t>
  </si>
  <si>
    <t>A garage fits exhaust systems.</t>
  </si>
  <si>
    <t>The manager orders the exhausts on a regular basis.</t>
  </si>
  <si>
    <t>Each time an order is made for new stock, there is a fixed administrative cost.</t>
  </si>
  <si>
    <t>The exhausts are kept in stock until needed.</t>
  </si>
  <si>
    <t>Keeping the exhausts in stock incurs a cost due to capital tied up and warehouse costs.</t>
  </si>
  <si>
    <t>The supplier of the Exhausts gives a discount on large orders.</t>
  </si>
  <si>
    <t>Objective</t>
  </si>
  <si>
    <t>Find the time interval to order stock which will result in the lowest Admin and Warehouse costs.</t>
  </si>
  <si>
    <t>Input Data</t>
  </si>
  <si>
    <t xml:space="preserve">Cost of a single Exhaust system : </t>
  </si>
  <si>
    <t xml:space="preserve">Cost of keeping Exhaust in stock. (As a % of the stock value) : </t>
  </si>
  <si>
    <t xml:space="preserve">Quantity of Exhausts used per day : </t>
  </si>
  <si>
    <t xml:space="preserve">Admin cost each time new Exhausts are ordered : </t>
  </si>
  <si>
    <t xml:space="preserve">Average quantity of Exhausts in stock (As % of ordered quantity) : </t>
  </si>
  <si>
    <t xml:space="preserve">Ordering Intervals to evaluate. (Expressed in Days) : </t>
  </si>
  <si>
    <t xml:space="preserve">Suppliers first Price Break and Discount% offered : </t>
  </si>
  <si>
    <t xml:space="preserve">Suppliers second Price Break and Discount% offered : </t>
  </si>
  <si>
    <t>Output</t>
  </si>
  <si>
    <t>Ordering Interval
In Days</t>
  </si>
  <si>
    <t>Quantity
Per Order</t>
  </si>
  <si>
    <t>Order
Value</t>
  </si>
  <si>
    <t>Order
Discount</t>
  </si>
  <si>
    <t>Orders
Per Year</t>
  </si>
  <si>
    <t>Annual Admin Cost</t>
  </si>
  <si>
    <t>Annual
Ware
house
Costs</t>
  </si>
  <si>
    <t>Annual
Total</t>
  </si>
  <si>
    <t>The Best
Ordering
Interval</t>
  </si>
  <si>
    <t>Things To Try</t>
  </si>
  <si>
    <t>Change the Discount % to 0% and 0%.</t>
  </si>
  <si>
    <t>Change the Ordering Interval to 1 or 30.</t>
  </si>
  <si>
    <t>Change the Cost of the Exhaust making it cheaper or more expensive.</t>
  </si>
  <si>
    <t>Change the Quantity used per day to a larger or smaller number.</t>
  </si>
  <si>
    <t>Column A</t>
  </si>
  <si>
    <t>Ordering Interval In Days</t>
  </si>
  <si>
    <t>The first of these cells has the value 1 entered in it.</t>
  </si>
  <si>
    <t>This is the smallest ordering period, which would require stock to be ordered every day.</t>
  </si>
  <si>
    <t>The second cell picks the ordering interval from the Input Data table.</t>
  </si>
  <si>
    <t>The third and subsequent cells add the ordering interval to the previous cell to create</t>
  </si>
  <si>
    <t>a list of values of the same interval.</t>
  </si>
  <si>
    <t>Column B</t>
  </si>
  <si>
    <t>Quantity Per Order</t>
  </si>
  <si>
    <t>This is the number of Exhausts which will need to be ordered.</t>
  </si>
  <si>
    <t>Calculation :</t>
  </si>
  <si>
    <t>OrderingInterval * QuantityUsedPerDay</t>
  </si>
  <si>
    <t>Column C</t>
  </si>
  <si>
    <t>Order Value</t>
  </si>
  <si>
    <t>This is the value of the Order before any discount.</t>
  </si>
  <si>
    <t>QuantityOrdered * CostOfExhaust</t>
  </si>
  <si>
    <t>Column D</t>
  </si>
  <si>
    <t>Order Discount</t>
  </si>
  <si>
    <t>The discount which can be subtracted from the order value.</t>
  </si>
  <si>
    <t>The discount is only given on orders which are equal to or greater than the</t>
  </si>
  <si>
    <t>Price Break values set by the supplier.</t>
  </si>
  <si>
    <t>OrderValue * SupplierDiscount</t>
  </si>
  <si>
    <t>The supplier discount is calculated using the =IF() and the =AND() functions.</t>
  </si>
  <si>
    <t>If the OrderQuantity is equal to or above the first Price Break, but below</t>
  </si>
  <si>
    <t>the second Price Break, then the first Price Break discount is used.</t>
  </si>
  <si>
    <r>
      <t>=C29*</t>
    </r>
    <r>
      <rPr>
        <b/>
        <sz val="10"/>
        <color indexed="12"/>
        <rFont val="Arial"/>
        <family val="2"/>
      </rPr>
      <t>IF(AND(B29&gt;=$G$24,B29&lt;$G$25),$H$24</t>
    </r>
    <r>
      <rPr>
        <sz val="10"/>
        <color indexed="12"/>
        <rFont val="Arial"/>
        <family val="2"/>
      </rPr>
      <t>,</t>
    </r>
    <r>
      <rPr>
        <sz val="10"/>
        <rFont val="Arial"/>
        <family val="2"/>
      </rPr>
      <t>IF(B29&gt;=$G$25,$H$25,0))</t>
    </r>
  </si>
  <si>
    <t>If the OrderQuantity is equal to or above the second Price Break,</t>
  </si>
  <si>
    <t>the second Price Break discount is used.</t>
  </si>
  <si>
    <r>
      <t>=C29*IF(AND(B29&gt;=$G$24,B29&lt;$G$25),$H$24,</t>
    </r>
    <r>
      <rPr>
        <b/>
        <sz val="10"/>
        <color indexed="12"/>
        <rFont val="Arial"/>
        <family val="2"/>
      </rPr>
      <t>IF(B29&gt;=$G$25,$H$25</t>
    </r>
    <r>
      <rPr>
        <sz val="10"/>
        <rFont val="Arial"/>
        <family val="2"/>
      </rPr>
      <t>,0))</t>
    </r>
  </si>
  <si>
    <t>If the OrderQuantity does not qualify for a discount, zero discount is used.</t>
  </si>
  <si>
    <r>
      <t>=C29*IF(AND(B29&gt;=$G$24,B29&lt;$G$25),$H$24,IF(B29&gt;=$G$25,$H$25,</t>
    </r>
    <r>
      <rPr>
        <b/>
        <sz val="10"/>
        <color indexed="12"/>
        <rFont val="Arial"/>
        <family val="2"/>
      </rPr>
      <t>0</t>
    </r>
    <r>
      <rPr>
        <sz val="10"/>
        <rFont val="Arial"/>
        <family val="2"/>
      </rPr>
      <t>))</t>
    </r>
  </si>
  <si>
    <t>Column E</t>
  </si>
  <si>
    <t>Orders Per Year</t>
  </si>
  <si>
    <t>This is how many orders will need to be made based upon the ordering interval.</t>
  </si>
  <si>
    <t>With an interval of 1, there will have to be 365 orders.</t>
  </si>
  <si>
    <t>365/OrderingInterval</t>
  </si>
  <si>
    <t>This calculation may give results which are decimal, such as 2.3</t>
  </si>
  <si>
    <t>This decimal will cause problems, due to the fact that the number of</t>
  </si>
  <si>
    <t>orders must always be a whole number.</t>
  </si>
  <si>
    <t>The =CEILING() function has been used to 'round up' any decimals to</t>
  </si>
  <si>
    <t>the next highest whole number.</t>
  </si>
  <si>
    <t>=CEILING(365/A29,1)</t>
  </si>
  <si>
    <t>Column F</t>
  </si>
  <si>
    <t>Annual Admin Costs</t>
  </si>
  <si>
    <t>This is the administration costs involved in making the orders.</t>
  </si>
  <si>
    <t>OrdersPerYear * AdminCost</t>
  </si>
  <si>
    <t>=E29*$G$20</t>
  </si>
  <si>
    <t>Column G</t>
  </si>
  <si>
    <t>Annual Warehouse Costs</t>
  </si>
  <si>
    <t>This is the cost of keeping the stock in the warehouse.</t>
  </si>
  <si>
    <t>It is based on the managers knowledge that on average the stock level is 50% of the</t>
  </si>
  <si>
    <t>quantity ordered.</t>
  </si>
  <si>
    <t>QuantityOrdered * AverageStockLevel) * ExhaustCost * WarehousingCost</t>
  </si>
  <si>
    <t>=(B29*$G$21)*$G$17*$G$18</t>
  </si>
  <si>
    <t>Column H</t>
  </si>
  <si>
    <t>Annual Total</t>
  </si>
  <si>
    <t>This is the full yearly cost of ordering the Exhausts, based upon how frequently the</t>
  </si>
  <si>
    <t>orders are made.</t>
  </si>
  <si>
    <t>It does not take in to account the actual costs of the Exhausts, as the manager only</t>
  </si>
  <si>
    <t>wants to know what the lowest values for the overheads associated with ordering and</t>
  </si>
  <si>
    <t>storing the exhaust systems.</t>
  </si>
  <si>
    <t>However, the Discount figure is taken into account as this can be used to offset some</t>
  </si>
  <si>
    <t>of the overheads.</t>
  </si>
  <si>
    <t>AnnualAdminCosts + AnnualWarehouseCosts - OrderDiscount</t>
  </si>
  <si>
    <t>=F29+G29-D29</t>
  </si>
  <si>
    <t>Column I</t>
  </si>
  <si>
    <t>The Best Ordering Interval</t>
  </si>
  <si>
    <t>This shows the Best ordering interval, giving the lowest annual overheads.</t>
  </si>
  <si>
    <t>It compares the value in column H against the minimum value for all of column H.</t>
  </si>
  <si>
    <t>If the two values match the word Best is shown, otherwise a dash is shown.</t>
  </si>
  <si>
    <t>=IF(H29=MIN($H$29:$H$59),"Best","-")</t>
  </si>
  <si>
    <t>Box size</t>
  </si>
  <si>
    <t>Sample</t>
  </si>
  <si>
    <t>Packer1</t>
  </si>
  <si>
    <t>Packer2</t>
  </si>
  <si>
    <t>Packer3</t>
  </si>
  <si>
    <t>Packer4</t>
  </si>
  <si>
    <t>PERMUT</t>
  </si>
  <si>
    <t>Permutations</t>
  </si>
  <si>
    <t xml:space="preserve"> =PERMUT(C4,D4)</t>
  </si>
  <si>
    <t xml:space="preserve"> =PERMUT(C5,D5)</t>
  </si>
  <si>
    <t xml:space="preserve"> =PERMUT(C6,D6)</t>
  </si>
  <si>
    <t xml:space="preserve"> =PERMUT(C7,D7)</t>
  </si>
  <si>
    <t>This function calculates the maximum number of permutations given a fixed number of items.</t>
  </si>
  <si>
    <t>The internal order is significant, so AB and BA will be considered as two possible permutations.</t>
  </si>
  <si>
    <t>It could be used to calculate the possible number of 4 digit passwords from the digits 0 to 9.</t>
  </si>
  <si>
    <t>=PERMUT(PoolToPickFrom,ItemsInAGroup)</t>
  </si>
  <si>
    <t>The following table was used to calculate the total number of 8 letter passwords which can</t>
  </si>
  <si>
    <t>be created by using all 26 letters of the alphabet.</t>
  </si>
  <si>
    <t>Letter In Alphabet</t>
  </si>
  <si>
    <t>Password Size</t>
  </si>
  <si>
    <t>In the case of a two letter password made from the letter A, B, C and D, the following</t>
  </si>
  <si>
    <t>twelve permutations would be possible.</t>
  </si>
  <si>
    <t>Password 1</t>
  </si>
  <si>
    <t>Password 7</t>
  </si>
  <si>
    <t>BA</t>
  </si>
  <si>
    <t>Password 2</t>
  </si>
  <si>
    <t>Password 8</t>
  </si>
  <si>
    <t>CA</t>
  </si>
  <si>
    <t>Password 3</t>
  </si>
  <si>
    <t>Password 9</t>
  </si>
  <si>
    <t>DA</t>
  </si>
  <si>
    <t>Password 4</t>
  </si>
  <si>
    <t>Password 10</t>
  </si>
  <si>
    <t>CB</t>
  </si>
  <si>
    <t>Password 5</t>
  </si>
  <si>
    <t>Password 11</t>
  </si>
  <si>
    <t>Password 6</t>
  </si>
  <si>
    <t>Password 12</t>
  </si>
  <si>
    <t>DC</t>
  </si>
  <si>
    <t>PI</t>
  </si>
  <si>
    <t xml:space="preserve"> =PI()</t>
  </si>
  <si>
    <t>This function is equal to the value of Pi.</t>
  </si>
  <si>
    <t>It is correct to 15 decimal places.</t>
  </si>
  <si>
    <t>It does not need any input, it is a self contained function.</t>
  </si>
  <si>
    <t>=PI()</t>
  </si>
  <si>
    <t>To calculate the area of a circle.</t>
  </si>
  <si>
    <t>Radius</t>
  </si>
  <si>
    <t>Area</t>
  </si>
  <si>
    <t xml:space="preserve"> =PI()*(C21^2)</t>
  </si>
  <si>
    <t>POWER</t>
  </si>
  <si>
    <t xml:space="preserve"> =POWER(C4,D4)</t>
  </si>
  <si>
    <t xml:space="preserve"> =POWER(C5,D5)</t>
  </si>
  <si>
    <t xml:space="preserve"> =POWER(C6,D6)</t>
  </si>
  <si>
    <t xml:space="preserve"> =POWER(C7,D7)</t>
  </si>
  <si>
    <t>This function raises a number to a user specified power.</t>
  </si>
  <si>
    <t>It is the same as using the ^ operator, such as 3^4, which result is 81.</t>
  </si>
  <si>
    <t>Both the POWER() function and the ^ operator are the same as using 3*3*3*3.</t>
  </si>
  <si>
    <t>=POWER(NumberToBeRaised,Power)</t>
  </si>
  <si>
    <t xml:space="preserve"> =PI()*POWER(C22,2)</t>
  </si>
  <si>
    <t>PRODUCT</t>
  </si>
  <si>
    <t xml:space="preserve"> =PRODUCT(C4,D4)</t>
  </si>
  <si>
    <t xml:space="preserve"> =PRODUCT(C5:D5)</t>
  </si>
  <si>
    <t xml:space="preserve"> =PRODUCT(C6:D6,10)</t>
  </si>
  <si>
    <t xml:space="preserve"> =PRODUCT(C4:D6)</t>
  </si>
  <si>
    <t>This function multiples a group of numbers together.</t>
  </si>
  <si>
    <t>It is the same as using 2*3*5*10*3*7, which results in 6300.</t>
  </si>
  <si>
    <t>=PRODUCT(Number1,Number2,Number3... through to Number30)</t>
  </si>
  <si>
    <t>=PRODUCT(RangeOfNumbers)</t>
  </si>
  <si>
    <t>=PRODUCT(Number1,Range,Number2...)</t>
  </si>
  <si>
    <t>QUARTILE</t>
  </si>
  <si>
    <t>Quarter No.</t>
  </si>
  <si>
    <t>Quartile</t>
  </si>
  <si>
    <t xml:space="preserve"> =QUARTILE(C4:C8,E4)</t>
  </si>
  <si>
    <t xml:space="preserve"> =QUARTILE(C4:C8,E5)</t>
  </si>
  <si>
    <t xml:space="preserve"> =QUARTILE(C4:C8,E6)</t>
  </si>
  <si>
    <t xml:space="preserve"> =QUARTILE(C4:C8,E7)</t>
  </si>
  <si>
    <t xml:space="preserve"> =QUARTILE(C4:C8,E8)</t>
  </si>
  <si>
    <t xml:space="preserve"> =QUARTILE(C12:F16,H12)</t>
  </si>
  <si>
    <t xml:space="preserve"> =QUARTILE(C12:F16,H13)</t>
  </si>
  <si>
    <t xml:space="preserve"> =QUARTILE(C12:F16,H14)</t>
  </si>
  <si>
    <t xml:space="preserve"> =QUARTILE(C12:F16,H15)</t>
  </si>
  <si>
    <t xml:space="preserve"> =QUARTILE(C12:F16,H16)</t>
  </si>
  <si>
    <t>This function examines a group of values and then shows the values which are of the</t>
  </si>
  <si>
    <t>upper limits of the 1st, 2nd, 3rd and 4th quarters of the data.</t>
  </si>
  <si>
    <t>The Quartile of 0 (zero) is actually lowest value, which can be obtained using the =MIN() function.</t>
  </si>
  <si>
    <t>The Quartile of 4 is actually highest value, which can be obtained using the =MAX() function.</t>
  </si>
  <si>
    <t>=QUARTILE(RangeToBeExamined,QuartileValue)</t>
  </si>
  <si>
    <t>The QuartileValue can only be 0,1,2,3 or 4.</t>
  </si>
  <si>
    <t>QUOTIENT</t>
  </si>
  <si>
    <t xml:space="preserve"> =QUOTIENT(C4,D4)</t>
  </si>
  <si>
    <t xml:space="preserve"> =QUOTIENT(C5,D5)</t>
  </si>
  <si>
    <t xml:space="preserve"> =QUOTIENT(C6,D6)</t>
  </si>
  <si>
    <t>This function calculates the number of times a number can be divided by another number.</t>
  </si>
  <si>
    <t>It ignores any remainder, only showing the whole number.</t>
  </si>
  <si>
    <t>=QUOTIENT(NumberToBeDivided,Divisor)</t>
  </si>
  <si>
    <t>The following example was used by a drinks merchant to calculate the number of</t>
  </si>
  <si>
    <t>crates which could be packed using bottles in stock.</t>
  </si>
  <si>
    <t>The merchant can only sell full crates.</t>
  </si>
  <si>
    <t>Table 1 calculates the crates by simple division. This however shows</t>
  </si>
  <si>
    <t>decimal fractions which are not needed.</t>
  </si>
  <si>
    <t>Bottles
To Pack</t>
  </si>
  <si>
    <t>Bottles
Per Crate</t>
  </si>
  <si>
    <t>Crates Needed</t>
  </si>
  <si>
    <t>Wine</t>
  </si>
  <si>
    <t xml:space="preserve"> =D28/E28</t>
  </si>
  <si>
    <t>Champagne</t>
  </si>
  <si>
    <t>Rum</t>
  </si>
  <si>
    <t>Beer</t>
  </si>
  <si>
    <t>Table 2 uses the =QUOTIENT() function to remove the decimal fraction to</t>
  </si>
  <si>
    <t>give the correct result.</t>
  </si>
  <si>
    <t xml:space="preserve"> =QUOTIENT(D39,E39)</t>
  </si>
  <si>
    <t>RAND</t>
  </si>
  <si>
    <t>Random greater than or equal to 0 but less than 1.</t>
  </si>
  <si>
    <t xml:space="preserve"> =RAND()</t>
  </si>
  <si>
    <t>Random greater than or equal to 0 but less than 10</t>
  </si>
  <si>
    <t xml:space="preserve"> =RAND()*10</t>
  </si>
  <si>
    <t>Random between 5 and 10.</t>
  </si>
  <si>
    <t xml:space="preserve"> =RAND()*(10-5)+5</t>
  </si>
  <si>
    <t>This function creates a random number &gt;=0 but &lt;1.</t>
  </si>
  <si>
    <t>The number will change each time the worksheet recalculates, or when F9 is pressed.</t>
  </si>
  <si>
    <t>=RAND()</t>
  </si>
  <si>
    <t>The following examples show how the =RAND() function has been used to randomly</t>
  </si>
  <si>
    <t>sort list of information.</t>
  </si>
  <si>
    <t>A list of cards has been entered in column C, and =RAND() in column D.</t>
  </si>
  <si>
    <t>By clicking inside the random numbers and then using Data, Sort or the Sort button</t>
  </si>
  <si>
    <t>the cards will be shuffled.</t>
  </si>
  <si>
    <t>The same technique has been used to generate a list of six winning lottery numbers.</t>
  </si>
  <si>
    <t>Card</t>
  </si>
  <si>
    <t>Random</t>
  </si>
  <si>
    <t>Lottery</t>
  </si>
  <si>
    <t>Clubs 8</t>
  </si>
  <si>
    <t>Clubs 6</t>
  </si>
  <si>
    <t>Diamond 9</t>
  </si>
  <si>
    <t>Spades 13</t>
  </si>
  <si>
    <t>Clubs 9</t>
  </si>
  <si>
    <t>Diamond 7</t>
  </si>
  <si>
    <t>Diamond 4</t>
  </si>
  <si>
    <t>Clubs 10</t>
  </si>
  <si>
    <t>Spades 3</t>
  </si>
  <si>
    <t>Hearts 6</t>
  </si>
  <si>
    <t>Hearts 4</t>
  </si>
  <si>
    <t>Diamond 8</t>
  </si>
  <si>
    <t>Hearts 11</t>
  </si>
  <si>
    <t>Clubs 3</t>
  </si>
  <si>
    <t>Clubs 13</t>
  </si>
  <si>
    <t>Spades 5</t>
  </si>
  <si>
    <t>Diamond 3</t>
  </si>
  <si>
    <t>Spades 2</t>
  </si>
  <si>
    <t>Diamond 6</t>
  </si>
  <si>
    <t>Clubs 5</t>
  </si>
  <si>
    <t>Spades 1</t>
  </si>
  <si>
    <t>Clubs 12</t>
  </si>
  <si>
    <t>Hearts 10</t>
  </si>
  <si>
    <t>Hearts 13</t>
  </si>
  <si>
    <t>Spades 7</t>
  </si>
  <si>
    <t>Spades 6</t>
  </si>
  <si>
    <t>Diamond 12</t>
  </si>
  <si>
    <t>Hearts 3</t>
  </si>
  <si>
    <t>Hearts 5</t>
  </si>
  <si>
    <t>Hearts 8</t>
  </si>
  <si>
    <t>Hearts 1</t>
  </si>
  <si>
    <t>Diamond 13</t>
  </si>
  <si>
    <t>Hearts 9</t>
  </si>
  <si>
    <t>Clubs 4</t>
  </si>
  <si>
    <t>Diamond 5</t>
  </si>
  <si>
    <t>Spades 4</t>
  </si>
  <si>
    <t>Clubs 1</t>
  </si>
  <si>
    <t>Spades 8</t>
  </si>
  <si>
    <t>Hearts 7</t>
  </si>
  <si>
    <t>Diamond 1</t>
  </si>
  <si>
    <t>Clubs 2</t>
  </si>
  <si>
    <t>Hearts 2</t>
  </si>
  <si>
    <t>Diamond 11</t>
  </si>
  <si>
    <t>Clubs 7</t>
  </si>
  <si>
    <t>Spades 12</t>
  </si>
  <si>
    <t>Spades 10</t>
  </si>
  <si>
    <t>Clubs 11</t>
  </si>
  <si>
    <t>Diamond 2</t>
  </si>
  <si>
    <t>Diamond 10</t>
  </si>
  <si>
    <t>Spades 9</t>
  </si>
  <si>
    <t>Spades 11</t>
  </si>
  <si>
    <t>Hearts 12</t>
  </si>
  <si>
    <t>RANDBETWEEN</t>
  </si>
  <si>
    <t>Low</t>
  </si>
  <si>
    <t>High</t>
  </si>
  <si>
    <t xml:space="preserve"> =RANDBETWEEN(C4,D4)</t>
  </si>
  <si>
    <t xml:space="preserve"> =RANDBETWEEN(C5,D5)</t>
  </si>
  <si>
    <t>This function produces a random whole number between two specified numbers.</t>
  </si>
  <si>
    <t>The random number will change each time the spreadsheet is recalculated or F9 is pressed.</t>
  </si>
  <si>
    <t>=RANDOMBETWEEN(LowLimit,HighLimit)</t>
  </si>
  <si>
    <t>The following table shows how the =RANDBETWEEN() has been used to generate six</t>
  </si>
  <si>
    <t>numbers to use for the National Lottery.</t>
  </si>
  <si>
    <t>Note that the function does not check to ensure all numbers are unique, the same number</t>
  </si>
  <si>
    <t>could be generated twice or more.</t>
  </si>
  <si>
    <t>Lottery Numbers</t>
  </si>
  <si>
    <t>The Winning
Ticket!</t>
  </si>
  <si>
    <t xml:space="preserve"> =RANDBETWEEN($C$24,$D$24)</t>
  </si>
  <si>
    <t>Number 1</t>
  </si>
  <si>
    <t>Number 2</t>
  </si>
  <si>
    <t>Press function Key</t>
  </si>
  <si>
    <t>Number 3</t>
  </si>
  <si>
    <t>F9 to recalculate.</t>
  </si>
  <si>
    <t>Number 4</t>
  </si>
  <si>
    <t>Number 5</t>
  </si>
  <si>
    <t>Number 6</t>
  </si>
  <si>
    <t>Bonus ball</t>
  </si>
  <si>
    <t xml:space="preserve"> {=IF(SUM(1/COUNTIF(E24:E30,E24:E30))&lt;&gt;7,"Duplicates! Spin again","All OK")}</t>
  </si>
  <si>
    <t>This formula is used to determine whether all the numbers are different.</t>
  </si>
  <si>
    <t>It is entered as an array using Ctrl+Shift+Enter.</t>
  </si>
  <si>
    <t>RANK</t>
  </si>
  <si>
    <t>Ranking Position
High to Low</t>
  </si>
  <si>
    <t xml:space="preserve"> =RANK(C4,C4:C8)</t>
  </si>
  <si>
    <t xml:space="preserve"> =RANK(C5,C4:C8)</t>
  </si>
  <si>
    <t xml:space="preserve"> =RANK(C6,C4:C8)</t>
  </si>
  <si>
    <t xml:space="preserve"> =RANK(C7,C4:C8)</t>
  </si>
  <si>
    <t xml:space="preserve"> =RANK(C8,C4:C8)</t>
  </si>
  <si>
    <t>Ranking Position
Low to High</t>
  </si>
  <si>
    <t xml:space="preserve"> =RANK(C11,C11:C15,1)</t>
  </si>
  <si>
    <t xml:space="preserve"> =RANK(C12,C11:C15,1)</t>
  </si>
  <si>
    <t xml:space="preserve"> =RANK(C13,C11:C15,1)</t>
  </si>
  <si>
    <t xml:space="preserve"> =RANK(C14,C11:C15,1)</t>
  </si>
  <si>
    <t xml:space="preserve"> =RANK(C15,C11:C15,1)</t>
  </si>
  <si>
    <t xml:space="preserve"> =RANK(C18,C18:C22)</t>
  </si>
  <si>
    <t xml:space="preserve"> =RANK(C19,C18:C22)</t>
  </si>
  <si>
    <t xml:space="preserve"> =RANK(C20,C18:C22)</t>
  </si>
  <si>
    <t xml:space="preserve"> =RANK(C21,C18:C22)</t>
  </si>
  <si>
    <t xml:space="preserve"> =RANK(C22,C18:C22)</t>
  </si>
  <si>
    <t>This function calculates the position of a value in a list relative to the other values in the list.</t>
  </si>
  <si>
    <t>A typical usage would be to rank the times of athletes in a race to find the winner.</t>
  </si>
  <si>
    <t>The ranking can be done on an ascending (low to high) or descending (high to low) basis.</t>
  </si>
  <si>
    <t>If there are duplicate values in the list, they will be assigned the same rank. Subsequent ranks</t>
  </si>
  <si>
    <t>would not follow on sequentially, but would take into account the fact that there were duplicates.</t>
  </si>
  <si>
    <t>If the numbers 30, 20, 20 and 10 were ranked, 30 is ranked as 1, both 20's are ranked as 2, and</t>
  </si>
  <si>
    <t>the 10 would be ranked as 4.</t>
  </si>
  <si>
    <t>Rank</t>
  </si>
  <si>
    <t xml:space="preserve"> =RANK(B34,B34:B37)</t>
  </si>
  <si>
    <t xml:space="preserve"> =RANK(B35,B34:B37)</t>
  </si>
  <si>
    <t xml:space="preserve"> =RANK(B36,B34:B37)</t>
  </si>
  <si>
    <t xml:space="preserve"> =RANK(B37,B34:B37)</t>
  </si>
  <si>
    <t>=RANK(NumberToRank,ListOfNumbers,RankOrder)</t>
  </si>
  <si>
    <t>The RankOrder can be 0 zero or 1.</t>
  </si>
  <si>
    <t>Using 0 will rank larger numbers at the top. (This is optional, leaving it out has the same effect).</t>
  </si>
  <si>
    <t>Using 1 will rank small numbers at the top.</t>
  </si>
  <si>
    <t>The following table was used to record the times for athletes competing in a race.</t>
  </si>
  <si>
    <t>The =RANK() function was then used to find their race positions based upon the finishing times.</t>
  </si>
  <si>
    <t>Athlete</t>
  </si>
  <si>
    <t>Race Position</t>
  </si>
  <si>
    <t>John</t>
  </si>
  <si>
    <t xml:space="preserve"> =RANK(C53,C53:C58,1)</t>
  </si>
  <si>
    <t xml:space="preserve"> =RANK(C54,C53:C58,1)</t>
  </si>
  <si>
    <t xml:space="preserve"> =RANK(C55,C53:C58,1)</t>
  </si>
  <si>
    <t>Brian</t>
  </si>
  <si>
    <t xml:space="preserve"> =RANK(C56,C53:C58,1)</t>
  </si>
  <si>
    <t>Sue</t>
  </si>
  <si>
    <t xml:space="preserve"> =RANK(C57,C53:C58,1)</t>
  </si>
  <si>
    <t>Alex</t>
  </si>
  <si>
    <t xml:space="preserve"> =RANK(C58,C53:C58,1)</t>
  </si>
  <si>
    <t>REPT</t>
  </si>
  <si>
    <t>Text To
Repeat</t>
  </si>
  <si>
    <t>Number Of
Repeats</t>
  </si>
  <si>
    <t>Repeated
Text</t>
  </si>
  <si>
    <t xml:space="preserve"> =REPT(C4,D4)</t>
  </si>
  <si>
    <t xml:space="preserve"> =REPT(C5,D5)</t>
  </si>
  <si>
    <t>-</t>
  </si>
  <si>
    <t xml:space="preserve"> =REPT(C6,D6)</t>
  </si>
  <si>
    <t>|</t>
  </si>
  <si>
    <t xml:space="preserve"> =REPT(C7,D7)</t>
  </si>
  <si>
    <t>This function repeats a piece of text a specified number of times.</t>
  </si>
  <si>
    <t>You need to specify the text to be repeated and how many times to repeat it.</t>
  </si>
  <si>
    <t>=REPT(TextToRepeat,Repetitions)</t>
  </si>
  <si>
    <t>The maximum number of repetitions is 200.</t>
  </si>
  <si>
    <t>The following table was used to display a simple histogram of sales figures.</t>
  </si>
  <si>
    <t>The =REPT() function uses the value of Sales, but this is divided by 100 to scale down the</t>
  </si>
  <si>
    <t>number of repetitions to below the maximum of 200.</t>
  </si>
  <si>
    <t xml:space="preserve"> =REPT("||",D29/100)</t>
  </si>
  <si>
    <t>RIGHT</t>
  </si>
  <si>
    <t>Original
Text</t>
  </si>
  <si>
    <t>Right
String</t>
  </si>
  <si>
    <t xml:space="preserve"> =RIGHT(C4,D4)</t>
  </si>
  <si>
    <t xml:space="preserve"> =RIGHT(C5,D5)</t>
  </si>
  <si>
    <t xml:space="preserve"> =RIGHT(C6,D6)</t>
  </si>
  <si>
    <t xml:space="preserve"> =RIGHT(C7,D7)</t>
  </si>
  <si>
    <t xml:space="preserve"> =RIGHT(C8,D8)</t>
  </si>
  <si>
    <t>This function displays a specified number of characters from the right hand side of a</t>
  </si>
  <si>
    <t>=RIGHT(OriginalText,NumberOfCharactersRequired)</t>
  </si>
  <si>
    <t>The following table was used to extract the second name of a person from their full name.</t>
  </si>
  <si>
    <t>The =FIND() function locates the position of the space between the first and second name.</t>
  </si>
  <si>
    <t>The length of the second name is calculated by subtracting the position of the space from</t>
  </si>
  <si>
    <t>the overall length of the full name.</t>
  </si>
  <si>
    <t>The =RIGHT() function can then extract the second name.</t>
  </si>
  <si>
    <t>Second Name</t>
  </si>
  <si>
    <t xml:space="preserve"> =RIGHT(C28,LEN(C28)-FIND(" ",C28))</t>
  </si>
  <si>
    <t xml:space="preserve"> =RIGHT(C29,LEN(C29)-FIND(" ",C29))</t>
  </si>
  <si>
    <t xml:space="preserve"> =RIGHT(C30,LEN(C30)-FIND(" ",C30))</t>
  </si>
  <si>
    <t>TIME</t>
  </si>
  <si>
    <t xml:space="preserve"> =TIME(C4,D4,E4)</t>
  </si>
  <si>
    <t xml:space="preserve"> =TIME(C5,D5,E5)</t>
  </si>
  <si>
    <t xml:space="preserve"> =TIME(C6,D6,E6)</t>
  </si>
  <si>
    <t>This function will convert three separate numbers to an actual time.</t>
  </si>
  <si>
    <t xml:space="preserve"> =TIME(Hour,Minute,Second)</t>
  </si>
  <si>
    <t>The result will be shown as a time which can be formatted either as 12 or 24 hour style.</t>
  </si>
  <si>
    <t>If a normal number format is applied a decimal fraction is shown which represents the</t>
  </si>
  <si>
    <t>time as a fraction of the day.</t>
  </si>
  <si>
    <t>YEAR</t>
  </si>
  <si>
    <t xml:space="preserve"> =YEAR(C4)</t>
  </si>
  <si>
    <t>This function extracts the year number from a date.</t>
  </si>
  <si>
    <t xml:space="preserve"> =YEAR(Date)</t>
  </si>
  <si>
    <t>The result is shown as a number.</t>
  </si>
  <si>
    <t>WORKDAY</t>
  </si>
  <si>
    <t>Days</t>
  </si>
  <si>
    <t xml:space="preserve"> =WORKDAY(D4,E4)</t>
  </si>
  <si>
    <t xml:space="preserve"> =WORKDAY(D5,E5)</t>
  </si>
  <si>
    <t>Use this function to calculate a past or future date based on a starting date and a</t>
  </si>
  <si>
    <t>specified number of days. The function excludes weekends and holidays and can</t>
  </si>
  <si>
    <t>therefore be used to calculate delivery dates or invoice dates.</t>
  </si>
  <si>
    <t xml:space="preserve"> =WORKDAY(StartDate,Days,Holidays)</t>
  </si>
  <si>
    <t>The result will normally be shown as a number which can be formatted to a</t>
  </si>
  <si>
    <t>normal date by using Format,Cells,Number,Date.</t>
  </si>
  <si>
    <t>The following example shows how the function can be used to calculate delivery dates</t>
  </si>
  <si>
    <t>based upon an initial Order Date and estimated Delivery Days.</t>
  </si>
  <si>
    <t>Order Date</t>
  </si>
  <si>
    <t>Delivery Days</t>
  </si>
  <si>
    <t>Delivery Date</t>
  </si>
  <si>
    <t xml:space="preserve"> =WORKDAY(D25,E25,D28:D32)</t>
  </si>
  <si>
    <t>ROMAN</t>
  </si>
  <si>
    <t>Roman</t>
  </si>
  <si>
    <t xml:space="preserve"> =ROMAN(C4)</t>
  </si>
  <si>
    <t xml:space="preserve"> =ROMAN(C5)</t>
  </si>
  <si>
    <t xml:space="preserve"> =ROMAN(C6)</t>
  </si>
  <si>
    <t xml:space="preserve"> =ROMAN(C7)</t>
  </si>
  <si>
    <t xml:space="preserve"> =ROMAN(C8)</t>
  </si>
  <si>
    <t xml:space="preserve"> =ROMAN(C9)</t>
  </si>
  <si>
    <t xml:space="preserve"> =ROMAN(C10,0)</t>
  </si>
  <si>
    <t xml:space="preserve"> =ROMAN(C11,1)</t>
  </si>
  <si>
    <t xml:space="preserve"> =ROMAN(C12,2)</t>
  </si>
  <si>
    <t xml:space="preserve"> =ROMAN(C13,3)</t>
  </si>
  <si>
    <t xml:space="preserve"> =ROMAN(C14,4)</t>
  </si>
  <si>
    <t xml:space="preserve"> =ROMAN(C15,TRUE)</t>
  </si>
  <si>
    <t xml:space="preserve"> =ROMAN(C16,FALSE)</t>
  </si>
  <si>
    <t>This function produces a number shown as Roman numerals in various formats.</t>
  </si>
  <si>
    <t>=ROMAN(NormalNumber,RomanNumberFormat)</t>
  </si>
  <si>
    <t>The RomanNumberFormat can be any of the following.</t>
  </si>
  <si>
    <t>0 is Classic. This is used if no format is specified.</t>
  </si>
  <si>
    <t>1 is more Concise.</t>
  </si>
  <si>
    <t>2 is even more Concise.</t>
  </si>
  <si>
    <t>3 is even more Concise still.</t>
  </si>
  <si>
    <t>4 is Simplified.</t>
  </si>
  <si>
    <t>TRUE is Classic</t>
  </si>
  <si>
    <t>FALSE is Simplified</t>
  </si>
  <si>
    <t>There is no function to do the opposite calculation of Roman to normal.</t>
  </si>
  <si>
    <t>ROUND</t>
  </si>
  <si>
    <t>Places To
Round</t>
  </si>
  <si>
    <t>Rounded
Number</t>
  </si>
  <si>
    <t xml:space="preserve"> =ROUND(C4,D4)</t>
  </si>
  <si>
    <t xml:space="preserve"> =ROUND(C5,D5)</t>
  </si>
  <si>
    <t xml:space="preserve"> =ROUND(C6,D6)</t>
  </si>
  <si>
    <t xml:space="preserve"> =ROUND(C7,D7)</t>
  </si>
  <si>
    <t xml:space="preserve"> =ROUND(C8,D8)</t>
  </si>
  <si>
    <t xml:space="preserve"> =ROUND(C9,D9)</t>
  </si>
  <si>
    <t>This function rounds a number to a specified amount od decimal places.</t>
  </si>
  <si>
    <t>If 0 is used the number is rounded to the nearest whole number.</t>
  </si>
  <si>
    <t>If a negative amount of rounding is used the figures to the left of the decimal point are rounded.</t>
  </si>
  <si>
    <t>=ROUND(NumberToRound,DecimalPlacesToUse)</t>
  </si>
  <si>
    <t>ROUNDDOWN</t>
  </si>
  <si>
    <t>Rounded
Down</t>
  </si>
  <si>
    <t xml:space="preserve"> =ROUNDDOWN(C4,D4)</t>
  </si>
  <si>
    <t xml:space="preserve"> =ROUNDDOWN(C5,D5)</t>
  </si>
  <si>
    <t xml:space="preserve"> =ROUNDDOWN(C6,D6)</t>
  </si>
  <si>
    <t xml:space="preserve"> =ROUNDDOWN(C7,D7)</t>
  </si>
  <si>
    <t xml:space="preserve"> =ROUNDDOWN(C8,D8)</t>
  </si>
  <si>
    <t xml:space="preserve"> =ROUNDDOWN(C9,D9)</t>
  </si>
  <si>
    <t>This function rounds a number down to a specified amount of decimal places.</t>
  </si>
  <si>
    <t>If 0 is used the number is rounded down to the nearest whole number.</t>
  </si>
  <si>
    <t>=ROUNDDOWN(NumberToRound,DecimalPlacesToUse)</t>
  </si>
  <si>
    <t>ROUNDUP</t>
  </si>
  <si>
    <t>Rounded
Up</t>
  </si>
  <si>
    <t xml:space="preserve"> =ROUNDUP(C4,D4)</t>
  </si>
  <si>
    <t xml:space="preserve"> =ROUNDUP(C5,D5)</t>
  </si>
  <si>
    <t xml:space="preserve"> =ROUNDUP(C6,D6)</t>
  </si>
  <si>
    <t xml:space="preserve"> =ROUNDUP(C7,D7)</t>
  </si>
  <si>
    <t xml:space="preserve"> =ROUNDUP(C8,D8)</t>
  </si>
  <si>
    <t xml:space="preserve"> =ROUNDUP(C9,D9)</t>
  </si>
  <si>
    <t>This function rounds a number up to a specified amount of decimal places.</t>
  </si>
  <si>
    <t>If 0 is used the number is rounded up to the nearest whole number.</t>
  </si>
  <si>
    <t>=ROUNDUPNumberToRound,DecimalPlacesToUse)</t>
  </si>
  <si>
    <t>SECOND</t>
  </si>
  <si>
    <t xml:space="preserve"> =SECOND(C4)</t>
  </si>
  <si>
    <t xml:space="preserve"> =SECOND(C5)</t>
  </si>
  <si>
    <t xml:space="preserve"> =SECOND(C6)</t>
  </si>
  <si>
    <t xml:space="preserve"> =SECOND(C7)</t>
  </si>
  <si>
    <t xml:space="preserve"> =SECOND(C8)</t>
  </si>
  <si>
    <t>The function will show the second of the minute based upon a time or a number.</t>
  </si>
  <si>
    <t>=SECOND(Number)</t>
  </si>
  <si>
    <t>The following table was used by a telephone compnay to calculate the cost of a call.</t>
  </si>
  <si>
    <t>The telephone company only deals in seconds which are a multiple of 5.</t>
  </si>
  <si>
    <t>The seconds in a call are rounded up to the nearest multiple of 5 before the bill is calculated.</t>
  </si>
  <si>
    <t>The Duration of the call is entered.</t>
  </si>
  <si>
    <t>The =MINUTES() function calculates the total number of minutes.</t>
  </si>
  <si>
    <t>The =SECOND() function calculates the total number of seconds.</t>
  </si>
  <si>
    <t>The =CEILING() function rounds the seconds up to the nearest muliple of 5.</t>
  </si>
  <si>
    <t>The Cost of the call is then calculated.</t>
  </si>
  <si>
    <t xml:space="preserve">Cost Per Second : </t>
  </si>
  <si>
    <t>Billed Duration</t>
  </si>
  <si>
    <t>Minutes</t>
  </si>
  <si>
    <t>Seconds</t>
  </si>
  <si>
    <t xml:space="preserve"> =CEILING(SECOND(C36),5)</t>
  </si>
  <si>
    <t>SIGN</t>
  </si>
  <si>
    <t>Positive or
Negative</t>
  </si>
  <si>
    <t xml:space="preserve"> =SIGN(C4)</t>
  </si>
  <si>
    <t xml:space="preserve"> =SIGN(C5)</t>
  </si>
  <si>
    <t xml:space="preserve"> =SIGN(C6)</t>
  </si>
  <si>
    <t xml:space="preserve"> =SIGN(C7)</t>
  </si>
  <si>
    <t xml:space="preserve"> =SIGN(C8)</t>
  </si>
  <si>
    <t>This function tests a value to determine whether it is positive or negative.</t>
  </si>
  <si>
    <t>If the value is positive the result is 1.</t>
  </si>
  <si>
    <t>If the value is negative the result is -1.</t>
  </si>
  <si>
    <t>If the value is zero 0 the result is 0.</t>
  </si>
  <si>
    <t>=SIGN(CellToTest)</t>
  </si>
  <si>
    <t>The CellToTest can be a cell or a calculation.</t>
  </si>
  <si>
    <t>SLN</t>
  </si>
  <si>
    <t>Salvage</t>
  </si>
  <si>
    <t>Life</t>
  </si>
  <si>
    <t>Straight Line Depreciation</t>
  </si>
  <si>
    <t xml:space="preserve"> =SLN(F3,F4,F5)</t>
  </si>
  <si>
    <t>Purchase Value Of A New Car</t>
  </si>
  <si>
    <t>Second Hand Value</t>
  </si>
  <si>
    <t>Number Of Years Ownership</t>
  </si>
  <si>
    <t>Annual Straight Line Depreciation</t>
  </si>
  <si>
    <t xml:space="preserve"> =SLN(F9,F10,F11)</t>
  </si>
  <si>
    <t>This function calculates the Straight Line Depreciation of an item.</t>
  </si>
  <si>
    <t>(Also known as Fixed Instalment method).</t>
  </si>
  <si>
    <t>The Straight Line Depreciation is how much the value of an item reduced during a specific</t>
  </si>
  <si>
    <t>period of time. The result is a uniform depreciation value.</t>
  </si>
  <si>
    <t>An example would be if you bought a new car for £20,000, then kept it for 6 years.</t>
  </si>
  <si>
    <t>At the end of your ownership you sell the car for £8,000.</t>
  </si>
  <si>
    <t>The difference between the original and the trade in price is £20,000 - £8,000 which is £12,000.</t>
  </si>
  <si>
    <t>Because you owned the car for 6 years, the SLN is calculated as £12,000 / 6 which is £2,000.</t>
  </si>
  <si>
    <t>=SLN(OriginalCost,SellingPrice,LengthOfOwnership)</t>
  </si>
  <si>
    <t>The LengthOfOwnership can be any time period, days, months or years.</t>
  </si>
  <si>
    <t>However, the SLN which is calculated will, be for that time, specifying 2 years ownership</t>
  </si>
  <si>
    <t>as 24 months will give an SLN per month.</t>
  </si>
  <si>
    <t>Southern data.</t>
  </si>
  <si>
    <t>STDEV</t>
  </si>
  <si>
    <t xml:space="preserve"> =STDEV(C4:C7)</t>
  </si>
  <si>
    <t xml:space="preserve"> =STDEV(E4:E7)</t>
  </si>
  <si>
    <t xml:space="preserve"> =STDEV(G4:G7)</t>
  </si>
  <si>
    <t>This function calculates the sample population standard deviation of a list of values.</t>
  </si>
  <si>
    <t>A sample population is used when the list of values represents a sample of a population.</t>
  </si>
  <si>
    <t>=STDEV(Range1,Range2,Range3 through to Range30)</t>
  </si>
  <si>
    <t>The table below was used by a company interested in buying a new machine</t>
  </si>
  <si>
    <t>to pack washing powder.</t>
  </si>
  <si>
    <t>Three machines were short listed and allow to run for a day.</t>
  </si>
  <si>
    <t>At the end of the day four boxes of soap powder were picked at random from the production</t>
  </si>
  <si>
    <t>of each machine.</t>
  </si>
  <si>
    <t>The boxes were weighed and the =STDEV() function used as these boxes only represented</t>
  </si>
  <si>
    <t>a sample of the complete days production.</t>
  </si>
  <si>
    <t>The machine with the smallest deviation was the most consistent.</t>
  </si>
  <si>
    <t>Soap Powder Box Filling Machine Test Results</t>
  </si>
  <si>
    <t>Test 4</t>
  </si>
  <si>
    <t>Variance</t>
  </si>
  <si>
    <t>Machine 1</t>
  </si>
  <si>
    <t xml:space="preserve"> =STDEV(D34:G34)</t>
  </si>
  <si>
    <t>Machine 2</t>
  </si>
  <si>
    <t xml:space="preserve"> =STDEV(D35:G35)</t>
  </si>
  <si>
    <t>Machine 3</t>
  </si>
  <si>
    <t xml:space="preserve"> =STDEV(D36:G36)</t>
  </si>
  <si>
    <t xml:space="preserve">The smallest deviation is : </t>
  </si>
  <si>
    <t xml:space="preserve"> =MIN(H34:H36)</t>
  </si>
  <si>
    <t xml:space="preserve">The machine with the smallest deviation is : </t>
  </si>
  <si>
    <t xml:space="preserve"> =INDEX(C34:C36,MATCH(MIN(H34:H36),H34:H36,0))</t>
  </si>
  <si>
    <t>Explanation of formula:</t>
  </si>
  <si>
    <t>This finds the lowest value.</t>
  </si>
  <si>
    <t>This finds the position of the lowest value.</t>
  </si>
  <si>
    <t xml:space="preserve"> =MATCH(MIN(H34:H36),H34:H36,0)</t>
  </si>
  <si>
    <t>This looks down the Machine column to</t>
  </si>
  <si>
    <t>find the machine name.</t>
  </si>
  <si>
    <t>STDEVP</t>
  </si>
  <si>
    <t xml:space="preserve"> =STDEVP(C4:C7)</t>
  </si>
  <si>
    <t xml:space="preserve"> =STDEVP(E4:E7)</t>
  </si>
  <si>
    <t xml:space="preserve"> =STDEVP(G4:G7)</t>
  </si>
  <si>
    <t>This function calculates the standard deviation of a list of values.</t>
  </si>
  <si>
    <t>The result is calculated on the basis that the values represent the entire population.</t>
  </si>
  <si>
    <t>=STDEVP(Range1,Range2,Range3 through to Range30)</t>
  </si>
  <si>
    <t>A trial run of just four boxes per machine were produced.</t>
  </si>
  <si>
    <t>The boxes were weighed and the =STDEVP() function used as these boxes</t>
  </si>
  <si>
    <t>represented the entire test run.</t>
  </si>
  <si>
    <t>The machine with the smallest variance was the most consistent. ????????????????????</t>
  </si>
  <si>
    <t xml:space="preserve"> =STDEVP(D32:G32)</t>
  </si>
  <si>
    <t xml:space="preserve"> =STDEVP(D33:G33)</t>
  </si>
  <si>
    <t xml:space="preserve"> =STDEVP(D34:G34)</t>
  </si>
  <si>
    <t xml:space="preserve">The smallest variance is : </t>
  </si>
  <si>
    <t xml:space="preserve"> =MIN(H32:H34)</t>
  </si>
  <si>
    <t xml:space="preserve">The machine with the smallest variance is : </t>
  </si>
  <si>
    <t xml:space="preserve"> =INDEX(C32:C34,MATCH(MIN(H32:H34),H32:H34,0))</t>
  </si>
  <si>
    <t xml:space="preserve"> =(MIN(H32:H34)</t>
  </si>
  <si>
    <t xml:space="preserve"> =MATCH(MIN(H32:H34),H32:H34,0)</t>
  </si>
  <si>
    <t>SUBSTITUTE</t>
  </si>
  <si>
    <t>Old Text
To Remove</t>
  </si>
  <si>
    <t>New Text
To Insert</t>
  </si>
  <si>
    <t>Updated Text</t>
  </si>
  <si>
    <t>ABCDEF</t>
  </si>
  <si>
    <t xml:space="preserve"> =SUBSTITUTE(B4,C4,D4)</t>
  </si>
  <si>
    <t>ABCDABCD</t>
  </si>
  <si>
    <t xml:space="preserve"> =SUBSTITUTE(B5,C5,D5)</t>
  </si>
  <si>
    <t>Northern Region</t>
  </si>
  <si>
    <t xml:space="preserve"> =SUBSTITUTE(B6,C6,D6)</t>
  </si>
  <si>
    <t>Sand and Cement</t>
  </si>
  <si>
    <t>and</t>
  </si>
  <si>
    <t>&amp;</t>
  </si>
  <si>
    <t xml:space="preserve"> =SUBSTITUTE(B7,C7,D7)</t>
  </si>
  <si>
    <t>Instance To
Be Replaced</t>
  </si>
  <si>
    <t>ABCABCABC</t>
  </si>
  <si>
    <t>ABC</t>
  </si>
  <si>
    <t xml:space="preserve"> =SUBSTITUTE(B10,C10,D10,E10)</t>
  </si>
  <si>
    <t xml:space="preserve"> =SUBSTITUTE(B11,C11,D11,E11)</t>
  </si>
  <si>
    <t>This function replaces a specified piece of text with a different piece of text.</t>
  </si>
  <si>
    <t>It can either replace all occurrences of the text, or a specific instance.</t>
  </si>
  <si>
    <t>The function is case sensitive.</t>
  </si>
  <si>
    <t>=SUBSTITUTE(OriginalText,TextToRemove,TextToInsert,InstanceToUse)</t>
  </si>
  <si>
    <t>The InstanceToUse is optional, if it is omitted all instances will be substituted.</t>
  </si>
  <si>
    <t>To cope with upper or lower case in the substitution you can use other text functions</t>
  </si>
  <si>
    <t>such as =UPPER(), =LOWER() or =PROPER() to ensure that the substitution will take place.</t>
  </si>
  <si>
    <t>Table 1 shows how differing text cases alter the result of the substitution.</t>
  </si>
  <si>
    <r>
      <t xml:space="preserve">Northern </t>
    </r>
    <r>
      <rPr>
        <b/>
        <sz val="10"/>
        <color indexed="20"/>
        <rFont val="Arial"/>
        <family val="2"/>
      </rPr>
      <t>region</t>
    </r>
  </si>
  <si>
    <t>region</t>
  </si>
  <si>
    <t>area</t>
  </si>
  <si>
    <t xml:space="preserve"> =SUBSTITUTE(B39,C39,D39)</t>
  </si>
  <si>
    <t>Table 2 shows how the =PROPER() function has been used to take account of the mixed cases.</t>
  </si>
  <si>
    <t xml:space="preserve"> =SUBSTITUTE(PROPER(B50),PROPER(C50),PROPER(D50))</t>
  </si>
  <si>
    <t>SUM (Running Total)</t>
  </si>
  <si>
    <t>Using =SUM() For A Running Total</t>
  </si>
  <si>
    <t>Running
Total</t>
  </si>
  <si>
    <t xml:space="preserve"> =SUM($D$7:D7)</t>
  </si>
  <si>
    <t xml:space="preserve"> =SUM($D$7:D8)</t>
  </si>
  <si>
    <t xml:space="preserve"> =SUM($D$7:D9)</t>
  </si>
  <si>
    <t xml:space="preserve"> =SUM($D$7:D10)</t>
  </si>
  <si>
    <t xml:space="preserve"> =SUM($D$7:D11)</t>
  </si>
  <si>
    <t xml:space="preserve"> =SUM($D$7:D12)</t>
  </si>
  <si>
    <t>Jul</t>
  </si>
  <si>
    <t xml:space="preserve"> =SUM($D$7:D13)</t>
  </si>
  <si>
    <t>Aug</t>
  </si>
  <si>
    <t xml:space="preserve"> =SUM($D$7:D14)</t>
  </si>
  <si>
    <t>Sep</t>
  </si>
  <si>
    <t xml:space="preserve"> =SUM($D$7:D15)</t>
  </si>
  <si>
    <t>Oct</t>
  </si>
  <si>
    <t xml:space="preserve"> =SUM($D$7:D16)</t>
  </si>
  <si>
    <t>Nov</t>
  </si>
  <si>
    <t xml:space="preserve"> =SUM($D$7:D17)</t>
  </si>
  <si>
    <t>Dec</t>
  </si>
  <si>
    <t xml:space="preserve"> =SUM($D$7:D18)</t>
  </si>
  <si>
    <t>Type the formula =SUM($D$7:D7) in cell E7 and then copy down the table.</t>
  </si>
  <si>
    <t>It works because the first reference uses dollar symbols $ to keep $D$7 static</t>
  </si>
  <si>
    <t>as the formula is copied down. Each occurrence of the =SUM() then adds all</t>
  </si>
  <si>
    <t>the numbers from the first cell down.</t>
  </si>
  <si>
    <t>The function can be tidied up to show 0 zero when there is no adjacent value</t>
  </si>
  <si>
    <t>by using the =IF() function.</t>
  </si>
  <si>
    <t xml:space="preserve"> =SUM(IF(D7,$D$7:D7,0))</t>
  </si>
  <si>
    <t xml:space="preserve"> =SUM(IF(D8,$D$7:D8,0))</t>
  </si>
  <si>
    <t xml:space="preserve"> =SUM(IF(D9,$D$7:D9,0))</t>
  </si>
  <si>
    <t xml:space="preserve"> =SUM(IF(D10,$D$7:D10,0))</t>
  </si>
  <si>
    <t xml:space="preserve"> =SUM(IF(D11,$D$7:D11,0))</t>
  </si>
  <si>
    <t xml:space="preserve"> =SUM(IF(D12,$D$7:D12,0))</t>
  </si>
  <si>
    <t xml:space="preserve"> The =SUM() only takes place when</t>
  </si>
  <si>
    <t xml:space="preserve"> there is data in column D.</t>
  </si>
  <si>
    <t xml:space="preserve"> Otherwise the value 0 zero is entered.</t>
  </si>
  <si>
    <t>SUM and the =OFFSET function</t>
  </si>
  <si>
    <t>Sometimes it is necessary to base a calculation on a set of cells in different locations.</t>
  </si>
  <si>
    <t>An example would be when a total is required from certain months of the year, such as</t>
  </si>
  <si>
    <t>the last 3 months in relation to the current date.</t>
  </si>
  <si>
    <t>One solution would be to retype the calculation each time new data is entered, but this</t>
  </si>
  <si>
    <t>would be time consuming and open to human error.</t>
  </si>
  <si>
    <t>A better way is to indicate the start and end point of the range to be calculated by</t>
  </si>
  <si>
    <t>using the =OFFSET() function.</t>
  </si>
  <si>
    <t>The =OFFSET() picks out a cell a certain number of cells away from another cell.</t>
  </si>
  <si>
    <t>By giving the =OFFSET() the address of the first cell in the range which needs to</t>
  </si>
  <si>
    <t>be totalled, we can then indicate how far away the end cell should be and the =OFFSET()</t>
  </si>
  <si>
    <t>will give us the address of cell which will be the end of the range to be totalled.</t>
  </si>
  <si>
    <t>The =OFFSET() needs to know three things;</t>
  </si>
  <si>
    <t>1. A cell address to use as the fixed point from where it should base the offset.</t>
  </si>
  <si>
    <t>2. How many rows it should look up or down from the starting point.</t>
  </si>
  <si>
    <t>3. How many columns it should look left or right from the starting point.</t>
  </si>
  <si>
    <r>
      <t>=SUM(E24:OFFSET(</t>
    </r>
    <r>
      <rPr>
        <sz val="10"/>
        <color indexed="12"/>
        <rFont val="Arial"/>
        <family val="2"/>
      </rPr>
      <t>E24</t>
    </r>
    <r>
      <rPr>
        <sz val="10"/>
        <rFont val="Arial"/>
        <family val="2"/>
      </rPr>
      <t>,0,</t>
    </r>
    <r>
      <rPr>
        <sz val="10"/>
        <color indexed="12"/>
        <rFont val="Arial"/>
        <family val="2"/>
      </rPr>
      <t>0</t>
    </r>
    <r>
      <rPr>
        <sz val="10"/>
        <rFont val="Arial"/>
        <family val="2"/>
      </rPr>
      <t>))</t>
    </r>
  </si>
  <si>
    <t>This example uses E24 as the starting point and offsets no rows or columns which</t>
  </si>
  <si>
    <t>results in the range being summed as E24:E24.</t>
  </si>
  <si>
    <r>
      <t>=SUM(E29:OFFSET(</t>
    </r>
    <r>
      <rPr>
        <sz val="10"/>
        <color indexed="12"/>
        <rFont val="Arial"/>
        <family val="2"/>
      </rPr>
      <t>E29</t>
    </r>
    <r>
      <rPr>
        <sz val="10"/>
        <rFont val="Arial"/>
        <family val="2"/>
      </rPr>
      <t>,0,</t>
    </r>
    <r>
      <rPr>
        <sz val="10"/>
        <color indexed="12"/>
        <rFont val="Arial"/>
        <family val="2"/>
      </rPr>
      <t>1</t>
    </r>
    <r>
      <rPr>
        <sz val="10"/>
        <rFont val="Arial"/>
        <family val="2"/>
      </rPr>
      <t>))</t>
    </r>
  </si>
  <si>
    <t>This example uses E29 as the starting point and offsets 1 col to pick out</t>
  </si>
  <si>
    <t>cell F29 resulting in a the range E29:F29 being summed.</t>
  </si>
  <si>
    <r>
      <t>=SUM(E34:OFFSET(</t>
    </r>
    <r>
      <rPr>
        <sz val="10"/>
        <color indexed="12"/>
        <rFont val="Arial"/>
        <family val="2"/>
      </rPr>
      <t>E34</t>
    </r>
    <r>
      <rPr>
        <sz val="10"/>
        <rFont val="Arial"/>
        <family val="2"/>
      </rPr>
      <t>,0,</t>
    </r>
    <r>
      <rPr>
        <sz val="10"/>
        <color indexed="12"/>
        <rFont val="Arial"/>
        <family val="2"/>
      </rPr>
      <t>2</t>
    </r>
    <r>
      <rPr>
        <sz val="10"/>
        <rFont val="Arial"/>
        <family val="2"/>
      </rPr>
      <t>))</t>
    </r>
  </si>
  <si>
    <t>This example uses E34 as the starting point and offsets 2 cols to pick out</t>
  </si>
  <si>
    <t>cell G34 resulting in a the range E34:G34 being summed.</t>
  </si>
  <si>
    <t>Using =OFFSET() Twice In A Formula</t>
  </si>
  <si>
    <t>The following examples use =OFFSET() to pick both the start and end of the range</t>
  </si>
  <si>
    <t>which needs to be totalled.</t>
  </si>
  <si>
    <r>
      <t>=SUM(OFFSET(</t>
    </r>
    <r>
      <rPr>
        <sz val="10"/>
        <color indexed="12"/>
        <rFont val="Arial"/>
        <family val="2"/>
      </rPr>
      <t>E45</t>
    </r>
    <r>
      <rPr>
        <sz val="10"/>
        <rFont val="Arial"/>
        <family val="2"/>
      </rPr>
      <t>,0,</t>
    </r>
    <r>
      <rPr>
        <sz val="10"/>
        <color indexed="12"/>
        <rFont val="Arial"/>
        <family val="2"/>
      </rPr>
      <t>1</t>
    </r>
    <r>
      <rPr>
        <sz val="10"/>
        <rFont val="Arial"/>
        <family val="2"/>
      </rPr>
      <t>):OFFSET(</t>
    </r>
    <r>
      <rPr>
        <sz val="10"/>
        <color indexed="12"/>
        <rFont val="Arial"/>
        <family val="2"/>
      </rPr>
      <t>E45</t>
    </r>
    <r>
      <rPr>
        <sz val="10"/>
        <rFont val="Arial"/>
        <family val="2"/>
      </rPr>
      <t>,0,</t>
    </r>
    <r>
      <rPr>
        <sz val="10"/>
        <color indexed="12"/>
        <rFont val="Arial"/>
        <family val="2"/>
      </rPr>
      <t>1</t>
    </r>
    <r>
      <rPr>
        <sz val="10"/>
        <rFont val="Arial"/>
        <family val="2"/>
      </rPr>
      <t>))</t>
    </r>
  </si>
  <si>
    <t>The cell E45 has been used as the starting point for both offsets and each has</t>
  </si>
  <si>
    <t>been offset by just 1 column. The result is that just cell F45 is used as the</t>
  </si>
  <si>
    <t>range F45:F45 for the sum function to calculate.</t>
  </si>
  <si>
    <r>
      <t>=SUM(OFFSET(</t>
    </r>
    <r>
      <rPr>
        <sz val="10"/>
        <color indexed="12"/>
        <rFont val="Arial"/>
        <family val="2"/>
      </rPr>
      <t>E51</t>
    </r>
    <r>
      <rPr>
        <sz val="10"/>
        <rFont val="Arial"/>
        <family val="2"/>
      </rPr>
      <t>,0,</t>
    </r>
    <r>
      <rPr>
        <sz val="10"/>
        <color indexed="12"/>
        <rFont val="Arial"/>
        <family val="2"/>
      </rPr>
      <t>1</t>
    </r>
    <r>
      <rPr>
        <sz val="10"/>
        <rFont val="Arial"/>
        <family val="2"/>
      </rPr>
      <t>):OFFSET(</t>
    </r>
    <r>
      <rPr>
        <sz val="10"/>
        <color indexed="12"/>
        <rFont val="Arial"/>
        <family val="2"/>
      </rPr>
      <t>E51</t>
    </r>
    <r>
      <rPr>
        <sz val="10"/>
        <rFont val="Arial"/>
        <family val="2"/>
      </rPr>
      <t>,0,</t>
    </r>
    <r>
      <rPr>
        <sz val="10"/>
        <color indexed="12"/>
        <rFont val="Arial"/>
        <family val="2"/>
      </rPr>
      <t>2</t>
    </r>
    <r>
      <rPr>
        <sz val="10"/>
        <rFont val="Arial"/>
        <family val="2"/>
      </rPr>
      <t>))</t>
    </r>
  </si>
  <si>
    <t>The cell E51 has been used as the starting point of both offsets, the first offset is</t>
  </si>
  <si>
    <t>offset by 1 column, the second by 2 columns. The result is the range F51:G51 which</t>
  </si>
  <si>
    <t>is then totalled.</t>
  </si>
  <si>
    <r>
      <t>=SUM(OFFSET(</t>
    </r>
    <r>
      <rPr>
        <sz val="10"/>
        <color indexed="12"/>
        <rFont val="Arial"/>
        <family val="2"/>
      </rPr>
      <t>E57</t>
    </r>
    <r>
      <rPr>
        <sz val="10"/>
        <rFont val="Arial"/>
        <family val="2"/>
      </rPr>
      <t>,0,</t>
    </r>
    <r>
      <rPr>
        <sz val="10"/>
        <color indexed="12"/>
        <rFont val="Arial"/>
        <family val="2"/>
      </rPr>
      <t>1</t>
    </r>
    <r>
      <rPr>
        <sz val="10"/>
        <rFont val="Arial"/>
        <family val="2"/>
      </rPr>
      <t>):OFFSET(</t>
    </r>
    <r>
      <rPr>
        <sz val="10"/>
        <color indexed="12"/>
        <rFont val="Arial"/>
        <family val="2"/>
      </rPr>
      <t>E57</t>
    </r>
    <r>
      <rPr>
        <sz val="10"/>
        <rFont val="Arial"/>
        <family val="2"/>
      </rPr>
      <t>,0,</t>
    </r>
    <r>
      <rPr>
        <sz val="10"/>
        <color indexed="12"/>
        <rFont val="Arial"/>
        <family val="2"/>
      </rPr>
      <t>3</t>
    </r>
    <r>
      <rPr>
        <sz val="10"/>
        <rFont val="Arial"/>
        <family val="2"/>
      </rPr>
      <t>))</t>
    </r>
  </si>
  <si>
    <t>The cell E57 has been used as the starting point for both offsets, the first offset is</t>
  </si>
  <si>
    <t>offset by 1 column, the second by 3 columns. The result is the range F57:H57 which</t>
  </si>
  <si>
    <t>The following table shows five months of data.</t>
  </si>
  <si>
    <t>To calculate the total of a specific group of months the =OFFSET() function has been used.</t>
  </si>
  <si>
    <t>The Start and End dates entered in cells F71 and F72 are used as the offset to produce</t>
  </si>
  <si>
    <t>a range which can be totalled.</t>
  </si>
  <si>
    <t>Type in the Start month.</t>
  </si>
  <si>
    <t>Type in the End month.</t>
  </si>
  <si>
    <t xml:space="preserve"> =SUM(OFFSET(D79,0,MONTH(F71)):OFFSET(D79,0,MONTH(F72)))</t>
  </si>
  <si>
    <t>The following formula represent a breakdown of what the =OFFSET function does.</t>
  </si>
  <si>
    <t>The  formula displayed below are only dummies, but they will update as you enter</t>
  </si>
  <si>
    <t>dates into cells F71 and F72.</t>
  </si>
  <si>
    <t>Formula 1</t>
  </si>
  <si>
    <t>=SUM( OFFSET(D79,0,MONTH(F71)) : OFFSET(D79,0,MONTH(F72)) )</t>
  </si>
  <si>
    <t>This is the actual formula entered by the user.</t>
  </si>
  <si>
    <t>Formula 2</t>
  </si>
  <si>
    <t>This shows how the =MONTH function calculates the month number.</t>
  </si>
  <si>
    <t>These values are the 'offsets' relative to cell D79.</t>
  </si>
  <si>
    <t>Formula 3</t>
  </si>
  <si>
    <t>This shows where the month numbers are used in the =OFFSET function.</t>
  </si>
  <si>
    <t>Formula 4</t>
  </si>
  <si>
    <t>This shows how the =OFFSET eventually equates to cell addresses</t>
  </si>
  <si>
    <t>to be used as a range for the =SUM function.</t>
  </si>
  <si>
    <t>SUMIF</t>
  </si>
  <si>
    <t>Total cost of all Brakes bought.</t>
  </si>
  <si>
    <t xml:space="preserve"> =SUMIF(C4:C12,"Brakes",E4:E12)</t>
  </si>
  <si>
    <t>Total cost of all Tyres bought.</t>
  </si>
  <si>
    <t xml:space="preserve"> =SUMIF(C4:C12,"Tyres",E4:E12)</t>
  </si>
  <si>
    <t>Total of items costing £100 or above.</t>
  </si>
  <si>
    <t xml:space="preserve"> =SUMIF(E4:E12,"&gt;=100")</t>
  </si>
  <si>
    <t>Total of item typed in following cell.</t>
  </si>
  <si>
    <t xml:space="preserve"> =SUMIF(C4:C12,E18,E4:E12)</t>
  </si>
  <si>
    <t>This function adds the value of items which match criteria set by the user.</t>
  </si>
  <si>
    <t>=SUMIF(RangeOfThingsToBeExamined,CriteriaToBeMatched,RangeOfValuesToTotal)</t>
  </si>
  <si>
    <t>=SUMIF(C4:C12,"Brakes",E4:E12)</t>
  </si>
  <si>
    <t>This examines the names of products in C4:C12.</t>
  </si>
  <si>
    <t>It then identifies the entries for Brakes.</t>
  </si>
  <si>
    <t>It then totals the respective figures in E4:E12</t>
  </si>
  <si>
    <t>This examines the values in E4:E12.</t>
  </si>
  <si>
    <t>If the value is &gt;=100 the value is added to the total.</t>
  </si>
  <si>
    <t>SUMPRODUCT</t>
  </si>
  <si>
    <t>Sold</t>
  </si>
  <si>
    <t>price</t>
  </si>
  <si>
    <t>Filters</t>
  </si>
  <si>
    <t>Bulbs</t>
  </si>
  <si>
    <t xml:space="preserve">Total Sales Value : </t>
  </si>
  <si>
    <t xml:space="preserve"> =SUMPRODUCT(D4:D6,E4:E6)</t>
  </si>
  <si>
    <t>This function uses at least two columns of values.</t>
  </si>
  <si>
    <t>The values in the first column are multipled with the corresponding value in the second column.</t>
  </si>
  <si>
    <t>The total of all the values is the result of the calculation.</t>
  </si>
  <si>
    <t>=SUMPRODUCT(Range1, Range, Range3 through to Range30)</t>
  </si>
  <si>
    <t>The following table was used by a drinks merchant to keep track of stock.</t>
  </si>
  <si>
    <t>The merchant needed to know the total purchase value of the stock, and the potential</t>
  </si>
  <si>
    <t>value of the stock when it is sold, takinging into account the markup percentage.</t>
  </si>
  <si>
    <t>The =SUMPRODUCT() function is used to multiply the Cases In Stock with the Case Price to</t>
  </si>
  <si>
    <t>calculate what the merchant spent in buying the stock.</t>
  </si>
  <si>
    <t>The =SUMPRODUCT() function is used to multiply the Cases In Stock with</t>
  </si>
  <si>
    <t>the Bottles In Case and the Bottle Setting Price, to calculate the potential value of the</t>
  </si>
  <si>
    <t>stock if it is all sold.</t>
  </si>
  <si>
    <t>Cases In Stock</t>
  </si>
  <si>
    <t>Case Price</t>
  </si>
  <si>
    <t>Bottles
In Case</t>
  </si>
  <si>
    <t>Bottle Cost</t>
  </si>
  <si>
    <t>Markup</t>
  </si>
  <si>
    <t>Bottle Selling Price</t>
  </si>
  <si>
    <t>Red Wine</t>
  </si>
  <si>
    <t>White Wine</t>
  </si>
  <si>
    <t>Lager</t>
  </si>
  <si>
    <t xml:space="preserve"> =D39/E39</t>
  </si>
  <si>
    <t xml:space="preserve"> =F39+F39*G39</t>
  </si>
  <si>
    <t xml:space="preserve">Total Value Of Stock : </t>
  </si>
  <si>
    <t xml:space="preserve"> =SUMPRODUCT(C35:C39,D35:D39)</t>
  </si>
  <si>
    <t xml:space="preserve">Total Selling Price Of Stock : </t>
  </si>
  <si>
    <t xml:space="preserve"> =SUMPRODUCT(C35:C39,E35:E39,H35:H39)</t>
  </si>
  <si>
    <t xml:space="preserve">Profit : </t>
  </si>
  <si>
    <t xml:space="preserve"> =E44-E43</t>
  </si>
  <si>
    <t>SYD</t>
  </si>
  <si>
    <t>Deprecation in year 1</t>
  </si>
  <si>
    <t xml:space="preserve"> =SYD(F3,F4,F5,1)</t>
  </si>
  <si>
    <t>Deprecation in year 2</t>
  </si>
  <si>
    <t xml:space="preserve"> =SYD(F3,F4,F5,2)</t>
  </si>
  <si>
    <t>Deprecation in year 3</t>
  </si>
  <si>
    <t xml:space="preserve"> =SYD(F3,F4,F5,3)</t>
  </si>
  <si>
    <t>Deprecation in year 4</t>
  </si>
  <si>
    <t xml:space="preserve"> =SYD(F3,F4,F5,4)</t>
  </si>
  <si>
    <t>Deprecation in year 5</t>
  </si>
  <si>
    <t xml:space="preserve"> =SYD(F3,F4,F5,5)</t>
  </si>
  <si>
    <t>Deprecation in year 6</t>
  </si>
  <si>
    <t xml:space="preserve"> =SYD(F3,F4,F5,6)</t>
  </si>
  <si>
    <t>Total Depreciation :</t>
  </si>
  <si>
    <t xml:space="preserve"> =SUM(F7:F12)</t>
  </si>
  <si>
    <t>This function calculates the depreciation of an item throughout its life, using the sum of the</t>
  </si>
  <si>
    <t>years digits.</t>
  </si>
  <si>
    <t>The depreciation is greatest in the earlier part of the  items life.</t>
  </si>
  <si>
    <t>What is the Sum Of The Years Digits ?</t>
  </si>
  <si>
    <t>The sum of the years digits adds together the each of the years of the life.</t>
  </si>
  <si>
    <t>A life of 3 years has a sum of 1+2+3 equalling 6.</t>
  </si>
  <si>
    <t>Each of the years is then calculated as a percentage of the sum of the years.</t>
  </si>
  <si>
    <t>Year 3 is 50% of 6, year 2 is 33% of 6, year 1 is 17% 6.</t>
  </si>
  <si>
    <t>The total depreciation of the item is then allocated on the basis of these percentages.</t>
  </si>
  <si>
    <t>A depreciation of £9000 is allocated as 50% being £4500, 33% being £3000, 17% being £1500.</t>
  </si>
  <si>
    <t>As the greater part of the depreciation is allocated to the earliest years the values are</t>
  </si>
  <si>
    <t>inverted, year 1 is $4500, year 2 is £3000 and year 1 is £1500.</t>
  </si>
  <si>
    <t xml:space="preserve">Purchase Price Of A Car : </t>
  </si>
  <si>
    <t xml:space="preserve">Salvage Value : </t>
  </si>
  <si>
    <t xml:space="preserve">Expected Life in Years : </t>
  </si>
  <si>
    <t>As % Of Total Depreciation</t>
  </si>
  <si>
    <t xml:space="preserve">Depreciation in Year 1 : </t>
  </si>
  <si>
    <t>===&gt;</t>
  </si>
  <si>
    <t xml:space="preserve">Depreciation in Year 2 : </t>
  </si>
  <si>
    <t xml:space="preserve">Depreciation in Year 3 : </t>
  </si>
  <si>
    <t xml:space="preserve"> =SYD(E39,E40,E41,3)</t>
  </si>
  <si>
    <t>1. Add together the digits of the Life to get the SumOfTheYearsDigits, 1+2+3=6.</t>
  </si>
  <si>
    <t>2. Subtract the Salvage from the Purchase Price to get Total Deprectation, £10000-£1000=£9000.</t>
  </si>
  <si>
    <t>3. Divide the Total Deprectation by the SumOfTheYearsDigits, £9000/6=£1500.</t>
  </si>
  <si>
    <t>4. Invert the year digits, 1,2,3 becomes 3,2,1.</t>
  </si>
  <si>
    <t>5. Multiply 3,2,1 by £1500 to get £4500, £3000, £1500, these values are the depreciation</t>
  </si>
  <si>
    <t xml:space="preserve">    values for each of the three years in the life of the item.</t>
  </si>
  <si>
    <t>The same example using 4 years.</t>
  </si>
  <si>
    <t>As % Of Total Depriciation</t>
  </si>
  <si>
    <t xml:space="preserve">Depreciation in Year 4 : </t>
  </si>
  <si>
    <t>This example will adjust itself to accommodate any number of years between 1 and 10.</t>
  </si>
  <si>
    <t xml:space="preserve">Expected Life in Years (1 to 10) : </t>
  </si>
  <si>
    <t>=SYD(OriginalCost,SalvageValue,Life,PeriodToCalculate)</t>
  </si>
  <si>
    <t>TEXT</t>
  </si>
  <si>
    <t xml:space="preserve"> =TEXT(C4,"0.00")</t>
  </si>
  <si>
    <t xml:space="preserve"> =TEXT(C5,"£0.00")</t>
  </si>
  <si>
    <t xml:space="preserve"> =TEXT(C6,"0")</t>
  </si>
  <si>
    <t xml:space="preserve"> =TEXT(C7,"£0")</t>
  </si>
  <si>
    <t xml:space="preserve"> =TEXT(C8,"0.0")</t>
  </si>
  <si>
    <t xml:space="preserve"> =TEXT(C9,"£0.0")</t>
  </si>
  <si>
    <t>This function converts a number to a piece of text.</t>
  </si>
  <si>
    <t>The formatting for the text needs to be specified in the function.</t>
  </si>
  <si>
    <t>=TEXT(NumberToConvert,FormatForConversion)</t>
  </si>
  <si>
    <t>TIMEVALUE</t>
  </si>
  <si>
    <t>14:30:59</t>
  </si>
  <si>
    <t xml:space="preserve"> =TIMEVALUE(C4)</t>
  </si>
  <si>
    <t xml:space="preserve"> =TIMEVALUE(C5)</t>
  </si>
  <si>
    <t xml:space="preserve"> =TIMEVALUE(C6)</t>
  </si>
  <si>
    <t>This function will show an actual time based on a piece of text which looks</t>
  </si>
  <si>
    <t>like a time. It is useful when data is imported from other applications, such as</t>
  </si>
  <si>
    <t>from mainframe computers, which convert all values to text.</t>
  </si>
  <si>
    <t xml:space="preserve"> =TIMEVALUE(Text)</t>
  </si>
  <si>
    <t>The result will be shown as a number representing the time a  fraction of the day.</t>
  </si>
  <si>
    <t>Formatting can be applied for either the 12 or 24 hour clock system.</t>
  </si>
  <si>
    <t>TRANSPOSE</t>
  </si>
  <si>
    <t xml:space="preserve"> {=TRANSPOSE(C3:E7)}</t>
  </si>
  <si>
    <t>As an array formula in all these cells</t>
  </si>
  <si>
    <t>This function copies data from a range, and places in it in a new range, turning it so</t>
  </si>
  <si>
    <t>that the data originally in columns is now in rows, and the data originally in rows</t>
  </si>
  <si>
    <t>is in columns.</t>
  </si>
  <si>
    <t>The transpose range must be the same size as the original range.</t>
  </si>
  <si>
    <t>The function needs to be entered as an array formula.</t>
  </si>
  <si>
    <t>To enter an array formula you must first highlight all the cells where the formula is required.</t>
  </si>
  <si>
    <t>Next type the formula, such as =TRANSPOSE(A1:A5).</t>
  </si>
  <si>
    <t>Finally press Ctrl+Shift+Enter to confirm it.</t>
  </si>
  <si>
    <t>If changes need to be made to the formula, the entire array has to be highlighted, the edits</t>
  </si>
  <si>
    <t>can then be made and the Ctrl+Shift+Enter used to confirm it.</t>
  </si>
  <si>
    <t>=TRANSPOSE(Range)</t>
  </si>
  <si>
    <t>TREND</t>
  </si>
  <si>
    <t>WHAT IS CONST  b ?</t>
  </si>
  <si>
    <t>Historical Data</t>
  </si>
  <si>
    <t>Predicted Values</t>
  </si>
  <si>
    <t xml:space="preserve"> {=TREND(C8:C13,B8:B13,E8:E13)}</t>
  </si>
  <si>
    <t xml:space="preserve"> {=TREND(C5:C10,B5:B10,E5:E10)}</t>
  </si>
  <si>
    <t>This function predicts values based upon three sets of related values.</t>
  </si>
  <si>
    <t>The prediction is based upon the Linear Trend of the original values.</t>
  </si>
  <si>
    <t>The function is an array function and must be entered using Ctrl+Shift+Enter.</t>
  </si>
  <si>
    <t>=TREND(KnownYs,KnownXs,RequiredXs,Constant)</t>
  </si>
  <si>
    <t>The KnownYs is the range of values, such as Sales Figures.</t>
  </si>
  <si>
    <t>The KnownXs is the intervals used when collecting the data, such as Months.</t>
  </si>
  <si>
    <t>The RequiredXs is the range for which you want to make the prediction, such as Months.</t>
  </si>
  <si>
    <t>The following tables were used by a company to predict when they would start to</t>
  </si>
  <si>
    <t>make a profit.</t>
  </si>
  <si>
    <t>Their bank manager had told the company that unless they could show a profit by the</t>
  </si>
  <si>
    <t>end of the next year, the bank would no longer provide an overdraft facility.</t>
  </si>
  <si>
    <t>To prove to the bank that, based upon the past years performance, the company would</t>
  </si>
  <si>
    <t>start to make a profit at the end of the next year, the =TREND() function was used.</t>
  </si>
  <si>
    <t>The historical data for the past year was entered, months 1 to 12.</t>
  </si>
  <si>
    <t>The months to predict were entered, 13 to 24.</t>
  </si>
  <si>
    <t>The =TREND() function shows that it will be month 22 before the company make a profit.</t>
  </si>
  <si>
    <t xml:space="preserve"> {=TREND(C41:C52,B41:B52,E41:E52)}</t>
  </si>
  <si>
    <t>The</t>
  </si>
  <si>
    <t>same</t>
  </si>
  <si>
    <t>function</t>
  </si>
  <si>
    <t>used</t>
  </si>
  <si>
    <t>all</t>
  </si>
  <si>
    <t>cells</t>
  </si>
  <si>
    <t>as</t>
  </si>
  <si>
    <t>an</t>
  </si>
  <si>
    <t>array</t>
  </si>
  <si>
    <t>formula</t>
  </si>
  <si>
    <t>How To Enter An Array Formula</t>
  </si>
  <si>
    <t>Select all the cells where the array is required, such as F41 to F52.</t>
  </si>
  <si>
    <t>Type the formula such as =TREND(C41:C52,B41:B52,E41:E52), but do not press Enter.</t>
  </si>
  <si>
    <t>Hold the Ctrl+Shift keys down.</t>
  </si>
  <si>
    <t>Press Enter to enter the formula as an array.</t>
  </si>
  <si>
    <t>TRUNC</t>
  </si>
  <si>
    <t>Precision For
Truncation</t>
  </si>
  <si>
    <t>Truncated
Number</t>
  </si>
  <si>
    <t xml:space="preserve"> =TRUNC(C4,D4)</t>
  </si>
  <si>
    <t xml:space="preserve"> =TRUNC(C5,D5)</t>
  </si>
  <si>
    <t xml:space="preserve"> =TRUNC(C6,D6)</t>
  </si>
  <si>
    <t xml:space="preserve"> =TRUNC(C7,D7)</t>
  </si>
  <si>
    <t xml:space="preserve"> =TRUNC(C8,D8)</t>
  </si>
  <si>
    <t xml:space="preserve"> =TRUNC(C9,D9)</t>
  </si>
  <si>
    <t xml:space="preserve"> =TRUNC(C10,D10)</t>
  </si>
  <si>
    <t xml:space="preserve"> =TRUNC(C11,D11)</t>
  </si>
  <si>
    <t>This function removes the decimal part of a number, it does not actually round the number.</t>
  </si>
  <si>
    <t>=TRUNC(NumberToTuncate,Precision)</t>
  </si>
  <si>
    <t>VALUE</t>
  </si>
  <si>
    <t>Text Containing A Number</t>
  </si>
  <si>
    <t>Annual turnover was £5000</t>
  </si>
  <si>
    <t xml:space="preserve"> =VALUE(MID(C4,SEARCH("£",C4),99))</t>
  </si>
  <si>
    <t>There was a 2% increase in sales.</t>
  </si>
  <si>
    <t>There was a 50% increase in sales.</t>
  </si>
  <si>
    <t>A 100% increase was achieved.</t>
  </si>
  <si>
    <t>Only a 2% increase in sales.</t>
  </si>
  <si>
    <t>Approx 50% increase in sales.</t>
  </si>
  <si>
    <t>There was a 100% increase in sales.</t>
  </si>
  <si>
    <t>* See explanation below.</t>
  </si>
  <si>
    <r>
      <t xml:space="preserve"> =</t>
    </r>
    <r>
      <rPr>
        <b/>
        <sz val="10"/>
        <color indexed="12"/>
        <rFont val="Arial"/>
        <family val="2"/>
      </rPr>
      <t>VALUE</t>
    </r>
    <r>
      <rPr>
        <sz val="10"/>
        <color indexed="12"/>
        <rFont val="Arial"/>
        <family val="2"/>
      </rPr>
      <t>(MID(SUBSTITUTE(C11," ","    "),SEARCH("???%",SUBSTITUTE(C11," ","    ")),4))</t>
    </r>
  </si>
  <si>
    <t>The winning time was 1:30 seconds.</t>
  </si>
  <si>
    <t xml:space="preserve"> =VALUE(MID(C14,SEARCH("??:??",C14),5))</t>
  </si>
  <si>
    <t xml:space="preserve"> =VALUE(MID(C15,SEARCH("??:??",C15),5))</t>
  </si>
  <si>
    <t>The winning time was 10:30 seconds.</t>
  </si>
  <si>
    <t xml:space="preserve"> =VALUE(MID(C16,SEARCH("??:??",C16),5))</t>
  </si>
  <si>
    <t>The winning time was 0:30 seconds.</t>
  </si>
  <si>
    <t xml:space="preserve"> =VALUE(MID(C17,SEARCH("??:??",C17),5))</t>
  </si>
  <si>
    <t>This function converts a piece of text which resembles a number into an actual value.</t>
  </si>
  <si>
    <t>If the number in the middle of a long piece of text it will have to be extracted using other</t>
  </si>
  <si>
    <t>Theeee3666449uuu</t>
  </si>
  <si>
    <t>text functions such as =SEARCH(), =MID(), =FIND(), =SUBSTITUTE, =LEFT() or =RIGHT().</t>
  </si>
  <si>
    <t>Theeee01223uuu</t>
  </si>
  <si>
    <t>122eee</t>
  </si>
  <si>
    <t>44 ttt ttt 5</t>
  </si>
  <si>
    <t>=VALUE(TextToConvert)</t>
  </si>
  <si>
    <t>The result will be shown as a value, based upon the original text.</t>
  </si>
  <si>
    <t>If the £ sign is included in the text it will be ignored.</t>
  </si>
  <si>
    <t>If the % sign is included in the text, the result will be a decimal fraction which can then</t>
  </si>
  <si>
    <t>be formatted as a percentage.</t>
  </si>
  <si>
    <t>If the original text format appears as a time hh:mm the result will be a time.</t>
  </si>
  <si>
    <t>The same will be true for other recognised formats.</t>
  </si>
  <si>
    <t>Explanation of formula shown above.</t>
  </si>
  <si>
    <t>To extract the values from the following text is complicated!</t>
  </si>
  <si>
    <t>The actual percentage value is of variable length, it can be either one, two or three digits long.</t>
  </si>
  <si>
    <t>The only way to identify the value is the fact it always ends with the % sign.</t>
  </si>
  <si>
    <t>There is no way to identify the beginning of the value, other than it is preceded by a space.</t>
  </si>
  <si>
    <t>The main problem is calculating the length of the value to extract.</t>
  </si>
  <si>
    <t>If the extraction assumes the maximum length of three digits and the % sign, errors will occur</t>
  </si>
  <si>
    <t>when the percentage is only one digit long, as alphabetic characters will be included.</t>
  </si>
  <si>
    <t>To get around the problem the =SUBSTITUTE() function was used to increase the size of the</t>
  </si>
  <si>
    <t>spaces in the text.</t>
  </si>
  <si>
    <t>Now when the extraction takes place any unnecessary characters will be spaces which are</t>
  </si>
  <si>
    <t>ignored by the =VALUE() function.</t>
  </si>
  <si>
    <t xml:space="preserve"> =VALUE(MID(SUBSTITUTE(C52," ","    "),SEARCH("???%",SUBSTITUTE(C52," ","    ")),4))</t>
  </si>
  <si>
    <t>VAR</t>
  </si>
  <si>
    <t xml:space="preserve"> =VAR(C4:C7)</t>
  </si>
  <si>
    <t xml:space="preserve"> =VAR(E4:E7)</t>
  </si>
  <si>
    <t xml:space="preserve"> =VAR(G4:G7)</t>
  </si>
  <si>
    <t>This function calculates the sample population variance of a list of values.</t>
  </si>
  <si>
    <t>=VAR(Range1,Range2,Range3 through to Range30)</t>
  </si>
  <si>
    <t>The boxes were weighed and the =VAR() function used as these boxes only represented</t>
  </si>
  <si>
    <t>The machine with the smallest variance was the most consistent.</t>
  </si>
  <si>
    <t xml:space="preserve"> =VAR(D34:G34)</t>
  </si>
  <si>
    <t xml:space="preserve"> =VAR(D35:G35)</t>
  </si>
  <si>
    <t xml:space="preserve"> =VAR(D36:G36)</t>
  </si>
  <si>
    <t>VARP</t>
  </si>
  <si>
    <t xml:space="preserve"> =VARP(C4:C7)</t>
  </si>
  <si>
    <t xml:space="preserve"> =VARP(E4:E7)</t>
  </si>
  <si>
    <t xml:space="preserve"> =VARP(G4:G7)</t>
  </si>
  <si>
    <t>This function calculates the variance of a list of values.</t>
  </si>
  <si>
    <t>The variance is calculated on the basis that the values represent the entire population.</t>
  </si>
  <si>
    <t>=VARP(Range1,Range2,Range3 through to Range30)</t>
  </si>
  <si>
    <t>A trial run a just four boxes per machine were produced.</t>
  </si>
  <si>
    <t>The boxes were weighed and the =VARP() function used as these boxes</t>
  </si>
  <si>
    <t xml:space="preserve"> =VARP(D32:G32)</t>
  </si>
  <si>
    <t xml:space="preserve"> =VARP(D33:G33)</t>
  </si>
  <si>
    <t xml:space="preserve"> =VARP(D34:G34)</t>
  </si>
  <si>
    <t>WEEKDAY</t>
  </si>
  <si>
    <t>Weekday</t>
  </si>
  <si>
    <t xml:space="preserve"> =WEEKDAY(C4)</t>
  </si>
  <si>
    <t xml:space="preserve"> =WEEKDAY(C5)</t>
  </si>
  <si>
    <t xml:space="preserve"> =WEEKDAY(C6,1)</t>
  </si>
  <si>
    <t xml:space="preserve"> =WEEKDAY(C7,2)</t>
  </si>
  <si>
    <t xml:space="preserve"> =WEEKDAY(C8,3)</t>
  </si>
  <si>
    <t>This function shows the day of the week from a date.</t>
  </si>
  <si>
    <t xml:space="preserve"> =WEEKDAY(Date,Type)</t>
  </si>
  <si>
    <t xml:space="preserve">   Type : This is used to indicate the week day numbering system.</t>
  </si>
  <si>
    <t xml:space="preserve">   1 : will set Sunday as 1 through to Saturday as 7</t>
  </si>
  <si>
    <t xml:space="preserve">   2 : will set Monday as 1 through to Sunday as 7.</t>
  </si>
  <si>
    <t xml:space="preserve">   3 : will set Monday as 0 through to Sunday as 6.</t>
  </si>
  <si>
    <t xml:space="preserve">   If no number is specified, Excel will use 1.</t>
  </si>
  <si>
    <t>The result will be shown as a normal number.</t>
  </si>
  <si>
    <r>
      <t xml:space="preserve">To show the result as the name of the day, use </t>
    </r>
    <r>
      <rPr>
        <b/>
        <sz val="10"/>
        <rFont val="Arial"/>
        <family val="2"/>
      </rPr>
      <t>Format</t>
    </r>
    <r>
      <rPr>
        <sz val="10"/>
        <rFont val="Arial"/>
        <family val="2"/>
      </rPr>
      <t xml:space="preserve">, </t>
    </r>
    <r>
      <rPr>
        <b/>
        <sz val="10"/>
        <rFont val="Arial"/>
        <family val="2"/>
      </rPr>
      <t>Cells</t>
    </r>
    <r>
      <rPr>
        <sz val="10"/>
        <rFont val="Arial"/>
        <family val="2"/>
      </rPr>
      <t xml:space="preserve">, </t>
    </r>
    <r>
      <rPr>
        <b/>
        <sz val="10"/>
        <rFont val="Arial"/>
        <family val="2"/>
      </rPr>
      <t>Custom</t>
    </r>
    <r>
      <rPr>
        <sz val="10"/>
        <rFont val="Arial"/>
        <family val="2"/>
      </rPr>
      <t xml:space="preserve"> and set</t>
    </r>
  </si>
  <si>
    <r>
      <t xml:space="preserve">the </t>
    </r>
    <r>
      <rPr>
        <b/>
        <sz val="10"/>
        <rFont val="Arial"/>
        <family val="2"/>
      </rPr>
      <t>Type</t>
    </r>
    <r>
      <rPr>
        <sz val="10"/>
        <rFont val="Arial"/>
        <family val="2"/>
      </rPr>
      <t xml:space="preserve"> to </t>
    </r>
    <r>
      <rPr>
        <b/>
        <sz val="10"/>
        <rFont val="Arial"/>
        <family val="2"/>
      </rPr>
      <t>ddd</t>
    </r>
    <r>
      <rPr>
        <sz val="10"/>
        <rFont val="Arial"/>
        <family val="2"/>
      </rPr>
      <t xml:space="preserve"> or </t>
    </r>
    <r>
      <rPr>
        <b/>
        <sz val="10"/>
        <rFont val="Arial"/>
        <family val="2"/>
      </rPr>
      <t>dddd</t>
    </r>
    <r>
      <rPr>
        <sz val="10"/>
        <rFont val="Arial"/>
        <family val="2"/>
      </rPr>
      <t>.</t>
    </r>
  </si>
  <si>
    <t>The following table was used by a hotel which rented a function room.</t>
  </si>
  <si>
    <t>The hotel charged different rates depending upon which day of the week the booking was for.</t>
  </si>
  <si>
    <t>The Booking Date is entered.</t>
  </si>
  <si>
    <t>The Actual Day is calculated.</t>
  </si>
  <si>
    <t>The Booking Cost is picked from a list of rates using the =LOOKUP() function.</t>
  </si>
  <si>
    <t>Booking Date</t>
  </si>
  <si>
    <t>Actual Day</t>
  </si>
  <si>
    <t>Booking Cost</t>
  </si>
  <si>
    <t xml:space="preserve"> =LOOKUP(WEEKDAY(C34),C39:D45)</t>
  </si>
  <si>
    <t>Booking Rates</t>
  </si>
  <si>
    <t>Day Of Week</t>
  </si>
  <si>
    <t>YEARFRAC</t>
  </si>
  <si>
    <t>Fraction</t>
  </si>
  <si>
    <t xml:space="preserve"> =YEARFRAC(C4,D4)</t>
  </si>
  <si>
    <t xml:space="preserve"> =YEARFRAC(C5,D5)</t>
  </si>
  <si>
    <t xml:space="preserve"> =YEARFRAC(C6,D6)</t>
  </si>
  <si>
    <t>This function calculates the difference between two dates and expresses the result</t>
  </si>
  <si>
    <t>as a decimal fraction.</t>
  </si>
  <si>
    <t xml:space="preserve"> =YEARFRAC(StartDate,EndData,Basis)</t>
  </si>
  <si>
    <t xml:space="preserve">   Basis : Defines the calendar system to be used in the function.</t>
  </si>
  <si>
    <t xml:space="preserve">              0 : or omitted USA style 30 days per month divided by 360.</t>
  </si>
  <si>
    <t xml:space="preserve">              1 : 29 or 30 or 31 days per month divided by 365.</t>
  </si>
  <si>
    <t xml:space="preserve">              2 : 29 or 30 or 31 days per month divided by 360.</t>
  </si>
  <si>
    <t xml:space="preserve">              3 : 29 or 30 0r 31 days per month divided by 365.</t>
  </si>
  <si>
    <t xml:space="preserve">              4 : European 29 or 30 or 31 days divided by 360.</t>
  </si>
  <si>
    <t>The result will be shown as a decimal fraction, but can be formatted as a percent.</t>
  </si>
  <si>
    <t>The following table was used by a company which hired people on short term contracts</t>
  </si>
  <si>
    <t>for a part of the year.</t>
  </si>
  <si>
    <t>The Pro Rata Salary which represents the annual salary is entered.</t>
  </si>
  <si>
    <t>The Start and End dates of the contract are entered.</t>
  </si>
  <si>
    <t>The =YEARFRAC() function is used to calculate Actual Salary for the portion of the year.</t>
  </si>
  <si>
    <t>Pro Rata Salary</t>
  </si>
  <si>
    <t>Actual Salary</t>
  </si>
  <si>
    <t xml:space="preserve"> =YEARFRAC(B32,C32+1,4)*D32</t>
  </si>
  <si>
    <t xml:space="preserve"> =YEARFRAC(B33,C33+1,4)*D33</t>
  </si>
  <si>
    <t xml:space="preserve"> =YEARFRAC(B34,C34+1,4)*D34</t>
  </si>
  <si>
    <t>The extra 1 has been added to the End date to compensate for the fact that the =YEARFRAC()</t>
  </si>
  <si>
    <t>function calculates from the Start date up to, but not including, the End date.</t>
  </si>
  <si>
    <t>Project Dates</t>
  </si>
  <si>
    <t>House Building</t>
  </si>
  <si>
    <t>Target Delivery</t>
  </si>
  <si>
    <t>Target Budget</t>
  </si>
  <si>
    <t>Job Stage</t>
  </si>
  <si>
    <t>Days
Required</t>
  </si>
  <si>
    <t>Daily Cost</t>
  </si>
  <si>
    <t>Survey</t>
  </si>
  <si>
    <t>Foundation</t>
  </si>
  <si>
    <t>Walls</t>
  </si>
  <si>
    <t>Roof</t>
  </si>
  <si>
    <t>Electrics</t>
  </si>
  <si>
    <t>Actual Delivery</t>
  </si>
  <si>
    <t>Total Cost</t>
  </si>
  <si>
    <t>Against Target</t>
  </si>
  <si>
    <t>Budget %</t>
  </si>
  <si>
    <t>Total Days</t>
  </si>
  <si>
    <t>https://www.youtube.com/watch?v=ZdS88_5b1cw&amp;list=PLsoVb8bbqrbYVkt-ZOmTnnc2uyTzqRoPr</t>
  </si>
  <si>
    <t xml:space="preserve">Subscribe our  Youtube Channel to learn more important tool: </t>
  </si>
  <si>
    <t>Announcement</t>
  </si>
  <si>
    <t>এক্সেল আমি এমনভাবেই শেখাই যেন তা আপনারা আপনাদের প্রতিদিনের কাজের সাথে আমার শেখানো ট্রিক্স ব্যবহার করতে পারেনI</t>
  </si>
  <si>
    <t>যারা এক্সেলকে ভয় পান, এক্সেল মাথার উপর দিয়ে যাদের চলে যায়, আসেন এবার আমার সাথে এক্সেল জার্নিতেI এক্সেলে অক্ষমতাকে আমি এবার সক্ষমতায় পরিণত করবোইI</t>
  </si>
  <si>
    <t>শুধুমাত্র সাপোর্ট করতে হবে মনোযোগ দিয়ে রেগুলার ক্লাস এবং যা যা টাস্ক দিবো তা টাইম টু টাইম কমপ্লিট করেI</t>
  </si>
  <si>
    <t>এবার শুধুমাত্র গ্রূপ ক্লাসই না, দুর্বল স্টুডেন্টরা পাবেন ফ্রি ইন্ডিভিজুয়াল ক্লাসI</t>
  </si>
  <si>
    <t>কি কি শিখবেন আমার সাথে এই এক্সেল জার্নিতে?</t>
  </si>
  <si>
    <t>1. এক্সেলের সাথে হাই হ্যালো</t>
  </si>
  <si>
    <t>2. ওয়ার্কশীট ফরমেটিং</t>
  </si>
  <si>
    <t>3. টোটাল ওয়ার্কবুক ম্যানেজ সলিউশন</t>
  </si>
  <si>
    <t>4. ওয়ার্কশীট প্রিন্ট সলিউশন:</t>
  </si>
  <si>
    <t>5. ডাটা এন্ট্রির খুঁটিনাটি</t>
  </si>
  <si>
    <t>6. কন্ডিশনাল ফরম্যাটিং</t>
  </si>
  <si>
    <t xml:space="preserve">7. ডাটা ভ্যালিডেশন </t>
  </si>
  <si>
    <t>8. এক্সেল টেবিল</t>
  </si>
  <si>
    <t>9. ফর্মুলাস ও এর কম্পোনেন্টস:</t>
  </si>
  <si>
    <t>10. অত্যন্ত জরুরি ফাংশনস ও  ফর্মুলাস</t>
  </si>
  <si>
    <t>11. চার্টস নিয়ে খেলাধুলা</t>
  </si>
  <si>
    <t>12. পিভট টেবিল ও স্লাইসার</t>
  </si>
  <si>
    <t xml:space="preserve"> </t>
  </si>
  <si>
    <t xml:space="preserve">13. পিভট চার্ট </t>
  </si>
  <si>
    <t>14. বেসিক ম্যাক্রো</t>
  </si>
  <si>
    <t>ম্যাক্রো কি?</t>
  </si>
  <si>
    <t>কিভাবে ম্যাক্রো রেকর্ড করবো</t>
  </si>
  <si>
    <t>15.  একটি সুন্দর ড্যাশবোর্ড তৈরী ও আপনাদের থেকে কোর্সের ফিডব্যাক নিয়ে টাটা বাই বাই</t>
  </si>
  <si>
    <t>Class format: Online (Google meet)</t>
  </si>
  <si>
    <t>Contact: (+880) 1302610897or bdexcel3340@gmail.com</t>
  </si>
  <si>
    <t>-এক্সেলের ইন্টারফেজের সাথে পরিচয়পর্ব</t>
  </si>
  <si>
    <t>- কুইক এক্সেস টুলবার কিভাবে কাস্টমাইজ করবেন</t>
  </si>
  <si>
    <t>- ডেভেলপার ট্যাব কিভাবে ও করবেন?</t>
  </si>
  <si>
    <t>- কিভাবে রিবন কাস্টমাইজ করবেন?</t>
  </si>
  <si>
    <t>- ফন্টস ও ভ্যালুজ কি করে ফরমেট করবেন</t>
  </si>
  <si>
    <t>- কিভাবে রো হাইট এবং কলাম উইড্থ সমন্বয় করতে হয়</t>
  </si>
  <si>
    <t>- কিভাবে বর্ডারস যুক্ত করবেন</t>
  </si>
  <si>
    <t>- কিভাবে কালারস্ প্যাটার্ন ব্যবহার করতে হয়</t>
  </si>
  <si>
    <t>- কিভাবে সেল একত্রিত করতে হয়, রোটেটিং টেক্সট</t>
  </si>
  <si>
    <t>- কিভাবে ফরমেট পেইন্টার ব্যবহার করতে হয়</t>
  </si>
  <si>
    <t>- কিভাবে সেল, টেক্সট মার্জ করতে হয়</t>
  </si>
  <si>
    <t>- কিভাবে হেডার এবং ফুটার তৈরি করা যায়</t>
  </si>
  <si>
    <t>- কিভাবে পেজ নম্বর ইন্সার্ট করতে হয়</t>
  </si>
  <si>
    <t>- কিভাবে অবজেক্ট ইন্সার্ট করতে হয়</t>
  </si>
  <si>
    <t>- কিভাবে সিম্বলস ইন্সার্ট করতে হয়</t>
  </si>
  <si>
    <t>- কিভাবে শেপস ইন্সার্ট করতে হয়</t>
  </si>
  <si>
    <t>- কিভাবে ছবি ইন্সার্ট এবং এডিট করতে হয়</t>
  </si>
  <si>
    <t>- কিভাবে ইকুয়েশন ইন্সার্ট করতে হয়</t>
  </si>
  <si>
    <t>- এক্সেলে কিভাবে প্রাতিষ্ঠানিক চার্ট/ অর্গানোগ্রাম তৈরি করবেন</t>
  </si>
  <si>
    <t>- কিভাবে ওয়ার্কশীট ইন্সার্ট এবং মুছে ফেলা যায়</t>
  </si>
  <si>
    <t>- কিভাবে ডুপ্লিকেট রিমুভ করা যায়</t>
  </si>
  <si>
    <t>- কলাম, সারি এবং শীট কিভাবে লুকাতে হয়</t>
  </si>
  <si>
    <t>- কিভাবে একটি ওয়ার্কবুক protect করতে হয়</t>
  </si>
  <si>
    <t>- কিভাবে একটি উইন্ডো স্প্লিট এবং ফ্রীজ করতে হয়</t>
  </si>
  <si>
    <t>- কিভাবে ডেট ভ্যালুজ এন্টার করাবেন এবং কিভাবে অটো-কমপ্লিট ব্যবহার করতে হবে</t>
  </si>
  <si>
    <t>- কিভাবে সেল এ কমেন্টস ইন্সার্ট করতে হয়</t>
  </si>
  <si>
    <t>- A4 সাইজ পৃষ্ঠায় কিভাবে বড় ওয়ার্কশীট সঠিকভাবে প্রিন্ট করতে হয়</t>
  </si>
  <si>
    <t>- কিভাবে পেজের মার্জিন এবং ওরিয়েন্টেশন এডজাস্ট করতে হয়</t>
  </si>
  <si>
    <t>- কিভাবে প্রিন্ট টাইটেল, গ্রিড-লাইন, রো  এড করা যায়, প্রতিটি পৃষ্ঠার উপরে কিভাবে রিপিট করা যায়</t>
  </si>
  <si>
    <t>- পেস্ট অপশনস</t>
  </si>
  <si>
    <t>- সেল লকিং</t>
  </si>
  <si>
    <t>- নেমিং রেঞ্জ</t>
  </si>
  <si>
    <t>- সর্টিং এন্ড ফিল্টারিং</t>
  </si>
  <si>
    <t>- অ্যাডভান্সড ফিল্টার</t>
  </si>
  <si>
    <t>- বিভিন্ন রুলস দিয়ে কিভাবে সেল হাইলাইট করবেন</t>
  </si>
  <si>
    <t>- টপ/ বটম রুলস</t>
  </si>
  <si>
    <t>- কিভাবে একাধিক রুলস ম্যানেজ করবেন এবং সমস্যার সাথে মোকাবেলা করবেন</t>
  </si>
  <si>
    <t>- ড্রপ ডাউন লিস্ট দিয়ে সহজ ডাটা এন্ট্রি</t>
  </si>
  <si>
    <t>- ডিপেন্ডেন্ট ড্রপ-ডাউন লিস্ট</t>
  </si>
  <si>
    <t>- কাস্টম ডাটা ভ্যালিডেশন ম্যাসেজ কিভাবে তৈরী করা যায়</t>
  </si>
  <si>
    <t>- ফাইল এনক্রিপ্ট ও আনঅথোরাইজড ডাটা এন্ট্রি থেকে কিভাবে স্ট্রাকচার প্রটেক্ট করা যায়</t>
  </si>
  <si>
    <t>- এক্সেল টেবিল কিভাবে ইন্সার্ট করবেন</t>
  </si>
  <si>
    <t>- এক্সেল টেবিলের নানান ফিচার্স</t>
  </si>
  <si>
    <t>- আপনার কাজকে সহজ ও কার্যকরভাবে করতে এক্সেল টেবিল কিভাবে ব্যবহার করবেন</t>
  </si>
  <si>
    <t>- কিভাবে একটি  বেসিক ফর্মুলা ও ফাংশন লিখতে ও তৈরী করতে হয়</t>
  </si>
  <si>
    <t>- বেসিক এরিথমেটিক অপারেশন্স</t>
  </si>
  <si>
    <t>- এডিটিং, কপিইং  ফর্মুলাস</t>
  </si>
  <si>
    <t>- সেল রেফারেন্স</t>
  </si>
  <si>
    <t>- ফর্মুলা অডিটিং</t>
  </si>
  <si>
    <t>- SUM, COUNT, AVERAGE, MIN &amp; MAX</t>
  </si>
  <si>
    <t>- Subtotal</t>
  </si>
  <si>
    <t>- Date Functions, Real time Date &amp; time Functions</t>
  </si>
  <si>
    <t>- EDate, Datedif (Calculate Job length, Age, etc)</t>
  </si>
  <si>
    <t>- Text Functions (Left, Right, Find, length, Upper, Lower, Proper, Trim)</t>
  </si>
  <si>
    <t>- Vlook-up</t>
  </si>
  <si>
    <t>- If error Function</t>
  </si>
  <si>
    <t>- Index &amp; Match</t>
  </si>
  <si>
    <t>- Combination of Match + Vlookup (Practical uses)</t>
  </si>
  <si>
    <t>- Combination of Match + Index  (Practical uses)</t>
  </si>
  <si>
    <t>- Logic Functions (If, AND, OR, NOT, IS, CountIf, Sumif, etc)</t>
  </si>
  <si>
    <t>- Text to Value</t>
  </si>
  <si>
    <t>- Real Practical example of various Formulas &amp; Functions</t>
  </si>
  <si>
    <t>- ক্রিয়েটিং চার্ট</t>
  </si>
  <si>
    <t>- চার্ট কিভাবে মূভ ও সাইজ করবেন</t>
  </si>
  <si>
    <t>- চার্ট এর অব্জেক্টসকে ফরমেট ও এডিট</t>
  </si>
  <si>
    <t>- চার্টের সোর্স ডাটাকে কিভাবে চেঞ্জ করবেন</t>
  </si>
  <si>
    <t>- চার্ট কিভাবে চেঞ্জ করবেন, কিভাবে টাইপ করবেন</t>
  </si>
  <si>
    <t>- পাই চার্ট কি?</t>
  </si>
  <si>
    <r>
      <t xml:space="preserve">যারা আজকের ভেতর রেজিস্ট্রেশন করবেন, কোর্সটি করতে পারবেন </t>
    </r>
    <r>
      <rPr>
        <b/>
        <sz val="12"/>
        <color rgb="FF002060"/>
        <rFont val="Arial"/>
        <family val="2"/>
      </rPr>
      <t>৬২%  ডিস্কাউন্টে মাত্র ৭৫০ টাকায়</t>
    </r>
    <r>
      <rPr>
        <sz val="11"/>
        <rFont val="Arial"/>
        <family val="2"/>
      </rPr>
      <t xml:space="preserve">I </t>
    </r>
  </si>
  <si>
    <t xml:space="preserve">ক্লাস হবে নুন্যতম ১২ টিI </t>
  </si>
  <si>
    <t>কোর্সটি করতে চাইলে নিচের ইনফর্মেশনগুলি ফিলাপ করুনI</t>
  </si>
  <si>
    <r>
      <t xml:space="preserve">কোর্সে যা যা পাচ্ছেন তা বিডি জবস বা অন্য নামকরা ট্রেইনিং সেন্টারে সার্চ করে দেখেন ৮৫০০ টাকা হবেI কিন্তু আমি রাখছি </t>
    </r>
    <r>
      <rPr>
        <b/>
        <sz val="12"/>
        <color rgb="FF002060"/>
        <rFont val="Arial"/>
        <family val="2"/>
      </rPr>
      <t>মাত্র ২০০০ টাকা</t>
    </r>
    <r>
      <rPr>
        <sz val="11"/>
        <rFont val="Arial"/>
        <family val="2"/>
      </rPr>
      <t>I</t>
    </r>
  </si>
  <si>
    <t>৬২% ডিসকাউন্ট অফার পেতে চাইলে এখনই নিচে দেয়া গুগল ফরমটির লিংক এ গিয়ে পূরণ করে দিন!!!</t>
  </si>
  <si>
    <t>আমাদের সাথে যুক্ত থাকুন:</t>
  </si>
  <si>
    <t>https://www.youtube.com/watch?v=7WcxDo6dIso</t>
  </si>
  <si>
    <t>চলুন আমার প্রথম ব্যাচের পার্টিসিপেন্টরা পূর্বের কোর্স করে কি ফিডব্যাক দিলেন তা একটু শুনে/ দেখে আসি, নিচের লিংক ক্লিক করবেন-</t>
  </si>
  <si>
    <t>কিন্তু আপনারা যারা লেখা পড়ছেন তাদের জন্য আছে আরো বিশাল ছাড়!!</t>
  </si>
  <si>
    <t xml:space="preserve">Facebook_ID: facebook.com/skillfulbangla
Facebook_Group: facebook.com/groups/JCKSB
Facebook_Page: facebook.com/SkillfuLBangladesH
Facebook Messenger: m.me/SkillfuLBangladesH
Youtube: youtube.com/c/skillfulbangladesh?sub_confirmation=1
LinkedIn: linkedin.com/in/skillfulbangladesh
LinkedIn_Page: linkedin.com/company/skillfulbangladesh
LinkedIn_Group: linkedin.com/groups/13938168
Instagram: instagram.com/skillful.bangladesh
Twitter: twitter.com/SkillfulBangla
Whatsapp: +880 1302 610 897
Telegram: +880 1302 610 897
Telegram_Group: https://t.me/joinchat/GSia56DEd3fDM5aK
Telegram_Page: https://t.me/skillfulbd </t>
  </si>
  <si>
    <t>Excel Registration Form Link:</t>
  </si>
  <si>
    <t>২৩৩  জনকে গত ৯টি ব্যাচে Excel Training দেয়া শেষ করেছিI আমাদের পরবর্তী ব্যাচে ভর্তি হবার পূর্বে কোর্স মডিউল নিচে দেখে নিন:</t>
  </si>
  <si>
    <t>১৬৩ ফর্মুলাগুলি সবুজ কালার করা শীতে আলাদা আলাদা করে দেয়া আছে</t>
  </si>
  <si>
    <t>https://forms.gle/SZi7jXJuZF8UCta28</t>
  </si>
  <si>
    <t>Total Classes: 12, Time: Every  Night from 9.00 PM (Excluding Friday)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</si>
</sst>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2">
    <numFmt numFmtId="43" formatCode="_(* #,##0.00_);_(* \(#,##0.00\);_(* &quot;-&quot;??_);_(@_)"/>
    <numFmt numFmtId="164" formatCode="&quot;£&quot;#,##0_);[Red]\(&quot;£&quot;#,##0\)"/>
    <numFmt numFmtId="165" formatCode="ddd\ d"/>
    <numFmt numFmtId="166" formatCode="dddd\ dd"/>
    <numFmt numFmtId="167" formatCode="dd\-mmm\-yyyy"/>
    <numFmt numFmtId="168" formatCode="[hh]:mm"/>
    <numFmt numFmtId="169" formatCode="ddd\ dd\-mmm\-yy"/>
    <numFmt numFmtId="170" formatCode="[h]:mm"/>
    <numFmt numFmtId="171" formatCode="ddd\ dd"/>
    <numFmt numFmtId="172" formatCode="_(&quot;£&quot;* #,##0_);_(&quot;£&quot;* \(#,##0\);_(&quot;£&quot;* &quot;-&quot;??_);_(@_)"/>
    <numFmt numFmtId="173" formatCode="_(* #,##0_);_(* \(#,##0\);_(* &quot;-&quot;??_);_(@_)"/>
    <numFmt numFmtId="174" formatCode="_(&quot;£&quot;* #,##0.00_);_(&quot;£&quot;* \(#,##0.00\);_(&quot;£&quot;* &quot;-&quot;??_);_(@_)"/>
    <numFmt numFmtId="175" formatCode="0.0"/>
    <numFmt numFmtId="176" formatCode="0.00000"/>
    <numFmt numFmtId="177" formatCode="&quot;£&quot;#,##0.00_);[Red]\(&quot;£&quot;#,##0.00\)"/>
    <numFmt numFmtId="178" formatCode="0.000"/>
    <numFmt numFmtId="179" formatCode="mm/dd/yy"/>
    <numFmt numFmtId="180" formatCode="mmmm\ d\,\ yyyy"/>
    <numFmt numFmtId="181" formatCode="0.000000%"/>
    <numFmt numFmtId="182" formatCode="&quot;£&quot;#,##0.0000_);[Red]\(&quot;£&quot;#,##0.0000\)"/>
    <numFmt numFmtId="183" formatCode="0.000%"/>
    <numFmt numFmtId="184" formatCode="_-&quot;£&quot;* #,##0_-;\-&quot;£&quot;* #,##0_-;_-&quot;£&quot;* &quot;-&quot;??_-;_-@_-"/>
    <numFmt numFmtId="185" formatCode="_-* #,##0_-;\-* #,##0_-;_-* &quot;-&quot;??_-;_-@_-"/>
    <numFmt numFmtId="186" formatCode="&quot;£&quot;#,##0;[Red]\-&quot;£&quot;#,##0"/>
    <numFmt numFmtId="187" formatCode="000"/>
    <numFmt numFmtId="188" formatCode="mmmm"/>
    <numFmt numFmtId="189" formatCode="0.00000000000000"/>
    <numFmt numFmtId="190" formatCode="dd/mmm/yy\ hh:mm:ss"/>
    <numFmt numFmtId="191" formatCode="0.0000"/>
    <numFmt numFmtId="192" formatCode="&quot;£&quot;#,##0"/>
    <numFmt numFmtId="193" formatCode="dddd"/>
    <numFmt numFmtId="194" formatCode="0\ &quot;days behind&quot;;0\ &quot;days ahead&quot;;&quot;On Target !&quot;"/>
  </numFmts>
  <fonts count="48" x14ac:knownFonts="1">
    <font>
      <sz val="10"/>
      <name val="Arial"/>
    </font>
    <font>
      <b/>
      <sz val="14"/>
      <color indexed="8"/>
      <name val="Arial"/>
      <family val="2"/>
    </font>
    <font>
      <b/>
      <sz val="10"/>
      <color indexed="12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0"/>
      <color indexed="20"/>
      <name val="Arial"/>
      <family val="2"/>
    </font>
    <font>
      <sz val="10"/>
      <color indexed="12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i/>
      <sz val="8"/>
      <name val="Arial"/>
      <family val="2"/>
    </font>
    <font>
      <sz val="10"/>
      <color indexed="14"/>
      <name val="Arial"/>
      <family val="2"/>
    </font>
    <font>
      <sz val="10"/>
      <color indexed="17"/>
      <name val="Arial"/>
      <family val="2"/>
    </font>
    <font>
      <i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7"/>
      <name val="Arial"/>
      <family val="2"/>
    </font>
    <font>
      <b/>
      <sz val="10"/>
      <color indexed="10"/>
      <name val="Arial"/>
      <family val="2"/>
    </font>
    <font>
      <sz val="8"/>
      <name val="Arial"/>
      <family val="2"/>
    </font>
    <font>
      <sz val="8"/>
      <color indexed="12"/>
      <name val="Arial Narrow"/>
      <family val="2"/>
    </font>
    <font>
      <sz val="8"/>
      <color indexed="12"/>
      <name val="Arial"/>
      <family val="2"/>
    </font>
    <font>
      <b/>
      <sz val="10"/>
      <color indexed="20"/>
      <name val="Arial"/>
      <family val="2"/>
    </font>
    <font>
      <b/>
      <sz val="12"/>
      <color indexed="17"/>
      <name val="Arial"/>
      <family val="2"/>
    </font>
    <font>
      <b/>
      <sz val="12"/>
      <color indexed="12"/>
      <name val="Arial"/>
      <family val="2"/>
    </font>
    <font>
      <sz val="10"/>
      <color indexed="8"/>
      <name val="Arial"/>
      <family val="2"/>
    </font>
    <font>
      <sz val="10"/>
      <color indexed="16"/>
      <name val="Arial"/>
      <family val="2"/>
    </font>
    <font>
      <sz val="10"/>
      <color indexed="9"/>
      <name val="Arial"/>
      <family val="2"/>
    </font>
    <font>
      <b/>
      <sz val="14"/>
      <name val="Arial"/>
      <family val="2"/>
    </font>
    <font>
      <i/>
      <sz val="10"/>
      <name val="Arial"/>
      <family val="2"/>
    </font>
    <font>
      <b/>
      <i/>
      <sz val="10"/>
      <name val="Arial"/>
      <family val="2"/>
    </font>
    <font>
      <sz val="10"/>
      <color indexed="10"/>
      <name val="Arial"/>
      <family val="2"/>
    </font>
    <font>
      <sz val="8"/>
      <color indexed="20"/>
      <name val="Arial"/>
      <family val="2"/>
    </font>
    <font>
      <b/>
      <sz val="10"/>
      <color indexed="14"/>
      <name val="Arial"/>
      <family val="2"/>
    </font>
    <font>
      <sz val="8"/>
      <color indexed="17"/>
      <name val="Arial"/>
      <family val="2"/>
    </font>
    <font>
      <sz val="8"/>
      <color indexed="10"/>
      <name val="Arial"/>
      <family val="2"/>
    </font>
    <font>
      <sz val="8"/>
      <color indexed="14"/>
      <name val="Arial"/>
      <family val="2"/>
    </font>
    <font>
      <sz val="10"/>
      <name val="Symbol"/>
      <family val="1"/>
      <charset val="2"/>
    </font>
    <font>
      <sz val="10"/>
      <color indexed="15"/>
      <name val="Arial"/>
      <family val="2"/>
    </font>
    <font>
      <u/>
      <sz val="10"/>
      <color theme="10"/>
      <name val="Arial"/>
      <family val="2"/>
    </font>
    <font>
      <b/>
      <u/>
      <sz val="11"/>
      <color theme="1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8"/>
      <color rgb="FF000000"/>
      <name val="Helv"/>
    </font>
    <font>
      <sz val="8.5"/>
      <color rgb="FF000000"/>
      <name val="MS Sans Serif"/>
    </font>
    <font>
      <b/>
      <u/>
      <sz val="16"/>
      <color theme="10"/>
      <name val="Arial"/>
      <family val="2"/>
    </font>
    <font>
      <b/>
      <sz val="48"/>
      <name val="Arial"/>
      <family val="2"/>
    </font>
    <font>
      <b/>
      <sz val="12"/>
      <color rgb="FF002060"/>
      <name val="Arial"/>
      <family val="2"/>
    </font>
    <font>
      <b/>
      <sz val="18"/>
      <name val="Arial"/>
      <family val="2"/>
    </font>
    <font>
      <b/>
      <u/>
      <sz val="24"/>
      <color theme="10"/>
      <name val="Arial"/>
      <family val="2"/>
    </font>
    <font>
      <sz val="18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theme="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17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14"/>
      </left>
      <right style="thin">
        <color indexed="64"/>
      </right>
      <top style="double">
        <color indexed="1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14"/>
      </top>
      <bottom style="thin">
        <color indexed="64"/>
      </bottom>
      <diagonal/>
    </border>
    <border>
      <left style="thin">
        <color indexed="64"/>
      </left>
      <right style="double">
        <color indexed="14"/>
      </right>
      <top style="double">
        <color indexed="14"/>
      </top>
      <bottom style="thin">
        <color indexed="64"/>
      </bottom>
      <diagonal/>
    </border>
    <border>
      <left style="double">
        <color indexed="17"/>
      </left>
      <right style="double">
        <color indexed="14"/>
      </right>
      <top style="double">
        <color indexed="17"/>
      </top>
      <bottom style="thin">
        <color indexed="64"/>
      </bottom>
      <diagonal/>
    </border>
    <border>
      <left style="double">
        <color indexed="1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14"/>
      </right>
      <top style="thin">
        <color indexed="64"/>
      </top>
      <bottom style="thin">
        <color indexed="64"/>
      </bottom>
      <diagonal/>
    </border>
    <border>
      <left style="double">
        <color indexed="17"/>
      </left>
      <right style="double">
        <color indexed="14"/>
      </right>
      <top style="thin">
        <color indexed="64"/>
      </top>
      <bottom style="thin">
        <color indexed="64"/>
      </bottom>
      <diagonal/>
    </border>
    <border>
      <left style="double">
        <color indexed="17"/>
      </left>
      <right style="double">
        <color indexed="14"/>
      </right>
      <top style="thin">
        <color indexed="64"/>
      </top>
      <bottom style="double">
        <color indexed="17"/>
      </bottom>
      <diagonal/>
    </border>
    <border>
      <left style="double">
        <color indexed="14"/>
      </left>
      <right style="thin">
        <color indexed="64"/>
      </right>
      <top style="thin">
        <color indexed="64"/>
      </top>
      <bottom style="double">
        <color indexed="1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14"/>
      </bottom>
      <diagonal/>
    </border>
    <border>
      <left style="thin">
        <color indexed="64"/>
      </left>
      <right style="double">
        <color indexed="14"/>
      </right>
      <top style="thin">
        <color indexed="64"/>
      </top>
      <bottom style="double">
        <color indexed="14"/>
      </bottom>
      <diagonal/>
    </border>
    <border>
      <left style="double">
        <color indexed="14"/>
      </left>
      <right style="thin">
        <color indexed="64"/>
      </right>
      <top style="double">
        <color indexed="14"/>
      </top>
      <bottom style="double">
        <color indexed="14"/>
      </bottom>
      <diagonal/>
    </border>
    <border>
      <left style="thin">
        <color indexed="64"/>
      </left>
      <right style="thin">
        <color indexed="64"/>
      </right>
      <top style="double">
        <color indexed="14"/>
      </top>
      <bottom style="double">
        <color indexed="14"/>
      </bottom>
      <diagonal/>
    </border>
    <border>
      <left style="thin">
        <color indexed="64"/>
      </left>
      <right style="double">
        <color indexed="14"/>
      </right>
      <top style="double">
        <color indexed="14"/>
      </top>
      <bottom style="double">
        <color indexed="14"/>
      </bottom>
      <diagonal/>
    </border>
    <border>
      <left style="double">
        <color indexed="17"/>
      </left>
      <right style="thin">
        <color indexed="64"/>
      </right>
      <top style="double">
        <color indexed="17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17"/>
      </top>
      <bottom style="thin">
        <color indexed="64"/>
      </bottom>
      <diagonal/>
    </border>
    <border>
      <left style="thin">
        <color indexed="64"/>
      </left>
      <right style="double">
        <color indexed="17"/>
      </right>
      <top style="double">
        <color indexed="17"/>
      </top>
      <bottom style="thin">
        <color indexed="64"/>
      </bottom>
      <diagonal/>
    </border>
    <border>
      <left style="double">
        <color indexed="17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17"/>
      </right>
      <top style="thin">
        <color indexed="64"/>
      </top>
      <bottom style="thin">
        <color indexed="64"/>
      </bottom>
      <diagonal/>
    </border>
    <border>
      <left style="double">
        <color indexed="17"/>
      </left>
      <right style="thin">
        <color indexed="64"/>
      </right>
      <top style="thin">
        <color indexed="64"/>
      </top>
      <bottom style="double">
        <color indexed="17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17"/>
      </bottom>
      <diagonal/>
    </border>
    <border>
      <left style="thin">
        <color indexed="64"/>
      </left>
      <right style="double">
        <color indexed="17"/>
      </right>
      <top style="thin">
        <color indexed="64"/>
      </top>
      <bottom style="double">
        <color indexed="17"/>
      </bottom>
      <diagonal/>
    </border>
    <border>
      <left style="double">
        <color indexed="17"/>
      </left>
      <right style="thin">
        <color indexed="64"/>
      </right>
      <top style="double">
        <color indexed="17"/>
      </top>
      <bottom/>
      <diagonal/>
    </border>
    <border>
      <left style="thin">
        <color indexed="64"/>
      </left>
      <right style="thin">
        <color indexed="64"/>
      </right>
      <top style="double">
        <color indexed="17"/>
      </top>
      <bottom/>
      <diagonal/>
    </border>
    <border>
      <left style="thin">
        <color indexed="64"/>
      </left>
      <right style="double">
        <color indexed="17"/>
      </right>
      <top style="double">
        <color indexed="17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thick">
        <color indexed="14"/>
      </left>
      <right style="thin">
        <color indexed="64"/>
      </right>
      <top style="thick">
        <color indexed="14"/>
      </top>
      <bottom style="thin">
        <color indexed="64"/>
      </bottom>
      <diagonal/>
    </border>
    <border>
      <left style="thin">
        <color indexed="64"/>
      </left>
      <right style="thick">
        <color indexed="14"/>
      </right>
      <top style="thick">
        <color indexed="14"/>
      </top>
      <bottom style="thin">
        <color indexed="64"/>
      </bottom>
      <diagonal/>
    </border>
    <border>
      <left style="thick">
        <color indexed="1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14"/>
      </right>
      <top style="thin">
        <color indexed="64"/>
      </top>
      <bottom style="thin">
        <color indexed="64"/>
      </bottom>
      <diagonal/>
    </border>
    <border>
      <left style="thick">
        <color indexed="14"/>
      </left>
      <right style="thin">
        <color indexed="64"/>
      </right>
      <top style="thin">
        <color indexed="64"/>
      </top>
      <bottom style="thick">
        <color indexed="14"/>
      </bottom>
      <diagonal/>
    </border>
    <border>
      <left style="thin">
        <color indexed="64"/>
      </left>
      <right style="thick">
        <color indexed="14"/>
      </right>
      <top style="thin">
        <color indexed="64"/>
      </top>
      <bottom style="thick">
        <color indexed="14"/>
      </bottom>
      <diagonal/>
    </border>
    <border>
      <left style="thick">
        <color indexed="17"/>
      </left>
      <right style="thin">
        <color indexed="64"/>
      </right>
      <top style="thick">
        <color indexed="17"/>
      </top>
      <bottom style="thin">
        <color indexed="64"/>
      </bottom>
      <diagonal/>
    </border>
    <border>
      <left style="thin">
        <color indexed="64"/>
      </left>
      <right style="thick">
        <color indexed="17"/>
      </right>
      <top style="thick">
        <color indexed="17"/>
      </top>
      <bottom style="thin">
        <color indexed="64"/>
      </bottom>
      <diagonal/>
    </border>
    <border>
      <left style="thick">
        <color indexed="17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17"/>
      </right>
      <top style="thin">
        <color indexed="64"/>
      </top>
      <bottom style="thin">
        <color indexed="64"/>
      </bottom>
      <diagonal/>
    </border>
    <border>
      <left style="thick">
        <color indexed="17"/>
      </left>
      <right style="thin">
        <color indexed="64"/>
      </right>
      <top style="thin">
        <color indexed="64"/>
      </top>
      <bottom style="thick">
        <color indexed="17"/>
      </bottom>
      <diagonal/>
    </border>
    <border>
      <left style="thin">
        <color indexed="64"/>
      </left>
      <right style="thick">
        <color indexed="17"/>
      </right>
      <top style="thin">
        <color indexed="64"/>
      </top>
      <bottom style="thick">
        <color indexed="17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14"/>
      </left>
      <right style="double">
        <color indexed="14"/>
      </right>
      <top style="double">
        <color indexed="14"/>
      </top>
      <bottom style="thin">
        <color indexed="64"/>
      </bottom>
      <diagonal/>
    </border>
    <border>
      <left style="double">
        <color indexed="14"/>
      </left>
      <right style="double">
        <color indexed="14"/>
      </right>
      <top style="thin">
        <color indexed="64"/>
      </top>
      <bottom style="double">
        <color indexed="1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20"/>
      </left>
      <right style="thin">
        <color indexed="64"/>
      </right>
      <top style="medium">
        <color indexed="2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20"/>
      </top>
      <bottom style="thin">
        <color indexed="64"/>
      </bottom>
      <diagonal/>
    </border>
    <border>
      <left style="thin">
        <color indexed="64"/>
      </left>
      <right style="medium">
        <color indexed="20"/>
      </right>
      <top style="medium">
        <color indexed="20"/>
      </top>
      <bottom style="thin">
        <color indexed="64"/>
      </bottom>
      <diagonal/>
    </border>
    <border>
      <left style="medium">
        <color indexed="2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20"/>
      </right>
      <top style="thin">
        <color indexed="64"/>
      </top>
      <bottom style="thin">
        <color indexed="64"/>
      </bottom>
      <diagonal/>
    </border>
    <border>
      <left style="medium">
        <color indexed="20"/>
      </left>
      <right style="thin">
        <color indexed="64"/>
      </right>
      <top style="thin">
        <color indexed="64"/>
      </top>
      <bottom style="medium">
        <color indexed="2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20"/>
      </bottom>
      <diagonal/>
    </border>
    <border>
      <left style="thin">
        <color indexed="64"/>
      </left>
      <right style="medium">
        <color indexed="20"/>
      </right>
      <top style="thin">
        <color indexed="64"/>
      </top>
      <bottom style="medium">
        <color indexed="20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n">
        <color indexed="64"/>
      </bottom>
      <diagonal/>
    </border>
    <border>
      <left style="thick">
        <color indexed="10"/>
      </left>
      <right style="thick">
        <color indexed="10"/>
      </right>
      <top style="thin">
        <color indexed="64"/>
      </top>
      <bottom style="thin">
        <color indexed="64"/>
      </bottom>
      <diagonal/>
    </border>
    <border>
      <left style="thick">
        <color indexed="10"/>
      </left>
      <right style="thick">
        <color indexed="10"/>
      </right>
      <top/>
      <bottom/>
      <diagonal/>
    </border>
    <border>
      <left style="thick">
        <color indexed="10"/>
      </left>
      <right style="thick">
        <color indexed="10"/>
      </right>
      <top style="thin">
        <color indexed="64"/>
      </top>
      <bottom style="thick">
        <color indexed="1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12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" borderId="0" applyNumberFormat="0" applyFont="0" applyBorder="0" applyAlignment="0" applyProtection="0"/>
    <xf numFmtId="0" fontId="4" fillId="3" borderId="0" applyNumberFormat="0" applyFont="0" applyBorder="0" applyAlignment="0" applyProtection="0"/>
    <xf numFmtId="0" fontId="36" fillId="0" borderId="0" applyNumberFormat="0" applyFill="0" applyBorder="0" applyAlignment="0" applyProtection="0"/>
  </cellStyleXfs>
  <cellXfs count="560">
    <xf numFmtId="0" fontId="0" fillId="0" borderId="0" xfId="0"/>
    <xf numFmtId="0" fontId="1" fillId="0" borderId="1" xfId="0" applyFont="1" applyBorder="1"/>
    <xf numFmtId="0" fontId="5" fillId="2" borderId="2" xfId="4" applyFont="1" applyBorder="1" applyAlignment="1">
      <alignment horizontal="center"/>
    </xf>
    <xf numFmtId="0" fontId="6" fillId="2" borderId="2" xfId="4" applyFont="1" applyBorder="1" applyAlignment="1">
      <alignment horizontal="center"/>
    </xf>
    <xf numFmtId="0" fontId="0" fillId="0" borderId="0" xfId="0" applyAlignment="1">
      <alignment horizontal="center"/>
    </xf>
    <xf numFmtId="0" fontId="0" fillId="3" borderId="2" xfId="5" applyFont="1" applyBorder="1" applyAlignment="1">
      <alignment horizontal="center"/>
    </xf>
    <xf numFmtId="0" fontId="0" fillId="3" borderId="3" xfId="5" applyFont="1" applyBorder="1" applyAlignment="1">
      <alignment horizontal="center"/>
    </xf>
    <xf numFmtId="0" fontId="0" fillId="3" borderId="2" xfId="5" applyFont="1" applyBorder="1"/>
    <xf numFmtId="0" fontId="6" fillId="0" borderId="0" xfId="0" applyFont="1"/>
    <xf numFmtId="0" fontId="7" fillId="0" borderId="4" xfId="0" applyFont="1" applyBorder="1"/>
    <xf numFmtId="0" fontId="0" fillId="0" borderId="0" xfId="0" quotePrefix="1"/>
    <xf numFmtId="0" fontId="5" fillId="2" borderId="2" xfId="4" applyFont="1" applyBorder="1"/>
    <xf numFmtId="49" fontId="0" fillId="0" borderId="0" xfId="0" applyNumberFormat="1"/>
    <xf numFmtId="0" fontId="0" fillId="3" borderId="3" xfId="5" applyFont="1" applyBorder="1" applyAlignment="1">
      <alignment horizontal="centerContinuous"/>
    </xf>
    <xf numFmtId="0" fontId="0" fillId="3" borderId="5" xfId="5" applyFont="1" applyBorder="1" applyAlignment="1">
      <alignment horizontal="centerContinuous"/>
    </xf>
    <xf numFmtId="0" fontId="0" fillId="3" borderId="6" xfId="5" applyFont="1" applyBorder="1" applyAlignment="1">
      <alignment horizontal="centerContinuous"/>
    </xf>
    <xf numFmtId="15" fontId="5" fillId="2" borderId="2" xfId="4" applyNumberFormat="1" applyFont="1" applyBorder="1" applyAlignment="1">
      <alignment horizontal="center"/>
    </xf>
    <xf numFmtId="20" fontId="5" fillId="2" borderId="2" xfId="4" applyNumberFormat="1" applyFont="1" applyBorder="1" applyAlignment="1">
      <alignment horizontal="center"/>
    </xf>
    <xf numFmtId="164" fontId="5" fillId="2" borderId="2" xfId="4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3" borderId="2" xfId="5" applyFont="1" applyBorder="1" applyAlignment="1">
      <alignment horizontal="center" vertical="center"/>
    </xf>
    <xf numFmtId="0" fontId="0" fillId="3" borderId="2" xfId="5" applyFont="1" applyBorder="1" applyAlignment="1">
      <alignment horizontal="center" wrapText="1"/>
    </xf>
    <xf numFmtId="0" fontId="0" fillId="3" borderId="3" xfId="5" applyFont="1" applyBorder="1"/>
    <xf numFmtId="0" fontId="0" fillId="3" borderId="6" xfId="5" applyFont="1" applyBorder="1" applyAlignment="1">
      <alignment horizontal="right"/>
    </xf>
    <xf numFmtId="0" fontId="0" fillId="3" borderId="5" xfId="5" applyFont="1" applyBorder="1"/>
    <xf numFmtId="0" fontId="0" fillId="3" borderId="6" xfId="5" applyFont="1" applyBorder="1"/>
    <xf numFmtId="0" fontId="6" fillId="0" borderId="0" xfId="0" applyFont="1" applyAlignment="1">
      <alignment horizontal="left"/>
    </xf>
    <xf numFmtId="15" fontId="5" fillId="2" borderId="2" xfId="4" quotePrefix="1" applyNumberFormat="1" applyFont="1" applyBorder="1" applyAlignment="1">
      <alignment horizontal="center"/>
    </xf>
    <xf numFmtId="165" fontId="6" fillId="2" borderId="2" xfId="4" applyNumberFormat="1" applyFont="1" applyBorder="1" applyAlignment="1">
      <alignment horizontal="center"/>
    </xf>
    <xf numFmtId="14" fontId="5" fillId="2" borderId="2" xfId="4" applyNumberFormat="1" applyFont="1" applyBorder="1" applyAlignment="1">
      <alignment horizontal="center"/>
    </xf>
    <xf numFmtId="166" fontId="6" fillId="2" borderId="2" xfId="4" applyNumberFormat="1" applyFont="1" applyBorder="1" applyAlignment="1">
      <alignment horizontal="center"/>
    </xf>
    <xf numFmtId="0" fontId="0" fillId="0" borderId="0" xfId="0" applyAlignment="1">
      <alignment wrapText="1"/>
    </xf>
    <xf numFmtId="0" fontId="6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0" fontId="9" fillId="0" borderId="0" xfId="0" applyFont="1"/>
    <xf numFmtId="0" fontId="0" fillId="3" borderId="5" xfId="5" applyFont="1" applyBorder="1" applyAlignment="1">
      <alignment horizontal="right"/>
    </xf>
    <xf numFmtId="0" fontId="4" fillId="3" borderId="2" xfId="5" applyFont="1" applyBorder="1" applyAlignment="1">
      <alignment horizontal="center"/>
    </xf>
    <xf numFmtId="0" fontId="10" fillId="2" borderId="2" xfId="4" applyFont="1" applyBorder="1" applyAlignment="1">
      <alignment horizontal="center"/>
    </xf>
    <xf numFmtId="0" fontId="11" fillId="2" borderId="2" xfId="4" applyFont="1" applyBorder="1" applyAlignment="1">
      <alignment horizontal="center"/>
    </xf>
    <xf numFmtId="164" fontId="6" fillId="2" borderId="2" xfId="4" applyNumberFormat="1" applyFont="1" applyBorder="1" applyAlignment="1">
      <alignment horizontal="right"/>
    </xf>
    <xf numFmtId="0" fontId="10" fillId="3" borderId="7" xfId="5" applyFont="1" applyBorder="1" applyAlignment="1">
      <alignment horizontal="center"/>
    </xf>
    <xf numFmtId="0" fontId="10" fillId="3" borderId="8" xfId="5" applyFont="1" applyBorder="1" applyAlignment="1">
      <alignment horizontal="center"/>
    </xf>
    <xf numFmtId="0" fontId="10" fillId="3" borderId="9" xfId="5" applyFont="1" applyBorder="1" applyAlignment="1">
      <alignment horizontal="center"/>
    </xf>
    <xf numFmtId="0" fontId="11" fillId="3" borderId="10" xfId="5" applyFont="1" applyBorder="1"/>
    <xf numFmtId="0" fontId="5" fillId="2" borderId="11" xfId="4" applyFont="1" applyBorder="1" applyAlignment="1">
      <alignment horizontal="center"/>
    </xf>
    <xf numFmtId="0" fontId="5" fillId="2" borderId="12" xfId="4" applyFont="1" applyBorder="1" applyAlignment="1">
      <alignment horizontal="center"/>
    </xf>
    <xf numFmtId="0" fontId="11" fillId="3" borderId="13" xfId="5" applyFont="1" applyBorder="1"/>
    <xf numFmtId="0" fontId="11" fillId="3" borderId="14" xfId="5" applyFont="1" applyBorder="1"/>
    <xf numFmtId="0" fontId="5" fillId="2" borderId="15" xfId="4" applyFont="1" applyBorder="1" applyAlignment="1">
      <alignment horizontal="center"/>
    </xf>
    <xf numFmtId="0" fontId="5" fillId="2" borderId="16" xfId="4" applyFont="1" applyBorder="1" applyAlignment="1">
      <alignment horizontal="center"/>
    </xf>
    <xf numFmtId="0" fontId="5" fillId="2" borderId="17" xfId="4" applyFont="1" applyBorder="1" applyAlignment="1">
      <alignment horizontal="center"/>
    </xf>
    <xf numFmtId="0" fontId="0" fillId="3" borderId="0" xfId="5" applyFont="1" applyAlignment="1">
      <alignment horizontal="centerContinuous"/>
    </xf>
    <xf numFmtId="0" fontId="8" fillId="3" borderId="2" xfId="5" applyFont="1" applyBorder="1" applyAlignment="1">
      <alignment horizontal="center"/>
    </xf>
    <xf numFmtId="0" fontId="8" fillId="3" borderId="2" xfId="5" applyFont="1" applyBorder="1"/>
    <xf numFmtId="9" fontId="5" fillId="2" borderId="2" xfId="4" applyNumberFormat="1" applyFont="1" applyBorder="1"/>
    <xf numFmtId="164" fontId="6" fillId="2" borderId="2" xfId="4" applyNumberFormat="1" applyFont="1" applyBorder="1" applyAlignment="1">
      <alignment horizontal="center"/>
    </xf>
    <xf numFmtId="9" fontId="6" fillId="2" borderId="2" xfId="4" applyNumberFormat="1" applyFont="1" applyBorder="1" applyAlignment="1">
      <alignment horizontal="center"/>
    </xf>
    <xf numFmtId="0" fontId="0" fillId="3" borderId="2" xfId="5" applyFont="1" applyBorder="1" applyAlignment="1">
      <alignment horizontal="right"/>
    </xf>
    <xf numFmtId="0" fontId="1" fillId="0" borderId="1" xfId="0" applyFont="1" applyFill="1" applyBorder="1"/>
    <xf numFmtId="0" fontId="4" fillId="3" borderId="2" xfId="5" applyBorder="1" applyAlignment="1">
      <alignment horizontal="center"/>
    </xf>
    <xf numFmtId="0" fontId="4" fillId="3" borderId="2" xfId="5" applyBorder="1" applyAlignment="1">
      <alignment horizontal="center" wrapText="1"/>
    </xf>
    <xf numFmtId="15" fontId="6" fillId="2" borderId="2" xfId="4" applyNumberFormat="1" applyFont="1" applyBorder="1" applyAlignment="1">
      <alignment horizontal="center"/>
    </xf>
    <xf numFmtId="0" fontId="0" fillId="0" borderId="0" xfId="0" applyBorder="1"/>
    <xf numFmtId="0" fontId="4" fillId="3" borderId="2" xfId="5" applyBorder="1"/>
    <xf numFmtId="0" fontId="4" fillId="3" borderId="2" xfId="5" applyBorder="1" applyAlignment="1">
      <alignment horizontal="centerContinuous"/>
    </xf>
    <xf numFmtId="0" fontId="12" fillId="0" borderId="0" xfId="0" applyFont="1"/>
    <xf numFmtId="14" fontId="0" fillId="0" borderId="0" xfId="0" applyNumberFormat="1"/>
    <xf numFmtId="167" fontId="5" fillId="2" borderId="2" xfId="4" applyNumberFormat="1" applyFont="1" applyBorder="1" applyAlignment="1">
      <alignment horizontal="center"/>
    </xf>
    <xf numFmtId="0" fontId="5" fillId="2" borderId="2" xfId="4" applyFont="1" applyBorder="1" applyAlignment="1">
      <alignment horizontal="left"/>
    </xf>
    <xf numFmtId="0" fontId="6" fillId="2" borderId="2" xfId="4" applyFont="1" applyBorder="1"/>
    <xf numFmtId="0" fontId="10" fillId="3" borderId="18" xfId="5" applyFont="1" applyBorder="1" applyAlignment="1">
      <alignment horizontal="center"/>
    </xf>
    <xf numFmtId="0" fontId="10" fillId="3" borderId="19" xfId="5" applyFont="1" applyBorder="1" applyAlignment="1">
      <alignment horizontal="center"/>
    </xf>
    <xf numFmtId="0" fontId="10" fillId="3" borderId="20" xfId="5" applyFont="1" applyBorder="1" applyAlignment="1">
      <alignment horizontal="center"/>
    </xf>
    <xf numFmtId="0" fontId="11" fillId="3" borderId="21" xfId="5" applyFont="1" applyBorder="1"/>
    <xf numFmtId="0" fontId="5" fillId="2" borderId="22" xfId="4" applyFont="1" applyBorder="1" applyAlignment="1">
      <alignment horizontal="center"/>
    </xf>
    <xf numFmtId="0" fontId="5" fillId="2" borderId="23" xfId="4" applyFont="1" applyBorder="1" applyAlignment="1">
      <alignment horizontal="center"/>
    </xf>
    <xf numFmtId="0" fontId="11" fillId="3" borderId="24" xfId="5" applyFont="1" applyBorder="1"/>
    <xf numFmtId="0" fontId="5" fillId="2" borderId="25" xfId="4" applyFont="1" applyBorder="1" applyAlignment="1">
      <alignment horizontal="center"/>
    </xf>
    <xf numFmtId="0" fontId="11" fillId="3" borderId="26" xfId="5" applyFont="1" applyBorder="1"/>
    <xf numFmtId="0" fontId="5" fillId="2" borderId="27" xfId="4" applyFont="1" applyBorder="1" applyAlignment="1">
      <alignment horizontal="center"/>
    </xf>
    <xf numFmtId="0" fontId="5" fillId="2" borderId="28" xfId="4" applyFont="1" applyBorder="1" applyAlignment="1">
      <alignment horizontal="center"/>
    </xf>
    <xf numFmtId="0" fontId="8" fillId="3" borderId="29" xfId="5" applyFont="1" applyBorder="1"/>
    <xf numFmtId="0" fontId="8" fillId="3" borderId="30" xfId="5" applyFont="1" applyBorder="1"/>
    <xf numFmtId="0" fontId="8" fillId="3" borderId="31" xfId="5" applyFont="1" applyBorder="1"/>
    <xf numFmtId="0" fontId="8" fillId="3" borderId="21" xfId="5" applyFont="1" applyBorder="1" applyAlignment="1">
      <alignment horizontal="center"/>
    </xf>
    <xf numFmtId="164" fontId="5" fillId="2" borderId="23" xfId="4" applyNumberFormat="1" applyFont="1" applyBorder="1" applyAlignment="1">
      <alignment horizontal="center"/>
    </xf>
    <xf numFmtId="0" fontId="8" fillId="3" borderId="7" xfId="5" applyFont="1" applyBorder="1"/>
    <xf numFmtId="9" fontId="5" fillId="2" borderId="8" xfId="4" applyNumberFormat="1" applyFont="1" applyBorder="1"/>
    <xf numFmtId="9" fontId="5" fillId="2" borderId="9" xfId="4" applyNumberFormat="1" applyFont="1" applyBorder="1"/>
    <xf numFmtId="0" fontId="8" fillId="3" borderId="24" xfId="5" applyFont="1" applyBorder="1" applyAlignment="1">
      <alignment horizontal="center"/>
    </xf>
    <xf numFmtId="164" fontId="5" fillId="2" borderId="25" xfId="4" applyNumberFormat="1" applyFont="1" applyBorder="1" applyAlignment="1">
      <alignment horizontal="center"/>
    </xf>
    <xf numFmtId="0" fontId="8" fillId="3" borderId="11" xfId="5" applyFont="1" applyBorder="1"/>
    <xf numFmtId="9" fontId="5" fillId="2" borderId="12" xfId="4" applyNumberFormat="1" applyFont="1" applyBorder="1"/>
    <xf numFmtId="0" fontId="8" fillId="3" borderId="26" xfId="5" applyFont="1" applyBorder="1" applyAlignment="1">
      <alignment horizontal="center"/>
    </xf>
    <xf numFmtId="164" fontId="5" fillId="2" borderId="28" xfId="4" applyNumberFormat="1" applyFont="1" applyBorder="1" applyAlignment="1">
      <alignment horizontal="center"/>
    </xf>
    <xf numFmtId="0" fontId="8" fillId="3" borderId="15" xfId="5" applyFont="1" applyBorder="1"/>
    <xf numFmtId="9" fontId="5" fillId="2" borderId="16" xfId="4" applyNumberFormat="1" applyFont="1" applyBorder="1"/>
    <xf numFmtId="9" fontId="5" fillId="2" borderId="17" xfId="4" applyNumberFormat="1" applyFont="1" applyBorder="1"/>
    <xf numFmtId="0" fontId="13" fillId="0" borderId="32" xfId="0" applyFont="1" applyBorder="1"/>
    <xf numFmtId="20" fontId="6" fillId="2" borderId="2" xfId="4" applyNumberFormat="1" applyFont="1" applyBorder="1" applyAlignment="1">
      <alignment horizontal="center"/>
    </xf>
    <xf numFmtId="18" fontId="6" fillId="2" borderId="2" xfId="4" applyNumberFormat="1" applyFont="1" applyBorder="1" applyAlignment="1">
      <alignment horizontal="center"/>
    </xf>
    <xf numFmtId="18" fontId="5" fillId="2" borderId="2" xfId="4" applyNumberFormat="1" applyFont="1" applyBorder="1" applyAlignment="1">
      <alignment horizontal="center"/>
    </xf>
    <xf numFmtId="0" fontId="13" fillId="0" borderId="0" xfId="0" applyFont="1"/>
    <xf numFmtId="168" fontId="6" fillId="2" borderId="2" xfId="4" applyNumberFormat="1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0" fillId="0" borderId="0" xfId="0" applyAlignment="1">
      <alignment horizontal="centerContinuous"/>
    </xf>
    <xf numFmtId="0" fontId="0" fillId="3" borderId="3" xfId="5" applyFont="1" applyBorder="1" applyAlignment="1">
      <alignment horizontal="right"/>
    </xf>
    <xf numFmtId="169" fontId="5" fillId="2" borderId="6" xfId="4" applyNumberFormat="1" applyFont="1" applyBorder="1" applyAlignment="1">
      <alignment horizontal="center"/>
    </xf>
    <xf numFmtId="170" fontId="5" fillId="2" borderId="6" xfId="4" applyNumberFormat="1" applyFont="1" applyBorder="1" applyAlignment="1">
      <alignment horizontal="center"/>
    </xf>
    <xf numFmtId="0" fontId="0" fillId="3" borderId="6" xfId="5" applyFont="1" applyBorder="1" applyAlignment="1">
      <alignment horizontal="center"/>
    </xf>
    <xf numFmtId="171" fontId="6" fillId="2" borderId="35" xfId="4" applyNumberFormat="1" applyFont="1" applyBorder="1" applyAlignment="1">
      <alignment horizontal="center"/>
    </xf>
    <xf numFmtId="20" fontId="5" fillId="2" borderId="39" xfId="4" applyNumberFormat="1" applyFont="1" applyBorder="1" applyAlignment="1">
      <alignment horizontal="center"/>
    </xf>
    <xf numFmtId="20" fontId="5" fillId="2" borderId="40" xfId="4" applyNumberFormat="1" applyFont="1" applyBorder="1" applyAlignment="1">
      <alignment horizontal="center"/>
    </xf>
    <xf numFmtId="20" fontId="5" fillId="2" borderId="36" xfId="4" applyNumberFormat="1" applyFont="1" applyBorder="1" applyAlignment="1">
      <alignment horizontal="center"/>
    </xf>
    <xf numFmtId="20" fontId="6" fillId="2" borderId="36" xfId="4" applyNumberFormat="1" applyFont="1" applyBorder="1" applyAlignment="1">
      <alignment horizontal="center"/>
    </xf>
    <xf numFmtId="0" fontId="6" fillId="0" borderId="36" xfId="4" applyNumberFormat="1" applyFont="1" applyFill="1" applyBorder="1" applyAlignment="1">
      <alignment horizontal="left"/>
    </xf>
    <xf numFmtId="171" fontId="6" fillId="2" borderId="37" xfId="4" applyNumberFormat="1" applyFont="1" applyBorder="1" applyAlignment="1">
      <alignment horizontal="center"/>
    </xf>
    <xf numFmtId="20" fontId="5" fillId="2" borderId="41" xfId="4" applyNumberFormat="1" applyFont="1" applyBorder="1" applyAlignment="1">
      <alignment horizontal="center"/>
    </xf>
    <xf numFmtId="20" fontId="5" fillId="2" borderId="42" xfId="4" applyNumberFormat="1" applyFont="1" applyBorder="1" applyAlignment="1">
      <alignment horizontal="center"/>
    </xf>
    <xf numFmtId="20" fontId="5" fillId="2" borderId="38" xfId="4" applyNumberFormat="1" applyFont="1" applyBorder="1" applyAlignment="1">
      <alignment horizontal="center"/>
    </xf>
    <xf numFmtId="20" fontId="6" fillId="2" borderId="38" xfId="4" applyNumberFormat="1" applyFont="1" applyBorder="1" applyAlignment="1">
      <alignment horizontal="center"/>
    </xf>
    <xf numFmtId="168" fontId="6" fillId="0" borderId="0" xfId="4" applyNumberFormat="1" applyFont="1" applyFill="1" applyBorder="1" applyAlignment="1">
      <alignment horizontal="left"/>
    </xf>
    <xf numFmtId="0" fontId="6" fillId="0" borderId="0" xfId="4" applyNumberFormat="1" applyFont="1" applyFill="1" applyBorder="1" applyAlignment="1">
      <alignment horizontal="left"/>
    </xf>
    <xf numFmtId="0" fontId="0" fillId="3" borderId="37" xfId="5" applyFont="1" applyBorder="1"/>
    <xf numFmtId="0" fontId="0" fillId="3" borderId="38" xfId="5" applyFont="1" applyBorder="1" applyAlignment="1">
      <alignment horizontal="right"/>
    </xf>
    <xf numFmtId="0" fontId="17" fillId="0" borderId="0" xfId="0" applyFont="1"/>
    <xf numFmtId="9" fontId="5" fillId="2" borderId="2" xfId="4" applyNumberFormat="1" applyFont="1" applyBorder="1" applyAlignment="1">
      <alignment horizontal="center"/>
    </xf>
    <xf numFmtId="172" fontId="5" fillId="2" borderId="2" xfId="4" applyNumberFormat="1" applyFont="1" applyBorder="1"/>
    <xf numFmtId="172" fontId="6" fillId="2" borderId="2" xfId="4" applyNumberFormat="1" applyFont="1" applyBorder="1"/>
    <xf numFmtId="0" fontId="18" fillId="0" borderId="0" xfId="0" applyFont="1"/>
    <xf numFmtId="9" fontId="6" fillId="2" borderId="2" xfId="4" applyNumberFormat="1" applyFont="1" applyBorder="1"/>
    <xf numFmtId="0" fontId="13" fillId="0" borderId="0" xfId="5" applyFont="1" applyFill="1"/>
    <xf numFmtId="0" fontId="0" fillId="0" borderId="0" xfId="5" applyFont="1" applyFill="1"/>
    <xf numFmtId="173" fontId="5" fillId="2" borderId="2" xfId="1" applyNumberFormat="1" applyFont="1" applyFill="1" applyBorder="1"/>
    <xf numFmtId="173" fontId="6" fillId="2" borderId="2" xfId="1" applyNumberFormat="1" applyFont="1" applyFill="1" applyBorder="1"/>
    <xf numFmtId="173" fontId="6" fillId="2" borderId="2" xfId="4" applyNumberFormat="1" applyFont="1" applyBorder="1"/>
    <xf numFmtId="0" fontId="13" fillId="3" borderId="3" xfId="5" applyFont="1" applyBorder="1"/>
    <xf numFmtId="173" fontId="5" fillId="2" borderId="2" xfId="4" applyNumberFormat="1" applyFont="1" applyBorder="1"/>
    <xf numFmtId="9" fontId="5" fillId="2" borderId="2" xfId="3" applyFont="1" applyFill="1" applyBorder="1"/>
    <xf numFmtId="0" fontId="6" fillId="2" borderId="2" xfId="4" applyNumberFormat="1" applyFont="1" applyBorder="1"/>
    <xf numFmtId="10" fontId="5" fillId="2" borderId="2" xfId="4" applyNumberFormat="1" applyFont="1" applyBorder="1"/>
    <xf numFmtId="174" fontId="5" fillId="2" borderId="2" xfId="4" applyNumberFormat="1" applyFont="1" applyBorder="1"/>
    <xf numFmtId="174" fontId="6" fillId="2" borderId="2" xfId="4" applyNumberFormat="1" applyFont="1" applyBorder="1"/>
    <xf numFmtId="0" fontId="0" fillId="2" borderId="2" xfId="4" applyFont="1" applyBorder="1" applyAlignment="1">
      <alignment horizontal="center"/>
    </xf>
    <xf numFmtId="0" fontId="5" fillId="2" borderId="0" xfId="4" applyFont="1"/>
    <xf numFmtId="0" fontId="0" fillId="2" borderId="0" xfId="4" applyFont="1"/>
    <xf numFmtId="0" fontId="0" fillId="0" borderId="32" xfId="0" applyBorder="1"/>
    <xf numFmtId="15" fontId="5" fillId="2" borderId="2" xfId="4" applyNumberFormat="1" applyFont="1" applyBorder="1"/>
    <xf numFmtId="0" fontId="6" fillId="2" borderId="0" xfId="4" applyFont="1"/>
    <xf numFmtId="2" fontId="6" fillId="2" borderId="2" xfId="4" applyNumberFormat="1" applyFont="1" applyBorder="1"/>
    <xf numFmtId="0" fontId="0" fillId="3" borderId="2" xfId="5" applyFont="1" applyBorder="1" applyAlignment="1">
      <alignment horizontal="center" vertical="center" wrapText="1"/>
    </xf>
    <xf numFmtId="0" fontId="6" fillId="0" borderId="0" xfId="0" applyNumberFormat="1" applyFont="1"/>
    <xf numFmtId="0" fontId="0" fillId="3" borderId="2" xfId="5" applyFont="1" applyBorder="1" applyAlignment="1">
      <alignment horizontal="centerContinuous"/>
    </xf>
    <xf numFmtId="0" fontId="18" fillId="0" borderId="0" xfId="0" applyFont="1" applyAlignment="1">
      <alignment horizontal="center"/>
    </xf>
    <xf numFmtId="0" fontId="6" fillId="3" borderId="2" xfId="5" applyFont="1" applyBorder="1" applyAlignment="1">
      <alignment horizontal="center"/>
    </xf>
    <xf numFmtId="0" fontId="22" fillId="3" borderId="43" xfId="5" applyFont="1" applyBorder="1" applyAlignment="1">
      <alignment horizontal="center"/>
    </xf>
    <xf numFmtId="0" fontId="22" fillId="3" borderId="44" xfId="5" applyFont="1" applyBorder="1" applyAlignment="1">
      <alignment horizontal="center"/>
    </xf>
    <xf numFmtId="0" fontId="5" fillId="2" borderId="45" xfId="4" applyFont="1" applyBorder="1" applyAlignment="1">
      <alignment horizontal="center"/>
    </xf>
    <xf numFmtId="0" fontId="5" fillId="2" borderId="46" xfId="4" applyFont="1" applyBorder="1" applyAlignment="1">
      <alignment horizontal="center"/>
    </xf>
    <xf numFmtId="0" fontId="5" fillId="2" borderId="47" xfId="4" applyFont="1" applyBorder="1" applyAlignment="1">
      <alignment horizontal="center"/>
    </xf>
    <xf numFmtId="0" fontId="5" fillId="2" borderId="48" xfId="4" applyFont="1" applyBorder="1" applyAlignment="1">
      <alignment horizontal="center"/>
    </xf>
    <xf numFmtId="0" fontId="22" fillId="3" borderId="49" xfId="5" applyFont="1" applyBorder="1" applyAlignment="1">
      <alignment horizontal="center"/>
    </xf>
    <xf numFmtId="0" fontId="22" fillId="3" borderId="50" xfId="5" applyFont="1" applyBorder="1" applyAlignment="1">
      <alignment horizontal="center"/>
    </xf>
    <xf numFmtId="0" fontId="5" fillId="2" borderId="51" xfId="4" applyFont="1" applyBorder="1" applyAlignment="1">
      <alignment horizontal="center"/>
    </xf>
    <xf numFmtId="0" fontId="5" fillId="2" borderId="52" xfId="4" applyFont="1" applyBorder="1" applyAlignment="1">
      <alignment horizontal="center"/>
    </xf>
    <xf numFmtId="0" fontId="5" fillId="2" borderId="53" xfId="4" applyFont="1" applyBorder="1" applyAlignment="1">
      <alignment horizontal="center"/>
    </xf>
    <xf numFmtId="0" fontId="5" fillId="2" borderId="54" xfId="4" applyFont="1" applyBorder="1" applyAlignment="1">
      <alignment horizontal="center"/>
    </xf>
    <xf numFmtId="0" fontId="5" fillId="2" borderId="2" xfId="4" applyFont="1" applyBorder="1" applyAlignment="1">
      <alignment horizontal="right"/>
    </xf>
    <xf numFmtId="175" fontId="5" fillId="2" borderId="2" xfId="4" applyNumberFormat="1" applyFont="1" applyBorder="1" applyAlignment="1">
      <alignment horizontal="center"/>
    </xf>
    <xf numFmtId="0" fontId="4" fillId="3" borderId="2" xfId="5" applyFont="1" applyBorder="1" applyAlignment="1">
      <alignment horizontal="center" wrapText="1"/>
    </xf>
    <xf numFmtId="0" fontId="4" fillId="3" borderId="2" xfId="5" applyBorder="1" applyAlignment="1">
      <alignment horizontal="right"/>
    </xf>
    <xf numFmtId="2" fontId="6" fillId="2" borderId="2" xfId="4" applyNumberFormat="1" applyFont="1" applyBorder="1" applyAlignment="1">
      <alignment horizontal="center"/>
    </xf>
    <xf numFmtId="0" fontId="0" fillId="0" borderId="0" xfId="0" applyNumberFormat="1"/>
    <xf numFmtId="1" fontId="6" fillId="2" borderId="2" xfId="4" applyNumberFormat="1" applyFont="1" applyBorder="1" applyAlignment="1">
      <alignment horizontal="center"/>
    </xf>
    <xf numFmtId="176" fontId="6" fillId="2" borderId="2" xfId="4" applyNumberFormat="1" applyFont="1" applyBorder="1"/>
    <xf numFmtId="177" fontId="5" fillId="2" borderId="2" xfId="4" applyNumberFormat="1" applyFont="1" applyBorder="1" applyAlignment="1">
      <alignment horizontal="center"/>
    </xf>
    <xf numFmtId="0" fontId="6" fillId="0" borderId="0" xfId="0" quotePrefix="1" applyFont="1"/>
    <xf numFmtId="10" fontId="5" fillId="2" borderId="2" xfId="4" applyNumberFormat="1" applyFont="1" applyBorder="1" applyAlignment="1">
      <alignment horizontal="center"/>
    </xf>
    <xf numFmtId="0" fontId="0" fillId="0" borderId="0" xfId="0" applyAlignment="1">
      <alignment horizontal="right"/>
    </xf>
    <xf numFmtId="0" fontId="6" fillId="2" borderId="2" xfId="4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0" fillId="3" borderId="2" xfId="5" applyFont="1" applyBorder="1" applyAlignment="1">
      <alignment horizontal="right" wrapText="1"/>
    </xf>
    <xf numFmtId="0" fontId="6" fillId="2" borderId="2" xfId="4" applyFont="1" applyBorder="1" applyAlignment="1">
      <alignment horizontal="left" vertical="center"/>
    </xf>
    <xf numFmtId="0" fontId="0" fillId="3" borderId="2" xfId="5" applyFont="1" applyBorder="1" applyAlignment="1">
      <alignment horizontal="left"/>
    </xf>
    <xf numFmtId="0" fontId="0" fillId="3" borderId="2" xfId="5" quotePrefix="1" applyFont="1" applyBorder="1" applyAlignment="1">
      <alignment horizontal="left"/>
    </xf>
    <xf numFmtId="0" fontId="5" fillId="2" borderId="2" xfId="4" applyFont="1" applyBorder="1" applyAlignment="1">
      <alignment horizontal="center" wrapText="1"/>
    </xf>
    <xf numFmtId="9" fontId="0" fillId="3" borderId="2" xfId="5" applyNumberFormat="1" applyFont="1" applyBorder="1" applyAlignment="1">
      <alignment horizontal="left"/>
    </xf>
    <xf numFmtId="10" fontId="0" fillId="3" borderId="2" xfId="5" applyNumberFormat="1" applyFont="1" applyBorder="1" applyAlignment="1">
      <alignment horizontal="left"/>
    </xf>
    <xf numFmtId="11" fontId="0" fillId="3" borderId="2" xfId="5" applyNumberFormat="1" applyFont="1" applyBorder="1" applyAlignment="1">
      <alignment horizontal="left"/>
    </xf>
    <xf numFmtId="0" fontId="6" fillId="2" borderId="2" xfId="4" applyFont="1" applyBorder="1" applyAlignment="1">
      <alignment horizontal="left"/>
    </xf>
    <xf numFmtId="0" fontId="16" fillId="0" borderId="0" xfId="0" applyFont="1"/>
    <xf numFmtId="0" fontId="0" fillId="3" borderId="3" xfId="5" applyFont="1" applyBorder="1" applyAlignment="1">
      <alignment horizontal="left"/>
    </xf>
    <xf numFmtId="0" fontId="0" fillId="3" borderId="5" xfId="5" applyFont="1" applyBorder="1" applyAlignment="1">
      <alignment horizontal="center"/>
    </xf>
    <xf numFmtId="0" fontId="0" fillId="2" borderId="35" xfId="4" applyFont="1" applyBorder="1" applyAlignment="1">
      <alignment horizontal="right"/>
    </xf>
    <xf numFmtId="0" fontId="0" fillId="2" borderId="0" xfId="4" applyFont="1" applyBorder="1" applyAlignment="1">
      <alignment horizontal="right"/>
    </xf>
    <xf numFmtId="0" fontId="0" fillId="2" borderId="36" xfId="4" applyFont="1" applyBorder="1" applyAlignment="1">
      <alignment horizontal="center"/>
    </xf>
    <xf numFmtId="0" fontId="6" fillId="2" borderId="35" xfId="4" applyFont="1" applyBorder="1" applyAlignment="1">
      <alignment horizontal="center"/>
    </xf>
    <xf numFmtId="0" fontId="0" fillId="2" borderId="0" xfId="4" applyFont="1" applyBorder="1" applyAlignment="1">
      <alignment horizontal="center"/>
    </xf>
    <xf numFmtId="0" fontId="0" fillId="2" borderId="37" xfId="4" applyFont="1" applyBorder="1" applyAlignment="1">
      <alignment horizontal="right"/>
    </xf>
    <xf numFmtId="0" fontId="0" fillId="2" borderId="55" xfId="4" applyFont="1" applyBorder="1" applyAlignment="1">
      <alignment horizontal="right"/>
    </xf>
    <xf numFmtId="0" fontId="0" fillId="2" borderId="38" xfId="4" applyFont="1" applyBorder="1" applyAlignment="1">
      <alignment horizontal="center"/>
    </xf>
    <xf numFmtId="0" fontId="6" fillId="2" borderId="37" xfId="4" applyFont="1" applyBorder="1" applyAlignment="1">
      <alignment horizontal="center"/>
    </xf>
    <xf numFmtId="0" fontId="0" fillId="2" borderId="55" xfId="4" applyFont="1" applyBorder="1" applyAlignment="1">
      <alignment horizontal="center"/>
    </xf>
    <xf numFmtId="0" fontId="0" fillId="3" borderId="33" xfId="5" applyFont="1" applyBorder="1"/>
    <xf numFmtId="0" fontId="6" fillId="2" borderId="34" xfId="4" applyFont="1" applyBorder="1"/>
    <xf numFmtId="0" fontId="0" fillId="3" borderId="56" xfId="5" applyFont="1" applyBorder="1"/>
    <xf numFmtId="0" fontId="6" fillId="5" borderId="34" xfId="0" applyFont="1" applyFill="1" applyBorder="1"/>
    <xf numFmtId="0" fontId="0" fillId="3" borderId="35" xfId="5" applyFont="1" applyBorder="1"/>
    <xf numFmtId="0" fontId="6" fillId="2" borderId="36" xfId="4" applyFont="1" applyBorder="1"/>
    <xf numFmtId="0" fontId="0" fillId="3" borderId="0" xfId="5" applyFont="1"/>
    <xf numFmtId="0" fontId="6" fillId="5" borderId="36" xfId="0" applyFont="1" applyFill="1" applyBorder="1"/>
    <xf numFmtId="0" fontId="0" fillId="3" borderId="55" xfId="5" applyFont="1" applyBorder="1"/>
    <xf numFmtId="0" fontId="6" fillId="2" borderId="38" xfId="4" applyFont="1" applyBorder="1"/>
    <xf numFmtId="0" fontId="23" fillId="2" borderId="2" xfId="4" applyFont="1" applyBorder="1" applyAlignment="1">
      <alignment horizontal="center"/>
    </xf>
    <xf numFmtId="0" fontId="0" fillId="3" borderId="0" xfId="5" applyFont="1" applyAlignment="1">
      <alignment horizontal="right"/>
    </xf>
    <xf numFmtId="0" fontId="0" fillId="3" borderId="0" xfId="5" applyFont="1" applyAlignment="1">
      <alignment horizontal="left"/>
    </xf>
    <xf numFmtId="0" fontId="0" fillId="2" borderId="0" xfId="4" applyFont="1" applyAlignment="1">
      <alignment horizontal="center"/>
    </xf>
    <xf numFmtId="0" fontId="0" fillId="2" borderId="0" xfId="4" applyFont="1" applyAlignment="1">
      <alignment horizontal="left"/>
    </xf>
    <xf numFmtId="0" fontId="0" fillId="6" borderId="2" xfId="0" applyFill="1" applyBorder="1"/>
    <xf numFmtId="0" fontId="0" fillId="7" borderId="2" xfId="0" applyFill="1" applyBorder="1"/>
    <xf numFmtId="0" fontId="24" fillId="8" borderId="2" xfId="0" applyFont="1" applyFill="1" applyBorder="1"/>
    <xf numFmtId="0" fontId="0" fillId="9" borderId="2" xfId="0" applyFill="1" applyBorder="1"/>
    <xf numFmtId="0" fontId="24" fillId="10" borderId="2" xfId="0" applyFont="1" applyFill="1" applyBorder="1"/>
    <xf numFmtId="0" fontId="6" fillId="2" borderId="2" xfId="4" applyFont="1" applyBorder="1" applyAlignment="1">
      <alignment horizontal="right"/>
    </xf>
    <xf numFmtId="0" fontId="4" fillId="3" borderId="2" xfId="5" applyBorder="1" applyAlignment="1">
      <alignment wrapText="1"/>
    </xf>
    <xf numFmtId="2" fontId="4" fillId="3" borderId="2" xfId="5" applyNumberFormat="1" applyBorder="1" applyAlignment="1">
      <alignment horizontal="center"/>
    </xf>
    <xf numFmtId="0" fontId="0" fillId="3" borderId="57" xfId="5" applyFont="1" applyBorder="1" applyAlignment="1">
      <alignment horizontal="center"/>
    </xf>
    <xf numFmtId="0" fontId="0" fillId="3" borderId="58" xfId="5" applyFont="1" applyBorder="1" applyAlignment="1">
      <alignment horizontal="center"/>
    </xf>
    <xf numFmtId="0" fontId="0" fillId="3" borderId="59" xfId="5" applyFont="1" applyBorder="1" applyAlignment="1">
      <alignment horizontal="center" wrapText="1"/>
    </xf>
    <xf numFmtId="0" fontId="4" fillId="3" borderId="57" xfId="5" applyFont="1" applyBorder="1" applyAlignment="1">
      <alignment horizontal="center" wrapText="1"/>
    </xf>
    <xf numFmtId="0" fontId="4" fillId="3" borderId="59" xfId="5" applyFont="1" applyBorder="1" applyAlignment="1">
      <alignment horizontal="center"/>
    </xf>
    <xf numFmtId="0" fontId="0" fillId="2" borderId="60" xfId="4" applyFont="1" applyBorder="1" applyAlignment="1">
      <alignment horizontal="center"/>
    </xf>
    <xf numFmtId="0" fontId="5" fillId="2" borderId="61" xfId="4" applyFont="1" applyBorder="1" applyAlignment="1">
      <alignment horizontal="center"/>
    </xf>
    <xf numFmtId="164" fontId="5" fillId="2" borderId="60" xfId="4" applyNumberFormat="1" applyFont="1" applyBorder="1" applyAlignment="1">
      <alignment horizontal="center"/>
    </xf>
    <xf numFmtId="164" fontId="5" fillId="2" borderId="61" xfId="4" applyNumberFormat="1" applyFont="1" applyBorder="1" applyAlignment="1">
      <alignment horizontal="center"/>
    </xf>
    <xf numFmtId="0" fontId="0" fillId="0" borderId="62" xfId="0" applyBorder="1"/>
    <xf numFmtId="0" fontId="0" fillId="0" borderId="63" xfId="0" applyBorder="1"/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0" borderId="64" xfId="0" applyBorder="1"/>
    <xf numFmtId="0" fontId="0" fillId="0" borderId="32" xfId="0" applyBorder="1" applyAlignment="1">
      <alignment horizontal="right"/>
    </xf>
    <xf numFmtId="178" fontId="6" fillId="2" borderId="65" xfId="4" applyNumberFormat="1" applyFont="1" applyBorder="1" applyAlignment="1">
      <alignment horizontal="center"/>
    </xf>
    <xf numFmtId="0" fontId="0" fillId="0" borderId="64" xfId="0" applyBorder="1" applyAlignment="1">
      <alignment horizontal="right"/>
    </xf>
    <xf numFmtId="9" fontId="6" fillId="2" borderId="65" xfId="4" applyNumberFormat="1" applyFont="1" applyBorder="1" applyAlignment="1">
      <alignment horizontal="center"/>
    </xf>
    <xf numFmtId="0" fontId="25" fillId="0" borderId="1" xfId="0" applyFont="1" applyBorder="1"/>
    <xf numFmtId="0" fontId="25" fillId="0" borderId="1" xfId="0" applyFont="1" applyBorder="1" applyAlignment="1">
      <alignment horizontal="center"/>
    </xf>
    <xf numFmtId="0" fontId="22" fillId="3" borderId="2" xfId="5" applyFont="1" applyBorder="1" applyAlignment="1">
      <alignment horizontal="center"/>
    </xf>
    <xf numFmtId="179" fontId="6" fillId="2" borderId="2" xfId="4" applyNumberFormat="1" applyFont="1" applyBorder="1"/>
    <xf numFmtId="15" fontId="6" fillId="2" borderId="2" xfId="4" applyNumberFormat="1" applyFont="1" applyBorder="1"/>
    <xf numFmtId="180" fontId="6" fillId="2" borderId="2" xfId="4" applyNumberFormat="1" applyFont="1" applyBorder="1"/>
    <xf numFmtId="0" fontId="0" fillId="0" borderId="0" xfId="0" applyAlignment="1">
      <alignment horizontal="left"/>
    </xf>
    <xf numFmtId="0" fontId="7" fillId="0" borderId="4" xfId="0" applyFont="1" applyBorder="1" applyAlignment="1">
      <alignment horizontal="left"/>
    </xf>
    <xf numFmtId="15" fontId="0" fillId="0" borderId="0" xfId="0" applyNumberFormat="1" applyAlignment="1">
      <alignment horizontal="center"/>
    </xf>
    <xf numFmtId="15" fontId="0" fillId="0" borderId="0" xfId="0" applyNumberFormat="1"/>
    <xf numFmtId="0" fontId="7" fillId="0" borderId="32" xfId="0" applyFont="1" applyBorder="1"/>
    <xf numFmtId="0" fontId="0" fillId="0" borderId="0" xfId="0" applyFill="1"/>
    <xf numFmtId="0" fontId="5" fillId="2" borderId="2" xfId="4" quotePrefix="1" applyFont="1" applyBorder="1" applyAlignment="1">
      <alignment horizontal="center"/>
    </xf>
    <xf numFmtId="0" fontId="26" fillId="0" borderId="0" xfId="0" applyFont="1" applyAlignment="1">
      <alignment horizontal="right"/>
    </xf>
    <xf numFmtId="0" fontId="8" fillId="3" borderId="21" xfId="5" applyFont="1" applyBorder="1" applyAlignment="1">
      <alignment horizontal="center" wrapText="1"/>
    </xf>
    <xf numFmtId="0" fontId="8" fillId="3" borderId="22" xfId="5" applyFont="1" applyBorder="1" applyAlignment="1">
      <alignment horizontal="center" wrapText="1"/>
    </xf>
    <xf numFmtId="0" fontId="8" fillId="3" borderId="23" xfId="5" applyFont="1" applyBorder="1" applyAlignment="1">
      <alignment horizontal="center" wrapText="1"/>
    </xf>
    <xf numFmtId="0" fontId="5" fillId="2" borderId="24" xfId="4" applyFont="1" applyBorder="1" applyAlignment="1">
      <alignment horizontal="center"/>
    </xf>
    <xf numFmtId="177" fontId="6" fillId="2" borderId="25" xfId="4" applyNumberFormat="1" applyFont="1" applyBorder="1" applyAlignment="1">
      <alignment horizontal="right"/>
    </xf>
    <xf numFmtId="0" fontId="5" fillId="2" borderId="26" xfId="4" applyFont="1" applyBorder="1" applyAlignment="1">
      <alignment horizontal="center"/>
    </xf>
    <xf numFmtId="177" fontId="5" fillId="2" borderId="27" xfId="4" applyNumberFormat="1" applyFont="1" applyBorder="1" applyAlignment="1">
      <alignment horizontal="center"/>
    </xf>
    <xf numFmtId="0" fontId="0" fillId="3" borderId="66" xfId="5" applyFont="1" applyBorder="1" applyAlignment="1">
      <alignment horizontal="center"/>
    </xf>
    <xf numFmtId="0" fontId="26" fillId="0" borderId="0" xfId="0" applyFont="1"/>
    <xf numFmtId="0" fontId="5" fillId="2" borderId="67" xfId="4" applyFont="1" applyBorder="1" applyAlignment="1">
      <alignment horizontal="center"/>
    </xf>
    <xf numFmtId="0" fontId="0" fillId="0" borderId="0" xfId="0" applyBorder="1" applyAlignment="1">
      <alignment horizontal="right"/>
    </xf>
    <xf numFmtId="177" fontId="6" fillId="2" borderId="2" xfId="4" applyNumberFormat="1" applyFont="1" applyBorder="1" applyAlignment="1">
      <alignment horizontal="center"/>
    </xf>
    <xf numFmtId="0" fontId="8" fillId="0" borderId="0" xfId="0" applyFont="1"/>
    <xf numFmtId="0" fontId="0" fillId="3" borderId="7" xfId="5" applyFont="1" applyBorder="1" applyAlignment="1">
      <alignment horizontal="center"/>
    </xf>
    <xf numFmtId="0" fontId="0" fillId="3" borderId="9" xfId="5" applyFont="1" applyBorder="1" applyAlignment="1">
      <alignment horizontal="center"/>
    </xf>
    <xf numFmtId="0" fontId="8" fillId="0" borderId="56" xfId="0" applyFont="1" applyBorder="1"/>
    <xf numFmtId="0" fontId="0" fillId="0" borderId="56" xfId="0" applyBorder="1"/>
    <xf numFmtId="0" fontId="5" fillId="11" borderId="15" xfId="0" applyFont="1" applyFill="1" applyBorder="1" applyAlignment="1">
      <alignment horizontal="center"/>
    </xf>
    <xf numFmtId="0" fontId="5" fillId="11" borderId="17" xfId="0" applyFont="1" applyFill="1" applyBorder="1" applyAlignment="1">
      <alignment horizontal="center"/>
    </xf>
    <xf numFmtId="177" fontId="6" fillId="11" borderId="2" xfId="0" applyNumberFormat="1" applyFont="1" applyFill="1" applyBorder="1" applyAlignment="1">
      <alignment horizontal="center"/>
    </xf>
    <xf numFmtId="0" fontId="26" fillId="0" borderId="0" xfId="0" applyFont="1" applyAlignment="1">
      <alignment horizontal="left"/>
    </xf>
    <xf numFmtId="0" fontId="4" fillId="3" borderId="3" xfId="5" applyBorder="1"/>
    <xf numFmtId="0" fontId="4" fillId="3" borderId="6" xfId="5" applyBorder="1" applyAlignment="1">
      <alignment horizontal="right"/>
    </xf>
    <xf numFmtId="164" fontId="5" fillId="2" borderId="2" xfId="4" applyNumberFormat="1" applyFont="1" applyBorder="1"/>
    <xf numFmtId="0" fontId="4" fillId="3" borderId="6" xfId="5" applyFont="1" applyBorder="1" applyAlignment="1">
      <alignment horizontal="right"/>
    </xf>
    <xf numFmtId="177" fontId="6" fillId="2" borderId="2" xfId="4" applyNumberFormat="1" applyFont="1" applyBorder="1"/>
    <xf numFmtId="10" fontId="6" fillId="2" borderId="2" xfId="4" applyNumberFormat="1" applyFont="1" applyBorder="1" applyAlignment="1">
      <alignment horizontal="center"/>
    </xf>
    <xf numFmtId="177" fontId="0" fillId="0" borderId="0" xfId="0" applyNumberFormat="1"/>
    <xf numFmtId="0" fontId="4" fillId="3" borderId="5" xfId="5" applyBorder="1"/>
    <xf numFmtId="10" fontId="6" fillId="2" borderId="2" xfId="4" applyNumberFormat="1" applyFont="1" applyBorder="1"/>
    <xf numFmtId="0" fontId="4" fillId="3" borderId="68" xfId="5" applyBorder="1"/>
    <xf numFmtId="0" fontId="4" fillId="3" borderId="69" xfId="5" applyBorder="1"/>
    <xf numFmtId="0" fontId="4" fillId="3" borderId="70" xfId="5" applyBorder="1" applyAlignment="1">
      <alignment horizontal="right"/>
    </xf>
    <xf numFmtId="181" fontId="6" fillId="5" borderId="71" xfId="3" applyNumberFormat="1" applyFont="1" applyFill="1" applyBorder="1"/>
    <xf numFmtId="0" fontId="0" fillId="0" borderId="0" xfId="0" quotePrefix="1" applyAlignment="1">
      <alignment horizontal="center"/>
    </xf>
    <xf numFmtId="0" fontId="4" fillId="3" borderId="72" xfId="5" applyFont="1" applyBorder="1" applyAlignment="1">
      <alignment horizontal="center" wrapText="1"/>
    </xf>
    <xf numFmtId="182" fontId="6" fillId="2" borderId="2" xfId="4" applyNumberFormat="1" applyFont="1" applyBorder="1"/>
    <xf numFmtId="182" fontId="6" fillId="2" borderId="73" xfId="4" applyNumberFormat="1" applyFont="1" applyBorder="1"/>
    <xf numFmtId="183" fontId="6" fillId="2" borderId="2" xfId="4" applyNumberFormat="1" applyFont="1" applyBorder="1" applyAlignment="1">
      <alignment horizontal="center"/>
    </xf>
    <xf numFmtId="182" fontId="6" fillId="2" borderId="74" xfId="4" applyNumberFormat="1" applyFont="1" applyBorder="1"/>
    <xf numFmtId="177" fontId="6" fillId="2" borderId="71" xfId="4" applyNumberFormat="1" applyFont="1" applyBorder="1"/>
    <xf numFmtId="0" fontId="26" fillId="0" borderId="0" xfId="0" applyFont="1" applyBorder="1" applyAlignment="1">
      <alignment horizontal="right"/>
    </xf>
    <xf numFmtId="0" fontId="6" fillId="2" borderId="2" xfId="4" applyNumberFormat="1" applyFont="1" applyBorder="1" applyAlignment="1">
      <alignment horizontal="center"/>
    </xf>
    <xf numFmtId="0" fontId="0" fillId="3" borderId="9" xfId="5" applyFont="1" applyBorder="1" applyAlignment="1">
      <alignment horizontal="center" wrapText="1"/>
    </xf>
    <xf numFmtId="0" fontId="0" fillId="3" borderId="8" xfId="5" applyFont="1" applyBorder="1" applyAlignment="1">
      <alignment horizontal="center"/>
    </xf>
    <xf numFmtId="3" fontId="5" fillId="2" borderId="2" xfId="4" applyNumberFormat="1" applyFont="1" applyBorder="1" applyAlignment="1">
      <alignment horizontal="center"/>
    </xf>
    <xf numFmtId="1" fontId="5" fillId="2" borderId="2" xfId="4" applyNumberFormat="1" applyFont="1" applyBorder="1" applyAlignment="1">
      <alignment horizontal="center"/>
    </xf>
    <xf numFmtId="0" fontId="8" fillId="3" borderId="7" xfId="5" applyFont="1" applyBorder="1" applyAlignment="1">
      <alignment horizontal="center" wrapText="1"/>
    </xf>
    <xf numFmtId="0" fontId="8" fillId="3" borderId="8" xfId="5" applyFont="1" applyBorder="1" applyAlignment="1">
      <alignment horizontal="center" wrapText="1"/>
    </xf>
    <xf numFmtId="0" fontId="8" fillId="3" borderId="9" xfId="5" applyFont="1" applyBorder="1" applyAlignment="1">
      <alignment horizontal="center" wrapText="1"/>
    </xf>
    <xf numFmtId="0" fontId="0" fillId="2" borderId="15" xfId="4" applyFont="1" applyBorder="1" applyAlignment="1">
      <alignment horizontal="center"/>
    </xf>
    <xf numFmtId="0" fontId="0" fillId="2" borderId="16" xfId="4" applyFont="1" applyBorder="1" applyAlignment="1">
      <alignment horizontal="center"/>
    </xf>
    <xf numFmtId="0" fontId="0" fillId="2" borderId="17" xfId="4" applyFont="1" applyBorder="1" applyAlignment="1">
      <alignment horizontal="center"/>
    </xf>
    <xf numFmtId="0" fontId="22" fillId="0" borderId="0" xfId="0" applyFont="1" applyBorder="1"/>
    <xf numFmtId="0" fontId="7" fillId="0" borderId="0" xfId="0" applyFont="1" applyBorder="1"/>
    <xf numFmtId="0" fontId="6" fillId="2" borderId="3" xfId="4" applyFont="1" applyBorder="1"/>
    <xf numFmtId="0" fontId="6" fillId="2" borderId="5" xfId="4" applyFont="1" applyBorder="1" applyAlignment="1">
      <alignment horizontal="center"/>
    </xf>
    <xf numFmtId="0" fontId="6" fillId="2" borderId="6" xfId="4" applyFont="1" applyBorder="1"/>
    <xf numFmtId="0" fontId="16" fillId="0" borderId="0" xfId="0" applyFont="1" applyAlignment="1">
      <alignment horizontal="center"/>
    </xf>
    <xf numFmtId="169" fontId="5" fillId="2" borderId="2" xfId="4" applyNumberFormat="1" applyFont="1" applyBorder="1" applyAlignment="1">
      <alignment horizontal="right"/>
    </xf>
    <xf numFmtId="169" fontId="6" fillId="2" borderId="2" xfId="4" applyNumberFormat="1" applyFont="1" applyBorder="1" applyAlignment="1">
      <alignment horizontal="right"/>
    </xf>
    <xf numFmtId="20" fontId="0" fillId="2" borderId="2" xfId="4" applyNumberFormat="1" applyFont="1" applyBorder="1" applyAlignment="1">
      <alignment horizontal="center"/>
    </xf>
    <xf numFmtId="0" fontId="0" fillId="11" borderId="3" xfId="0" applyFill="1" applyBorder="1"/>
    <xf numFmtId="0" fontId="0" fillId="11" borderId="5" xfId="0" applyFill="1" applyBorder="1"/>
    <xf numFmtId="0" fontId="0" fillId="11" borderId="6" xfId="0" applyFill="1" applyBorder="1" applyAlignment="1">
      <alignment horizontal="right"/>
    </xf>
    <xf numFmtId="0" fontId="5" fillId="11" borderId="2" xfId="0" applyFont="1" applyFill="1" applyBorder="1" applyAlignment="1">
      <alignment horizontal="center"/>
    </xf>
    <xf numFmtId="0" fontId="6" fillId="11" borderId="2" xfId="0" applyFont="1" applyFill="1" applyBorder="1" applyAlignment="1">
      <alignment horizontal="center"/>
    </xf>
    <xf numFmtId="164" fontId="6" fillId="2" borderId="2" xfId="4" applyNumberFormat="1" applyFont="1" applyBorder="1"/>
    <xf numFmtId="2" fontId="5" fillId="2" borderId="2" xfId="4" applyNumberFormat="1" applyFont="1" applyBorder="1" applyAlignment="1">
      <alignment horizontal="center"/>
    </xf>
    <xf numFmtId="0" fontId="16" fillId="3" borderId="2" xfId="5" applyFont="1" applyBorder="1" applyAlignment="1">
      <alignment horizontal="center"/>
    </xf>
    <xf numFmtId="0" fontId="29" fillId="2" borderId="2" xfId="4" applyFont="1" applyBorder="1" applyAlignment="1">
      <alignment horizontal="center"/>
    </xf>
    <xf numFmtId="0" fontId="16" fillId="3" borderId="2" xfId="5" applyFont="1" applyBorder="1" applyAlignment="1">
      <alignment horizontal="center" wrapText="1"/>
    </xf>
    <xf numFmtId="0" fontId="18" fillId="2" borderId="2" xfId="4" applyNumberFormat="1" applyFont="1" applyBorder="1" applyAlignment="1">
      <alignment horizontal="center"/>
    </xf>
    <xf numFmtId="0" fontId="0" fillId="12" borderId="75" xfId="0" applyFill="1" applyBorder="1"/>
    <xf numFmtId="0" fontId="0" fillId="12" borderId="76" xfId="0" applyFill="1" applyBorder="1"/>
    <xf numFmtId="0" fontId="0" fillId="12" borderId="77" xfId="0" applyFill="1" applyBorder="1"/>
    <xf numFmtId="0" fontId="0" fillId="12" borderId="62" xfId="0" applyFill="1" applyBorder="1"/>
    <xf numFmtId="0" fontId="0" fillId="12" borderId="0" xfId="0" applyFill="1" applyBorder="1"/>
    <xf numFmtId="0" fontId="0" fillId="12" borderId="63" xfId="0" applyFill="1" applyBorder="1"/>
    <xf numFmtId="0" fontId="8" fillId="12" borderId="0" xfId="0" applyFont="1" applyFill="1" applyBorder="1" applyAlignment="1">
      <alignment horizontal="right"/>
    </xf>
    <xf numFmtId="0" fontId="0" fillId="12" borderId="64" xfId="0" applyFill="1" applyBorder="1"/>
    <xf numFmtId="0" fontId="0" fillId="12" borderId="32" xfId="0" applyFill="1" applyBorder="1"/>
    <xf numFmtId="0" fontId="0" fillId="12" borderId="78" xfId="0" applyFill="1" applyBorder="1"/>
    <xf numFmtId="3" fontId="6" fillId="2" borderId="2" xfId="4" applyNumberFormat="1" applyFont="1" applyBorder="1" applyAlignment="1">
      <alignment horizontal="right"/>
    </xf>
    <xf numFmtId="0" fontId="0" fillId="3" borderId="79" xfId="5" applyFont="1" applyBorder="1" applyAlignment="1">
      <alignment horizontal="center"/>
    </xf>
    <xf numFmtId="0" fontId="0" fillId="3" borderId="41" xfId="5" applyFont="1" applyBorder="1" applyAlignment="1">
      <alignment horizontal="center"/>
    </xf>
    <xf numFmtId="184" fontId="5" fillId="2" borderId="2" xfId="4" applyNumberFormat="1" applyFont="1" applyBorder="1" applyAlignment="1">
      <alignment horizontal="center"/>
    </xf>
    <xf numFmtId="172" fontId="6" fillId="2" borderId="2" xfId="4" applyNumberFormat="1" applyFont="1" applyBorder="1" applyAlignment="1">
      <alignment horizontal="center"/>
    </xf>
    <xf numFmtId="0" fontId="0" fillId="3" borderId="55" xfId="5" applyFont="1" applyBorder="1" applyAlignment="1">
      <alignment horizontal="centerContinuous"/>
    </xf>
    <xf numFmtId="0" fontId="30" fillId="3" borderId="2" xfId="5" applyFont="1" applyBorder="1" applyAlignment="1">
      <alignment horizontal="center"/>
    </xf>
    <xf numFmtId="0" fontId="15" fillId="3" borderId="2" xfId="5" applyFont="1" applyBorder="1" applyAlignment="1">
      <alignment horizontal="center"/>
    </xf>
    <xf numFmtId="0" fontId="14" fillId="3" borderId="2" xfId="5" applyFont="1" applyBorder="1" applyAlignment="1">
      <alignment horizontal="center"/>
    </xf>
    <xf numFmtId="164" fontId="5" fillId="2" borderId="80" xfId="4" applyNumberFormat="1" applyFont="1" applyBorder="1" applyAlignment="1">
      <alignment horizontal="center"/>
    </xf>
    <xf numFmtId="164" fontId="5" fillId="2" borderId="81" xfId="4" applyNumberFormat="1" applyFont="1" applyBorder="1" applyAlignment="1">
      <alignment horizontal="center"/>
    </xf>
    <xf numFmtId="164" fontId="5" fillId="2" borderId="82" xfId="4" applyNumberFormat="1" applyFont="1" applyBorder="1" applyAlignment="1">
      <alignment horizontal="center"/>
    </xf>
    <xf numFmtId="164" fontId="5" fillId="2" borderId="83" xfId="4" applyNumberFormat="1" applyFont="1" applyBorder="1" applyAlignment="1">
      <alignment horizontal="center"/>
    </xf>
    <xf numFmtId="164" fontId="5" fillId="2" borderId="84" xfId="4" applyNumberFormat="1" applyFont="1" applyBorder="1" applyAlignment="1">
      <alignment horizontal="center"/>
    </xf>
    <xf numFmtId="164" fontId="5" fillId="2" borderId="85" xfId="4" applyNumberFormat="1" applyFont="1" applyBorder="1" applyAlignment="1">
      <alignment horizontal="center"/>
    </xf>
    <xf numFmtId="164" fontId="5" fillId="2" borderId="86" xfId="4" applyNumberFormat="1" applyFont="1" applyBorder="1" applyAlignment="1">
      <alignment horizontal="center"/>
    </xf>
    <xf numFmtId="164" fontId="5" fillId="2" borderId="87" xfId="4" applyNumberFormat="1" applyFont="1" applyBorder="1" applyAlignment="1">
      <alignment horizontal="center"/>
    </xf>
    <xf numFmtId="0" fontId="14" fillId="2" borderId="2" xfId="4" applyFont="1" applyBorder="1" applyAlignment="1">
      <alignment horizontal="center"/>
    </xf>
    <xf numFmtId="0" fontId="15" fillId="2" borderId="2" xfId="4" applyFont="1" applyBorder="1" applyAlignment="1">
      <alignment horizontal="center"/>
    </xf>
    <xf numFmtId="0" fontId="30" fillId="2" borderId="2" xfId="4" applyFont="1" applyBorder="1" applyAlignment="1">
      <alignment horizontal="center"/>
    </xf>
    <xf numFmtId="0" fontId="0" fillId="13" borderId="0" xfId="0" applyFill="1"/>
    <xf numFmtId="185" fontId="6" fillId="2" borderId="2" xfId="4" applyNumberFormat="1" applyFont="1" applyBorder="1" applyAlignment="1">
      <alignment horizontal="right"/>
    </xf>
    <xf numFmtId="173" fontId="6" fillId="2" borderId="2" xfId="4" applyNumberFormat="1" applyFont="1" applyBorder="1" applyAlignment="1">
      <alignment horizontal="right"/>
    </xf>
    <xf numFmtId="0" fontId="0" fillId="0" borderId="0" xfId="0" applyNumberFormat="1" applyAlignment="1">
      <alignment horizontal="center"/>
    </xf>
    <xf numFmtId="0" fontId="6" fillId="2" borderId="2" xfId="4" applyFont="1" applyBorder="1" applyAlignment="1"/>
    <xf numFmtId="0" fontId="13" fillId="3" borderId="2" xfId="5" applyFont="1" applyBorder="1"/>
    <xf numFmtId="0" fontId="4" fillId="3" borderId="2" xfId="5" applyFont="1" applyBorder="1"/>
    <xf numFmtId="0" fontId="13" fillId="3" borderId="79" xfId="5" applyFont="1" applyBorder="1" applyAlignment="1">
      <alignment horizontal="center"/>
    </xf>
    <xf numFmtId="0" fontId="4" fillId="3" borderId="79" xfId="5" applyFont="1" applyBorder="1"/>
    <xf numFmtId="0" fontId="13" fillId="3" borderId="2" xfId="5" applyFont="1" applyBorder="1" applyAlignment="1">
      <alignment horizontal="center"/>
    </xf>
    <xf numFmtId="0" fontId="13" fillId="3" borderId="41" xfId="5" applyFont="1" applyBorder="1" applyAlignment="1">
      <alignment horizontal="center"/>
    </xf>
    <xf numFmtId="186" fontId="5" fillId="2" borderId="2" xfId="4" applyNumberFormat="1" applyFont="1" applyBorder="1" applyAlignment="1">
      <alignment horizontal="center"/>
    </xf>
    <xf numFmtId="0" fontId="0" fillId="11" borderId="2" xfId="0" applyFill="1" applyBorder="1" applyAlignment="1">
      <alignment horizontal="center"/>
    </xf>
    <xf numFmtId="9" fontId="5" fillId="11" borderId="2" xfId="0" applyNumberFormat="1" applyFont="1" applyFill="1" applyBorder="1" applyAlignment="1">
      <alignment horizontal="center"/>
    </xf>
    <xf numFmtId="0" fontId="19" fillId="11" borderId="2" xfId="0" applyFont="1" applyFill="1" applyBorder="1" applyAlignment="1">
      <alignment horizontal="center"/>
    </xf>
    <xf numFmtId="164" fontId="5" fillId="2" borderId="2" xfId="4" applyNumberFormat="1" applyFont="1" applyBorder="1" applyAlignment="1">
      <alignment horizontal="right"/>
    </xf>
    <xf numFmtId="0" fontId="19" fillId="2" borderId="2" xfId="4" applyFont="1" applyBorder="1" applyAlignment="1">
      <alignment horizontal="center"/>
    </xf>
    <xf numFmtId="0" fontId="19" fillId="2" borderId="88" xfId="4" applyFont="1" applyBorder="1" applyAlignment="1">
      <alignment horizontal="center"/>
    </xf>
    <xf numFmtId="0" fontId="5" fillId="2" borderId="89" xfId="4" applyFont="1" applyBorder="1" applyAlignment="1">
      <alignment horizontal="center"/>
    </xf>
    <xf numFmtId="0" fontId="19" fillId="2" borderId="90" xfId="4" applyFont="1" applyBorder="1" applyAlignment="1">
      <alignment horizontal="center"/>
    </xf>
    <xf numFmtId="0" fontId="19" fillId="2" borderId="91" xfId="4" applyFont="1" applyBorder="1" applyAlignment="1">
      <alignment horizontal="center"/>
    </xf>
    <xf numFmtId="0" fontId="19" fillId="2" borderId="92" xfId="4" applyFont="1" applyBorder="1" applyAlignment="1">
      <alignment horizontal="center"/>
    </xf>
    <xf numFmtId="0" fontId="19" fillId="2" borderId="93" xfId="4" applyFont="1" applyBorder="1" applyAlignment="1">
      <alignment horizontal="center"/>
    </xf>
    <xf numFmtId="0" fontId="5" fillId="2" borderId="94" xfId="4" applyFont="1" applyBorder="1" applyAlignment="1">
      <alignment horizontal="center"/>
    </xf>
    <xf numFmtId="0" fontId="19" fillId="2" borderId="95" xfId="4" applyFont="1" applyBorder="1" applyAlignment="1">
      <alignment horizontal="center"/>
    </xf>
    <xf numFmtId="0" fontId="0" fillId="2" borderId="88" xfId="4" applyFont="1" applyBorder="1" applyAlignment="1">
      <alignment horizontal="center"/>
    </xf>
    <xf numFmtId="0" fontId="0" fillId="2" borderId="89" xfId="4" applyFont="1" applyBorder="1" applyAlignment="1">
      <alignment horizontal="center"/>
    </xf>
    <xf numFmtId="0" fontId="0" fillId="2" borderId="90" xfId="4" applyFont="1" applyBorder="1" applyAlignment="1">
      <alignment horizontal="center"/>
    </xf>
    <xf numFmtId="0" fontId="0" fillId="3" borderId="0" xfId="5" applyFont="1" applyAlignment="1">
      <alignment horizontal="center"/>
    </xf>
    <xf numFmtId="0" fontId="0" fillId="2" borderId="93" xfId="4" applyFont="1" applyBorder="1" applyAlignment="1">
      <alignment horizontal="center"/>
    </xf>
    <xf numFmtId="0" fontId="0" fillId="2" borderId="94" xfId="4" applyFont="1" applyBorder="1" applyAlignment="1">
      <alignment horizontal="center"/>
    </xf>
    <xf numFmtId="0" fontId="0" fillId="2" borderId="95" xfId="4" applyFont="1" applyBorder="1" applyAlignment="1">
      <alignment horizontal="center"/>
    </xf>
    <xf numFmtId="0" fontId="0" fillId="2" borderId="91" xfId="4" applyFont="1" applyBorder="1" applyAlignment="1">
      <alignment horizontal="center"/>
    </xf>
    <xf numFmtId="0" fontId="0" fillId="2" borderId="92" xfId="4" applyFont="1" applyBorder="1" applyAlignment="1">
      <alignment horizontal="center"/>
    </xf>
    <xf numFmtId="0" fontId="19" fillId="2" borderId="89" xfId="4" applyFont="1" applyBorder="1" applyAlignment="1">
      <alignment horizontal="center"/>
    </xf>
    <xf numFmtId="0" fontId="5" fillId="2" borderId="90" xfId="4" applyFont="1" applyBorder="1" applyAlignment="1">
      <alignment horizontal="center"/>
    </xf>
    <xf numFmtId="0" fontId="5" fillId="2" borderId="92" xfId="4" applyFont="1" applyBorder="1" applyAlignment="1">
      <alignment horizontal="center"/>
    </xf>
    <xf numFmtId="0" fontId="19" fillId="2" borderId="94" xfId="4" applyFont="1" applyBorder="1" applyAlignment="1">
      <alignment horizontal="center"/>
    </xf>
    <xf numFmtId="0" fontId="5" fillId="2" borderId="95" xfId="4" applyFont="1" applyBorder="1" applyAlignment="1">
      <alignment horizontal="center"/>
    </xf>
    <xf numFmtId="0" fontId="5" fillId="2" borderId="72" xfId="4" applyFont="1" applyBorder="1" applyAlignment="1">
      <alignment horizontal="center"/>
    </xf>
    <xf numFmtId="0" fontId="5" fillId="2" borderId="96" xfId="4" applyFont="1" applyBorder="1" applyAlignment="1">
      <alignment horizontal="center"/>
    </xf>
    <xf numFmtId="0" fontId="5" fillId="2" borderId="97" xfId="4" applyFont="1" applyBorder="1" applyAlignment="1">
      <alignment horizontal="center"/>
    </xf>
    <xf numFmtId="0" fontId="5" fillId="2" borderId="98" xfId="4" applyFont="1" applyBorder="1" applyAlignment="1">
      <alignment horizontal="center"/>
    </xf>
    <xf numFmtId="0" fontId="5" fillId="2" borderId="73" xfId="4" applyFont="1" applyBorder="1" applyAlignment="1">
      <alignment horizontal="center"/>
    </xf>
    <xf numFmtId="0" fontId="5" fillId="2" borderId="74" xfId="4" applyFont="1" applyBorder="1" applyAlignment="1">
      <alignment horizontal="center"/>
    </xf>
    <xf numFmtId="0" fontId="0" fillId="11" borderId="99" xfId="0" applyFill="1" applyBorder="1" applyAlignment="1">
      <alignment horizontal="center"/>
    </xf>
    <xf numFmtId="0" fontId="5" fillId="11" borderId="100" xfId="0" applyFont="1" applyFill="1" applyBorder="1" applyAlignment="1">
      <alignment horizontal="center"/>
    </xf>
    <xf numFmtId="0" fontId="0" fillId="0" borderId="101" xfId="0" applyBorder="1"/>
    <xf numFmtId="0" fontId="6" fillId="11" borderId="102" xfId="0" applyFont="1" applyFill="1" applyBorder="1" applyAlignment="1">
      <alignment horizontal="center"/>
    </xf>
    <xf numFmtId="0" fontId="0" fillId="3" borderId="99" xfId="5" applyFont="1" applyBorder="1" applyAlignment="1">
      <alignment horizontal="center"/>
    </xf>
    <xf numFmtId="0" fontId="5" fillId="2" borderId="100" xfId="4" applyFont="1" applyBorder="1" applyAlignment="1">
      <alignment horizontal="center"/>
    </xf>
    <xf numFmtId="0" fontId="6" fillId="2" borderId="102" xfId="4" applyFont="1" applyBorder="1" applyAlignment="1">
      <alignment horizontal="center"/>
    </xf>
    <xf numFmtId="0" fontId="28" fillId="0" borderId="0" xfId="0" applyFont="1"/>
    <xf numFmtId="0" fontId="4" fillId="0" borderId="0" xfId="0" applyFont="1"/>
    <xf numFmtId="22" fontId="5" fillId="2" borderId="2" xfId="4" applyNumberFormat="1" applyFont="1" applyBorder="1"/>
    <xf numFmtId="19" fontId="5" fillId="2" borderId="2" xfId="4" applyNumberFormat="1" applyFont="1" applyBorder="1" applyAlignment="1">
      <alignment horizontal="center"/>
    </xf>
    <xf numFmtId="0" fontId="0" fillId="2" borderId="2" xfId="4" applyFont="1" applyBorder="1" applyAlignment="1">
      <alignment horizontal="right"/>
    </xf>
    <xf numFmtId="0" fontId="4" fillId="3" borderId="3" xfId="5" applyBorder="1" applyAlignment="1">
      <alignment horizontal="centerContinuous"/>
    </xf>
    <xf numFmtId="0" fontId="4" fillId="3" borderId="5" xfId="5" applyBorder="1" applyAlignment="1">
      <alignment horizontal="centerContinuous"/>
    </xf>
    <xf numFmtId="0" fontId="4" fillId="3" borderId="6" xfId="5" applyBorder="1" applyAlignment="1">
      <alignment horizontal="centerContinuous"/>
    </xf>
    <xf numFmtId="0" fontId="4" fillId="2" borderId="2" xfId="4" applyBorder="1" applyAlignment="1">
      <alignment horizontal="center"/>
    </xf>
    <xf numFmtId="3" fontId="6" fillId="2" borderId="2" xfId="4" applyNumberFormat="1" applyFont="1" applyBorder="1" applyAlignment="1">
      <alignment horizontal="center"/>
    </xf>
    <xf numFmtId="0" fontId="6" fillId="0" borderId="103" xfId="0" quotePrefix="1" applyFont="1" applyBorder="1" applyAlignment="1">
      <alignment horizontal="centerContinuous"/>
    </xf>
    <xf numFmtId="0" fontId="0" fillId="0" borderId="103" xfId="0" applyBorder="1" applyAlignment="1">
      <alignment horizontal="centerContinuous"/>
    </xf>
    <xf numFmtId="0" fontId="26" fillId="0" borderId="0" xfId="0" applyFont="1" applyAlignment="1">
      <alignment horizontal="centerContinuous"/>
    </xf>
    <xf numFmtId="3" fontId="5" fillId="2" borderId="104" xfId="4" applyNumberFormat="1" applyFont="1" applyBorder="1" applyAlignment="1">
      <alignment horizontal="center"/>
    </xf>
    <xf numFmtId="3" fontId="4" fillId="3" borderId="2" xfId="5" applyNumberFormat="1" applyBorder="1" applyAlignment="1">
      <alignment horizontal="center"/>
    </xf>
    <xf numFmtId="3" fontId="5" fillId="2" borderId="105" xfId="4" applyNumberFormat="1" applyFont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centerContinuous"/>
    </xf>
    <xf numFmtId="3" fontId="4" fillId="3" borderId="3" xfId="5" applyNumberFormat="1" applyBorder="1" applyAlignment="1">
      <alignment horizontal="right"/>
    </xf>
    <xf numFmtId="3" fontId="6" fillId="2" borderId="106" xfId="4" applyNumberFormat="1" applyFont="1" applyBorder="1" applyAlignment="1">
      <alignment horizontal="center"/>
    </xf>
    <xf numFmtId="3" fontId="6" fillId="2" borderId="105" xfId="4" applyNumberFormat="1" applyFont="1" applyBorder="1" applyAlignment="1">
      <alignment horizontal="center"/>
    </xf>
    <xf numFmtId="3" fontId="6" fillId="2" borderId="104" xfId="4" applyNumberFormat="1" applyFont="1" applyBorder="1" applyAlignment="1">
      <alignment horizontal="center"/>
    </xf>
    <xf numFmtId="0" fontId="6" fillId="0" borderId="107" xfId="0" quotePrefix="1" applyFont="1" applyBorder="1" applyAlignment="1">
      <alignment horizontal="centerContinuous"/>
    </xf>
    <xf numFmtId="0" fontId="0" fillId="0" borderId="108" xfId="0" applyBorder="1" applyAlignment="1">
      <alignment horizontal="centerContinuous"/>
    </xf>
    <xf numFmtId="0" fontId="0" fillId="0" borderId="109" xfId="0" applyBorder="1" applyAlignment="1">
      <alignment horizontal="centerContinuous"/>
    </xf>
    <xf numFmtId="0" fontId="0" fillId="0" borderId="110" xfId="0" applyBorder="1" applyAlignment="1"/>
    <xf numFmtId="0" fontId="26" fillId="0" borderId="111" xfId="0" applyFont="1" applyBorder="1" applyAlignment="1">
      <alignment horizontal="center"/>
    </xf>
    <xf numFmtId="0" fontId="0" fillId="0" borderId="112" xfId="0" applyBorder="1" applyAlignment="1"/>
    <xf numFmtId="0" fontId="0" fillId="0" borderId="110" xfId="0" applyBorder="1" applyAlignment="1">
      <alignment horizontal="centerContinuous"/>
    </xf>
    <xf numFmtId="0" fontId="0" fillId="0" borderId="111" xfId="0" applyBorder="1" applyAlignment="1">
      <alignment horizontal="centerContinuous"/>
    </xf>
    <xf numFmtId="0" fontId="0" fillId="0" borderId="112" xfId="0" applyBorder="1" applyAlignment="1">
      <alignment horizontal="centerContinuous"/>
    </xf>
    <xf numFmtId="0" fontId="0" fillId="0" borderId="113" xfId="0" applyBorder="1" applyAlignment="1">
      <alignment horizontal="centerContinuous"/>
    </xf>
    <xf numFmtId="0" fontId="0" fillId="0" borderId="114" xfId="0" applyBorder="1" applyAlignment="1">
      <alignment horizontal="centerContinuous"/>
    </xf>
    <xf numFmtId="0" fontId="0" fillId="0" borderId="115" xfId="0" applyBorder="1" applyAlignment="1">
      <alignment horizontal="centerContinuous"/>
    </xf>
    <xf numFmtId="187" fontId="5" fillId="2" borderId="2" xfId="4" applyNumberFormat="1" applyFont="1" applyBorder="1" applyAlignment="1">
      <alignment horizontal="center"/>
    </xf>
    <xf numFmtId="188" fontId="6" fillId="2" borderId="2" xfId="4" applyNumberFormat="1" applyFont="1" applyBorder="1" applyAlignment="1">
      <alignment horizontal="center"/>
    </xf>
    <xf numFmtId="12" fontId="5" fillId="2" borderId="2" xfId="4" applyNumberFormat="1" applyFont="1" applyBorder="1" applyAlignment="1">
      <alignment horizontal="center"/>
    </xf>
    <xf numFmtId="169" fontId="5" fillId="2" borderId="2" xfId="4" applyNumberFormat="1" applyFont="1" applyBorder="1" applyAlignment="1">
      <alignment horizontal="center"/>
    </xf>
    <xf numFmtId="0" fontId="0" fillId="13" borderId="0" xfId="0" applyFill="1" applyAlignment="1">
      <alignment horizontal="left"/>
    </xf>
    <xf numFmtId="22" fontId="6" fillId="2" borderId="2" xfId="4" applyNumberFormat="1" applyFont="1" applyBorder="1" applyAlignment="1">
      <alignment horizontal="center"/>
    </xf>
    <xf numFmtId="0" fontId="0" fillId="0" borderId="0" xfId="0" applyAlignment="1">
      <alignment horizontal="center" wrapText="1"/>
    </xf>
    <xf numFmtId="0" fontId="0" fillId="3" borderId="3" xfId="5" applyFont="1" applyBorder="1" applyAlignment="1">
      <alignment horizontal="center" wrapText="1"/>
    </xf>
    <xf numFmtId="0" fontId="0" fillId="3" borderId="5" xfId="5" applyFont="1" applyBorder="1" applyAlignment="1">
      <alignment horizontal="center" wrapText="1"/>
    </xf>
    <xf numFmtId="0" fontId="0" fillId="3" borderId="6" xfId="5" applyFont="1" applyBorder="1" applyAlignment="1">
      <alignment horizontal="center" wrapText="1"/>
    </xf>
    <xf numFmtId="184" fontId="6" fillId="2" borderId="2" xfId="4" applyNumberFormat="1" applyFont="1" applyBorder="1" applyAlignment="1">
      <alignment horizontal="center"/>
    </xf>
    <xf numFmtId="0" fontId="4" fillId="3" borderId="0" xfId="5" applyFont="1" applyAlignment="1">
      <alignment horizontal="right"/>
    </xf>
    <xf numFmtId="9" fontId="0" fillId="0" borderId="0" xfId="0" applyNumberFormat="1"/>
    <xf numFmtId="0" fontId="7" fillId="0" borderId="4" xfId="0" applyFont="1" applyBorder="1" applyAlignment="1">
      <alignment horizontal="right"/>
    </xf>
    <xf numFmtId="9" fontId="7" fillId="0" borderId="4" xfId="0" applyNumberFormat="1" applyFont="1" applyBorder="1"/>
    <xf numFmtId="172" fontId="6" fillId="2" borderId="2" xfId="4" quotePrefix="1" applyNumberFormat="1" applyFont="1" applyBorder="1"/>
    <xf numFmtId="0" fontId="6" fillId="2" borderId="2" xfId="4" quotePrefix="1" applyFont="1" applyBorder="1" applyAlignment="1">
      <alignment horizontal="center"/>
    </xf>
    <xf numFmtId="0" fontId="4" fillId="0" borderId="0" xfId="2" quotePrefix="1" applyNumberFormat="1" applyFont="1"/>
    <xf numFmtId="0" fontId="4" fillId="0" borderId="0" xfId="0" quotePrefix="1" applyFont="1"/>
    <xf numFmtId="0" fontId="34" fillId="3" borderId="2" xfId="5" applyFont="1" applyBorder="1" applyAlignment="1">
      <alignment horizontal="center"/>
    </xf>
    <xf numFmtId="189" fontId="6" fillId="2" borderId="2" xfId="4" applyNumberFormat="1" applyFont="1" applyBorder="1" applyAlignment="1">
      <alignment horizontal="center"/>
    </xf>
    <xf numFmtId="164" fontId="0" fillId="0" borderId="0" xfId="0" applyNumberFormat="1"/>
    <xf numFmtId="0" fontId="0" fillId="0" borderId="55" xfId="0" applyBorder="1"/>
    <xf numFmtId="4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2" borderId="39" xfId="4" applyFont="1" applyBorder="1" applyAlignment="1">
      <alignment horizontal="center"/>
    </xf>
    <xf numFmtId="0" fontId="6" fillId="2" borderId="39" xfId="4" applyFont="1" applyBorder="1" applyAlignment="1">
      <alignment horizontal="center"/>
    </xf>
    <xf numFmtId="0" fontId="0" fillId="2" borderId="99" xfId="4" applyFont="1" applyBorder="1" applyAlignment="1">
      <alignment horizontal="center"/>
    </xf>
    <xf numFmtId="0" fontId="6" fillId="2" borderId="79" xfId="4" applyFont="1" applyBorder="1" applyAlignment="1">
      <alignment horizontal="center"/>
    </xf>
    <xf numFmtId="0" fontId="0" fillId="2" borderId="100" xfId="4" applyFont="1" applyBorder="1" applyAlignment="1">
      <alignment horizontal="center"/>
    </xf>
    <xf numFmtId="0" fontId="0" fillId="2" borderId="102" xfId="4" applyFont="1" applyBorder="1" applyAlignment="1">
      <alignment horizontal="center"/>
    </xf>
    <xf numFmtId="0" fontId="0" fillId="2" borderId="35" xfId="4" applyFont="1" applyBorder="1" applyAlignment="1">
      <alignment horizontal="center"/>
    </xf>
    <xf numFmtId="0" fontId="0" fillId="2" borderId="41" xfId="4" applyFont="1" applyBorder="1" applyAlignment="1">
      <alignment horizontal="center"/>
    </xf>
    <xf numFmtId="0" fontId="6" fillId="2" borderId="41" xfId="4" applyFont="1" applyBorder="1" applyAlignment="1">
      <alignment horizontal="center"/>
    </xf>
    <xf numFmtId="0" fontId="0" fillId="2" borderId="3" xfId="4" applyFont="1" applyBorder="1"/>
    <xf numFmtId="0" fontId="0" fillId="2" borderId="6" xfId="4" applyFont="1" applyBorder="1"/>
    <xf numFmtId="21" fontId="6" fillId="2" borderId="2" xfId="4" applyNumberFormat="1" applyFont="1" applyBorder="1" applyAlignment="1">
      <alignment horizontal="center"/>
    </xf>
    <xf numFmtId="19" fontId="6" fillId="2" borderId="2" xfId="4" applyNumberFormat="1" applyFont="1" applyBorder="1" applyAlignment="1">
      <alignment horizontal="center"/>
    </xf>
    <xf numFmtId="176" fontId="6" fillId="2" borderId="2" xfId="4" applyNumberFormat="1" applyFont="1" applyBorder="1" applyAlignment="1">
      <alignment horizontal="center"/>
    </xf>
    <xf numFmtId="169" fontId="6" fillId="2" borderId="2" xfId="4" applyNumberFormat="1" applyFont="1" applyBorder="1" applyAlignment="1">
      <alignment horizontal="center"/>
    </xf>
    <xf numFmtId="169" fontId="5" fillId="2" borderId="39" xfId="4" applyNumberFormat="1" applyFont="1" applyBorder="1" applyAlignment="1">
      <alignment horizontal="center"/>
    </xf>
    <xf numFmtId="169" fontId="5" fillId="2" borderId="41" xfId="4" applyNumberFormat="1" applyFont="1" applyBorder="1" applyAlignment="1">
      <alignment horizontal="center"/>
    </xf>
    <xf numFmtId="190" fontId="5" fillId="2" borderId="2" xfId="4" applyNumberFormat="1" applyFont="1" applyBorder="1" applyAlignment="1">
      <alignment horizontal="center"/>
    </xf>
    <xf numFmtId="177" fontId="5" fillId="2" borderId="2" xfId="4" applyNumberFormat="1" applyFont="1" applyBorder="1"/>
    <xf numFmtId="21" fontId="5" fillId="2" borderId="2" xfId="4" applyNumberFormat="1" applyFont="1" applyBorder="1" applyAlignment="1">
      <alignment horizontal="center"/>
    </xf>
    <xf numFmtId="173" fontId="5" fillId="2" borderId="2" xfId="4" applyNumberFormat="1" applyFont="1" applyBorder="1" applyAlignment="1">
      <alignment horizontal="right"/>
    </xf>
    <xf numFmtId="191" fontId="6" fillId="2" borderId="2" xfId="4" applyNumberFormat="1" applyFont="1" applyBorder="1" applyAlignment="1">
      <alignment horizontal="center"/>
    </xf>
    <xf numFmtId="0" fontId="35" fillId="2" borderId="2" xfId="4" applyFont="1" applyBorder="1" applyAlignment="1">
      <alignment horizontal="center"/>
    </xf>
    <xf numFmtId="0" fontId="0" fillId="0" borderId="0" xfId="0" quotePrefix="1" applyBorder="1"/>
    <xf numFmtId="0" fontId="4" fillId="0" borderId="0" xfId="0" quotePrefix="1" applyFont="1" applyBorder="1"/>
    <xf numFmtId="17" fontId="19" fillId="2" borderId="2" xfId="4" applyNumberFormat="1" applyFont="1" applyBorder="1" applyAlignment="1">
      <alignment horizontal="center"/>
    </xf>
    <xf numFmtId="17" fontId="4" fillId="3" borderId="2" xfId="5" applyNumberFormat="1" applyBorder="1" applyAlignment="1">
      <alignment horizontal="center"/>
    </xf>
    <xf numFmtId="0" fontId="6" fillId="0" borderId="0" xfId="0" applyFont="1" applyBorder="1"/>
    <xf numFmtId="0" fontId="4" fillId="3" borderId="6" xfId="5" applyBorder="1"/>
    <xf numFmtId="0" fontId="4" fillId="3" borderId="3" xfId="5" applyFont="1" applyBorder="1"/>
    <xf numFmtId="9" fontId="4" fillId="2" borderId="2" xfId="4" applyNumberFormat="1" applyBorder="1" applyAlignment="1">
      <alignment horizontal="center"/>
    </xf>
    <xf numFmtId="164" fontId="0" fillId="2" borderId="2" xfId="4" applyNumberFormat="1" applyFont="1" applyBorder="1"/>
    <xf numFmtId="9" fontId="4" fillId="0" borderId="0" xfId="3"/>
    <xf numFmtId="9" fontId="7" fillId="0" borderId="4" xfId="3" applyFont="1" applyBorder="1"/>
    <xf numFmtId="164" fontId="7" fillId="0" borderId="4" xfId="0" applyNumberFormat="1" applyFont="1" applyBorder="1"/>
    <xf numFmtId="0" fontId="4" fillId="3" borderId="5" xfId="5" applyFont="1" applyBorder="1" applyAlignment="1">
      <alignment horizontal="center"/>
    </xf>
    <xf numFmtId="0" fontId="0" fillId="0" borderId="0" xfId="0" quotePrefix="1" applyAlignment="1">
      <alignment horizontal="centerContinuous"/>
    </xf>
    <xf numFmtId="177" fontId="7" fillId="0" borderId="4" xfId="0" applyNumberFormat="1" applyFont="1" applyBorder="1"/>
    <xf numFmtId="173" fontId="0" fillId="2" borderId="2" xfId="4" applyNumberFormat="1" applyFont="1" applyBorder="1"/>
    <xf numFmtId="173" fontId="0" fillId="0" borderId="0" xfId="0" applyNumberFormat="1" applyAlignment="1">
      <alignment horizontal="right"/>
    </xf>
    <xf numFmtId="0" fontId="5" fillId="2" borderId="2" xfId="4" quotePrefix="1" applyFont="1" applyBorder="1" applyAlignment="1">
      <alignment horizontal="left"/>
    </xf>
    <xf numFmtId="0" fontId="6" fillId="0" borderId="2" xfId="0" applyFont="1" applyBorder="1"/>
    <xf numFmtId="0" fontId="0" fillId="0" borderId="2" xfId="0" applyBorder="1"/>
    <xf numFmtId="192" fontId="5" fillId="2" borderId="2" xfId="4" applyNumberFormat="1" applyFont="1" applyBorder="1" applyAlignment="1">
      <alignment horizontal="center"/>
    </xf>
    <xf numFmtId="192" fontId="6" fillId="2" borderId="2" xfId="4" applyNumberFormat="1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20" fontId="6" fillId="2" borderId="2" xfId="4" applyNumberFormat="1" applyFont="1" applyBorder="1"/>
    <xf numFmtId="9" fontId="0" fillId="0" borderId="0" xfId="3" applyFont="1"/>
    <xf numFmtId="0" fontId="4" fillId="0" borderId="0" xfId="0" applyFont="1" applyFill="1" applyBorder="1"/>
    <xf numFmtId="193" fontId="6" fillId="2" borderId="2" xfId="4" applyNumberFormat="1" applyFont="1" applyBorder="1" applyAlignment="1">
      <alignment horizontal="center"/>
    </xf>
    <xf numFmtId="174" fontId="6" fillId="2" borderId="2" xfId="4" applyNumberFormat="1" applyFont="1" applyBorder="1" applyAlignment="1">
      <alignment horizontal="center"/>
    </xf>
    <xf numFmtId="164" fontId="0" fillId="2" borderId="2" xfId="4" applyNumberFormat="1" applyFont="1" applyBorder="1" applyAlignment="1">
      <alignment horizontal="center"/>
    </xf>
    <xf numFmtId="184" fontId="5" fillId="2" borderId="2" xfId="4" applyNumberFormat="1" applyFont="1" applyBorder="1"/>
    <xf numFmtId="0" fontId="4" fillId="3" borderId="3" xfId="5" applyBorder="1" applyAlignment="1">
      <alignment horizontal="center"/>
    </xf>
    <xf numFmtId="0" fontId="4" fillId="3" borderId="5" xfId="5" applyBorder="1" applyAlignment="1">
      <alignment horizontal="center"/>
    </xf>
    <xf numFmtId="0" fontId="4" fillId="3" borderId="5" xfId="5" applyBorder="1" applyAlignment="1">
      <alignment horizontal="center" wrapText="1"/>
    </xf>
    <xf numFmtId="0" fontId="4" fillId="3" borderId="6" xfId="5" applyBorder="1" applyAlignment="1">
      <alignment horizontal="center"/>
    </xf>
    <xf numFmtId="184" fontId="6" fillId="2" borderId="2" xfId="4" applyNumberFormat="1" applyFont="1" applyBorder="1"/>
    <xf numFmtId="194" fontId="6" fillId="2" borderId="116" xfId="4" applyNumberFormat="1" applyFont="1" applyBorder="1" applyAlignment="1">
      <alignment horizontal="center"/>
    </xf>
    <xf numFmtId="0" fontId="6" fillId="2" borderId="116" xfId="4" applyFont="1" applyBorder="1" applyAlignment="1">
      <alignment horizontal="center"/>
    </xf>
    <xf numFmtId="0" fontId="0" fillId="4" borderId="0" xfId="0" applyFill="1" applyBorder="1" applyAlignment="1">
      <alignment vertical="center"/>
    </xf>
    <xf numFmtId="0" fontId="38" fillId="4" borderId="0" xfId="0" applyFont="1" applyFill="1" applyBorder="1" applyAlignment="1">
      <alignment vertical="center"/>
    </xf>
    <xf numFmtId="0" fontId="37" fillId="0" borderId="0" xfId="6" applyFont="1" applyBorder="1" applyAlignment="1">
      <alignment horizontal="left" vertical="center" indent="1"/>
    </xf>
    <xf numFmtId="0" fontId="8" fillId="4" borderId="0" xfId="0" applyFont="1" applyFill="1" applyBorder="1" applyAlignment="1">
      <alignment horizontal="left" vertical="center" indent="1"/>
    </xf>
    <xf numFmtId="0" fontId="39" fillId="4" borderId="0" xfId="0" applyFont="1" applyFill="1" applyBorder="1" applyAlignment="1">
      <alignment horizontal="left" vertical="center" wrapText="1"/>
    </xf>
    <xf numFmtId="0" fontId="0" fillId="14" borderId="0" xfId="0" applyFill="1" applyBorder="1" applyAlignment="1">
      <alignment vertical="center"/>
    </xf>
    <xf numFmtId="0" fontId="39" fillId="4" borderId="0" xfId="0" applyFont="1" applyFill="1" applyBorder="1" applyAlignment="1">
      <alignment vertical="center" wrapText="1"/>
    </xf>
    <xf numFmtId="0" fontId="42" fillId="0" borderId="0" xfId="6" applyFont="1" applyBorder="1" applyAlignment="1">
      <alignment vertical="center"/>
    </xf>
    <xf numFmtId="0" fontId="39" fillId="4" borderId="0" xfId="0" applyFont="1" applyFill="1" applyBorder="1" applyAlignment="1">
      <alignment vertical="center"/>
    </xf>
    <xf numFmtId="0" fontId="8" fillId="4" borderId="0" xfId="0" applyFont="1" applyFill="1" applyBorder="1" applyAlignment="1">
      <alignment vertical="center"/>
    </xf>
    <xf numFmtId="0" fontId="37" fillId="0" borderId="0" xfId="6" applyFont="1" applyBorder="1" applyAlignment="1"/>
    <xf numFmtId="0" fontId="39" fillId="4" borderId="0" xfId="0" quotePrefix="1" applyFont="1" applyFill="1" applyBorder="1" applyAlignment="1">
      <alignment vertical="center"/>
    </xf>
    <xf numFmtId="0" fontId="39" fillId="4" borderId="0" xfId="0" applyFont="1" applyFill="1" applyBorder="1" applyAlignment="1">
      <alignment horizontal="left" vertical="center"/>
    </xf>
    <xf numFmtId="0" fontId="39" fillId="16" borderId="0" xfId="0" applyFont="1" applyFill="1" applyBorder="1" applyAlignment="1">
      <alignment vertical="center"/>
    </xf>
    <xf numFmtId="0" fontId="45" fillId="16" borderId="0" xfId="0" applyFont="1" applyFill="1" applyBorder="1" applyAlignment="1">
      <alignment vertical="center"/>
    </xf>
    <xf numFmtId="0" fontId="39" fillId="17" borderId="0" xfId="0" applyFont="1" applyFill="1" applyBorder="1" applyAlignment="1">
      <alignment vertical="center"/>
    </xf>
    <xf numFmtId="0" fontId="39" fillId="17" borderId="0" xfId="0" applyFont="1" applyFill="1" applyBorder="1" applyAlignment="1">
      <alignment vertical="center" wrapText="1"/>
    </xf>
    <xf numFmtId="0" fontId="38" fillId="17" borderId="0" xfId="0" applyFont="1" applyFill="1" applyBorder="1" applyAlignment="1">
      <alignment vertical="center"/>
    </xf>
    <xf numFmtId="0" fontId="38" fillId="17" borderId="0" xfId="0" applyFont="1" applyFill="1" applyBorder="1" applyAlignment="1">
      <alignment vertical="center" wrapText="1"/>
    </xf>
    <xf numFmtId="0" fontId="39" fillId="17" borderId="0" xfId="0" applyFont="1" applyFill="1" applyBorder="1" applyAlignment="1">
      <alignment horizontal="left" vertical="center"/>
    </xf>
    <xf numFmtId="0" fontId="45" fillId="17" borderId="0" xfId="0" applyFont="1" applyFill="1" applyBorder="1" applyAlignment="1">
      <alignment vertical="center"/>
    </xf>
    <xf numFmtId="0" fontId="47" fillId="17" borderId="0" xfId="0" applyFont="1" applyFill="1" applyBorder="1" applyAlignment="1">
      <alignment vertical="center"/>
    </xf>
    <xf numFmtId="0" fontId="42" fillId="14" borderId="0" xfId="6" applyFont="1" applyFill="1" applyBorder="1" applyAlignment="1">
      <alignment horizontal="left" vertical="top" wrapText="1"/>
    </xf>
    <xf numFmtId="0" fontId="43" fillId="15" borderId="0" xfId="0" applyFont="1" applyFill="1" applyBorder="1" applyAlignment="1">
      <alignment horizontal="center" vertical="center" wrapText="1"/>
    </xf>
    <xf numFmtId="0" fontId="25" fillId="14" borderId="0" xfId="0" applyFont="1" applyFill="1" applyBorder="1" applyAlignment="1">
      <alignment horizontal="left" vertical="center" wrapText="1"/>
    </xf>
    <xf numFmtId="0" fontId="46" fillId="0" borderId="0" xfId="6" applyFont="1" applyAlignment="1">
      <alignment horizontal="center"/>
    </xf>
    <xf numFmtId="0" fontId="25" fillId="4" borderId="0" xfId="0" applyFont="1" applyFill="1" applyBorder="1" applyAlignment="1">
      <alignment vertical="center"/>
    </xf>
    <xf numFmtId="0" fontId="42" fillId="4" borderId="0" xfId="6" applyFont="1" applyFill="1" applyBorder="1" applyAlignment="1">
      <alignment horizontal="left" vertical="center"/>
    </xf>
  </cellXfs>
  <cellStyles count="7">
    <cellStyle name="Comma" xfId="1" builtinId="3"/>
    <cellStyle name="Currency" xfId="2" builtinId="4"/>
    <cellStyle name="GreyOrWhite" xfId="5" xr:uid="{00000000-0005-0000-0000-000002000000}"/>
    <cellStyle name="Hyperlink" xfId="6" builtinId="8"/>
    <cellStyle name="Normal" xfId="0" builtinId="0"/>
    <cellStyle name="Percent" xfId="3" builtinId="5"/>
    <cellStyle name="Yellow" xfId="4" xr:uid="{00000000-0005-0000-0000-000006000000}"/>
  </cellStyles>
  <dxfs count="1">
    <dxf>
      <font>
        <b/>
        <i val="0"/>
        <strike val="0"/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ctrlProps/ctrlProp55.xml><?xml version="1.0" encoding="utf-8"?>
<formControlPr xmlns="http://schemas.microsoft.com/office/spreadsheetml/2009/9/main" objectType="Button" lockText="1"/>
</file>

<file path=xl/ctrlProps/ctrlProp56.xml><?xml version="1.0" encoding="utf-8"?>
<formControlPr xmlns="http://schemas.microsoft.com/office/spreadsheetml/2009/9/main" objectType="Button" lockText="1"/>
</file>

<file path=xl/ctrlProps/ctrlProp57.xml><?xml version="1.0" encoding="utf-8"?>
<formControlPr xmlns="http://schemas.microsoft.com/office/spreadsheetml/2009/9/main" objectType="Button" lockText="1"/>
</file>

<file path=xl/ctrlProps/ctrlProp58.xml><?xml version="1.0" encoding="utf-8"?>
<formControlPr xmlns="http://schemas.microsoft.com/office/spreadsheetml/2009/9/main" objectType="Button" lockText="1"/>
</file>

<file path=xl/ctrlProps/ctrlProp59.xml><?xml version="1.0" encoding="utf-8"?>
<formControlPr xmlns="http://schemas.microsoft.com/office/spreadsheetml/2009/9/main" objectType="Button" lockText="1"/>
</file>

<file path=xl/ctrlProps/ctrlProp60.xml><?xml version="1.0" encoding="utf-8"?>
<formControlPr xmlns="http://schemas.microsoft.com/office/spreadsheetml/2009/9/main" objectType="Button" lockText="1"/>
</file>

<file path=xl/ctrlProps/ctrlProp61.xml><?xml version="1.0" encoding="utf-8"?>
<formControlPr xmlns="http://schemas.microsoft.com/office/spreadsheetml/2009/9/main" objectType="Button" lockText="1"/>
</file>

<file path=xl/ctrlProps/ctrlProp62.xml><?xml version="1.0" encoding="utf-8"?>
<formControlPr xmlns="http://schemas.microsoft.com/office/spreadsheetml/2009/9/main" objectType="Button" lockText="1"/>
</file>

<file path=xl/ctrlProps/ctrlProp63.xml><?xml version="1.0" encoding="utf-8"?>
<formControlPr xmlns="http://schemas.microsoft.com/office/spreadsheetml/2009/9/main" objectType="Button" lockText="1"/>
</file>

<file path=xl/ctrlProps/ctrlProp64.xml><?xml version="1.0" encoding="utf-8"?>
<formControlPr xmlns="http://schemas.microsoft.com/office/spreadsheetml/2009/9/main" objectType="Button" lockText="1"/>
</file>

<file path=xl/ctrlProps/ctrlProp65.xml><?xml version="1.0" encoding="utf-8"?>
<formControlPr xmlns="http://schemas.microsoft.com/office/spreadsheetml/2009/9/main" objectType="Button" lockText="1"/>
</file>

<file path=xl/ctrlProps/ctrlProp66.xml><?xml version="1.0" encoding="utf-8"?>
<formControlPr xmlns="http://schemas.microsoft.com/office/spreadsheetml/2009/9/main" objectType="Button" lockText="1"/>
</file>

<file path=xl/ctrlProps/ctrlProp67.xml><?xml version="1.0" encoding="utf-8"?>
<formControlPr xmlns="http://schemas.microsoft.com/office/spreadsheetml/2009/9/main" objectType="Button" lockText="1"/>
</file>

<file path=xl/ctrlProps/ctrlProp68.xml><?xml version="1.0" encoding="utf-8"?>
<formControlPr xmlns="http://schemas.microsoft.com/office/spreadsheetml/2009/9/main" objectType="Button" lockText="1"/>
</file>

<file path=xl/ctrlProps/ctrlProp69.xml><?xml version="1.0" encoding="utf-8"?>
<formControlPr xmlns="http://schemas.microsoft.com/office/spreadsheetml/2009/9/main" objectType="Button" lockText="1"/>
</file>

<file path=xl/ctrlProps/ctrlProp70.xml><?xml version="1.0" encoding="utf-8"?>
<formControlPr xmlns="http://schemas.microsoft.com/office/spreadsheetml/2009/9/main" objectType="Button" lockText="1"/>
</file>

<file path=xl/ctrlProps/ctrlProp71.xml><?xml version="1.0" encoding="utf-8"?>
<formControlPr xmlns="http://schemas.microsoft.com/office/spreadsheetml/2009/9/main" objectType="Button" lockText="1"/>
</file>

<file path=xl/ctrlProps/ctrlProp72.xml><?xml version="1.0" encoding="utf-8"?>
<formControlPr xmlns="http://schemas.microsoft.com/office/spreadsheetml/2009/9/main" objectType="Button" lockText="1"/>
</file>

<file path=xl/ctrlProps/ctrlProp73.xml><?xml version="1.0" encoding="utf-8"?>
<formControlPr xmlns="http://schemas.microsoft.com/office/spreadsheetml/2009/9/main" objectType="Button" lockText="1"/>
</file>

<file path=xl/ctrlProps/ctrlProp74.xml><?xml version="1.0" encoding="utf-8"?>
<formControlPr xmlns="http://schemas.microsoft.com/office/spreadsheetml/2009/9/main" objectType="Button" lockText="1"/>
</file>

<file path=xl/ctrlProps/ctrlProp75.xml><?xml version="1.0" encoding="utf-8"?>
<formControlPr xmlns="http://schemas.microsoft.com/office/spreadsheetml/2009/9/main" objectType="Button" lockText="1"/>
</file>

<file path=xl/ctrlProps/ctrlProp76.xml><?xml version="1.0" encoding="utf-8"?>
<formControlPr xmlns="http://schemas.microsoft.com/office/spreadsheetml/2009/9/main" objectType="Button" lockText="1"/>
</file>

<file path=xl/ctrlProps/ctrlProp77.xml><?xml version="1.0" encoding="utf-8"?>
<formControlPr xmlns="http://schemas.microsoft.com/office/spreadsheetml/2009/9/main" objectType="Button" lockText="1"/>
</file>

<file path=xl/ctrlProps/ctrlProp78.xml><?xml version="1.0" encoding="utf-8"?>
<formControlPr xmlns="http://schemas.microsoft.com/office/spreadsheetml/2009/9/main" objectType="Button" lockText="1"/>
</file>

<file path=xl/ctrlProps/ctrlProp79.xml><?xml version="1.0" encoding="utf-8"?>
<formControlPr xmlns="http://schemas.microsoft.com/office/spreadsheetml/2009/9/main" objectType="Button" lockText="1"/>
</file>

<file path=xl/ctrlProps/ctrlProp80.xml><?xml version="1.0" encoding="utf-8"?>
<formControlPr xmlns="http://schemas.microsoft.com/office/spreadsheetml/2009/9/main" objectType="Button" lockText="1"/>
</file>

<file path=xl/ctrlProps/ctrlProp81.xml><?xml version="1.0" encoding="utf-8"?>
<formControlPr xmlns="http://schemas.microsoft.com/office/spreadsheetml/2009/9/main" objectType="Button" lockText="1"/>
</file>

<file path=xl/ctrlProps/ctrlProp82.xml><?xml version="1.0" encoding="utf-8"?>
<formControlPr xmlns="http://schemas.microsoft.com/office/spreadsheetml/2009/9/main" objectType="Button" lockText="1"/>
</file>

<file path=xl/ctrlProps/ctrlProp83.xml><?xml version="1.0" encoding="utf-8"?>
<formControlPr xmlns="http://schemas.microsoft.com/office/spreadsheetml/2009/9/main" objectType="Button" lockText="1"/>
</file>

<file path=xl/ctrlProps/ctrlProp84.xml><?xml version="1.0" encoding="utf-8"?>
<formControlPr xmlns="http://schemas.microsoft.com/office/spreadsheetml/2009/9/main" objectType="Button" lockText="1"/>
</file>

<file path=xl/ctrlProps/ctrlProp85.xml><?xml version="1.0" encoding="utf-8"?>
<formControlPr xmlns="http://schemas.microsoft.com/office/spreadsheetml/2009/9/main" objectType="Button" lockText="1"/>
</file>

<file path=xl/ctrlProps/ctrlProp86.xml><?xml version="1.0" encoding="utf-8"?>
<formControlPr xmlns="http://schemas.microsoft.com/office/spreadsheetml/2009/9/main" objectType="Button" lockText="1"/>
</file>

<file path=xl/ctrlProps/ctrlProp87.xml><?xml version="1.0" encoding="utf-8"?>
<formControlPr xmlns="http://schemas.microsoft.com/office/spreadsheetml/2009/9/main" objectType="Button" lockText="1"/>
</file>

<file path=xl/ctrlProps/ctrlProp88.xml><?xml version="1.0" encoding="utf-8"?>
<formControlPr xmlns="http://schemas.microsoft.com/office/spreadsheetml/2009/9/main" objectType="Button" lockText="1"/>
</file>

<file path=xl/ctrlProps/ctrlProp89.xml><?xml version="1.0" encoding="utf-8"?>
<formControlPr xmlns="http://schemas.microsoft.com/office/spreadsheetml/2009/9/main" objectType="Button" lockText="1"/>
</file>

<file path=xl/ctrlProps/ctrlProp90.xml><?xml version="1.0" encoding="utf-8"?>
<formControlPr xmlns="http://schemas.microsoft.com/office/spreadsheetml/2009/9/main" objectType="Button" lockText="1"/>
</file>

<file path=xl/ctrlProps/ctrlProp91.xml><?xml version="1.0" encoding="utf-8"?>
<formControlPr xmlns="http://schemas.microsoft.com/office/spreadsheetml/2009/9/main" objectType="Button" lockText="1"/>
</file>

<file path=xl/ctrlProps/ctrlProp92.xml><?xml version="1.0" encoding="utf-8"?>
<formControlPr xmlns="http://schemas.microsoft.com/office/spreadsheetml/2009/9/main" objectType="Button" lockText="1"/>
</file>

<file path=xl/ctrlProps/ctrlProp93.xml><?xml version="1.0" encoding="utf-8"?>
<formControlPr xmlns="http://schemas.microsoft.com/office/spreadsheetml/2009/9/main" objectType="Button" lockText="1"/>
</file>

<file path=xl/ctrlProps/ctrlProp94.xml><?xml version="1.0" encoding="utf-8"?>
<formControlPr xmlns="http://schemas.microsoft.com/office/spreadsheetml/2009/9/main" objectType="Button" lockText="1"/>
</file>

<file path=xl/ctrlProps/ctrlProp95.xml><?xml version="1.0" encoding="utf-8"?>
<formControlPr xmlns="http://schemas.microsoft.com/office/spreadsheetml/2009/9/main" objectType="Button" lockText="1"/>
</file>

<file path=xl/ctrlProps/ctrlProp96.xml><?xml version="1.0" encoding="utf-8"?>
<formControlPr xmlns="http://schemas.microsoft.com/office/spreadsheetml/2009/9/main" objectType="Button" lockText="1"/>
</file>

<file path=xl/ctrlProps/ctrlProp97.xml><?xml version="1.0" encoding="utf-8"?>
<formControlPr xmlns="http://schemas.microsoft.com/office/spreadsheetml/2009/9/main" objectType="Button" lockText="1"/>
</file>

<file path=xl/ctrlProps/ctrlProp98.xml><?xml version="1.0" encoding="utf-8"?>
<formControlPr xmlns="http://schemas.microsoft.com/office/spreadsheetml/2009/9/main" objectType="Button" lockText="1"/>
</file>

<file path=xl/ctrlProps/ctrlProp99.xml><?xml version="1.0" encoding="utf-8"?>
<formControlPr xmlns="http://schemas.microsoft.com/office/spreadsheetml/2009/9/main" objectType="Button" lockText="1"/>
</file>

<file path=xl/ctrlProps/ctrlProp100.xml><?xml version="1.0" encoding="utf-8"?>
<formControlPr xmlns="http://schemas.microsoft.com/office/spreadsheetml/2009/9/main" objectType="Button" lockText="1"/>
</file>

<file path=xl/ctrlProps/ctrlProp101.xml><?xml version="1.0" encoding="utf-8"?>
<formControlPr xmlns="http://schemas.microsoft.com/office/spreadsheetml/2009/9/main" objectType="Button" lockText="1"/>
</file>

<file path=xl/ctrlProps/ctrlProp102.xml><?xml version="1.0" encoding="utf-8"?>
<formControlPr xmlns="http://schemas.microsoft.com/office/spreadsheetml/2009/9/main" objectType="Button" lockText="1"/>
</file>

<file path=xl/ctrlProps/ctrlProp103.xml><?xml version="1.0" encoding="utf-8"?>
<formControlPr xmlns="http://schemas.microsoft.com/office/spreadsheetml/2009/9/main" objectType="Button" lockText="1"/>
</file>

<file path=xl/ctrlProps/ctrlProp104.xml><?xml version="1.0" encoding="utf-8"?>
<formControlPr xmlns="http://schemas.microsoft.com/office/spreadsheetml/2009/9/main" objectType="Button" lockText="1"/>
</file>

<file path=xl/ctrlProps/ctrlProp105.xml><?xml version="1.0" encoding="utf-8"?>
<formControlPr xmlns="http://schemas.microsoft.com/office/spreadsheetml/2009/9/main" objectType="Button" lockText="1"/>
</file>

<file path=xl/ctrlProps/ctrlProp106.xml><?xml version="1.0" encoding="utf-8"?>
<formControlPr xmlns="http://schemas.microsoft.com/office/spreadsheetml/2009/9/main" objectType="Button" lockText="1"/>
</file>

<file path=xl/ctrlProps/ctrlProp107.xml><?xml version="1.0" encoding="utf-8"?>
<formControlPr xmlns="http://schemas.microsoft.com/office/spreadsheetml/2009/9/main" objectType="Button" lockText="1"/>
</file>

<file path=xl/ctrlProps/ctrlProp108.xml><?xml version="1.0" encoding="utf-8"?>
<formControlPr xmlns="http://schemas.microsoft.com/office/spreadsheetml/2009/9/main" objectType="Button" lockText="1"/>
</file>

<file path=xl/ctrlProps/ctrlProp109.xml><?xml version="1.0" encoding="utf-8"?>
<formControlPr xmlns="http://schemas.microsoft.com/office/spreadsheetml/2009/9/main" objectType="Button" lockText="1"/>
</file>

<file path=xl/ctrlProps/ctrlProp110.xml><?xml version="1.0" encoding="utf-8"?>
<formControlPr xmlns="http://schemas.microsoft.com/office/spreadsheetml/2009/9/main" objectType="Button" lockText="1"/>
</file>

<file path=xl/ctrlProps/ctrlProp111.xml><?xml version="1.0" encoding="utf-8"?>
<formControlPr xmlns="http://schemas.microsoft.com/office/spreadsheetml/2009/9/main" objectType="Button" lockText="1"/>
</file>

<file path=xl/ctrlProps/ctrlProp112.xml><?xml version="1.0" encoding="utf-8"?>
<formControlPr xmlns="http://schemas.microsoft.com/office/spreadsheetml/2009/9/main" objectType="Button" lockText="1"/>
</file>

<file path=xl/ctrlProps/ctrlProp113.xml><?xml version="1.0" encoding="utf-8"?>
<formControlPr xmlns="http://schemas.microsoft.com/office/spreadsheetml/2009/9/main" objectType="Button" lockText="1"/>
</file>

<file path=xl/ctrlProps/ctrlProp114.xml><?xml version="1.0" encoding="utf-8"?>
<formControlPr xmlns="http://schemas.microsoft.com/office/spreadsheetml/2009/9/main" objectType="Button" lockText="1"/>
</file>

<file path=xl/ctrlProps/ctrlProp115.xml><?xml version="1.0" encoding="utf-8"?>
<formControlPr xmlns="http://schemas.microsoft.com/office/spreadsheetml/2009/9/main" objectType="Button" lockText="1"/>
</file>

<file path=xl/ctrlProps/ctrlProp116.xml><?xml version="1.0" encoding="utf-8"?>
<formControlPr xmlns="http://schemas.microsoft.com/office/spreadsheetml/2009/9/main" objectType="Button" lockText="1"/>
</file>

<file path=xl/ctrlProps/ctrlProp117.xml><?xml version="1.0" encoding="utf-8"?>
<formControlPr xmlns="http://schemas.microsoft.com/office/spreadsheetml/2009/9/main" objectType="Button" lockText="1"/>
</file>

<file path=xl/ctrlProps/ctrlProp118.xml><?xml version="1.0" encoding="utf-8"?>
<formControlPr xmlns="http://schemas.microsoft.com/office/spreadsheetml/2009/9/main" objectType="Button" lockText="1"/>
</file>

<file path=xl/ctrlProps/ctrlProp119.xml><?xml version="1.0" encoding="utf-8"?>
<formControlPr xmlns="http://schemas.microsoft.com/office/spreadsheetml/2009/9/main" objectType="Button" lockText="1"/>
</file>

<file path=xl/ctrlProps/ctrlProp120.xml><?xml version="1.0" encoding="utf-8"?>
<formControlPr xmlns="http://schemas.microsoft.com/office/spreadsheetml/2009/9/main" objectType="Button" lockText="1"/>
</file>

<file path=xl/ctrlProps/ctrlProp121.xml><?xml version="1.0" encoding="utf-8"?>
<formControlPr xmlns="http://schemas.microsoft.com/office/spreadsheetml/2009/9/main" objectType="Button" lockText="1"/>
</file>

<file path=xl/ctrlProps/ctrlProp122.xml><?xml version="1.0" encoding="utf-8"?>
<formControlPr xmlns="http://schemas.microsoft.com/office/spreadsheetml/2009/9/main" objectType="Button" lockText="1"/>
</file>

<file path=xl/ctrlProps/ctrlProp123.xml><?xml version="1.0" encoding="utf-8"?>
<formControlPr xmlns="http://schemas.microsoft.com/office/spreadsheetml/2009/9/main" objectType="Button" lockText="1"/>
</file>

<file path=xl/ctrlProps/ctrlProp124.xml><?xml version="1.0" encoding="utf-8"?>
<formControlPr xmlns="http://schemas.microsoft.com/office/spreadsheetml/2009/9/main" objectType="Button" lockText="1"/>
</file>

<file path=xl/ctrlProps/ctrlProp125.xml><?xml version="1.0" encoding="utf-8"?>
<formControlPr xmlns="http://schemas.microsoft.com/office/spreadsheetml/2009/9/main" objectType="Button" lockText="1"/>
</file>

<file path=xl/ctrlProps/ctrlProp126.xml><?xml version="1.0" encoding="utf-8"?>
<formControlPr xmlns="http://schemas.microsoft.com/office/spreadsheetml/2009/9/main" objectType="Button" lockText="1"/>
</file>

<file path=xl/ctrlProps/ctrlProp127.xml><?xml version="1.0" encoding="utf-8"?>
<formControlPr xmlns="http://schemas.microsoft.com/office/spreadsheetml/2009/9/main" objectType="Button" lockText="1"/>
</file>

<file path=xl/ctrlProps/ctrlProp128.xml><?xml version="1.0" encoding="utf-8"?>
<formControlPr xmlns="http://schemas.microsoft.com/office/spreadsheetml/2009/9/main" objectType="Button" lockText="1"/>
</file>

<file path=xl/ctrlProps/ctrlProp129.xml><?xml version="1.0" encoding="utf-8"?>
<formControlPr xmlns="http://schemas.microsoft.com/office/spreadsheetml/2009/9/main" objectType="Button" lockText="1"/>
</file>

<file path=xl/ctrlProps/ctrlProp130.xml><?xml version="1.0" encoding="utf-8"?>
<formControlPr xmlns="http://schemas.microsoft.com/office/spreadsheetml/2009/9/main" objectType="Button" lockText="1"/>
</file>

<file path=xl/ctrlProps/ctrlProp131.xml><?xml version="1.0" encoding="utf-8"?>
<formControlPr xmlns="http://schemas.microsoft.com/office/spreadsheetml/2009/9/main" objectType="Button" lockText="1"/>
</file>

<file path=xl/ctrlProps/ctrlProp132.xml><?xml version="1.0" encoding="utf-8"?>
<formControlPr xmlns="http://schemas.microsoft.com/office/spreadsheetml/2009/9/main" objectType="Button" lockText="1"/>
</file>

<file path=xl/ctrlProps/ctrlProp133.xml><?xml version="1.0" encoding="utf-8"?>
<formControlPr xmlns="http://schemas.microsoft.com/office/spreadsheetml/2009/9/main" objectType="Button" lockText="1"/>
</file>

<file path=xl/ctrlProps/ctrlProp134.xml><?xml version="1.0" encoding="utf-8"?>
<formControlPr xmlns="http://schemas.microsoft.com/office/spreadsheetml/2009/9/main" objectType="Button" lockText="1"/>
</file>

<file path=xl/ctrlProps/ctrlProp135.xml><?xml version="1.0" encoding="utf-8"?>
<formControlPr xmlns="http://schemas.microsoft.com/office/spreadsheetml/2009/9/main" objectType="Button" lockText="1"/>
</file>

<file path=xl/ctrlProps/ctrlProp136.xml><?xml version="1.0" encoding="utf-8"?>
<formControlPr xmlns="http://schemas.microsoft.com/office/spreadsheetml/2009/9/main" objectType="Button" lockText="1"/>
</file>

<file path=xl/ctrlProps/ctrlProp137.xml><?xml version="1.0" encoding="utf-8"?>
<formControlPr xmlns="http://schemas.microsoft.com/office/spreadsheetml/2009/9/main" objectType="Button" lockText="1"/>
</file>

<file path=xl/ctrlProps/ctrlProp138.xml><?xml version="1.0" encoding="utf-8"?>
<formControlPr xmlns="http://schemas.microsoft.com/office/spreadsheetml/2009/9/main" objectType="Button" lockText="1"/>
</file>

<file path=xl/ctrlProps/ctrlProp139.xml><?xml version="1.0" encoding="utf-8"?>
<formControlPr xmlns="http://schemas.microsoft.com/office/spreadsheetml/2009/9/main" objectType="Button" lockText="1"/>
</file>

<file path=xl/ctrlProps/ctrlProp140.xml><?xml version="1.0" encoding="utf-8"?>
<formControlPr xmlns="http://schemas.microsoft.com/office/spreadsheetml/2009/9/main" objectType="Button" lockText="1"/>
</file>

<file path=xl/ctrlProps/ctrlProp141.xml><?xml version="1.0" encoding="utf-8"?>
<formControlPr xmlns="http://schemas.microsoft.com/office/spreadsheetml/2009/9/main" objectType="Button" lockText="1"/>
</file>

<file path=xl/ctrlProps/ctrlProp142.xml><?xml version="1.0" encoding="utf-8"?>
<formControlPr xmlns="http://schemas.microsoft.com/office/spreadsheetml/2009/9/main" objectType="Button" lockText="1"/>
</file>

<file path=xl/ctrlProps/ctrlProp143.xml><?xml version="1.0" encoding="utf-8"?>
<formControlPr xmlns="http://schemas.microsoft.com/office/spreadsheetml/2009/9/main" objectType="Button" lockText="1"/>
</file>

<file path=xl/ctrlProps/ctrlProp144.xml><?xml version="1.0" encoding="utf-8"?>
<formControlPr xmlns="http://schemas.microsoft.com/office/spreadsheetml/2009/9/main" objectType="Button" lockText="1"/>
</file>

<file path=xl/ctrlProps/ctrlProp145.xml><?xml version="1.0" encoding="utf-8"?>
<formControlPr xmlns="http://schemas.microsoft.com/office/spreadsheetml/2009/9/main" objectType="Button" lockText="1"/>
</file>

<file path=xl/ctrlProps/ctrlProp146.xml><?xml version="1.0" encoding="utf-8"?>
<formControlPr xmlns="http://schemas.microsoft.com/office/spreadsheetml/2009/9/main" objectType="Button" lockText="1"/>
</file>

<file path=xl/ctrlProps/ctrlProp147.xml><?xml version="1.0" encoding="utf-8"?>
<formControlPr xmlns="http://schemas.microsoft.com/office/spreadsheetml/2009/9/main" objectType="Button" lockText="1"/>
</file>

<file path=xl/ctrlProps/ctrlProp148.xml><?xml version="1.0" encoding="utf-8"?>
<formControlPr xmlns="http://schemas.microsoft.com/office/spreadsheetml/2009/9/main" objectType="Button" lockText="1"/>
</file>

<file path=xl/ctrlProps/ctrlProp149.xml><?xml version="1.0" encoding="utf-8"?>
<formControlPr xmlns="http://schemas.microsoft.com/office/spreadsheetml/2009/9/main" objectType="Button" lockText="1"/>
</file>

<file path=xl/ctrlProps/ctrlProp150.xml><?xml version="1.0" encoding="utf-8"?>
<formControlPr xmlns="http://schemas.microsoft.com/office/spreadsheetml/2009/9/main" objectType="Button" lockText="1"/>
</file>

<file path=xl/ctrlProps/ctrlProp151.xml><?xml version="1.0" encoding="utf-8"?>
<formControlPr xmlns="http://schemas.microsoft.com/office/spreadsheetml/2009/9/main" objectType="Button" lockText="1"/>
</file>

<file path=xl/ctrlProps/ctrlProp152.xml><?xml version="1.0" encoding="utf-8"?>
<formControlPr xmlns="http://schemas.microsoft.com/office/spreadsheetml/2009/9/main" objectType="Button" lockText="1"/>
</file>

<file path=xl/ctrlProps/ctrlProp153.xml><?xml version="1.0" encoding="utf-8"?>
<formControlPr xmlns="http://schemas.microsoft.com/office/spreadsheetml/2009/9/main" objectType="Button" lockText="1"/>
</file>

<file path=xl/ctrlProps/ctrlProp154.xml><?xml version="1.0" encoding="utf-8"?>
<formControlPr xmlns="http://schemas.microsoft.com/office/spreadsheetml/2009/9/main" objectType="Button" lockText="1"/>
</file>

<file path=xl/ctrlProps/ctrlProp155.xml><?xml version="1.0" encoding="utf-8"?>
<formControlPr xmlns="http://schemas.microsoft.com/office/spreadsheetml/2009/9/main" objectType="Button" lockText="1"/>
</file>

<file path=xl/ctrlProps/ctrlProp156.xml><?xml version="1.0" encoding="utf-8"?>
<formControlPr xmlns="http://schemas.microsoft.com/office/spreadsheetml/2009/9/main" objectType="Button" lockText="1"/>
</file>

<file path=xl/ctrlProps/ctrlProp157.xml><?xml version="1.0" encoding="utf-8"?>
<formControlPr xmlns="http://schemas.microsoft.com/office/spreadsheetml/2009/9/main" objectType="Button" lockText="1"/>
</file>

<file path=xl/ctrlProps/ctrlProp158.xml><?xml version="1.0" encoding="utf-8"?>
<formControlPr xmlns="http://schemas.microsoft.com/office/spreadsheetml/2009/9/main" objectType="Button" lockText="1"/>
</file>

<file path=xl/ctrlProps/ctrlProp159.xml><?xml version="1.0" encoding="utf-8"?>
<formControlPr xmlns="http://schemas.microsoft.com/office/spreadsheetml/2009/9/main" objectType="Button" lockText="1"/>
</file>

<file path=xl/ctrlProps/ctrlProp160.xml><?xml version="1.0" encoding="utf-8"?>
<formControlPr xmlns="http://schemas.microsoft.com/office/spreadsheetml/2009/9/main" objectType="Button" lockText="1"/>
</file>

<file path=xl/ctrlProps/ctrlProp161.xml><?xml version="1.0" encoding="utf-8"?>
<formControlPr xmlns="http://schemas.microsoft.com/office/spreadsheetml/2009/9/main" objectType="Button" lockText="1"/>
</file>

<file path=xl/ctrlProps/ctrlProp162.xml><?xml version="1.0" encoding="utf-8"?>
<formControlPr xmlns="http://schemas.microsoft.com/office/spreadsheetml/2009/9/main" objectType="Button" lockText="1"/>
</file>

<file path=xl/ctrlProps/ctrlProp163.xml><?xml version="1.0" encoding="utf-8"?>
<formControlPr xmlns="http://schemas.microsoft.com/office/spreadsheetml/2009/9/main" objectType="Button" lockText="1"/>
</file>

<file path=xl/ctrlProps/ctrlProp164.xml><?xml version="1.0" encoding="utf-8"?>
<formControlPr xmlns="http://schemas.microsoft.com/office/spreadsheetml/2009/9/main" objectType="Button" lockText="1"/>
</file>

<file path=xl/ctrlProps/ctrlProp165.xml><?xml version="1.0" encoding="utf-8"?>
<formControlPr xmlns="http://schemas.microsoft.com/office/spreadsheetml/2009/9/main" objectType="Button" lockText="1"/>
</file>

<file path=xl/ctrlProps/ctrlProp166.xml><?xml version="1.0" encoding="utf-8"?>
<formControlPr xmlns="http://schemas.microsoft.com/office/spreadsheetml/2009/9/main" objectType="Button" lockText="1"/>
</file>

<file path=xl/ctrlProps/ctrlProp167.xml><?xml version="1.0" encoding="utf-8"?>
<formControlPr xmlns="http://schemas.microsoft.com/office/spreadsheetml/2009/9/main" objectType="Button" lockText="1"/>
</file>

<file path=xl/ctrlProps/ctrlProp168.xml><?xml version="1.0" encoding="utf-8"?>
<formControlPr xmlns="http://schemas.microsoft.com/office/spreadsheetml/2009/9/main" objectType="Button" lockText="1"/>
</file>

<file path=xl/ctrlProps/ctrlProp169.xml><?xml version="1.0" encoding="utf-8"?>
<formControlPr xmlns="http://schemas.microsoft.com/office/spreadsheetml/2009/9/main" objectType="Button" lockText="1"/>
</file>

<file path=xl/ctrlProps/ctrlProp170.xml><?xml version="1.0" encoding="utf-8"?>
<formControlPr xmlns="http://schemas.microsoft.com/office/spreadsheetml/2009/9/main" objectType="Button" lockText="1"/>
</file>

<file path=xl/ctrlProps/ctrlProp171.xml><?xml version="1.0" encoding="utf-8"?>
<formControlPr xmlns="http://schemas.microsoft.com/office/spreadsheetml/2009/9/main" objectType="Button" lockText="1"/>
</file>

<file path=xl/ctrlProps/ctrlProp172.xml><?xml version="1.0" encoding="utf-8"?>
<formControlPr xmlns="http://schemas.microsoft.com/office/spreadsheetml/2009/9/main" objectType="Button" lockText="1"/>
</file>

<file path=xl/ctrlProps/ctrlProp173.xml><?xml version="1.0" encoding="utf-8"?>
<formControlPr xmlns="http://schemas.microsoft.com/office/spreadsheetml/2009/9/main" objectType="Button" lockText="1"/>
</file>

<file path=xl/ctrlProps/ctrlProp174.xml><?xml version="1.0" encoding="utf-8"?>
<formControlPr xmlns="http://schemas.microsoft.com/office/spreadsheetml/2009/9/main" objectType="Button" lockText="1"/>
</file>

<file path=xl/ctrlProps/ctrlProp175.xml><?xml version="1.0" encoding="utf-8"?>
<formControlPr xmlns="http://schemas.microsoft.com/office/spreadsheetml/2009/9/main" objectType="Button" lockText="1"/>
</file>

<file path=xl/ctrlProps/ctrlProp176.xml><?xml version="1.0" encoding="utf-8"?>
<formControlPr xmlns="http://schemas.microsoft.com/office/spreadsheetml/2009/9/main" objectType="Button" lockText="1"/>
</file>

<file path=xl/ctrlProps/ctrlProp177.xml><?xml version="1.0" encoding="utf-8"?>
<formControlPr xmlns="http://schemas.microsoft.com/office/spreadsheetml/2009/9/main" objectType="Button" lockText="1"/>
</file>

<file path=xl/ctrlProps/ctrlProp178.xml><?xml version="1.0" encoding="utf-8"?>
<formControlPr xmlns="http://schemas.microsoft.com/office/spreadsheetml/2009/9/main" objectType="Button" lockText="1"/>
</file>

<file path=xl/ctrlProps/ctrlProp179.xml><?xml version="1.0" encoding="utf-8"?>
<formControlPr xmlns="http://schemas.microsoft.com/office/spreadsheetml/2009/9/main" objectType="Button" lockText="1"/>
</file>

<file path=xl/ctrlProps/ctrlProp180.xml><?xml version="1.0" encoding="utf-8"?>
<formControlPr xmlns="http://schemas.microsoft.com/office/spreadsheetml/2009/9/main" objectType="Button" lockText="1"/>
</file>

<file path=xl/ctrlProps/ctrlProp181.xml><?xml version="1.0" encoding="utf-8"?>
<formControlPr xmlns="http://schemas.microsoft.com/office/spreadsheetml/2009/9/main" objectType="Button" lockText="1"/>
</file>

<file path=xl/ctrlProps/ctrlProp182.xml><?xml version="1.0" encoding="utf-8"?>
<formControlPr xmlns="http://schemas.microsoft.com/office/spreadsheetml/2009/9/main" objectType="Button" lockText="1"/>
</file>

<file path=xl/ctrlProps/ctrlProp183.xml><?xml version="1.0" encoding="utf-8"?>
<formControlPr xmlns="http://schemas.microsoft.com/office/spreadsheetml/2009/9/main" objectType="Button" lockText="1"/>
</file>

<file path=xl/ctrlProps/ctrlProp184.xml><?xml version="1.0" encoding="utf-8"?>
<formControlPr xmlns="http://schemas.microsoft.com/office/spreadsheetml/2009/9/main" objectType="Button" lockText="1"/>
</file>

<file path=xl/ctrlProps/ctrlProp185.xml><?xml version="1.0" encoding="utf-8"?>
<formControlPr xmlns="http://schemas.microsoft.com/office/spreadsheetml/2009/9/main" objectType="Button" lockText="1"/>
</file>

<file path=xl/ctrlProps/ctrlProp186.xml><?xml version="1.0" encoding="utf-8"?>
<formControlPr xmlns="http://schemas.microsoft.com/office/spreadsheetml/2009/9/main" objectType="Button" lockText="1"/>
</file>

<file path=xl/ctrlProps/ctrlProp187.xml><?xml version="1.0" encoding="utf-8"?>
<formControlPr xmlns="http://schemas.microsoft.com/office/spreadsheetml/2009/9/main" objectType="Button" lockText="1"/>
</file>

<file path=xl/ctrlProps/ctrlProp188.xml><?xml version="1.0" encoding="utf-8"?>
<formControlPr xmlns="http://schemas.microsoft.com/office/spreadsheetml/2009/9/main" objectType="Button" lockText="1"/>
</file>

<file path=xl/ctrlProps/ctrlProp189.xml><?xml version="1.0" encoding="utf-8"?>
<formControlPr xmlns="http://schemas.microsoft.com/office/spreadsheetml/2009/9/main" objectType="Button" lockText="1"/>
</file>

<file path=xl/ctrlProps/ctrlProp190.xml><?xml version="1.0" encoding="utf-8"?>
<formControlPr xmlns="http://schemas.microsoft.com/office/spreadsheetml/2009/9/main" objectType="Button" lockText="1"/>
</file>

<file path=xl/ctrlProps/ctrlProp191.xml><?xml version="1.0" encoding="utf-8"?>
<formControlPr xmlns="http://schemas.microsoft.com/office/spreadsheetml/2009/9/main" objectType="Button" lockText="1"/>
</file>

<file path=xl/ctrlProps/ctrlProp192.xml><?xml version="1.0" encoding="utf-8"?>
<formControlPr xmlns="http://schemas.microsoft.com/office/spreadsheetml/2009/9/main" objectType="Button" lockText="1"/>
</file>

<file path=xl/ctrlProps/ctrlProp193.xml><?xml version="1.0" encoding="utf-8"?>
<formControlPr xmlns="http://schemas.microsoft.com/office/spreadsheetml/2009/9/main" objectType="Button" lockText="1"/>
</file>

<file path=xl/ctrlProps/ctrlProp194.xml><?xml version="1.0" encoding="utf-8"?>
<formControlPr xmlns="http://schemas.microsoft.com/office/spreadsheetml/2009/9/main" objectType="Button" lockText="1"/>
</file>

<file path=xl/ctrlProps/ctrlProp195.xml><?xml version="1.0" encoding="utf-8"?>
<formControlPr xmlns="http://schemas.microsoft.com/office/spreadsheetml/2009/9/main" objectType="Button" lockText="1"/>
</file>

<file path=xl/ctrlProps/ctrlProp196.xml><?xml version="1.0" encoding="utf-8"?>
<formControlPr xmlns="http://schemas.microsoft.com/office/spreadsheetml/2009/9/main" objectType="Button" lockText="1"/>
</file>

<file path=xl/ctrlProps/ctrlProp197.xml><?xml version="1.0" encoding="utf-8"?>
<formControlPr xmlns="http://schemas.microsoft.com/office/spreadsheetml/2009/9/main" objectType="Button" lockText="1"/>
</file>

<file path=xl/ctrlProps/ctrlProp198.xml><?xml version="1.0" encoding="utf-8"?>
<formControlPr xmlns="http://schemas.microsoft.com/office/spreadsheetml/2009/9/main" objectType="Button" lockText="1"/>
</file>

<file path=xl/ctrlProps/ctrlProp199.xml><?xml version="1.0" encoding="utf-8"?>
<formControlPr xmlns="http://schemas.microsoft.com/office/spreadsheetml/2009/9/main" objectType="Button" lockText="1"/>
</file>

<file path=xl/ctrlProps/ctrlProp200.xml><?xml version="1.0" encoding="utf-8"?>
<formControlPr xmlns="http://schemas.microsoft.com/office/spreadsheetml/2009/9/main" objectType="Button" lockText="1"/>
</file>

<file path=xl/ctrlProps/ctrlProp201.xml><?xml version="1.0" encoding="utf-8"?>
<formControlPr xmlns="http://schemas.microsoft.com/office/spreadsheetml/2009/9/main" objectType="Button" lockText="1"/>
</file>

<file path=xl/ctrlProps/ctrlProp202.xml><?xml version="1.0" encoding="utf-8"?>
<formControlPr xmlns="http://schemas.microsoft.com/office/spreadsheetml/2009/9/main" objectType="Button" lockText="1"/>
</file>

<file path=xl/ctrlProps/ctrlProp203.xml><?xml version="1.0" encoding="utf-8"?>
<formControlPr xmlns="http://schemas.microsoft.com/office/spreadsheetml/2009/9/main" objectType="Button" lockText="1"/>
</file>

<file path=xl/ctrlProps/ctrlProp204.xml><?xml version="1.0" encoding="utf-8"?>
<formControlPr xmlns="http://schemas.microsoft.com/office/spreadsheetml/2009/9/main" objectType="Button" lockText="1"/>
</file>

<file path=xl/ctrlProps/ctrlProp205.xml><?xml version="1.0" encoding="utf-8"?>
<formControlPr xmlns="http://schemas.microsoft.com/office/spreadsheetml/2009/9/main" objectType="Button" lockText="1"/>
</file>

<file path=xl/ctrlProps/ctrlProp206.xml><?xml version="1.0" encoding="utf-8"?>
<formControlPr xmlns="http://schemas.microsoft.com/office/spreadsheetml/2009/9/main" objectType="Button" lockText="1"/>
</file>

<file path=xl/ctrlProps/ctrlProp207.xml><?xml version="1.0" encoding="utf-8"?>
<formControlPr xmlns="http://schemas.microsoft.com/office/spreadsheetml/2009/9/main" objectType="Button" lockText="1"/>
</file>

<file path=xl/ctrlProps/ctrlProp208.xml><?xml version="1.0" encoding="utf-8"?>
<formControlPr xmlns="http://schemas.microsoft.com/office/spreadsheetml/2009/9/main" objectType="Button" lockText="1"/>
</file>

<file path=xl/ctrlProps/ctrlProp209.xml><?xml version="1.0" encoding="utf-8"?>
<formControlPr xmlns="http://schemas.microsoft.com/office/spreadsheetml/2009/9/main" objectType="Button" lockText="1"/>
</file>

<file path=xl/ctrlProps/ctrlProp210.xml><?xml version="1.0" encoding="utf-8"?>
<formControlPr xmlns="http://schemas.microsoft.com/office/spreadsheetml/2009/9/main" objectType="Button" lockText="1"/>
</file>

<file path=xl/ctrlProps/ctrlProp211.xml><?xml version="1.0" encoding="utf-8"?>
<formControlPr xmlns="http://schemas.microsoft.com/office/spreadsheetml/2009/9/main" objectType="Button" lockText="1"/>
</file>

<file path=xl/ctrlProps/ctrlProp212.xml><?xml version="1.0" encoding="utf-8"?>
<formControlPr xmlns="http://schemas.microsoft.com/office/spreadsheetml/2009/9/main" objectType="Button" lockText="1"/>
</file>

<file path=xl/ctrlProps/ctrlProp213.xml><?xml version="1.0" encoding="utf-8"?>
<formControlPr xmlns="http://schemas.microsoft.com/office/spreadsheetml/2009/9/main" objectType="Button" lockText="1"/>
</file>

<file path=xl/ctrlProps/ctrlProp214.xml><?xml version="1.0" encoding="utf-8"?>
<formControlPr xmlns="http://schemas.microsoft.com/office/spreadsheetml/2009/9/main" objectType="Button" lockText="1"/>
</file>

<file path=xl/ctrlProps/ctrlProp215.xml><?xml version="1.0" encoding="utf-8"?>
<formControlPr xmlns="http://schemas.microsoft.com/office/spreadsheetml/2009/9/main" objectType="Button" lockText="1"/>
</file>

<file path=xl/ctrlProps/ctrlProp216.xml><?xml version="1.0" encoding="utf-8"?>
<formControlPr xmlns="http://schemas.microsoft.com/office/spreadsheetml/2009/9/main" objectType="Button" lockText="1"/>
</file>

<file path=xl/ctrlProps/ctrlProp217.xml><?xml version="1.0" encoding="utf-8"?>
<formControlPr xmlns="http://schemas.microsoft.com/office/spreadsheetml/2009/9/main" objectType="Button" lockText="1"/>
</file>

<file path=xl/ctrlProps/ctrlProp218.xml><?xml version="1.0" encoding="utf-8"?>
<formControlPr xmlns="http://schemas.microsoft.com/office/spreadsheetml/2009/9/main" objectType="Button" lockText="1"/>
</file>

<file path=xl/ctrlProps/ctrlProp219.xml><?xml version="1.0" encoding="utf-8"?>
<formControlPr xmlns="http://schemas.microsoft.com/office/spreadsheetml/2009/9/main" objectType="Button" lockText="1"/>
</file>

<file path=xl/ctrlProps/ctrlProp220.xml><?xml version="1.0" encoding="utf-8"?>
<formControlPr xmlns="http://schemas.microsoft.com/office/spreadsheetml/2009/9/main" objectType="Button" lockText="1"/>
</file>

<file path=xl/ctrlProps/ctrlProp221.xml><?xml version="1.0" encoding="utf-8"?>
<formControlPr xmlns="http://schemas.microsoft.com/office/spreadsheetml/2009/9/main" objectType="Button" lockText="1"/>
</file>

<file path=xl/ctrlProps/ctrlProp222.xml><?xml version="1.0" encoding="utf-8"?>
<formControlPr xmlns="http://schemas.microsoft.com/office/spreadsheetml/2009/9/main" objectType="Button" lockText="1"/>
</file>

<file path=xl/ctrlProps/ctrlProp223.xml><?xml version="1.0" encoding="utf-8"?>
<formControlPr xmlns="http://schemas.microsoft.com/office/spreadsheetml/2009/9/main" objectType="Button" lockText="1"/>
</file>

<file path=xl/ctrlProps/ctrlProp224.xml><?xml version="1.0" encoding="utf-8"?>
<formControlPr xmlns="http://schemas.microsoft.com/office/spreadsheetml/2009/9/main" objectType="Button" lockText="1"/>
</file>

<file path=xl/ctrlProps/ctrlProp225.xml><?xml version="1.0" encoding="utf-8"?>
<formControlPr xmlns="http://schemas.microsoft.com/office/spreadsheetml/2009/9/main" objectType="Button" lockText="1"/>
</file>

<file path=xl/ctrlProps/ctrlProp226.xml><?xml version="1.0" encoding="utf-8"?>
<formControlPr xmlns="http://schemas.microsoft.com/office/spreadsheetml/2009/9/main" objectType="Button" lockText="1"/>
</file>

<file path=xl/ctrlProps/ctrlProp227.xml><?xml version="1.0" encoding="utf-8"?>
<formControlPr xmlns="http://schemas.microsoft.com/office/spreadsheetml/2009/9/main" objectType="Button" lockText="1"/>
</file>

<file path=xl/ctrlProps/ctrlProp228.xml><?xml version="1.0" encoding="utf-8"?>
<formControlPr xmlns="http://schemas.microsoft.com/office/spreadsheetml/2009/9/main" objectType="Button" lockText="1"/>
</file>

<file path=xl/ctrlProps/ctrlProp229.xml><?xml version="1.0" encoding="utf-8"?>
<formControlPr xmlns="http://schemas.microsoft.com/office/spreadsheetml/2009/9/main" objectType="Button" lockText="1"/>
</file>

<file path=xl/ctrlProps/ctrlProp230.xml><?xml version="1.0" encoding="utf-8"?>
<formControlPr xmlns="http://schemas.microsoft.com/office/spreadsheetml/2009/9/main" objectType="Button" lockText="1"/>
</file>

<file path=xl/ctrlProps/ctrlProp231.xml><?xml version="1.0" encoding="utf-8"?>
<formControlPr xmlns="http://schemas.microsoft.com/office/spreadsheetml/2009/9/main" objectType="Button" lockText="1"/>
</file>

<file path=xl/ctrlProps/ctrlProp232.xml><?xml version="1.0" encoding="utf-8"?>
<formControlPr xmlns="http://schemas.microsoft.com/office/spreadsheetml/2009/9/main" objectType="Button" lockText="1"/>
</file>

<file path=xl/ctrlProps/ctrlProp233.xml><?xml version="1.0" encoding="utf-8"?>
<formControlPr xmlns="http://schemas.microsoft.com/office/spreadsheetml/2009/9/main" objectType="Button" lockText="1"/>
</file>

<file path=xl/ctrlProps/ctrlProp234.xml><?xml version="1.0" encoding="utf-8"?>
<formControlPr xmlns="http://schemas.microsoft.com/office/spreadsheetml/2009/9/main" objectType="Button" lockText="1"/>
</file>

<file path=xl/ctrlProps/ctrlProp235.xml><?xml version="1.0" encoding="utf-8"?>
<formControlPr xmlns="http://schemas.microsoft.com/office/spreadsheetml/2009/9/main" objectType="Button" lockText="1"/>
</file>

<file path=xl/ctrlProps/ctrlProp236.xml><?xml version="1.0" encoding="utf-8"?>
<formControlPr xmlns="http://schemas.microsoft.com/office/spreadsheetml/2009/9/main" objectType="Button" lockText="1"/>
</file>

<file path=xl/ctrlProps/ctrlProp237.xml><?xml version="1.0" encoding="utf-8"?>
<formControlPr xmlns="http://schemas.microsoft.com/office/spreadsheetml/2009/9/main" objectType="Button" lockText="1"/>
</file>

<file path=xl/ctrlProps/ctrlProp238.xml><?xml version="1.0" encoding="utf-8"?>
<formControlPr xmlns="http://schemas.microsoft.com/office/spreadsheetml/2009/9/main" objectType="Button" lockText="1"/>
</file>

<file path=xl/ctrlProps/ctrlProp239.xml><?xml version="1.0" encoding="utf-8"?>
<formControlPr xmlns="http://schemas.microsoft.com/office/spreadsheetml/2009/9/main" objectType="Button" lockText="1"/>
</file>

<file path=xl/ctrlProps/ctrlProp240.xml><?xml version="1.0" encoding="utf-8"?>
<formControlPr xmlns="http://schemas.microsoft.com/office/spreadsheetml/2009/9/main" objectType="Button" lockText="1"/>
</file>

<file path=xl/ctrlProps/ctrlProp241.xml><?xml version="1.0" encoding="utf-8"?>
<formControlPr xmlns="http://schemas.microsoft.com/office/spreadsheetml/2009/9/main" objectType="Button" lockText="1"/>
</file>

<file path=xl/ctrlProps/ctrlProp242.xml><?xml version="1.0" encoding="utf-8"?>
<formControlPr xmlns="http://schemas.microsoft.com/office/spreadsheetml/2009/9/main" objectType="Button" lockText="1"/>
</file>

<file path=xl/ctrlProps/ctrlProp243.xml><?xml version="1.0" encoding="utf-8"?>
<formControlPr xmlns="http://schemas.microsoft.com/office/spreadsheetml/2009/9/main" objectType="Button" lockText="1"/>
</file>

<file path=xl/ctrlProps/ctrlProp244.xml><?xml version="1.0" encoding="utf-8"?>
<formControlPr xmlns="http://schemas.microsoft.com/office/spreadsheetml/2009/9/main" objectType="Button" lockText="1"/>
</file>

<file path=xl/ctrlProps/ctrlProp245.xml><?xml version="1.0" encoding="utf-8"?>
<formControlPr xmlns="http://schemas.microsoft.com/office/spreadsheetml/2009/9/main" objectType="Button" lockText="1"/>
</file>

<file path=xl/ctrlProps/ctrlProp246.xml><?xml version="1.0" encoding="utf-8"?>
<formControlPr xmlns="http://schemas.microsoft.com/office/spreadsheetml/2009/9/main" objectType="Button" lockText="1"/>
</file>

<file path=xl/ctrlProps/ctrlProp247.xml><?xml version="1.0" encoding="utf-8"?>
<formControlPr xmlns="http://schemas.microsoft.com/office/spreadsheetml/2009/9/main" objectType="Button" lockText="1"/>
</file>

<file path=xl/ctrlProps/ctrlProp248.xml><?xml version="1.0" encoding="utf-8"?>
<formControlPr xmlns="http://schemas.microsoft.com/office/spreadsheetml/2009/9/main" objectType="Button" lockText="1"/>
</file>

<file path=xl/ctrlProps/ctrlProp249.xml><?xml version="1.0" encoding="utf-8"?>
<formControlPr xmlns="http://schemas.microsoft.com/office/spreadsheetml/2009/9/main" objectType="Button" lockText="1"/>
</file>

<file path=xl/ctrlProps/ctrlProp250.xml><?xml version="1.0" encoding="utf-8"?>
<formControlPr xmlns="http://schemas.microsoft.com/office/spreadsheetml/2009/9/main" objectType="Button" lockText="1"/>
</file>

<file path=xl/ctrlProps/ctrlProp251.xml><?xml version="1.0" encoding="utf-8"?>
<formControlPr xmlns="http://schemas.microsoft.com/office/spreadsheetml/2009/9/main" objectType="Button" lockText="1"/>
</file>

<file path=xl/ctrlProps/ctrlProp252.xml><?xml version="1.0" encoding="utf-8"?>
<formControlPr xmlns="http://schemas.microsoft.com/office/spreadsheetml/2009/9/main" objectType="Button" lockText="1"/>
</file>

<file path=xl/ctrlProps/ctrlProp253.xml><?xml version="1.0" encoding="utf-8"?>
<formControlPr xmlns="http://schemas.microsoft.com/office/spreadsheetml/2009/9/main" objectType="Button" lockText="1"/>
</file>

<file path=xl/ctrlProps/ctrlProp254.xml><?xml version="1.0" encoding="utf-8"?>
<formControlPr xmlns="http://schemas.microsoft.com/office/spreadsheetml/2009/9/main" objectType="Button" lockText="1"/>
</file>

<file path=xl/ctrlProps/ctrlProp255.xml><?xml version="1.0" encoding="utf-8"?>
<formControlPr xmlns="http://schemas.microsoft.com/office/spreadsheetml/2009/9/main" objectType="Button" lockText="1"/>
</file>

<file path=xl/ctrlProps/ctrlProp256.xml><?xml version="1.0" encoding="utf-8"?>
<formControlPr xmlns="http://schemas.microsoft.com/office/spreadsheetml/2009/9/main" objectType="Button" lockText="1"/>
</file>

<file path=xl/ctrlProps/ctrlProp257.xml><?xml version="1.0" encoding="utf-8"?>
<formControlPr xmlns="http://schemas.microsoft.com/office/spreadsheetml/2009/9/main" objectType="Button" lockText="1"/>
</file>

<file path=xl/ctrlProps/ctrlProp258.xml><?xml version="1.0" encoding="utf-8"?>
<formControlPr xmlns="http://schemas.microsoft.com/office/spreadsheetml/2009/9/main" objectType="Button" lockText="1"/>
</file>

<file path=xl/ctrlProps/ctrlProp259.xml><?xml version="1.0" encoding="utf-8"?>
<formControlPr xmlns="http://schemas.microsoft.com/office/spreadsheetml/2009/9/main" objectType="Button" lockText="1"/>
</file>

<file path=xl/ctrlProps/ctrlProp260.xml><?xml version="1.0" encoding="utf-8"?>
<formControlPr xmlns="http://schemas.microsoft.com/office/spreadsheetml/2009/9/main" objectType="Button" lockText="1"/>
</file>

<file path=xl/ctrlProps/ctrlProp261.xml><?xml version="1.0" encoding="utf-8"?>
<formControlPr xmlns="http://schemas.microsoft.com/office/spreadsheetml/2009/9/main" objectType="Button" lockText="1"/>
</file>

<file path=xl/ctrlProps/ctrlProp262.xml><?xml version="1.0" encoding="utf-8"?>
<formControlPr xmlns="http://schemas.microsoft.com/office/spreadsheetml/2009/9/main" objectType="Button" lockText="1"/>
</file>

<file path=xl/ctrlProps/ctrlProp263.xml><?xml version="1.0" encoding="utf-8"?>
<formControlPr xmlns="http://schemas.microsoft.com/office/spreadsheetml/2009/9/main" objectType="Button" lockText="1"/>
</file>

<file path=xl/ctrlProps/ctrlProp264.xml><?xml version="1.0" encoding="utf-8"?>
<formControlPr xmlns="http://schemas.microsoft.com/office/spreadsheetml/2009/9/main" objectType="Button" lockText="1"/>
</file>

<file path=xl/ctrlProps/ctrlProp265.xml><?xml version="1.0" encoding="utf-8"?>
<formControlPr xmlns="http://schemas.microsoft.com/office/spreadsheetml/2009/9/main" objectType="Button" lockText="1"/>
</file>

<file path=xl/ctrlProps/ctrlProp266.xml><?xml version="1.0" encoding="utf-8"?>
<formControlPr xmlns="http://schemas.microsoft.com/office/spreadsheetml/2009/9/main" objectType="Button" lockText="1"/>
</file>

<file path=xl/ctrlProps/ctrlProp267.xml><?xml version="1.0" encoding="utf-8"?>
<formControlPr xmlns="http://schemas.microsoft.com/office/spreadsheetml/2009/9/main" objectType="Button" lockText="1"/>
</file>

<file path=xl/ctrlProps/ctrlProp268.xml><?xml version="1.0" encoding="utf-8"?>
<formControlPr xmlns="http://schemas.microsoft.com/office/spreadsheetml/2009/9/main" objectType="Button" lockText="1"/>
</file>

<file path=xl/ctrlProps/ctrlProp269.xml><?xml version="1.0" encoding="utf-8"?>
<formControlPr xmlns="http://schemas.microsoft.com/office/spreadsheetml/2009/9/main" objectType="Button" lockText="1"/>
</file>

<file path=xl/ctrlProps/ctrlProp270.xml><?xml version="1.0" encoding="utf-8"?>
<formControlPr xmlns="http://schemas.microsoft.com/office/spreadsheetml/2009/9/main" objectType="Button" lockText="1"/>
</file>

<file path=xl/ctrlProps/ctrlProp271.xml><?xml version="1.0" encoding="utf-8"?>
<formControlPr xmlns="http://schemas.microsoft.com/office/spreadsheetml/2009/9/main" objectType="Button" lockText="1"/>
</file>

<file path=xl/ctrlProps/ctrlProp272.xml><?xml version="1.0" encoding="utf-8"?>
<formControlPr xmlns="http://schemas.microsoft.com/office/spreadsheetml/2009/9/main" objectType="Button" lockText="1"/>
</file>

<file path=xl/ctrlProps/ctrlProp273.xml><?xml version="1.0" encoding="utf-8"?>
<formControlPr xmlns="http://schemas.microsoft.com/office/spreadsheetml/2009/9/main" objectType="Button" lockText="1"/>
</file>

<file path=xl/ctrlProps/ctrlProp274.xml><?xml version="1.0" encoding="utf-8"?>
<formControlPr xmlns="http://schemas.microsoft.com/office/spreadsheetml/2009/9/main" objectType="Button" lockText="1"/>
</file>

<file path=xl/ctrlProps/ctrlProp275.xml><?xml version="1.0" encoding="utf-8"?>
<formControlPr xmlns="http://schemas.microsoft.com/office/spreadsheetml/2009/9/main" objectType="Button" lockText="1"/>
</file>

<file path=xl/ctrlProps/ctrlProp276.xml><?xml version="1.0" encoding="utf-8"?>
<formControlPr xmlns="http://schemas.microsoft.com/office/spreadsheetml/2009/9/main" objectType="Button" lockText="1"/>
</file>

<file path=xl/ctrlProps/ctrlProp277.xml><?xml version="1.0" encoding="utf-8"?>
<formControlPr xmlns="http://schemas.microsoft.com/office/spreadsheetml/2009/9/main" objectType="Button" lockText="1"/>
</file>

<file path=xl/ctrlProps/ctrlProp278.xml><?xml version="1.0" encoding="utf-8"?>
<formControlPr xmlns="http://schemas.microsoft.com/office/spreadsheetml/2009/9/main" objectType="Button" lockText="1"/>
</file>

<file path=xl/ctrlProps/ctrlProp279.xml><?xml version="1.0" encoding="utf-8"?>
<formControlPr xmlns="http://schemas.microsoft.com/office/spreadsheetml/2009/9/main" objectType="Button" lockText="1"/>
</file>

<file path=xl/ctrlProps/ctrlProp280.xml><?xml version="1.0" encoding="utf-8"?>
<formControlPr xmlns="http://schemas.microsoft.com/office/spreadsheetml/2009/9/main" objectType="Button" lockText="1"/>
</file>

<file path=xl/ctrlProps/ctrlProp281.xml><?xml version="1.0" encoding="utf-8"?>
<formControlPr xmlns="http://schemas.microsoft.com/office/spreadsheetml/2009/9/main" objectType="Button" lockText="1"/>
</file>

<file path=xl/ctrlProps/ctrlProp282.xml><?xml version="1.0" encoding="utf-8"?>
<formControlPr xmlns="http://schemas.microsoft.com/office/spreadsheetml/2009/9/main" objectType="Button" lockText="1"/>
</file>

<file path=xl/ctrlProps/ctrlProp283.xml><?xml version="1.0" encoding="utf-8"?>
<formControlPr xmlns="http://schemas.microsoft.com/office/spreadsheetml/2009/9/main" objectType="Button" lockText="1"/>
</file>

<file path=xl/ctrlProps/ctrlProp284.xml><?xml version="1.0" encoding="utf-8"?>
<formControlPr xmlns="http://schemas.microsoft.com/office/spreadsheetml/2009/9/main" objectType="Button" lockText="1"/>
</file>

<file path=xl/ctrlProps/ctrlProp285.xml><?xml version="1.0" encoding="utf-8"?>
<formControlPr xmlns="http://schemas.microsoft.com/office/spreadsheetml/2009/9/main" objectType="Button" lockText="1"/>
</file>

<file path=xl/ctrlProps/ctrlProp286.xml><?xml version="1.0" encoding="utf-8"?>
<formControlPr xmlns="http://schemas.microsoft.com/office/spreadsheetml/2009/9/main" objectType="Button" lockText="1"/>
</file>

<file path=xl/ctrlProps/ctrlProp287.xml><?xml version="1.0" encoding="utf-8"?>
<formControlPr xmlns="http://schemas.microsoft.com/office/spreadsheetml/2009/9/main" objectType="Button" lockText="1"/>
</file>

<file path=xl/ctrlProps/ctrlProp288.xml><?xml version="1.0" encoding="utf-8"?>
<formControlPr xmlns="http://schemas.microsoft.com/office/spreadsheetml/2009/9/main" objectType="Button" lockText="1"/>
</file>

<file path=xl/ctrlProps/ctrlProp289.xml><?xml version="1.0" encoding="utf-8"?>
<formControlPr xmlns="http://schemas.microsoft.com/office/spreadsheetml/2009/9/main" objectType="Button" lockText="1"/>
</file>

<file path=xl/ctrlProps/ctrlProp290.xml><?xml version="1.0" encoding="utf-8"?>
<formControlPr xmlns="http://schemas.microsoft.com/office/spreadsheetml/2009/9/main" objectType="Button" lockText="1"/>
</file>

<file path=xl/ctrlProps/ctrlProp291.xml><?xml version="1.0" encoding="utf-8"?>
<formControlPr xmlns="http://schemas.microsoft.com/office/spreadsheetml/2009/9/main" objectType="Button" lockText="1"/>
</file>

<file path=xl/ctrlProps/ctrlProp292.xml><?xml version="1.0" encoding="utf-8"?>
<formControlPr xmlns="http://schemas.microsoft.com/office/spreadsheetml/2009/9/main" objectType="Button" lockText="1"/>
</file>

<file path=xl/ctrlProps/ctrlProp293.xml><?xml version="1.0" encoding="utf-8"?>
<formControlPr xmlns="http://schemas.microsoft.com/office/spreadsheetml/2009/9/main" objectType="Button" lockText="1"/>
</file>

<file path=xl/ctrlProps/ctrlProp294.xml><?xml version="1.0" encoding="utf-8"?>
<formControlPr xmlns="http://schemas.microsoft.com/office/spreadsheetml/2009/9/main" objectType="Button" lockText="1"/>
</file>

<file path=xl/ctrlProps/ctrlProp295.xml><?xml version="1.0" encoding="utf-8"?>
<formControlPr xmlns="http://schemas.microsoft.com/office/spreadsheetml/2009/9/main" objectType="Button" lockText="1"/>
</file>

<file path=xl/ctrlProps/ctrlProp296.xml><?xml version="1.0" encoding="utf-8"?>
<formControlPr xmlns="http://schemas.microsoft.com/office/spreadsheetml/2009/9/main" objectType="Button" lockText="1"/>
</file>

<file path=xl/ctrlProps/ctrlProp297.xml><?xml version="1.0" encoding="utf-8"?>
<formControlPr xmlns="http://schemas.microsoft.com/office/spreadsheetml/2009/9/main" objectType="Button" lockText="1"/>
</file>

<file path=xl/ctrlProps/ctrlProp298.xml><?xml version="1.0" encoding="utf-8"?>
<formControlPr xmlns="http://schemas.microsoft.com/office/spreadsheetml/2009/9/main" objectType="Button" lockText="1"/>
</file>

<file path=xl/ctrlProps/ctrlProp299.xml><?xml version="1.0" encoding="utf-8"?>
<formControlPr xmlns="http://schemas.microsoft.com/office/spreadsheetml/2009/9/main" objectType="Button" lockText="1"/>
</file>

<file path=xl/ctrlProps/ctrlProp300.xml><?xml version="1.0" encoding="utf-8"?>
<formControlPr xmlns="http://schemas.microsoft.com/office/spreadsheetml/2009/9/main" objectType="Button" lockText="1"/>
</file>

<file path=xl/ctrlProps/ctrlProp301.xml><?xml version="1.0" encoding="utf-8"?>
<formControlPr xmlns="http://schemas.microsoft.com/office/spreadsheetml/2009/9/main" objectType="Button" lockText="1"/>
</file>

<file path=xl/ctrlProps/ctrlProp302.xml><?xml version="1.0" encoding="utf-8"?>
<formControlPr xmlns="http://schemas.microsoft.com/office/spreadsheetml/2009/9/main" objectType="Button" lockText="1"/>
</file>

<file path=xl/ctrlProps/ctrlProp303.xml><?xml version="1.0" encoding="utf-8"?>
<formControlPr xmlns="http://schemas.microsoft.com/office/spreadsheetml/2009/9/main" objectType="Button" lockText="1"/>
</file>

<file path=xl/ctrlProps/ctrlProp304.xml><?xml version="1.0" encoding="utf-8"?>
<formControlPr xmlns="http://schemas.microsoft.com/office/spreadsheetml/2009/9/main" objectType="Button" lockText="1"/>
</file>

<file path=xl/ctrlProps/ctrlProp305.xml><?xml version="1.0" encoding="utf-8"?>
<formControlPr xmlns="http://schemas.microsoft.com/office/spreadsheetml/2009/9/main" objectType="Button" lockText="1"/>
</file>

<file path=xl/ctrlProps/ctrlProp306.xml><?xml version="1.0" encoding="utf-8"?>
<formControlPr xmlns="http://schemas.microsoft.com/office/spreadsheetml/2009/9/main" objectType="Button" lockText="1"/>
</file>

<file path=xl/ctrlProps/ctrlProp307.xml><?xml version="1.0" encoding="utf-8"?>
<formControlPr xmlns="http://schemas.microsoft.com/office/spreadsheetml/2009/9/main" objectType="Button" lockText="1"/>
</file>

<file path=xl/ctrlProps/ctrlProp308.xml><?xml version="1.0" encoding="utf-8"?>
<formControlPr xmlns="http://schemas.microsoft.com/office/spreadsheetml/2009/9/main" objectType="Button" lockText="1"/>
</file>

<file path=xl/ctrlProps/ctrlProp309.xml><?xml version="1.0" encoding="utf-8"?>
<formControlPr xmlns="http://schemas.microsoft.com/office/spreadsheetml/2009/9/main" objectType="Button" lockText="1"/>
</file>

<file path=xl/ctrlProps/ctrlProp310.xml><?xml version="1.0" encoding="utf-8"?>
<formControlPr xmlns="http://schemas.microsoft.com/office/spreadsheetml/2009/9/main" objectType="Button" lockText="1"/>
</file>

<file path=xl/ctrlProps/ctrlProp311.xml><?xml version="1.0" encoding="utf-8"?>
<formControlPr xmlns="http://schemas.microsoft.com/office/spreadsheetml/2009/9/main" objectType="Button" lockText="1"/>
</file>

<file path=xl/ctrlProps/ctrlProp312.xml><?xml version="1.0" encoding="utf-8"?>
<formControlPr xmlns="http://schemas.microsoft.com/office/spreadsheetml/2009/9/main" objectType="Button" lockText="1"/>
</file>

<file path=xl/ctrlProps/ctrlProp313.xml><?xml version="1.0" encoding="utf-8"?>
<formControlPr xmlns="http://schemas.microsoft.com/office/spreadsheetml/2009/9/main" objectType="Button" lockText="1"/>
</file>

<file path=xl/ctrlProps/ctrlProp314.xml><?xml version="1.0" encoding="utf-8"?>
<formControlPr xmlns="http://schemas.microsoft.com/office/spreadsheetml/2009/9/main" objectType="Button" lockText="1"/>
</file>

<file path=xl/ctrlProps/ctrlProp315.xml><?xml version="1.0" encoding="utf-8"?>
<formControlPr xmlns="http://schemas.microsoft.com/office/spreadsheetml/2009/9/main" objectType="Button" lockText="1"/>
</file>

<file path=xl/ctrlProps/ctrlProp316.xml><?xml version="1.0" encoding="utf-8"?>
<formControlPr xmlns="http://schemas.microsoft.com/office/spreadsheetml/2009/9/main" objectType="Button" lockText="1"/>
</file>

<file path=xl/ctrlProps/ctrlProp317.xml><?xml version="1.0" encoding="utf-8"?>
<formControlPr xmlns="http://schemas.microsoft.com/office/spreadsheetml/2009/9/main" objectType="Button" lockText="1"/>
</file>

<file path=xl/ctrlProps/ctrlProp318.xml><?xml version="1.0" encoding="utf-8"?>
<formControlPr xmlns="http://schemas.microsoft.com/office/spreadsheetml/2009/9/main" objectType="Button" lockText="1"/>
</file>

<file path=xl/ctrlProps/ctrlProp319.xml><?xml version="1.0" encoding="utf-8"?>
<formControlPr xmlns="http://schemas.microsoft.com/office/spreadsheetml/2009/9/main" objectType="Button" lockText="1"/>
</file>

<file path=xl/ctrlProps/ctrlProp320.xml><?xml version="1.0" encoding="utf-8"?>
<formControlPr xmlns="http://schemas.microsoft.com/office/spreadsheetml/2009/9/main" objectType="Button" lockText="1"/>
</file>

<file path=xl/ctrlProps/ctrlProp321.xml><?xml version="1.0" encoding="utf-8"?>
<formControlPr xmlns="http://schemas.microsoft.com/office/spreadsheetml/2009/9/main" objectType="Button" lockText="1"/>
</file>

<file path=xl/ctrlProps/ctrlProp322.xml><?xml version="1.0" encoding="utf-8"?>
<formControlPr xmlns="http://schemas.microsoft.com/office/spreadsheetml/2009/9/main" objectType="Button" lockText="1"/>
</file>

<file path=xl/ctrlProps/ctrlProp323.xml><?xml version="1.0" encoding="utf-8"?>
<formControlPr xmlns="http://schemas.microsoft.com/office/spreadsheetml/2009/9/main" objectType="Button" lockText="1"/>
</file>

<file path=xl/ctrlProps/ctrlProp324.xml><?xml version="1.0" encoding="utf-8"?>
<formControlPr xmlns="http://schemas.microsoft.com/office/spreadsheetml/2009/9/main" objectType="Button" lockText="1"/>
</file>

<file path=xl/ctrlProps/ctrlProp325.xml><?xml version="1.0" encoding="utf-8"?>
<formControlPr xmlns="http://schemas.microsoft.com/office/spreadsheetml/2009/9/main" objectType="Button" lockText="1"/>
</file>

<file path=xl/ctrlProps/ctrlProp326.xml><?xml version="1.0" encoding="utf-8"?>
<formControlPr xmlns="http://schemas.microsoft.com/office/spreadsheetml/2009/9/main" objectType="Button" lockText="1"/>
</file>

<file path=xl/ctrlProps/ctrlProp327.xml><?xml version="1.0" encoding="utf-8"?>
<formControlPr xmlns="http://schemas.microsoft.com/office/spreadsheetml/2009/9/main" objectType="Button" lockText="1"/>
</file>

<file path=xl/ctrlProps/ctrlProp328.xml><?xml version="1.0" encoding="utf-8"?>
<formControlPr xmlns="http://schemas.microsoft.com/office/spreadsheetml/2009/9/main" objectType="Button" lockText="1"/>
</file>

<file path=xl/ctrlProps/ctrlProp329.xml><?xml version="1.0" encoding="utf-8"?>
<formControlPr xmlns="http://schemas.microsoft.com/office/spreadsheetml/2009/9/main" objectType="Button" lockText="1"/>
</file>

<file path=xl/ctrlProps/ctrlProp330.xml><?xml version="1.0" encoding="utf-8"?>
<formControlPr xmlns="http://schemas.microsoft.com/office/spreadsheetml/2009/9/main" objectType="Button" lockText="1"/>
</file>

<file path=xl/ctrlProps/ctrlProp331.xml><?xml version="1.0" encoding="utf-8"?>
<formControlPr xmlns="http://schemas.microsoft.com/office/spreadsheetml/2009/9/main" objectType="Button" lockText="1"/>
</file>

<file path=xl/ctrlProps/ctrlProp332.xml><?xml version="1.0" encoding="utf-8"?>
<formControlPr xmlns="http://schemas.microsoft.com/office/spreadsheetml/2009/9/main" objectType="Button" lockText="1"/>
</file>

<file path=xl/ctrlProps/ctrlProp333.xml><?xml version="1.0" encoding="utf-8"?>
<formControlPr xmlns="http://schemas.microsoft.com/office/spreadsheetml/2009/9/main" objectType="Button" lockText="1"/>
</file>

<file path=xl/ctrlProps/ctrlProp334.xml><?xml version="1.0" encoding="utf-8"?>
<formControlPr xmlns="http://schemas.microsoft.com/office/spreadsheetml/2009/9/main" objectType="Button" lockText="1"/>
</file>

<file path=xl/ctrlProps/ctrlProp335.xml><?xml version="1.0" encoding="utf-8"?>
<formControlPr xmlns="http://schemas.microsoft.com/office/spreadsheetml/2009/9/main" objectType="Button" lockText="1"/>
</file>

<file path=xl/ctrlProps/ctrlProp336.xml><?xml version="1.0" encoding="utf-8"?>
<formControlPr xmlns="http://schemas.microsoft.com/office/spreadsheetml/2009/9/main" objectType="Button" lockText="1"/>
</file>

<file path=xl/ctrlProps/ctrlProp337.xml><?xml version="1.0" encoding="utf-8"?>
<formControlPr xmlns="http://schemas.microsoft.com/office/spreadsheetml/2009/9/main" objectType="Button" lockText="1"/>
</file>

<file path=xl/ctrlProps/ctrlProp338.xml><?xml version="1.0" encoding="utf-8"?>
<formControlPr xmlns="http://schemas.microsoft.com/office/spreadsheetml/2009/9/main" objectType="Button" lockText="1"/>
</file>

<file path=xl/ctrlProps/ctrlProp339.xml><?xml version="1.0" encoding="utf-8"?>
<formControlPr xmlns="http://schemas.microsoft.com/office/spreadsheetml/2009/9/main" objectType="Button" lockText="1"/>
</file>

<file path=xl/ctrlProps/ctrlProp340.xml><?xml version="1.0" encoding="utf-8"?>
<formControlPr xmlns="http://schemas.microsoft.com/office/spreadsheetml/2009/9/main" objectType="Button" lockText="1"/>
</file>

<file path=xl/ctrlProps/ctrlProp341.xml><?xml version="1.0" encoding="utf-8"?>
<formControlPr xmlns="http://schemas.microsoft.com/office/spreadsheetml/2009/9/main" objectType="Button" lockText="1"/>
</file>

<file path=xl/ctrlProps/ctrlProp342.xml><?xml version="1.0" encoding="utf-8"?>
<formControlPr xmlns="http://schemas.microsoft.com/office/spreadsheetml/2009/9/main" objectType="Button" lockText="1"/>
</file>

<file path=xl/ctrlProps/ctrlProp343.xml><?xml version="1.0" encoding="utf-8"?>
<formControlPr xmlns="http://schemas.microsoft.com/office/spreadsheetml/2009/9/main" objectType="Button" lockText="1"/>
</file>

<file path=xl/ctrlProps/ctrlProp344.xml><?xml version="1.0" encoding="utf-8"?>
<formControlPr xmlns="http://schemas.microsoft.com/office/spreadsheetml/2009/9/main" objectType="Button" lockText="1"/>
</file>

<file path=xl/ctrlProps/ctrlProp345.xml><?xml version="1.0" encoding="utf-8"?>
<formControlPr xmlns="http://schemas.microsoft.com/office/spreadsheetml/2009/9/main" objectType="Button" lockText="1"/>
</file>

<file path=xl/ctrlProps/ctrlProp346.xml><?xml version="1.0" encoding="utf-8"?>
<formControlPr xmlns="http://schemas.microsoft.com/office/spreadsheetml/2009/9/main" objectType="Button" lockText="1"/>
</file>

<file path=xl/ctrlProps/ctrlProp347.xml><?xml version="1.0" encoding="utf-8"?>
<formControlPr xmlns="http://schemas.microsoft.com/office/spreadsheetml/2009/9/main" objectType="Button" lockText="1"/>
</file>

<file path=xl/ctrlProps/ctrlProp348.xml><?xml version="1.0" encoding="utf-8"?>
<formControlPr xmlns="http://schemas.microsoft.com/office/spreadsheetml/2009/9/main" objectType="Button" lockText="1"/>
</file>

<file path=xl/ctrlProps/ctrlProp349.xml><?xml version="1.0" encoding="utf-8"?>
<formControlPr xmlns="http://schemas.microsoft.com/office/spreadsheetml/2009/9/main" objectType="Button" lockText="1"/>
</file>

<file path=xl/ctrlProps/ctrlProp350.xml><?xml version="1.0" encoding="utf-8"?>
<formControlPr xmlns="http://schemas.microsoft.com/office/spreadsheetml/2009/9/main" objectType="Button" lockText="1"/>
</file>

<file path=xl/ctrlProps/ctrlProp351.xml><?xml version="1.0" encoding="utf-8"?>
<formControlPr xmlns="http://schemas.microsoft.com/office/spreadsheetml/2009/9/main" objectType="Button" lockText="1"/>
</file>

<file path=xl/ctrlProps/ctrlProp352.xml><?xml version="1.0" encoding="utf-8"?>
<formControlPr xmlns="http://schemas.microsoft.com/office/spreadsheetml/2009/9/main" objectType="Button" lockText="1"/>
</file>

<file path=xl/ctrlProps/ctrlProp353.xml><?xml version="1.0" encoding="utf-8"?>
<formControlPr xmlns="http://schemas.microsoft.com/office/spreadsheetml/2009/9/main" objectType="Button" lockText="1"/>
</file>

<file path=xl/ctrlProps/ctrlProp354.xml><?xml version="1.0" encoding="utf-8"?>
<formControlPr xmlns="http://schemas.microsoft.com/office/spreadsheetml/2009/9/main" objectType="Button" lockText="1"/>
</file>

<file path=xl/ctrlProps/ctrlProp355.xml><?xml version="1.0" encoding="utf-8"?>
<formControlPr xmlns="http://schemas.microsoft.com/office/spreadsheetml/2009/9/main" objectType="Button" lockText="1"/>
</file>

<file path=xl/ctrlProps/ctrlProp356.xml><?xml version="1.0" encoding="utf-8"?>
<formControlPr xmlns="http://schemas.microsoft.com/office/spreadsheetml/2009/9/main" objectType="Button" lockText="1"/>
</file>

<file path=xl/ctrlProps/ctrlProp357.xml><?xml version="1.0" encoding="utf-8"?>
<formControlPr xmlns="http://schemas.microsoft.com/office/spreadsheetml/2009/9/main" objectType="Button" lockText="1"/>
</file>

<file path=xl/ctrlProps/ctrlProp358.xml><?xml version="1.0" encoding="utf-8"?>
<formControlPr xmlns="http://schemas.microsoft.com/office/spreadsheetml/2009/9/main" objectType="Button" lockText="1"/>
</file>

<file path=xl/ctrlProps/ctrlProp359.xml><?xml version="1.0" encoding="utf-8"?>
<formControlPr xmlns="http://schemas.microsoft.com/office/spreadsheetml/2009/9/main" objectType="Button" lockText="1"/>
</file>

<file path=xl/ctrlProps/ctrlProp360.xml><?xml version="1.0" encoding="utf-8"?>
<formControlPr xmlns="http://schemas.microsoft.com/office/spreadsheetml/2009/9/main" objectType="Button" lockText="1"/>
</file>

<file path=xl/ctrlProps/ctrlProp361.xml><?xml version="1.0" encoding="utf-8"?>
<formControlPr xmlns="http://schemas.microsoft.com/office/spreadsheetml/2009/9/main" objectType="Button" lockText="1"/>
</file>

<file path=xl/ctrlProps/ctrlProp362.xml><?xml version="1.0" encoding="utf-8"?>
<formControlPr xmlns="http://schemas.microsoft.com/office/spreadsheetml/2009/9/main" objectType="Button" lockText="1"/>
</file>

<file path=xl/ctrlProps/ctrlProp363.xml><?xml version="1.0" encoding="utf-8"?>
<formControlPr xmlns="http://schemas.microsoft.com/office/spreadsheetml/2009/9/main" objectType="Button" lockText="1"/>
</file>

<file path=xl/ctrlProps/ctrlProp364.xml><?xml version="1.0" encoding="utf-8"?>
<formControlPr xmlns="http://schemas.microsoft.com/office/spreadsheetml/2009/9/main" objectType="Button" lockText="1"/>
</file>

<file path=xl/ctrlProps/ctrlProp365.xml><?xml version="1.0" encoding="utf-8"?>
<formControlPr xmlns="http://schemas.microsoft.com/office/spreadsheetml/2009/9/main" objectType="Button" lockText="1"/>
</file>

<file path=xl/ctrlProps/ctrlProp366.xml><?xml version="1.0" encoding="utf-8"?>
<formControlPr xmlns="http://schemas.microsoft.com/office/spreadsheetml/2009/9/main" objectType="Button" lockText="1"/>
</file>

<file path=xl/ctrlProps/ctrlProp367.xml><?xml version="1.0" encoding="utf-8"?>
<formControlPr xmlns="http://schemas.microsoft.com/office/spreadsheetml/2009/9/main" objectType="Button" lockText="1"/>
</file>

<file path=xl/ctrlProps/ctrlProp368.xml><?xml version="1.0" encoding="utf-8"?>
<formControlPr xmlns="http://schemas.microsoft.com/office/spreadsheetml/2009/9/main" objectType="Button" lockText="1"/>
</file>

<file path=xl/ctrlProps/ctrlProp369.xml><?xml version="1.0" encoding="utf-8"?>
<formControlPr xmlns="http://schemas.microsoft.com/office/spreadsheetml/2009/9/main" objectType="Button" lockText="1"/>
</file>

<file path=xl/ctrlProps/ctrlProp370.xml><?xml version="1.0" encoding="utf-8"?>
<formControlPr xmlns="http://schemas.microsoft.com/office/spreadsheetml/2009/9/main" objectType="Button" lockText="1"/>
</file>

<file path=xl/ctrlProps/ctrlProp371.xml><?xml version="1.0" encoding="utf-8"?>
<formControlPr xmlns="http://schemas.microsoft.com/office/spreadsheetml/2009/9/main" objectType="Button" lockText="1"/>
</file>

<file path=xl/ctrlProps/ctrlProp372.xml><?xml version="1.0" encoding="utf-8"?>
<formControlPr xmlns="http://schemas.microsoft.com/office/spreadsheetml/2009/9/main" objectType="Button" lockText="1"/>
</file>

<file path=xl/ctrlProps/ctrlProp373.xml><?xml version="1.0" encoding="utf-8"?>
<formControlPr xmlns="http://schemas.microsoft.com/office/spreadsheetml/2009/9/main" objectType="Button" lockText="1"/>
</file>

<file path=xl/ctrlProps/ctrlProp374.xml><?xml version="1.0" encoding="utf-8"?>
<formControlPr xmlns="http://schemas.microsoft.com/office/spreadsheetml/2009/9/main" objectType="Button" lockText="1"/>
</file>

<file path=xl/ctrlProps/ctrlProp375.xml><?xml version="1.0" encoding="utf-8"?>
<formControlPr xmlns="http://schemas.microsoft.com/office/spreadsheetml/2009/9/main" objectType="Button" lockText="1"/>
</file>

<file path=xl/ctrlProps/ctrlProp376.xml><?xml version="1.0" encoding="utf-8"?>
<formControlPr xmlns="http://schemas.microsoft.com/office/spreadsheetml/2009/9/main" objectType="Button" lockText="1"/>
</file>

<file path=xl/ctrlProps/ctrlProp377.xml><?xml version="1.0" encoding="utf-8"?>
<formControlPr xmlns="http://schemas.microsoft.com/office/spreadsheetml/2009/9/main" objectType="Button" lockText="1"/>
</file>

<file path=xl/ctrlProps/ctrlProp378.xml><?xml version="1.0" encoding="utf-8"?>
<formControlPr xmlns="http://schemas.microsoft.com/office/spreadsheetml/2009/9/main" objectType="Button" lockText="1"/>
</file>

<file path=xl/ctrlProps/ctrlProp379.xml><?xml version="1.0" encoding="utf-8"?>
<formControlPr xmlns="http://schemas.microsoft.com/office/spreadsheetml/2009/9/main" objectType="Button" lockText="1"/>
</file>

<file path=xl/ctrlProps/ctrlProp380.xml><?xml version="1.0" encoding="utf-8"?>
<formControlPr xmlns="http://schemas.microsoft.com/office/spreadsheetml/2009/9/main" objectType="Button" lockText="1"/>
</file>

<file path=xl/ctrlProps/ctrlProp381.xml><?xml version="1.0" encoding="utf-8"?>
<formControlPr xmlns="http://schemas.microsoft.com/office/spreadsheetml/2009/9/main" objectType="Button" lockText="1"/>
</file>

<file path=xl/ctrlProps/ctrlProp382.xml><?xml version="1.0" encoding="utf-8"?>
<formControlPr xmlns="http://schemas.microsoft.com/office/spreadsheetml/2009/9/main" objectType="Button" lockText="1"/>
</file>

<file path=xl/ctrlProps/ctrlProp383.xml><?xml version="1.0" encoding="utf-8"?>
<formControlPr xmlns="http://schemas.microsoft.com/office/spreadsheetml/2009/9/main" objectType="Button" lockText="1"/>
</file>

<file path=xl/ctrlProps/ctrlProp384.xml><?xml version="1.0" encoding="utf-8"?>
<formControlPr xmlns="http://schemas.microsoft.com/office/spreadsheetml/2009/9/main" objectType="Button" lockText="1"/>
</file>

<file path=xl/ctrlProps/ctrlProp385.xml><?xml version="1.0" encoding="utf-8"?>
<formControlPr xmlns="http://schemas.microsoft.com/office/spreadsheetml/2009/9/main" objectType="Button" lockText="1"/>
</file>

<file path=xl/ctrlProps/ctrlProp386.xml><?xml version="1.0" encoding="utf-8"?>
<formControlPr xmlns="http://schemas.microsoft.com/office/spreadsheetml/2009/9/main" objectType="Button" lockText="1"/>
</file>

<file path=xl/ctrlProps/ctrlProp387.xml><?xml version="1.0" encoding="utf-8"?>
<formControlPr xmlns="http://schemas.microsoft.com/office/spreadsheetml/2009/9/main" objectType="Button" lockText="1"/>
</file>

<file path=xl/ctrlProps/ctrlProp388.xml><?xml version="1.0" encoding="utf-8"?>
<formControlPr xmlns="http://schemas.microsoft.com/office/spreadsheetml/2009/9/main" objectType="Button" lockText="1"/>
</file>

<file path=xl/ctrlProps/ctrlProp389.xml><?xml version="1.0" encoding="utf-8"?>
<formControlPr xmlns="http://schemas.microsoft.com/office/spreadsheetml/2009/9/main" objectType="Button" lockText="1"/>
</file>

<file path=xl/ctrlProps/ctrlProp390.xml><?xml version="1.0" encoding="utf-8"?>
<formControlPr xmlns="http://schemas.microsoft.com/office/spreadsheetml/2009/9/main" objectType="Button" lockText="1"/>
</file>

<file path=xl/ctrlProps/ctrlProp391.xml><?xml version="1.0" encoding="utf-8"?>
<formControlPr xmlns="http://schemas.microsoft.com/office/spreadsheetml/2009/9/main" objectType="Button" lockText="1"/>
</file>

<file path=xl/ctrlProps/ctrlProp392.xml><?xml version="1.0" encoding="utf-8"?>
<formControlPr xmlns="http://schemas.microsoft.com/office/spreadsheetml/2009/9/main" objectType="Button" lockText="1"/>
</file>

<file path=xl/ctrlProps/ctrlProp393.xml><?xml version="1.0" encoding="utf-8"?>
<formControlPr xmlns="http://schemas.microsoft.com/office/spreadsheetml/2009/9/main" objectType="Button" lockText="1"/>
</file>

<file path=xl/ctrlProps/ctrlProp394.xml><?xml version="1.0" encoding="utf-8"?>
<formControlPr xmlns="http://schemas.microsoft.com/office/spreadsheetml/2009/9/main" objectType="Button" lockText="1"/>
</file>

<file path=xl/ctrlProps/ctrlProp395.xml><?xml version="1.0" encoding="utf-8"?>
<formControlPr xmlns="http://schemas.microsoft.com/office/spreadsheetml/2009/9/main" objectType="Button" lockText="1"/>
</file>

<file path=xl/ctrlProps/ctrlProp396.xml><?xml version="1.0" encoding="utf-8"?>
<formControlPr xmlns="http://schemas.microsoft.com/office/spreadsheetml/2009/9/main" objectType="Button" lockText="1"/>
</file>

<file path=xl/ctrlProps/ctrlProp397.xml><?xml version="1.0" encoding="utf-8"?>
<formControlPr xmlns="http://schemas.microsoft.com/office/spreadsheetml/2009/9/main" objectType="Button" lockText="1"/>
</file>

<file path=xl/ctrlProps/ctrlProp398.xml><?xml version="1.0" encoding="utf-8"?>
<formControlPr xmlns="http://schemas.microsoft.com/office/spreadsheetml/2009/9/main" objectType="Button" lockText="1"/>
</file>

<file path=xl/ctrlProps/ctrlProp399.xml><?xml version="1.0" encoding="utf-8"?>
<formControlPr xmlns="http://schemas.microsoft.com/office/spreadsheetml/2009/9/main" objectType="Button" lockText="1"/>
</file>

<file path=xl/ctrlProps/ctrlProp400.xml><?xml version="1.0" encoding="utf-8"?>
<formControlPr xmlns="http://schemas.microsoft.com/office/spreadsheetml/2009/9/main" objectType="Button" lockText="1"/>
</file>

<file path=xl/ctrlProps/ctrlProp401.xml><?xml version="1.0" encoding="utf-8"?>
<formControlPr xmlns="http://schemas.microsoft.com/office/spreadsheetml/2009/9/main" objectType="Button" lockText="1"/>
</file>

<file path=xl/ctrlProps/ctrlProp402.xml><?xml version="1.0" encoding="utf-8"?>
<formControlPr xmlns="http://schemas.microsoft.com/office/spreadsheetml/2009/9/main" objectType="Button" lockText="1"/>
</file>

<file path=xl/ctrlProps/ctrlProp403.xml><?xml version="1.0" encoding="utf-8"?>
<formControlPr xmlns="http://schemas.microsoft.com/office/spreadsheetml/2009/9/main" objectType="Button" lockText="1"/>
</file>

<file path=xl/ctrlProps/ctrlProp404.xml><?xml version="1.0" encoding="utf-8"?>
<formControlPr xmlns="http://schemas.microsoft.com/office/spreadsheetml/2009/9/main" objectType="Button" lockText="1"/>
</file>

<file path=xl/ctrlProps/ctrlProp405.xml><?xml version="1.0" encoding="utf-8"?>
<formControlPr xmlns="http://schemas.microsoft.com/office/spreadsheetml/2009/9/main" objectType="Button" lockText="1"/>
</file>

<file path=xl/ctrlProps/ctrlProp406.xml><?xml version="1.0" encoding="utf-8"?>
<formControlPr xmlns="http://schemas.microsoft.com/office/spreadsheetml/2009/9/main" objectType="Button" lockText="1"/>
</file>

<file path=xl/ctrlProps/ctrlProp407.xml><?xml version="1.0" encoding="utf-8"?>
<formControlPr xmlns="http://schemas.microsoft.com/office/spreadsheetml/2009/9/main" objectType="Button" lockText="1"/>
</file>

<file path=xl/ctrlProps/ctrlProp408.xml><?xml version="1.0" encoding="utf-8"?>
<formControlPr xmlns="http://schemas.microsoft.com/office/spreadsheetml/2009/9/main" objectType="Button" lockText="1"/>
</file>

<file path=xl/ctrlProps/ctrlProp409.xml><?xml version="1.0" encoding="utf-8"?>
<formControlPr xmlns="http://schemas.microsoft.com/office/spreadsheetml/2009/9/main" objectType="Button" lockText="1"/>
</file>

<file path=xl/ctrlProps/ctrlProp410.xml><?xml version="1.0" encoding="utf-8"?>
<formControlPr xmlns="http://schemas.microsoft.com/office/spreadsheetml/2009/9/main" objectType="Button" lockText="1"/>
</file>

<file path=xl/ctrlProps/ctrlProp411.xml><?xml version="1.0" encoding="utf-8"?>
<formControlPr xmlns="http://schemas.microsoft.com/office/spreadsheetml/2009/9/main" objectType="Button" lockText="1"/>
</file>

<file path=xl/ctrlProps/ctrlProp412.xml><?xml version="1.0" encoding="utf-8"?>
<formControlPr xmlns="http://schemas.microsoft.com/office/spreadsheetml/2009/9/main" objectType="Button" lockText="1"/>
</file>

<file path=xl/ctrlProps/ctrlProp413.xml><?xml version="1.0" encoding="utf-8"?>
<formControlPr xmlns="http://schemas.microsoft.com/office/spreadsheetml/2009/9/main" objectType="Button" lockText="1"/>
</file>

<file path=xl/ctrlProps/ctrlProp414.xml><?xml version="1.0" encoding="utf-8"?>
<formControlPr xmlns="http://schemas.microsoft.com/office/spreadsheetml/2009/9/main" objectType="Button" lockText="1"/>
</file>

<file path=xl/ctrlProps/ctrlProp415.xml><?xml version="1.0" encoding="utf-8"?>
<formControlPr xmlns="http://schemas.microsoft.com/office/spreadsheetml/2009/9/main" objectType="Button" lockText="1"/>
</file>

<file path=xl/ctrlProps/ctrlProp416.xml><?xml version="1.0" encoding="utf-8"?>
<formControlPr xmlns="http://schemas.microsoft.com/office/spreadsheetml/2009/9/main" objectType="Button" lockText="1"/>
</file>

<file path=xl/ctrlProps/ctrlProp417.xml><?xml version="1.0" encoding="utf-8"?>
<formControlPr xmlns="http://schemas.microsoft.com/office/spreadsheetml/2009/9/main" objectType="Button" lockText="1"/>
</file>

<file path=xl/ctrlProps/ctrlProp418.xml><?xml version="1.0" encoding="utf-8"?>
<formControlPr xmlns="http://schemas.microsoft.com/office/spreadsheetml/2009/9/main" objectType="Button" lockText="1"/>
</file>

<file path=xl/ctrlProps/ctrlProp419.xml><?xml version="1.0" encoding="utf-8"?>
<formControlPr xmlns="http://schemas.microsoft.com/office/spreadsheetml/2009/9/main" objectType="Button" lockText="1"/>
</file>

<file path=xl/ctrlProps/ctrlProp420.xml><?xml version="1.0" encoding="utf-8"?>
<formControlPr xmlns="http://schemas.microsoft.com/office/spreadsheetml/2009/9/main" objectType="Button" lockText="1"/>
</file>

<file path=xl/ctrlProps/ctrlProp421.xml><?xml version="1.0" encoding="utf-8"?>
<formControlPr xmlns="http://schemas.microsoft.com/office/spreadsheetml/2009/9/main" objectType="Button" lockText="1"/>
</file>

<file path=xl/ctrlProps/ctrlProp422.xml><?xml version="1.0" encoding="utf-8"?>
<formControlPr xmlns="http://schemas.microsoft.com/office/spreadsheetml/2009/9/main" objectType="Button" lockText="1"/>
</file>

<file path=xl/ctrlProps/ctrlProp423.xml><?xml version="1.0" encoding="utf-8"?>
<formControlPr xmlns="http://schemas.microsoft.com/office/spreadsheetml/2009/9/main" objectType="Button" lockText="1"/>
</file>

<file path=xl/ctrlProps/ctrlProp424.xml><?xml version="1.0" encoding="utf-8"?>
<formControlPr xmlns="http://schemas.microsoft.com/office/spreadsheetml/2009/9/main" objectType="Button" lockText="1"/>
</file>

<file path=xl/ctrlProps/ctrlProp425.xml><?xml version="1.0" encoding="utf-8"?>
<formControlPr xmlns="http://schemas.microsoft.com/office/spreadsheetml/2009/9/main" objectType="Button" lockText="1"/>
</file>

<file path=xl/ctrlProps/ctrlProp426.xml><?xml version="1.0" encoding="utf-8"?>
<formControlPr xmlns="http://schemas.microsoft.com/office/spreadsheetml/2009/9/main" objectType="Button" lockText="1"/>
</file>

<file path=xl/ctrlProps/ctrlProp427.xml><?xml version="1.0" encoding="utf-8"?>
<formControlPr xmlns="http://schemas.microsoft.com/office/spreadsheetml/2009/9/main" objectType="Button" lockText="1"/>
</file>

<file path=xl/ctrlProps/ctrlProp428.xml><?xml version="1.0" encoding="utf-8"?>
<formControlPr xmlns="http://schemas.microsoft.com/office/spreadsheetml/2009/9/main" objectType="Button" lockText="1"/>
</file>

<file path=xl/ctrlProps/ctrlProp429.xml><?xml version="1.0" encoding="utf-8"?>
<formControlPr xmlns="http://schemas.microsoft.com/office/spreadsheetml/2009/9/main" objectType="Button" lockText="1"/>
</file>

<file path=xl/ctrlProps/ctrlProp430.xml><?xml version="1.0" encoding="utf-8"?>
<formControlPr xmlns="http://schemas.microsoft.com/office/spreadsheetml/2009/9/main" objectType="Button" lockText="1"/>
</file>

<file path=xl/ctrlProps/ctrlProp431.xml><?xml version="1.0" encoding="utf-8"?>
<formControlPr xmlns="http://schemas.microsoft.com/office/spreadsheetml/2009/9/main" objectType="Button" lockText="1"/>
</file>

<file path=xl/ctrlProps/ctrlProp432.xml><?xml version="1.0" encoding="utf-8"?>
<formControlPr xmlns="http://schemas.microsoft.com/office/spreadsheetml/2009/9/main" objectType="Button" lockText="1"/>
</file>

<file path=xl/ctrlProps/ctrlProp433.xml><?xml version="1.0" encoding="utf-8"?>
<formControlPr xmlns="http://schemas.microsoft.com/office/spreadsheetml/2009/9/main" objectType="Button" lockText="1"/>
</file>

<file path=xl/ctrlProps/ctrlProp434.xml><?xml version="1.0" encoding="utf-8"?>
<formControlPr xmlns="http://schemas.microsoft.com/office/spreadsheetml/2009/9/main" objectType="Button" lockText="1"/>
</file>

<file path=xl/ctrlProps/ctrlProp435.xml><?xml version="1.0" encoding="utf-8"?>
<formControlPr xmlns="http://schemas.microsoft.com/office/spreadsheetml/2009/9/main" objectType="Button" lockText="1"/>
</file>

<file path=xl/ctrlProps/ctrlProp436.xml><?xml version="1.0" encoding="utf-8"?>
<formControlPr xmlns="http://schemas.microsoft.com/office/spreadsheetml/2009/9/main" objectType="Button" lockText="1"/>
</file>

<file path=xl/ctrlProps/ctrlProp437.xml><?xml version="1.0" encoding="utf-8"?>
<formControlPr xmlns="http://schemas.microsoft.com/office/spreadsheetml/2009/9/main" objectType="Button" lockText="1"/>
</file>

<file path=xl/ctrlProps/ctrlProp438.xml><?xml version="1.0" encoding="utf-8"?>
<formControlPr xmlns="http://schemas.microsoft.com/office/spreadsheetml/2009/9/main" objectType="Button" lockText="1"/>
</file>

<file path=xl/ctrlProps/ctrlProp439.xml><?xml version="1.0" encoding="utf-8"?>
<formControlPr xmlns="http://schemas.microsoft.com/office/spreadsheetml/2009/9/main" objectType="Button" lockText="1"/>
</file>

<file path=xl/ctrlProps/ctrlProp440.xml><?xml version="1.0" encoding="utf-8"?>
<formControlPr xmlns="http://schemas.microsoft.com/office/spreadsheetml/2009/9/main" objectType="Button" lockText="1"/>
</file>

<file path=xl/ctrlProps/ctrlProp441.xml><?xml version="1.0" encoding="utf-8"?>
<formControlPr xmlns="http://schemas.microsoft.com/office/spreadsheetml/2009/9/main" objectType="Button" lockText="1"/>
</file>

<file path=xl/ctrlProps/ctrlProp442.xml><?xml version="1.0" encoding="utf-8"?>
<formControlPr xmlns="http://schemas.microsoft.com/office/spreadsheetml/2009/9/main" objectType="Button" lockText="1"/>
</file>

<file path=xl/ctrlProps/ctrlProp443.xml><?xml version="1.0" encoding="utf-8"?>
<formControlPr xmlns="http://schemas.microsoft.com/office/spreadsheetml/2009/9/main" objectType="Button" lockText="1"/>
</file>

<file path=xl/ctrlProps/ctrlProp444.xml><?xml version="1.0" encoding="utf-8"?>
<formControlPr xmlns="http://schemas.microsoft.com/office/spreadsheetml/2009/9/main" objectType="Button" lockText="1"/>
</file>

<file path=xl/ctrlProps/ctrlProp445.xml><?xml version="1.0" encoding="utf-8"?>
<formControlPr xmlns="http://schemas.microsoft.com/office/spreadsheetml/2009/9/main" objectType="Button" lockText="1"/>
</file>

<file path=xl/ctrlProps/ctrlProp446.xml><?xml version="1.0" encoding="utf-8"?>
<formControlPr xmlns="http://schemas.microsoft.com/office/spreadsheetml/2009/9/main" objectType="Button" lockText="1"/>
</file>

<file path=xl/ctrlProps/ctrlProp447.xml><?xml version="1.0" encoding="utf-8"?>
<formControlPr xmlns="http://schemas.microsoft.com/office/spreadsheetml/2009/9/main" objectType="Button" lockText="1"/>
</file>

<file path=xl/ctrlProps/ctrlProp448.xml><?xml version="1.0" encoding="utf-8"?>
<formControlPr xmlns="http://schemas.microsoft.com/office/spreadsheetml/2009/9/main" objectType="Button" lockText="1"/>
</file>

<file path=xl/ctrlProps/ctrlProp449.xml><?xml version="1.0" encoding="utf-8"?>
<formControlPr xmlns="http://schemas.microsoft.com/office/spreadsheetml/2009/9/main" objectType="Button" lockText="1"/>
</file>

<file path=xl/ctrlProps/ctrlProp450.xml><?xml version="1.0" encoding="utf-8"?>
<formControlPr xmlns="http://schemas.microsoft.com/office/spreadsheetml/2009/9/main" objectType="Button" lockText="1"/>
</file>

<file path=xl/ctrlProps/ctrlProp451.xml><?xml version="1.0" encoding="utf-8"?>
<formControlPr xmlns="http://schemas.microsoft.com/office/spreadsheetml/2009/9/main" objectType="Button" lockText="1"/>
</file>

<file path=xl/ctrlProps/ctrlProp452.xml><?xml version="1.0" encoding="utf-8"?>
<formControlPr xmlns="http://schemas.microsoft.com/office/spreadsheetml/2009/9/main" objectType="Button" lockText="1"/>
</file>

<file path=xl/ctrlProps/ctrlProp453.xml><?xml version="1.0" encoding="utf-8"?>
<formControlPr xmlns="http://schemas.microsoft.com/office/spreadsheetml/2009/9/main" objectType="Button" lockText="1"/>
</file>

<file path=xl/ctrlProps/ctrlProp454.xml><?xml version="1.0" encoding="utf-8"?>
<formControlPr xmlns="http://schemas.microsoft.com/office/spreadsheetml/2009/9/main" objectType="Button" lockText="1"/>
</file>

<file path=xl/ctrlProps/ctrlProp455.xml><?xml version="1.0" encoding="utf-8"?>
<formControlPr xmlns="http://schemas.microsoft.com/office/spreadsheetml/2009/9/main" objectType="Button" lockText="1"/>
</file>

<file path=xl/ctrlProps/ctrlProp456.xml><?xml version="1.0" encoding="utf-8"?>
<formControlPr xmlns="http://schemas.microsoft.com/office/spreadsheetml/2009/9/main" objectType="Button" lockText="1"/>
</file>

<file path=xl/ctrlProps/ctrlProp457.xml><?xml version="1.0" encoding="utf-8"?>
<formControlPr xmlns="http://schemas.microsoft.com/office/spreadsheetml/2009/9/main" objectType="Button" lockText="1"/>
</file>

<file path=xl/ctrlProps/ctrlProp458.xml><?xml version="1.0" encoding="utf-8"?>
<formControlPr xmlns="http://schemas.microsoft.com/office/spreadsheetml/2009/9/main" objectType="Button" lockText="1"/>
</file>

<file path=xl/ctrlProps/ctrlProp459.xml><?xml version="1.0" encoding="utf-8"?>
<formControlPr xmlns="http://schemas.microsoft.com/office/spreadsheetml/2009/9/main" objectType="Button" lockText="1"/>
</file>

<file path=xl/ctrlProps/ctrlProp460.xml><?xml version="1.0" encoding="utf-8"?>
<formControlPr xmlns="http://schemas.microsoft.com/office/spreadsheetml/2009/9/main" objectType="Button" lockText="1"/>
</file>

<file path=xl/ctrlProps/ctrlProp461.xml><?xml version="1.0" encoding="utf-8"?>
<formControlPr xmlns="http://schemas.microsoft.com/office/spreadsheetml/2009/9/main" objectType="Button" lockText="1"/>
</file>

<file path=xl/ctrlProps/ctrlProp462.xml><?xml version="1.0" encoding="utf-8"?>
<formControlPr xmlns="http://schemas.microsoft.com/office/spreadsheetml/2009/9/main" objectType="Button" lockText="1"/>
</file>

<file path=xl/ctrlProps/ctrlProp463.xml><?xml version="1.0" encoding="utf-8"?>
<formControlPr xmlns="http://schemas.microsoft.com/office/spreadsheetml/2009/9/main" objectType="Button" lockText="1"/>
</file>

<file path=xl/ctrlProps/ctrlProp464.xml><?xml version="1.0" encoding="utf-8"?>
<formControlPr xmlns="http://schemas.microsoft.com/office/spreadsheetml/2009/9/main" objectType="Button" lockText="1"/>
</file>

<file path=xl/ctrlProps/ctrlProp465.xml><?xml version="1.0" encoding="utf-8"?>
<formControlPr xmlns="http://schemas.microsoft.com/office/spreadsheetml/2009/9/main" objectType="Button" lockText="1"/>
</file>

<file path=xl/ctrlProps/ctrlProp466.xml><?xml version="1.0" encoding="utf-8"?>
<formControlPr xmlns="http://schemas.microsoft.com/office/spreadsheetml/2009/9/main" objectType="Button" lockText="1"/>
</file>

<file path=xl/ctrlProps/ctrlProp467.xml><?xml version="1.0" encoding="utf-8"?>
<formControlPr xmlns="http://schemas.microsoft.com/office/spreadsheetml/2009/9/main" objectType="Button" lockText="1"/>
</file>

<file path=xl/ctrlProps/ctrlProp468.xml><?xml version="1.0" encoding="utf-8"?>
<formControlPr xmlns="http://schemas.microsoft.com/office/spreadsheetml/2009/9/main" objectType="Button" lockText="1"/>
</file>

<file path=xl/ctrlProps/ctrlProp469.xml><?xml version="1.0" encoding="utf-8"?>
<formControlPr xmlns="http://schemas.microsoft.com/office/spreadsheetml/2009/9/main" objectType="Button" lockText="1"/>
</file>

<file path=xl/ctrlProps/ctrlProp470.xml><?xml version="1.0" encoding="utf-8"?>
<formControlPr xmlns="http://schemas.microsoft.com/office/spreadsheetml/2009/9/main" objectType="Button" lockText="1"/>
</file>

<file path=xl/ctrlProps/ctrlProp471.xml><?xml version="1.0" encoding="utf-8"?>
<formControlPr xmlns="http://schemas.microsoft.com/office/spreadsheetml/2009/9/main" objectType="Button" lockText="1"/>
</file>

<file path=xl/ctrlProps/ctrlProp472.xml><?xml version="1.0" encoding="utf-8"?>
<formControlPr xmlns="http://schemas.microsoft.com/office/spreadsheetml/2009/9/main" objectType="Button" lockText="1"/>
</file>

<file path=xl/ctrlProps/ctrlProp473.xml><?xml version="1.0" encoding="utf-8"?>
<formControlPr xmlns="http://schemas.microsoft.com/office/spreadsheetml/2009/9/main" objectType="Button" lockText="1"/>
</file>

<file path=xl/ctrlProps/ctrlProp474.xml><?xml version="1.0" encoding="utf-8"?>
<formControlPr xmlns="http://schemas.microsoft.com/office/spreadsheetml/2009/9/main" objectType="Button" lockText="1"/>
</file>

<file path=xl/ctrlProps/ctrlProp475.xml><?xml version="1.0" encoding="utf-8"?>
<formControlPr xmlns="http://schemas.microsoft.com/office/spreadsheetml/2009/9/main" objectType="Button" lockText="1"/>
</file>

<file path=xl/ctrlProps/ctrlProp476.xml><?xml version="1.0" encoding="utf-8"?>
<formControlPr xmlns="http://schemas.microsoft.com/office/spreadsheetml/2009/9/main" objectType="Button" lockText="1"/>
</file>

<file path=xl/ctrlProps/ctrlProp477.xml><?xml version="1.0" encoding="utf-8"?>
<formControlPr xmlns="http://schemas.microsoft.com/office/spreadsheetml/2009/9/main" objectType="Button" lockText="1"/>
</file>

<file path=xl/ctrlProps/ctrlProp478.xml><?xml version="1.0" encoding="utf-8"?>
<formControlPr xmlns="http://schemas.microsoft.com/office/spreadsheetml/2009/9/main" objectType="Button" lockText="1"/>
</file>

<file path=xl/ctrlProps/ctrlProp479.xml><?xml version="1.0" encoding="utf-8"?>
<formControlPr xmlns="http://schemas.microsoft.com/office/spreadsheetml/2009/9/main" objectType="Button" lockText="1"/>
</file>

<file path=xl/ctrlProps/ctrlProp480.xml><?xml version="1.0" encoding="utf-8"?>
<formControlPr xmlns="http://schemas.microsoft.com/office/spreadsheetml/2009/9/main" objectType="Button" lockText="1"/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114300</xdr:colOff>
          <xdr:row>0</xdr:row>
          <xdr:rowOff>38100</xdr:rowOff>
        </xdr:from>
        <xdr:to>
          <xdr:col>7</xdr:col>
          <xdr:colOff>590550</xdr:colOff>
          <xdr:row>0</xdr:row>
          <xdr:rowOff>200025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47625</xdr:colOff>
          <xdr:row>0</xdr:row>
          <xdr:rowOff>38100</xdr:rowOff>
        </xdr:from>
        <xdr:to>
          <xdr:col>8</xdr:col>
          <xdr:colOff>247650</xdr:colOff>
          <xdr:row>0</xdr:row>
          <xdr:rowOff>200025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1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533400</xdr:colOff>
          <xdr:row>0</xdr:row>
          <xdr:rowOff>38100</xdr:rowOff>
        </xdr:from>
        <xdr:to>
          <xdr:col>7</xdr:col>
          <xdr:colOff>47625</xdr:colOff>
          <xdr:row>0</xdr:row>
          <xdr:rowOff>200025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1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114300</xdr:colOff>
          <xdr:row>0</xdr:row>
          <xdr:rowOff>38100</xdr:rowOff>
        </xdr:from>
        <xdr:to>
          <xdr:col>7</xdr:col>
          <xdr:colOff>590550</xdr:colOff>
          <xdr:row>0</xdr:row>
          <xdr:rowOff>200025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2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47625</xdr:colOff>
          <xdr:row>0</xdr:row>
          <xdr:rowOff>38100</xdr:rowOff>
        </xdr:from>
        <xdr:to>
          <xdr:col>8</xdr:col>
          <xdr:colOff>247650</xdr:colOff>
          <xdr:row>0</xdr:row>
          <xdr:rowOff>200025</xdr:rowOff>
        </xdr:to>
        <xdr:sp macro="" textlink="">
          <xdr:nvSpPr>
            <xdr:cNvPr id="2050" name="Button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2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533400</xdr:colOff>
          <xdr:row>0</xdr:row>
          <xdr:rowOff>38100</xdr:rowOff>
        </xdr:from>
        <xdr:to>
          <xdr:col>7</xdr:col>
          <xdr:colOff>47625</xdr:colOff>
          <xdr:row>0</xdr:row>
          <xdr:rowOff>200025</xdr:rowOff>
        </xdr:to>
        <xdr:sp macro="" textlink="">
          <xdr:nvSpPr>
            <xdr:cNvPr id="2051" name="Button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2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12</xdr:col>
          <xdr:colOff>590550</xdr:colOff>
          <xdr:row>0</xdr:row>
          <xdr:rowOff>38100</xdr:rowOff>
        </xdr:from>
        <xdr:to>
          <xdr:col>13</xdr:col>
          <xdr:colOff>171450</xdr:colOff>
          <xdr:row>0</xdr:row>
          <xdr:rowOff>200025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3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13</xdr:col>
          <xdr:colOff>247650</xdr:colOff>
          <xdr:row>0</xdr:row>
          <xdr:rowOff>38100</xdr:rowOff>
        </xdr:from>
        <xdr:to>
          <xdr:col>13</xdr:col>
          <xdr:colOff>457200</xdr:colOff>
          <xdr:row>0</xdr:row>
          <xdr:rowOff>200025</xdr:rowOff>
        </xdr:to>
        <xdr:sp macro="" textlink="">
          <xdr:nvSpPr>
            <xdr:cNvPr id="3074" name="Button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3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12</xdr:col>
          <xdr:colOff>323850</xdr:colOff>
          <xdr:row>0</xdr:row>
          <xdr:rowOff>38100</xdr:rowOff>
        </xdr:from>
        <xdr:to>
          <xdr:col>12</xdr:col>
          <xdr:colOff>523875</xdr:colOff>
          <xdr:row>0</xdr:row>
          <xdr:rowOff>200025</xdr:rowOff>
        </xdr:to>
        <xdr:sp macro="" textlink="">
          <xdr:nvSpPr>
            <xdr:cNvPr id="3075" name="Button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3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190500</xdr:colOff>
          <xdr:row>0</xdr:row>
          <xdr:rowOff>38100</xdr:rowOff>
        </xdr:from>
        <xdr:to>
          <xdr:col>8</xdr:col>
          <xdr:colOff>657225</xdr:colOff>
          <xdr:row>0</xdr:row>
          <xdr:rowOff>200025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4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723900</xdr:colOff>
          <xdr:row>0</xdr:row>
          <xdr:rowOff>38100</xdr:rowOff>
        </xdr:from>
        <xdr:to>
          <xdr:col>8</xdr:col>
          <xdr:colOff>923925</xdr:colOff>
          <xdr:row>0</xdr:row>
          <xdr:rowOff>200025</xdr:rowOff>
        </xdr:to>
        <xdr:sp macro="" textlink="">
          <xdr:nvSpPr>
            <xdr:cNvPr id="4098" name="Button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4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533400</xdr:colOff>
          <xdr:row>0</xdr:row>
          <xdr:rowOff>38100</xdr:rowOff>
        </xdr:from>
        <xdr:to>
          <xdr:col>8</xdr:col>
          <xdr:colOff>123825</xdr:colOff>
          <xdr:row>0</xdr:row>
          <xdr:rowOff>200025</xdr:rowOff>
        </xdr:to>
        <xdr:sp macro="" textlink="">
          <xdr:nvSpPr>
            <xdr:cNvPr id="4099" name="Button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4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5121" name="Button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5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5122" name="Button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5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5123" name="Button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5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676275</xdr:colOff>
          <xdr:row>0</xdr:row>
          <xdr:rowOff>38100</xdr:rowOff>
        </xdr:from>
        <xdr:to>
          <xdr:col>9</xdr:col>
          <xdr:colOff>247650</xdr:colOff>
          <xdr:row>0</xdr:row>
          <xdr:rowOff>200025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314325</xdr:colOff>
          <xdr:row>0</xdr:row>
          <xdr:rowOff>38100</xdr:rowOff>
        </xdr:from>
        <xdr:to>
          <xdr:col>9</xdr:col>
          <xdr:colOff>514350</xdr:colOff>
          <xdr:row>0</xdr:row>
          <xdr:rowOff>200025</xdr:rowOff>
        </xdr:to>
        <xdr:sp macro="" textlink="">
          <xdr:nvSpPr>
            <xdr:cNvPr id="6146" name="Button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6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409575</xdr:colOff>
          <xdr:row>0</xdr:row>
          <xdr:rowOff>38100</xdr:rowOff>
        </xdr:from>
        <xdr:to>
          <xdr:col>8</xdr:col>
          <xdr:colOff>609600</xdr:colOff>
          <xdr:row>0</xdr:row>
          <xdr:rowOff>200025</xdr:rowOff>
        </xdr:to>
        <xdr:sp macro="" textlink="">
          <xdr:nvSpPr>
            <xdr:cNvPr id="6147" name="Button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6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542925</xdr:colOff>
          <xdr:row>0</xdr:row>
          <xdr:rowOff>38100</xdr:rowOff>
        </xdr:from>
        <xdr:to>
          <xdr:col>8</xdr:col>
          <xdr:colOff>400050</xdr:colOff>
          <xdr:row>0</xdr:row>
          <xdr:rowOff>200025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7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466725</xdr:colOff>
          <xdr:row>0</xdr:row>
          <xdr:rowOff>38100</xdr:rowOff>
        </xdr:from>
        <xdr:to>
          <xdr:col>8</xdr:col>
          <xdr:colOff>666750</xdr:colOff>
          <xdr:row>0</xdr:row>
          <xdr:rowOff>200025</xdr:rowOff>
        </xdr:to>
        <xdr:sp macro="" textlink="">
          <xdr:nvSpPr>
            <xdr:cNvPr id="7170" name="Button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7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266700</xdr:colOff>
          <xdr:row>0</xdr:row>
          <xdr:rowOff>38100</xdr:rowOff>
        </xdr:from>
        <xdr:to>
          <xdr:col>7</xdr:col>
          <xdr:colOff>476250</xdr:colOff>
          <xdr:row>0</xdr:row>
          <xdr:rowOff>200025</xdr:rowOff>
        </xdr:to>
        <xdr:sp macro="" textlink="">
          <xdr:nvSpPr>
            <xdr:cNvPr id="7171" name="Button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7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1171575</xdr:colOff>
          <xdr:row>0</xdr:row>
          <xdr:rowOff>38100</xdr:rowOff>
        </xdr:from>
        <xdr:to>
          <xdr:col>6</xdr:col>
          <xdr:colOff>1638300</xdr:colOff>
          <xdr:row>0</xdr:row>
          <xdr:rowOff>200025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8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1704975</xdr:colOff>
          <xdr:row>0</xdr:row>
          <xdr:rowOff>38100</xdr:rowOff>
        </xdr:from>
        <xdr:to>
          <xdr:col>6</xdr:col>
          <xdr:colOff>1905000</xdr:colOff>
          <xdr:row>0</xdr:row>
          <xdr:rowOff>200025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8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904875</xdr:colOff>
          <xdr:row>0</xdr:row>
          <xdr:rowOff>38100</xdr:rowOff>
        </xdr:from>
        <xdr:to>
          <xdr:col>6</xdr:col>
          <xdr:colOff>1104900</xdr:colOff>
          <xdr:row>0</xdr:row>
          <xdr:rowOff>200025</xdr:rowOff>
        </xdr:to>
        <xdr:sp macro="" textlink="">
          <xdr:nvSpPr>
            <xdr:cNvPr id="8195" name="Button 3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8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257175</xdr:colOff>
          <xdr:row>0</xdr:row>
          <xdr:rowOff>38100</xdr:rowOff>
        </xdr:from>
        <xdr:to>
          <xdr:col>7</xdr:col>
          <xdr:colOff>19050</xdr:colOff>
          <xdr:row>0</xdr:row>
          <xdr:rowOff>200025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9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95250</xdr:colOff>
          <xdr:row>0</xdr:row>
          <xdr:rowOff>38100</xdr:rowOff>
        </xdr:from>
        <xdr:to>
          <xdr:col>7</xdr:col>
          <xdr:colOff>304800</xdr:colOff>
          <xdr:row>0</xdr:row>
          <xdr:rowOff>200025</xdr:rowOff>
        </xdr:to>
        <xdr:sp macro="" textlink="">
          <xdr:nvSpPr>
            <xdr:cNvPr id="9218" name="Button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9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1104900</xdr:colOff>
          <xdr:row>0</xdr:row>
          <xdr:rowOff>38100</xdr:rowOff>
        </xdr:from>
        <xdr:to>
          <xdr:col>6</xdr:col>
          <xdr:colOff>190500</xdr:colOff>
          <xdr:row>0</xdr:row>
          <xdr:rowOff>200025</xdr:rowOff>
        </xdr:to>
        <xdr:sp macro="" textlink="">
          <xdr:nvSpPr>
            <xdr:cNvPr id="9219" name="Button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9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38100</xdr:colOff>
          <xdr:row>0</xdr:row>
          <xdr:rowOff>38100</xdr:rowOff>
        </xdr:from>
        <xdr:to>
          <xdr:col>8</xdr:col>
          <xdr:colOff>514350</xdr:colOff>
          <xdr:row>0</xdr:row>
          <xdr:rowOff>200025</xdr:rowOff>
        </xdr:to>
        <xdr:sp macro="" textlink="">
          <xdr:nvSpPr>
            <xdr:cNvPr id="10241" name="Button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A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590550</xdr:colOff>
          <xdr:row>0</xdr:row>
          <xdr:rowOff>38100</xdr:rowOff>
        </xdr:from>
        <xdr:to>
          <xdr:col>9</xdr:col>
          <xdr:colOff>180975</xdr:colOff>
          <xdr:row>0</xdr:row>
          <xdr:rowOff>200025</xdr:rowOff>
        </xdr:to>
        <xdr:sp macro="" textlink="">
          <xdr:nvSpPr>
            <xdr:cNvPr id="10242" name="Button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A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371475</xdr:colOff>
          <xdr:row>0</xdr:row>
          <xdr:rowOff>38100</xdr:rowOff>
        </xdr:from>
        <xdr:to>
          <xdr:col>7</xdr:col>
          <xdr:colOff>581025</xdr:colOff>
          <xdr:row>0</xdr:row>
          <xdr:rowOff>200025</xdr:rowOff>
        </xdr:to>
        <xdr:sp macro="" textlink="">
          <xdr:nvSpPr>
            <xdr:cNvPr id="10243" name="Button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A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581025</xdr:colOff>
          <xdr:row>0</xdr:row>
          <xdr:rowOff>38100</xdr:rowOff>
        </xdr:from>
        <xdr:to>
          <xdr:col>7</xdr:col>
          <xdr:colOff>447675</xdr:colOff>
          <xdr:row>0</xdr:row>
          <xdr:rowOff>200025</xdr:rowOff>
        </xdr:to>
        <xdr:sp macro="" textlink="">
          <xdr:nvSpPr>
            <xdr:cNvPr id="11265" name="Button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B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514350</xdr:colOff>
          <xdr:row>0</xdr:row>
          <xdr:rowOff>38100</xdr:rowOff>
        </xdr:from>
        <xdr:to>
          <xdr:col>8</xdr:col>
          <xdr:colOff>114300</xdr:colOff>
          <xdr:row>0</xdr:row>
          <xdr:rowOff>200025</xdr:rowOff>
        </xdr:to>
        <xdr:sp macro="" textlink="">
          <xdr:nvSpPr>
            <xdr:cNvPr id="11266" name="Button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0B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304800</xdr:colOff>
          <xdr:row>0</xdr:row>
          <xdr:rowOff>38100</xdr:rowOff>
        </xdr:from>
        <xdr:to>
          <xdr:col>6</xdr:col>
          <xdr:colOff>514350</xdr:colOff>
          <xdr:row>0</xdr:row>
          <xdr:rowOff>200025</xdr:rowOff>
        </xdr:to>
        <xdr:sp macro="" textlink="">
          <xdr:nvSpPr>
            <xdr:cNvPr id="11267" name="Button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0B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28575</xdr:colOff>
          <xdr:row>0</xdr:row>
          <xdr:rowOff>38100</xdr:rowOff>
        </xdr:from>
        <xdr:to>
          <xdr:col>6</xdr:col>
          <xdr:colOff>495300</xdr:colOff>
          <xdr:row>0</xdr:row>
          <xdr:rowOff>200025</xdr:rowOff>
        </xdr:to>
        <xdr:sp macro="" textlink="">
          <xdr:nvSpPr>
            <xdr:cNvPr id="12289" name="Button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C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561975</xdr:colOff>
          <xdr:row>0</xdr:row>
          <xdr:rowOff>38100</xdr:rowOff>
        </xdr:from>
        <xdr:to>
          <xdr:col>6</xdr:col>
          <xdr:colOff>762000</xdr:colOff>
          <xdr:row>0</xdr:row>
          <xdr:rowOff>200025</xdr:rowOff>
        </xdr:to>
        <xdr:sp macro="" textlink="">
          <xdr:nvSpPr>
            <xdr:cNvPr id="12290" name="Button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C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742950</xdr:colOff>
          <xdr:row>0</xdr:row>
          <xdr:rowOff>38100</xdr:rowOff>
        </xdr:from>
        <xdr:to>
          <xdr:col>5</xdr:col>
          <xdr:colOff>942975</xdr:colOff>
          <xdr:row>0</xdr:row>
          <xdr:rowOff>200025</xdr:rowOff>
        </xdr:to>
        <xdr:sp macro="" textlink="">
          <xdr:nvSpPr>
            <xdr:cNvPr id="12291" name="Button 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C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13313" name="Button 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D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13314" name="Button 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0D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13315" name="Button 3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0D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514350</xdr:colOff>
          <xdr:row>0</xdr:row>
          <xdr:rowOff>38100</xdr:rowOff>
        </xdr:from>
        <xdr:to>
          <xdr:col>8</xdr:col>
          <xdr:colOff>381000</xdr:colOff>
          <xdr:row>0</xdr:row>
          <xdr:rowOff>200025</xdr:rowOff>
        </xdr:to>
        <xdr:sp macro="" textlink="">
          <xdr:nvSpPr>
            <xdr:cNvPr id="14337" name="Button 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0E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447675</xdr:colOff>
          <xdr:row>0</xdr:row>
          <xdr:rowOff>38100</xdr:rowOff>
        </xdr:from>
        <xdr:to>
          <xdr:col>9</xdr:col>
          <xdr:colOff>47625</xdr:colOff>
          <xdr:row>0</xdr:row>
          <xdr:rowOff>200025</xdr:rowOff>
        </xdr:to>
        <xdr:sp macro="" textlink="">
          <xdr:nvSpPr>
            <xdr:cNvPr id="14338" name="Button 2" hidden="1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0E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238125</xdr:colOff>
          <xdr:row>0</xdr:row>
          <xdr:rowOff>38100</xdr:rowOff>
        </xdr:from>
        <xdr:to>
          <xdr:col>7</xdr:col>
          <xdr:colOff>447675</xdr:colOff>
          <xdr:row>0</xdr:row>
          <xdr:rowOff>200025</xdr:rowOff>
        </xdr:to>
        <xdr:sp macro="" textlink="">
          <xdr:nvSpPr>
            <xdr:cNvPr id="14339" name="Button 3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0E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19050</xdr:colOff>
          <xdr:row>0</xdr:row>
          <xdr:rowOff>38100</xdr:rowOff>
        </xdr:from>
        <xdr:to>
          <xdr:col>8</xdr:col>
          <xdr:colOff>485775</xdr:colOff>
          <xdr:row>0</xdr:row>
          <xdr:rowOff>200025</xdr:rowOff>
        </xdr:to>
        <xdr:sp macro="" textlink="">
          <xdr:nvSpPr>
            <xdr:cNvPr id="15361" name="Button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F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552450</xdr:colOff>
          <xdr:row>0</xdr:row>
          <xdr:rowOff>38100</xdr:rowOff>
        </xdr:from>
        <xdr:to>
          <xdr:col>8</xdr:col>
          <xdr:colOff>752475</xdr:colOff>
          <xdr:row>0</xdr:row>
          <xdr:rowOff>200025</xdr:rowOff>
        </xdr:to>
        <xdr:sp macro="" textlink="">
          <xdr:nvSpPr>
            <xdr:cNvPr id="15362" name="Button 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0F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361950</xdr:colOff>
          <xdr:row>0</xdr:row>
          <xdr:rowOff>38100</xdr:rowOff>
        </xdr:from>
        <xdr:to>
          <xdr:col>7</xdr:col>
          <xdr:colOff>561975</xdr:colOff>
          <xdr:row>0</xdr:row>
          <xdr:rowOff>200025</xdr:rowOff>
        </xdr:to>
        <xdr:sp macro="" textlink="">
          <xdr:nvSpPr>
            <xdr:cNvPr id="15363" name="Button 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0F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123825</xdr:colOff>
          <xdr:row>0</xdr:row>
          <xdr:rowOff>38100</xdr:rowOff>
        </xdr:from>
        <xdr:to>
          <xdr:col>7</xdr:col>
          <xdr:colOff>590550</xdr:colOff>
          <xdr:row>0</xdr:row>
          <xdr:rowOff>200025</xdr:rowOff>
        </xdr:to>
        <xdr:sp macro="" textlink="">
          <xdr:nvSpPr>
            <xdr:cNvPr id="16385" name="Butto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10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657225</xdr:colOff>
          <xdr:row>0</xdr:row>
          <xdr:rowOff>38100</xdr:rowOff>
        </xdr:from>
        <xdr:to>
          <xdr:col>7</xdr:col>
          <xdr:colOff>857250</xdr:colOff>
          <xdr:row>0</xdr:row>
          <xdr:rowOff>200025</xdr:rowOff>
        </xdr:to>
        <xdr:sp macro="" textlink="">
          <xdr:nvSpPr>
            <xdr:cNvPr id="16386" name="Button 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10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466725</xdr:colOff>
          <xdr:row>0</xdr:row>
          <xdr:rowOff>38100</xdr:rowOff>
        </xdr:from>
        <xdr:to>
          <xdr:col>7</xdr:col>
          <xdr:colOff>57150</xdr:colOff>
          <xdr:row>0</xdr:row>
          <xdr:rowOff>200025</xdr:rowOff>
        </xdr:to>
        <xdr:sp macro="" textlink="">
          <xdr:nvSpPr>
            <xdr:cNvPr id="16387" name="Button 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10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647700</xdr:colOff>
          <xdr:row>0</xdr:row>
          <xdr:rowOff>38100</xdr:rowOff>
        </xdr:from>
        <xdr:to>
          <xdr:col>8</xdr:col>
          <xdr:colOff>409575</xdr:colOff>
          <xdr:row>0</xdr:row>
          <xdr:rowOff>200025</xdr:rowOff>
        </xdr:to>
        <xdr:sp macro="" textlink="">
          <xdr:nvSpPr>
            <xdr:cNvPr id="17409" name="Button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11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476250</xdr:colOff>
          <xdr:row>0</xdr:row>
          <xdr:rowOff>38100</xdr:rowOff>
        </xdr:from>
        <xdr:to>
          <xdr:col>8</xdr:col>
          <xdr:colOff>676275</xdr:colOff>
          <xdr:row>0</xdr:row>
          <xdr:rowOff>200025</xdr:rowOff>
        </xdr:to>
        <xdr:sp macro="" textlink="">
          <xdr:nvSpPr>
            <xdr:cNvPr id="17410" name="Button 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11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381000</xdr:colOff>
          <xdr:row>0</xdr:row>
          <xdr:rowOff>38100</xdr:rowOff>
        </xdr:from>
        <xdr:to>
          <xdr:col>7</xdr:col>
          <xdr:colOff>581025</xdr:colOff>
          <xdr:row>0</xdr:row>
          <xdr:rowOff>200025</xdr:rowOff>
        </xdr:to>
        <xdr:sp macro="" textlink="">
          <xdr:nvSpPr>
            <xdr:cNvPr id="17411" name="Button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11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200025</xdr:colOff>
          <xdr:row>0</xdr:row>
          <xdr:rowOff>38100</xdr:rowOff>
        </xdr:from>
        <xdr:to>
          <xdr:col>9</xdr:col>
          <xdr:colOff>666750</xdr:colOff>
          <xdr:row>0</xdr:row>
          <xdr:rowOff>200025</xdr:rowOff>
        </xdr:to>
        <xdr:sp macro="" textlink="">
          <xdr:nvSpPr>
            <xdr:cNvPr id="18433" name="Button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12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733425</xdr:colOff>
          <xdr:row>0</xdr:row>
          <xdr:rowOff>38100</xdr:rowOff>
        </xdr:from>
        <xdr:to>
          <xdr:col>9</xdr:col>
          <xdr:colOff>933450</xdr:colOff>
          <xdr:row>0</xdr:row>
          <xdr:rowOff>200025</xdr:rowOff>
        </xdr:to>
        <xdr:sp macro="" textlink="">
          <xdr:nvSpPr>
            <xdr:cNvPr id="18434" name="Button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12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542925</xdr:colOff>
          <xdr:row>0</xdr:row>
          <xdr:rowOff>38100</xdr:rowOff>
        </xdr:from>
        <xdr:to>
          <xdr:col>9</xdr:col>
          <xdr:colOff>133350</xdr:colOff>
          <xdr:row>0</xdr:row>
          <xdr:rowOff>200025</xdr:rowOff>
        </xdr:to>
        <xdr:sp macro="" textlink="">
          <xdr:nvSpPr>
            <xdr:cNvPr id="18435" name="Button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00000000-0008-0000-1200-00000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647700</xdr:colOff>
          <xdr:row>0</xdr:row>
          <xdr:rowOff>38100</xdr:rowOff>
        </xdr:from>
        <xdr:to>
          <xdr:col>8</xdr:col>
          <xdr:colOff>409575</xdr:colOff>
          <xdr:row>0</xdr:row>
          <xdr:rowOff>200025</xdr:rowOff>
        </xdr:to>
        <xdr:sp macro="" textlink="">
          <xdr:nvSpPr>
            <xdr:cNvPr id="19457" name="Button 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00000000-0008-0000-13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476250</xdr:colOff>
          <xdr:row>0</xdr:row>
          <xdr:rowOff>38100</xdr:rowOff>
        </xdr:from>
        <xdr:to>
          <xdr:col>8</xdr:col>
          <xdr:colOff>676275</xdr:colOff>
          <xdr:row>0</xdr:row>
          <xdr:rowOff>200025</xdr:rowOff>
        </xdr:to>
        <xdr:sp macro="" textlink="">
          <xdr:nvSpPr>
            <xdr:cNvPr id="19458" name="Button 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13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381000</xdr:colOff>
          <xdr:row>0</xdr:row>
          <xdr:rowOff>38100</xdr:rowOff>
        </xdr:from>
        <xdr:to>
          <xdr:col>7</xdr:col>
          <xdr:colOff>581025</xdr:colOff>
          <xdr:row>0</xdr:row>
          <xdr:rowOff>200025</xdr:rowOff>
        </xdr:to>
        <xdr:sp macro="" textlink="">
          <xdr:nvSpPr>
            <xdr:cNvPr id="19459" name="Button 3" hidden="1">
              <a:extLst>
                <a:ext uri="{63B3BB69-23CF-44E3-9099-C40C66FF867C}">
                  <a14:compatExt spid="_x0000_s19459"/>
                </a:ext>
                <a:ext uri="{FF2B5EF4-FFF2-40B4-BE49-F238E27FC236}">
                  <a16:creationId xmlns:a16="http://schemas.microsoft.com/office/drawing/2014/main" id="{00000000-0008-0000-1300-00000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20481" name="Button 1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14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20482" name="Button 2" hidden="1">
              <a:extLst>
                <a:ext uri="{63B3BB69-23CF-44E3-9099-C40C66FF867C}">
                  <a14:compatExt spid="_x0000_s20482"/>
                </a:ext>
                <a:ext uri="{FF2B5EF4-FFF2-40B4-BE49-F238E27FC236}">
                  <a16:creationId xmlns:a16="http://schemas.microsoft.com/office/drawing/2014/main" id="{00000000-0008-0000-1400-00000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20483" name="Button 3" hidden="1">
              <a:extLst>
                <a:ext uri="{63B3BB69-23CF-44E3-9099-C40C66FF867C}">
                  <a14:compatExt spid="_x0000_s20483"/>
                </a:ext>
                <a:ext uri="{FF2B5EF4-FFF2-40B4-BE49-F238E27FC236}">
                  <a16:creationId xmlns:a16="http://schemas.microsoft.com/office/drawing/2014/main" id="{00000000-0008-0000-1400-00000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190500</xdr:colOff>
          <xdr:row>0</xdr:row>
          <xdr:rowOff>38100</xdr:rowOff>
        </xdr:from>
        <xdr:to>
          <xdr:col>8</xdr:col>
          <xdr:colOff>57150</xdr:colOff>
          <xdr:row>0</xdr:row>
          <xdr:rowOff>200025</xdr:rowOff>
        </xdr:to>
        <xdr:sp macro="" textlink="">
          <xdr:nvSpPr>
            <xdr:cNvPr id="21505" name="Button 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15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323850</xdr:colOff>
          <xdr:row>0</xdr:row>
          <xdr:rowOff>200025</xdr:rowOff>
        </xdr:to>
        <xdr:sp macro="" textlink="">
          <xdr:nvSpPr>
            <xdr:cNvPr id="21506" name="Button 2" hidden="1">
              <a:extLst>
                <a:ext uri="{63B3BB69-23CF-44E3-9099-C40C66FF867C}">
                  <a14:compatExt spid="_x0000_s21506"/>
                </a:ext>
                <a:ext uri="{FF2B5EF4-FFF2-40B4-BE49-F238E27FC236}">
                  <a16:creationId xmlns:a16="http://schemas.microsoft.com/office/drawing/2014/main" id="{00000000-0008-0000-1500-00000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523875</xdr:colOff>
          <xdr:row>0</xdr:row>
          <xdr:rowOff>38100</xdr:rowOff>
        </xdr:from>
        <xdr:to>
          <xdr:col>7</xdr:col>
          <xdr:colOff>123825</xdr:colOff>
          <xdr:row>0</xdr:row>
          <xdr:rowOff>200025</xdr:rowOff>
        </xdr:to>
        <xdr:sp macro="" textlink="">
          <xdr:nvSpPr>
            <xdr:cNvPr id="21507" name="Button 3" hidden="1">
              <a:extLst>
                <a:ext uri="{63B3BB69-23CF-44E3-9099-C40C66FF867C}">
                  <a14:compatExt spid="_x0000_s21507"/>
                </a:ext>
                <a:ext uri="{FF2B5EF4-FFF2-40B4-BE49-F238E27FC236}">
                  <a16:creationId xmlns:a16="http://schemas.microsoft.com/office/drawing/2014/main" id="{00000000-0008-0000-1500-00000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19050</xdr:colOff>
          <xdr:row>0</xdr:row>
          <xdr:rowOff>38100</xdr:rowOff>
        </xdr:from>
        <xdr:to>
          <xdr:col>8</xdr:col>
          <xdr:colOff>485775</xdr:colOff>
          <xdr:row>0</xdr:row>
          <xdr:rowOff>200025</xdr:rowOff>
        </xdr:to>
        <xdr:sp macro="" textlink="">
          <xdr:nvSpPr>
            <xdr:cNvPr id="22529" name="Button 1" hidden="1">
              <a:extLst>
                <a:ext uri="{63B3BB69-23CF-44E3-9099-C40C66FF867C}">
                  <a14:compatExt spid="_x0000_s22529"/>
                </a:ext>
                <a:ext uri="{FF2B5EF4-FFF2-40B4-BE49-F238E27FC236}">
                  <a16:creationId xmlns:a16="http://schemas.microsoft.com/office/drawing/2014/main" id="{00000000-0008-0000-1600-00000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552450</xdr:colOff>
          <xdr:row>0</xdr:row>
          <xdr:rowOff>38100</xdr:rowOff>
        </xdr:from>
        <xdr:to>
          <xdr:col>8</xdr:col>
          <xdr:colOff>752475</xdr:colOff>
          <xdr:row>0</xdr:row>
          <xdr:rowOff>200025</xdr:rowOff>
        </xdr:to>
        <xdr:sp macro="" textlink="">
          <xdr:nvSpPr>
            <xdr:cNvPr id="22530" name="Button 2" hidden="1">
              <a:extLst>
                <a:ext uri="{63B3BB69-23CF-44E3-9099-C40C66FF867C}">
                  <a14:compatExt spid="_x0000_s22530"/>
                </a:ext>
                <a:ext uri="{FF2B5EF4-FFF2-40B4-BE49-F238E27FC236}">
                  <a16:creationId xmlns:a16="http://schemas.microsoft.com/office/drawing/2014/main" id="{00000000-0008-0000-1600-000002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361950</xdr:colOff>
          <xdr:row>0</xdr:row>
          <xdr:rowOff>38100</xdr:rowOff>
        </xdr:from>
        <xdr:to>
          <xdr:col>7</xdr:col>
          <xdr:colOff>571500</xdr:colOff>
          <xdr:row>0</xdr:row>
          <xdr:rowOff>200025</xdr:rowOff>
        </xdr:to>
        <xdr:sp macro="" textlink="">
          <xdr:nvSpPr>
            <xdr:cNvPr id="22531" name="Button 3" hidden="1">
              <a:extLst>
                <a:ext uri="{63B3BB69-23CF-44E3-9099-C40C66FF867C}">
                  <a14:compatExt spid="_x0000_s22531"/>
                </a:ext>
                <a:ext uri="{FF2B5EF4-FFF2-40B4-BE49-F238E27FC236}">
                  <a16:creationId xmlns:a16="http://schemas.microsoft.com/office/drawing/2014/main" id="{00000000-0008-0000-1600-000003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514350</xdr:colOff>
          <xdr:row>0</xdr:row>
          <xdr:rowOff>38100</xdr:rowOff>
        </xdr:from>
        <xdr:to>
          <xdr:col>8</xdr:col>
          <xdr:colOff>381000</xdr:colOff>
          <xdr:row>0</xdr:row>
          <xdr:rowOff>200025</xdr:rowOff>
        </xdr:to>
        <xdr:sp macro="" textlink="">
          <xdr:nvSpPr>
            <xdr:cNvPr id="23553" name="Button 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17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447675</xdr:colOff>
          <xdr:row>0</xdr:row>
          <xdr:rowOff>38100</xdr:rowOff>
        </xdr:from>
        <xdr:to>
          <xdr:col>9</xdr:col>
          <xdr:colOff>47625</xdr:colOff>
          <xdr:row>0</xdr:row>
          <xdr:rowOff>200025</xdr:rowOff>
        </xdr:to>
        <xdr:sp macro="" textlink="">
          <xdr:nvSpPr>
            <xdr:cNvPr id="23554" name="Button 2" hidden="1">
              <a:extLst>
                <a:ext uri="{63B3BB69-23CF-44E3-9099-C40C66FF867C}">
                  <a14:compatExt spid="_x0000_s23554"/>
                </a:ext>
                <a:ext uri="{FF2B5EF4-FFF2-40B4-BE49-F238E27FC236}">
                  <a16:creationId xmlns:a16="http://schemas.microsoft.com/office/drawing/2014/main" id="{00000000-0008-0000-1700-00000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238125</xdr:colOff>
          <xdr:row>0</xdr:row>
          <xdr:rowOff>38100</xdr:rowOff>
        </xdr:from>
        <xdr:to>
          <xdr:col>7</xdr:col>
          <xdr:colOff>447675</xdr:colOff>
          <xdr:row>0</xdr:row>
          <xdr:rowOff>200025</xdr:rowOff>
        </xdr:to>
        <xdr:sp macro="" textlink="">
          <xdr:nvSpPr>
            <xdr:cNvPr id="23555" name="Button 3" hidden="1">
              <a:extLst>
                <a:ext uri="{63B3BB69-23CF-44E3-9099-C40C66FF867C}">
                  <a14:compatExt spid="_x0000_s23555"/>
                </a:ext>
                <a:ext uri="{FF2B5EF4-FFF2-40B4-BE49-F238E27FC236}">
                  <a16:creationId xmlns:a16="http://schemas.microsoft.com/office/drawing/2014/main" id="{00000000-0008-0000-1700-00000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276225</xdr:colOff>
          <xdr:row>0</xdr:row>
          <xdr:rowOff>38100</xdr:rowOff>
        </xdr:from>
        <xdr:to>
          <xdr:col>9</xdr:col>
          <xdr:colOff>133350</xdr:colOff>
          <xdr:row>0</xdr:row>
          <xdr:rowOff>200025</xdr:rowOff>
        </xdr:to>
        <xdr:sp macro="" textlink="">
          <xdr:nvSpPr>
            <xdr:cNvPr id="24577" name="Button 1" hidden="1">
              <a:extLst>
                <a:ext uri="{63B3BB69-23CF-44E3-9099-C40C66FF867C}">
                  <a14:compatExt spid="_x0000_s24577"/>
                </a:ext>
                <a:ext uri="{FF2B5EF4-FFF2-40B4-BE49-F238E27FC236}">
                  <a16:creationId xmlns:a16="http://schemas.microsoft.com/office/drawing/2014/main" id="{00000000-0008-0000-1800-00000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200025</xdr:colOff>
          <xdr:row>0</xdr:row>
          <xdr:rowOff>38100</xdr:rowOff>
        </xdr:from>
        <xdr:to>
          <xdr:col>9</xdr:col>
          <xdr:colOff>400050</xdr:colOff>
          <xdr:row>0</xdr:row>
          <xdr:rowOff>200025</xdr:rowOff>
        </xdr:to>
        <xdr:sp macro="" textlink="">
          <xdr:nvSpPr>
            <xdr:cNvPr id="24578" name="Button 2" hidden="1">
              <a:extLst>
                <a:ext uri="{63B3BB69-23CF-44E3-9099-C40C66FF867C}">
                  <a14:compatExt spid="_x0000_s24578"/>
                </a:ext>
                <a:ext uri="{FF2B5EF4-FFF2-40B4-BE49-F238E27FC236}">
                  <a16:creationId xmlns:a16="http://schemas.microsoft.com/office/drawing/2014/main" id="{00000000-0008-0000-1800-000002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9525</xdr:colOff>
          <xdr:row>0</xdr:row>
          <xdr:rowOff>38100</xdr:rowOff>
        </xdr:from>
        <xdr:to>
          <xdr:col>8</xdr:col>
          <xdr:colOff>209550</xdr:colOff>
          <xdr:row>0</xdr:row>
          <xdr:rowOff>200025</xdr:rowOff>
        </xdr:to>
        <xdr:sp macro="" textlink="">
          <xdr:nvSpPr>
            <xdr:cNvPr id="24579" name="Button 3" hidden="1">
              <a:extLst>
                <a:ext uri="{63B3BB69-23CF-44E3-9099-C40C66FF867C}">
                  <a14:compatExt spid="_x0000_s24579"/>
                </a:ext>
                <a:ext uri="{FF2B5EF4-FFF2-40B4-BE49-F238E27FC236}">
                  <a16:creationId xmlns:a16="http://schemas.microsoft.com/office/drawing/2014/main" id="{00000000-0008-0000-1800-000003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257175</xdr:colOff>
          <xdr:row>0</xdr:row>
          <xdr:rowOff>38100</xdr:rowOff>
        </xdr:from>
        <xdr:to>
          <xdr:col>9</xdr:col>
          <xdr:colOff>123825</xdr:colOff>
          <xdr:row>0</xdr:row>
          <xdr:rowOff>200025</xdr:rowOff>
        </xdr:to>
        <xdr:sp macro="" textlink="">
          <xdr:nvSpPr>
            <xdr:cNvPr id="25601" name="Button 1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00000000-0008-0000-1900-00000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190500</xdr:colOff>
          <xdr:row>0</xdr:row>
          <xdr:rowOff>38100</xdr:rowOff>
        </xdr:from>
        <xdr:to>
          <xdr:col>9</xdr:col>
          <xdr:colOff>390525</xdr:colOff>
          <xdr:row>0</xdr:row>
          <xdr:rowOff>200025</xdr:rowOff>
        </xdr:to>
        <xdr:sp macro="" textlink="">
          <xdr:nvSpPr>
            <xdr:cNvPr id="25602" name="Button 2" hidden="1">
              <a:extLst>
                <a:ext uri="{63B3BB69-23CF-44E3-9099-C40C66FF867C}">
                  <a14:compatExt spid="_x0000_s25602"/>
                </a:ext>
                <a:ext uri="{FF2B5EF4-FFF2-40B4-BE49-F238E27FC236}">
                  <a16:creationId xmlns:a16="http://schemas.microsoft.com/office/drawing/2014/main" id="{00000000-0008-0000-1900-00000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590550</xdr:colOff>
          <xdr:row>0</xdr:row>
          <xdr:rowOff>38100</xdr:rowOff>
        </xdr:from>
        <xdr:to>
          <xdr:col>8</xdr:col>
          <xdr:colOff>190500</xdr:colOff>
          <xdr:row>0</xdr:row>
          <xdr:rowOff>200025</xdr:rowOff>
        </xdr:to>
        <xdr:sp macro="" textlink="">
          <xdr:nvSpPr>
            <xdr:cNvPr id="25603" name="Button 3" hidden="1">
              <a:extLst>
                <a:ext uri="{63B3BB69-23CF-44E3-9099-C40C66FF867C}">
                  <a14:compatExt spid="_x0000_s25603"/>
                </a:ext>
                <a:ext uri="{FF2B5EF4-FFF2-40B4-BE49-F238E27FC236}">
                  <a16:creationId xmlns:a16="http://schemas.microsoft.com/office/drawing/2014/main" id="{00000000-0008-0000-1900-00000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647700</xdr:colOff>
          <xdr:row>0</xdr:row>
          <xdr:rowOff>38100</xdr:rowOff>
        </xdr:from>
        <xdr:to>
          <xdr:col>6</xdr:col>
          <xdr:colOff>1114425</xdr:colOff>
          <xdr:row>0</xdr:row>
          <xdr:rowOff>200025</xdr:rowOff>
        </xdr:to>
        <xdr:sp macro="" textlink="">
          <xdr:nvSpPr>
            <xdr:cNvPr id="26625" name="Button 1" hidden="1">
              <a:extLst>
                <a:ext uri="{63B3BB69-23CF-44E3-9099-C40C66FF867C}">
                  <a14:compatExt spid="_x0000_s26625"/>
                </a:ext>
                <a:ext uri="{FF2B5EF4-FFF2-40B4-BE49-F238E27FC236}">
                  <a16:creationId xmlns:a16="http://schemas.microsoft.com/office/drawing/2014/main" id="{00000000-0008-0000-1A00-00000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1181100</xdr:colOff>
          <xdr:row>0</xdr:row>
          <xdr:rowOff>38100</xdr:rowOff>
        </xdr:from>
        <xdr:to>
          <xdr:col>7</xdr:col>
          <xdr:colOff>104775</xdr:colOff>
          <xdr:row>0</xdr:row>
          <xdr:rowOff>200025</xdr:rowOff>
        </xdr:to>
        <xdr:sp macro="" textlink="">
          <xdr:nvSpPr>
            <xdr:cNvPr id="26626" name="Button 2" hidden="1">
              <a:extLst>
                <a:ext uri="{63B3BB69-23CF-44E3-9099-C40C66FF867C}">
                  <a14:compatExt spid="_x0000_s26626"/>
                </a:ext>
                <a:ext uri="{FF2B5EF4-FFF2-40B4-BE49-F238E27FC236}">
                  <a16:creationId xmlns:a16="http://schemas.microsoft.com/office/drawing/2014/main" id="{00000000-0008-0000-1A00-00000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381000</xdr:colOff>
          <xdr:row>0</xdr:row>
          <xdr:rowOff>38100</xdr:rowOff>
        </xdr:from>
        <xdr:to>
          <xdr:col>6</xdr:col>
          <xdr:colOff>581025</xdr:colOff>
          <xdr:row>0</xdr:row>
          <xdr:rowOff>200025</xdr:rowOff>
        </xdr:to>
        <xdr:sp macro="" textlink="">
          <xdr:nvSpPr>
            <xdr:cNvPr id="26627" name="Button 3" hidden="1">
              <a:extLst>
                <a:ext uri="{63B3BB69-23CF-44E3-9099-C40C66FF867C}">
                  <a14:compatExt spid="_x0000_s26627"/>
                </a:ext>
                <a:ext uri="{FF2B5EF4-FFF2-40B4-BE49-F238E27FC236}">
                  <a16:creationId xmlns:a16="http://schemas.microsoft.com/office/drawing/2014/main" id="{00000000-0008-0000-1A00-00000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257175</xdr:colOff>
          <xdr:row>0</xdr:row>
          <xdr:rowOff>38100</xdr:rowOff>
        </xdr:from>
        <xdr:to>
          <xdr:col>8</xdr:col>
          <xdr:colOff>123825</xdr:colOff>
          <xdr:row>0</xdr:row>
          <xdr:rowOff>200025</xdr:rowOff>
        </xdr:to>
        <xdr:sp macro="" textlink="">
          <xdr:nvSpPr>
            <xdr:cNvPr id="27649" name="Button 1" hidden="1">
              <a:extLst>
                <a:ext uri="{63B3BB69-23CF-44E3-9099-C40C66FF867C}">
                  <a14:compatExt spid="_x0000_s27649"/>
                </a:ext>
                <a:ext uri="{FF2B5EF4-FFF2-40B4-BE49-F238E27FC236}">
                  <a16:creationId xmlns:a16="http://schemas.microsoft.com/office/drawing/2014/main" id="{00000000-0008-0000-1B00-00000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190500</xdr:colOff>
          <xdr:row>0</xdr:row>
          <xdr:rowOff>38100</xdr:rowOff>
        </xdr:from>
        <xdr:to>
          <xdr:col>8</xdr:col>
          <xdr:colOff>390525</xdr:colOff>
          <xdr:row>0</xdr:row>
          <xdr:rowOff>200025</xdr:rowOff>
        </xdr:to>
        <xdr:sp macro="" textlink="">
          <xdr:nvSpPr>
            <xdr:cNvPr id="27650" name="Button 2" hidden="1">
              <a:extLst>
                <a:ext uri="{63B3BB69-23CF-44E3-9099-C40C66FF867C}">
                  <a14:compatExt spid="_x0000_s27650"/>
                </a:ext>
                <a:ext uri="{FF2B5EF4-FFF2-40B4-BE49-F238E27FC236}">
                  <a16:creationId xmlns:a16="http://schemas.microsoft.com/office/drawing/2014/main" id="{00000000-0008-0000-1B00-000002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590550</xdr:colOff>
          <xdr:row>0</xdr:row>
          <xdr:rowOff>38100</xdr:rowOff>
        </xdr:from>
        <xdr:to>
          <xdr:col>7</xdr:col>
          <xdr:colOff>190500</xdr:colOff>
          <xdr:row>0</xdr:row>
          <xdr:rowOff>200025</xdr:rowOff>
        </xdr:to>
        <xdr:sp macro="" textlink="">
          <xdr:nvSpPr>
            <xdr:cNvPr id="27651" name="Butto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1B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552450</xdr:colOff>
          <xdr:row>0</xdr:row>
          <xdr:rowOff>38100</xdr:rowOff>
        </xdr:from>
        <xdr:to>
          <xdr:col>7</xdr:col>
          <xdr:colOff>409575</xdr:colOff>
          <xdr:row>0</xdr:row>
          <xdr:rowOff>200025</xdr:rowOff>
        </xdr:to>
        <xdr:sp macro="" textlink="">
          <xdr:nvSpPr>
            <xdr:cNvPr id="28673" name="Button 1" hidden="1">
              <a:extLst>
                <a:ext uri="{63B3BB69-23CF-44E3-9099-C40C66FF867C}">
                  <a14:compatExt spid="_x0000_s28673"/>
                </a:ext>
                <a:ext uri="{FF2B5EF4-FFF2-40B4-BE49-F238E27FC236}">
                  <a16:creationId xmlns:a16="http://schemas.microsoft.com/office/drawing/2014/main" id="{00000000-0008-0000-1C00-00000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476250</xdr:colOff>
          <xdr:row>0</xdr:row>
          <xdr:rowOff>38100</xdr:rowOff>
        </xdr:from>
        <xdr:to>
          <xdr:col>7</xdr:col>
          <xdr:colOff>676275</xdr:colOff>
          <xdr:row>0</xdr:row>
          <xdr:rowOff>200025</xdr:rowOff>
        </xdr:to>
        <xdr:sp macro="" textlink="">
          <xdr:nvSpPr>
            <xdr:cNvPr id="28674" name="Button 2" hidden="1">
              <a:extLst>
                <a:ext uri="{63B3BB69-23CF-44E3-9099-C40C66FF867C}">
                  <a14:compatExt spid="_x0000_s28674"/>
                </a:ext>
                <a:ext uri="{FF2B5EF4-FFF2-40B4-BE49-F238E27FC236}">
                  <a16:creationId xmlns:a16="http://schemas.microsoft.com/office/drawing/2014/main" id="{00000000-0008-0000-1C00-00000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276225</xdr:colOff>
          <xdr:row>0</xdr:row>
          <xdr:rowOff>38100</xdr:rowOff>
        </xdr:from>
        <xdr:to>
          <xdr:col>6</xdr:col>
          <xdr:colOff>485775</xdr:colOff>
          <xdr:row>0</xdr:row>
          <xdr:rowOff>200025</xdr:rowOff>
        </xdr:to>
        <xdr:sp macro="" textlink="">
          <xdr:nvSpPr>
            <xdr:cNvPr id="28675" name="Button 3" hidden="1">
              <a:extLst>
                <a:ext uri="{63B3BB69-23CF-44E3-9099-C40C66FF867C}">
                  <a14:compatExt spid="_x0000_s28675"/>
                </a:ext>
                <a:ext uri="{FF2B5EF4-FFF2-40B4-BE49-F238E27FC236}">
                  <a16:creationId xmlns:a16="http://schemas.microsoft.com/office/drawing/2014/main" id="{00000000-0008-0000-1C00-00000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29697" name="Button 1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1D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29698" name="Button 2" hidden="1">
              <a:extLst>
                <a:ext uri="{63B3BB69-23CF-44E3-9099-C40C66FF867C}">
                  <a14:compatExt spid="_x0000_s29698"/>
                </a:ext>
                <a:ext uri="{FF2B5EF4-FFF2-40B4-BE49-F238E27FC236}">
                  <a16:creationId xmlns:a16="http://schemas.microsoft.com/office/drawing/2014/main" id="{00000000-0008-0000-1D00-000002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29699" name="Button 3" hidden="1">
              <a:extLst>
                <a:ext uri="{63B3BB69-23CF-44E3-9099-C40C66FF867C}">
                  <a14:compatExt spid="_x0000_s29699"/>
                </a:ext>
                <a:ext uri="{FF2B5EF4-FFF2-40B4-BE49-F238E27FC236}">
                  <a16:creationId xmlns:a16="http://schemas.microsoft.com/office/drawing/2014/main" id="{00000000-0008-0000-1D00-000003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65</xdr:row>
      <xdr:rowOff>0</xdr:rowOff>
    </xdr:from>
    <xdr:to>
      <xdr:col>9</xdr:col>
      <xdr:colOff>142875</xdr:colOff>
      <xdr:row>86</xdr:row>
      <xdr:rowOff>104775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" y="10658475"/>
          <a:ext cx="3800475" cy="350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1038225</xdr:colOff>
          <xdr:row>0</xdr:row>
          <xdr:rowOff>28575</xdr:rowOff>
        </xdr:from>
        <xdr:to>
          <xdr:col>7</xdr:col>
          <xdr:colOff>1514475</xdr:colOff>
          <xdr:row>0</xdr:row>
          <xdr:rowOff>190500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  <a:ext uri="{FF2B5EF4-FFF2-40B4-BE49-F238E27FC236}">
                  <a16:creationId xmlns:a16="http://schemas.microsoft.com/office/drawing/2014/main" id="{00000000-0008-0000-1E00-000001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1581150</xdr:colOff>
          <xdr:row>0</xdr:row>
          <xdr:rowOff>28575</xdr:rowOff>
        </xdr:from>
        <xdr:to>
          <xdr:col>7</xdr:col>
          <xdr:colOff>1781175</xdr:colOff>
          <xdr:row>0</xdr:row>
          <xdr:rowOff>190500</xdr:rowOff>
        </xdr:to>
        <xdr:sp macro="" textlink="">
          <xdr:nvSpPr>
            <xdr:cNvPr id="30722" name="Button 2" hidden="1">
              <a:extLst>
                <a:ext uri="{63B3BB69-23CF-44E3-9099-C40C66FF867C}">
                  <a14:compatExt spid="_x0000_s30722"/>
                </a:ext>
                <a:ext uri="{FF2B5EF4-FFF2-40B4-BE49-F238E27FC236}">
                  <a16:creationId xmlns:a16="http://schemas.microsoft.com/office/drawing/2014/main" id="{00000000-0008-0000-1E00-000002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762000</xdr:colOff>
          <xdr:row>0</xdr:row>
          <xdr:rowOff>28575</xdr:rowOff>
        </xdr:from>
        <xdr:to>
          <xdr:col>7</xdr:col>
          <xdr:colOff>971550</xdr:colOff>
          <xdr:row>0</xdr:row>
          <xdr:rowOff>190500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  <a:ext uri="{FF2B5EF4-FFF2-40B4-BE49-F238E27FC236}">
                  <a16:creationId xmlns:a16="http://schemas.microsoft.com/office/drawing/2014/main" id="{00000000-0008-0000-1E00-000003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457200</xdr:colOff>
          <xdr:row>0</xdr:row>
          <xdr:rowOff>38100</xdr:rowOff>
        </xdr:from>
        <xdr:to>
          <xdr:col>7</xdr:col>
          <xdr:colOff>133350</xdr:colOff>
          <xdr:row>0</xdr:row>
          <xdr:rowOff>200025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  <a:ext uri="{FF2B5EF4-FFF2-40B4-BE49-F238E27FC236}">
                  <a16:creationId xmlns:a16="http://schemas.microsoft.com/office/drawing/2014/main" id="{00000000-0008-0000-1F00-000001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200025</xdr:colOff>
          <xdr:row>0</xdr:row>
          <xdr:rowOff>38100</xdr:rowOff>
        </xdr:from>
        <xdr:to>
          <xdr:col>7</xdr:col>
          <xdr:colOff>400050</xdr:colOff>
          <xdr:row>0</xdr:row>
          <xdr:rowOff>200025</xdr:rowOff>
        </xdr:to>
        <xdr:sp macro="" textlink="">
          <xdr:nvSpPr>
            <xdr:cNvPr id="34818" name="Button 2" hidden="1">
              <a:extLst>
                <a:ext uri="{63B3BB69-23CF-44E3-9099-C40C66FF867C}">
                  <a14:compatExt spid="_x0000_s34818"/>
                </a:ext>
                <a:ext uri="{FF2B5EF4-FFF2-40B4-BE49-F238E27FC236}">
                  <a16:creationId xmlns:a16="http://schemas.microsoft.com/office/drawing/2014/main" id="{00000000-0008-0000-1F00-000002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190500</xdr:colOff>
          <xdr:row>0</xdr:row>
          <xdr:rowOff>38100</xdr:rowOff>
        </xdr:from>
        <xdr:to>
          <xdr:col>6</xdr:col>
          <xdr:colOff>390525</xdr:colOff>
          <xdr:row>0</xdr:row>
          <xdr:rowOff>200025</xdr:rowOff>
        </xdr:to>
        <xdr:sp macro="" textlink="">
          <xdr:nvSpPr>
            <xdr:cNvPr id="34819" name="Button 3" hidden="1">
              <a:extLst>
                <a:ext uri="{63B3BB69-23CF-44E3-9099-C40C66FF867C}">
                  <a14:compatExt spid="_x0000_s34819"/>
                </a:ext>
                <a:ext uri="{FF2B5EF4-FFF2-40B4-BE49-F238E27FC236}">
                  <a16:creationId xmlns:a16="http://schemas.microsoft.com/office/drawing/2014/main" id="{00000000-0008-0000-1F00-000003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552450</xdr:colOff>
          <xdr:row>0</xdr:row>
          <xdr:rowOff>38100</xdr:rowOff>
        </xdr:from>
        <xdr:to>
          <xdr:col>7</xdr:col>
          <xdr:colOff>333375</xdr:colOff>
          <xdr:row>0</xdr:row>
          <xdr:rowOff>200025</xdr:rowOff>
        </xdr:to>
        <xdr:sp macro="" textlink="">
          <xdr:nvSpPr>
            <xdr:cNvPr id="35841" name="Button 1" hidden="1">
              <a:extLst>
                <a:ext uri="{63B3BB69-23CF-44E3-9099-C40C66FF867C}">
                  <a14:compatExt spid="_x0000_s35841"/>
                </a:ext>
                <a:ext uri="{FF2B5EF4-FFF2-40B4-BE49-F238E27FC236}">
                  <a16:creationId xmlns:a16="http://schemas.microsoft.com/office/drawing/2014/main" id="{00000000-0008-0000-2000-000001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400050</xdr:colOff>
          <xdr:row>0</xdr:row>
          <xdr:rowOff>38100</xdr:rowOff>
        </xdr:from>
        <xdr:to>
          <xdr:col>7</xdr:col>
          <xdr:colOff>600075</xdr:colOff>
          <xdr:row>0</xdr:row>
          <xdr:rowOff>200025</xdr:rowOff>
        </xdr:to>
        <xdr:sp macro="" textlink="">
          <xdr:nvSpPr>
            <xdr:cNvPr id="35842" name="Button 2" hidden="1">
              <a:extLst>
                <a:ext uri="{63B3BB69-23CF-44E3-9099-C40C66FF867C}">
                  <a14:compatExt spid="_x0000_s35842"/>
                </a:ext>
                <a:ext uri="{FF2B5EF4-FFF2-40B4-BE49-F238E27FC236}">
                  <a16:creationId xmlns:a16="http://schemas.microsoft.com/office/drawing/2014/main" id="{00000000-0008-0000-2000-000002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276225</xdr:colOff>
          <xdr:row>0</xdr:row>
          <xdr:rowOff>38100</xdr:rowOff>
        </xdr:from>
        <xdr:to>
          <xdr:col>6</xdr:col>
          <xdr:colOff>485775</xdr:colOff>
          <xdr:row>0</xdr:row>
          <xdr:rowOff>200025</xdr:rowOff>
        </xdr:to>
        <xdr:sp macro="" textlink="">
          <xdr:nvSpPr>
            <xdr:cNvPr id="35843" name="Button 3" hidden="1">
              <a:extLst>
                <a:ext uri="{63B3BB69-23CF-44E3-9099-C40C66FF867C}">
                  <a14:compatExt spid="_x0000_s35843"/>
                </a:ext>
                <a:ext uri="{FF2B5EF4-FFF2-40B4-BE49-F238E27FC236}">
                  <a16:creationId xmlns:a16="http://schemas.microsoft.com/office/drawing/2014/main" id="{00000000-0008-0000-2000-000003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76200</xdr:colOff>
          <xdr:row>0</xdr:row>
          <xdr:rowOff>38100</xdr:rowOff>
        </xdr:from>
        <xdr:to>
          <xdr:col>8</xdr:col>
          <xdr:colOff>552450</xdr:colOff>
          <xdr:row>0</xdr:row>
          <xdr:rowOff>200025</xdr:rowOff>
        </xdr:to>
        <xdr:sp macro="" textlink="">
          <xdr:nvSpPr>
            <xdr:cNvPr id="36865" name="Button 1" hidden="1">
              <a:extLst>
                <a:ext uri="{63B3BB69-23CF-44E3-9099-C40C66FF867C}">
                  <a14:compatExt spid="_x0000_s36865"/>
                </a:ext>
                <a:ext uri="{FF2B5EF4-FFF2-40B4-BE49-F238E27FC236}">
                  <a16:creationId xmlns:a16="http://schemas.microsoft.com/office/drawing/2014/main" id="{00000000-0008-0000-2100-000001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9525</xdr:colOff>
          <xdr:row>0</xdr:row>
          <xdr:rowOff>38100</xdr:rowOff>
        </xdr:from>
        <xdr:to>
          <xdr:col>9</xdr:col>
          <xdr:colOff>209550</xdr:colOff>
          <xdr:row>0</xdr:row>
          <xdr:rowOff>200025</xdr:rowOff>
        </xdr:to>
        <xdr:sp macro="" textlink="">
          <xdr:nvSpPr>
            <xdr:cNvPr id="36866" name="Button 2" hidden="1">
              <a:extLst>
                <a:ext uri="{63B3BB69-23CF-44E3-9099-C40C66FF867C}">
                  <a14:compatExt spid="_x0000_s36866"/>
                </a:ext>
                <a:ext uri="{FF2B5EF4-FFF2-40B4-BE49-F238E27FC236}">
                  <a16:creationId xmlns:a16="http://schemas.microsoft.com/office/drawing/2014/main" id="{00000000-0008-0000-2100-000002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409575</xdr:colOff>
          <xdr:row>0</xdr:row>
          <xdr:rowOff>38100</xdr:rowOff>
        </xdr:from>
        <xdr:to>
          <xdr:col>8</xdr:col>
          <xdr:colOff>9525</xdr:colOff>
          <xdr:row>0</xdr:row>
          <xdr:rowOff>200025</xdr:rowOff>
        </xdr:to>
        <xdr:sp macro="" textlink="">
          <xdr:nvSpPr>
            <xdr:cNvPr id="36867" name="Button 3" hidden="1">
              <a:extLst>
                <a:ext uri="{63B3BB69-23CF-44E3-9099-C40C66FF867C}">
                  <a14:compatExt spid="_x0000_s36867"/>
                </a:ext>
                <a:ext uri="{FF2B5EF4-FFF2-40B4-BE49-F238E27FC236}">
                  <a16:creationId xmlns:a16="http://schemas.microsoft.com/office/drawing/2014/main" id="{00000000-0008-0000-2100-000003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114300</xdr:colOff>
          <xdr:row>0</xdr:row>
          <xdr:rowOff>38100</xdr:rowOff>
        </xdr:from>
        <xdr:to>
          <xdr:col>7</xdr:col>
          <xdr:colOff>590550</xdr:colOff>
          <xdr:row>0</xdr:row>
          <xdr:rowOff>200025</xdr:rowOff>
        </xdr:to>
        <xdr:sp macro="" textlink="">
          <xdr:nvSpPr>
            <xdr:cNvPr id="37889" name="Button 1" hidden="1">
              <a:extLst>
                <a:ext uri="{63B3BB69-23CF-44E3-9099-C40C66FF867C}">
                  <a14:compatExt spid="_x0000_s37889"/>
                </a:ext>
                <a:ext uri="{FF2B5EF4-FFF2-40B4-BE49-F238E27FC236}">
                  <a16:creationId xmlns:a16="http://schemas.microsoft.com/office/drawing/2014/main" id="{00000000-0008-0000-2200-000001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47625</xdr:colOff>
          <xdr:row>0</xdr:row>
          <xdr:rowOff>38100</xdr:rowOff>
        </xdr:from>
        <xdr:to>
          <xdr:col>8</xdr:col>
          <xdr:colOff>247650</xdr:colOff>
          <xdr:row>0</xdr:row>
          <xdr:rowOff>200025</xdr:rowOff>
        </xdr:to>
        <xdr:sp macro="" textlink="">
          <xdr:nvSpPr>
            <xdr:cNvPr id="37890" name="Button 2" hidden="1">
              <a:extLst>
                <a:ext uri="{63B3BB69-23CF-44E3-9099-C40C66FF867C}">
                  <a14:compatExt spid="_x0000_s37890"/>
                </a:ext>
                <a:ext uri="{FF2B5EF4-FFF2-40B4-BE49-F238E27FC236}">
                  <a16:creationId xmlns:a16="http://schemas.microsoft.com/office/drawing/2014/main" id="{00000000-0008-0000-2200-000002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533400</xdr:colOff>
          <xdr:row>0</xdr:row>
          <xdr:rowOff>38100</xdr:rowOff>
        </xdr:from>
        <xdr:to>
          <xdr:col>7</xdr:col>
          <xdr:colOff>47625</xdr:colOff>
          <xdr:row>0</xdr:row>
          <xdr:rowOff>200025</xdr:rowOff>
        </xdr:to>
        <xdr:sp macro="" textlink="">
          <xdr:nvSpPr>
            <xdr:cNvPr id="37891" name="Button 3" hidden="1">
              <a:extLst>
                <a:ext uri="{63B3BB69-23CF-44E3-9099-C40C66FF867C}">
                  <a14:compatExt spid="_x0000_s37891"/>
                </a:ext>
                <a:ext uri="{FF2B5EF4-FFF2-40B4-BE49-F238E27FC236}">
                  <a16:creationId xmlns:a16="http://schemas.microsoft.com/office/drawing/2014/main" id="{00000000-0008-0000-2200-000003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114300</xdr:colOff>
          <xdr:row>0</xdr:row>
          <xdr:rowOff>38100</xdr:rowOff>
        </xdr:from>
        <xdr:to>
          <xdr:col>7</xdr:col>
          <xdr:colOff>590550</xdr:colOff>
          <xdr:row>0</xdr:row>
          <xdr:rowOff>200025</xdr:rowOff>
        </xdr:to>
        <xdr:sp macro="" textlink="">
          <xdr:nvSpPr>
            <xdr:cNvPr id="38913" name="Button 1" hidden="1">
              <a:extLst>
                <a:ext uri="{63B3BB69-23CF-44E3-9099-C40C66FF867C}">
                  <a14:compatExt spid="_x0000_s38913"/>
                </a:ext>
                <a:ext uri="{FF2B5EF4-FFF2-40B4-BE49-F238E27FC236}">
                  <a16:creationId xmlns:a16="http://schemas.microsoft.com/office/drawing/2014/main" id="{00000000-0008-0000-2300-000001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47625</xdr:colOff>
          <xdr:row>0</xdr:row>
          <xdr:rowOff>38100</xdr:rowOff>
        </xdr:from>
        <xdr:to>
          <xdr:col>8</xdr:col>
          <xdr:colOff>247650</xdr:colOff>
          <xdr:row>0</xdr:row>
          <xdr:rowOff>200025</xdr:rowOff>
        </xdr:to>
        <xdr:sp macro="" textlink="">
          <xdr:nvSpPr>
            <xdr:cNvPr id="38914" name="Button 2" hidden="1">
              <a:extLst>
                <a:ext uri="{63B3BB69-23CF-44E3-9099-C40C66FF867C}">
                  <a14:compatExt spid="_x0000_s38914"/>
                </a:ext>
                <a:ext uri="{FF2B5EF4-FFF2-40B4-BE49-F238E27FC236}">
                  <a16:creationId xmlns:a16="http://schemas.microsoft.com/office/drawing/2014/main" id="{00000000-0008-0000-2300-000002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533400</xdr:colOff>
          <xdr:row>0</xdr:row>
          <xdr:rowOff>38100</xdr:rowOff>
        </xdr:from>
        <xdr:to>
          <xdr:col>7</xdr:col>
          <xdr:colOff>47625</xdr:colOff>
          <xdr:row>0</xdr:row>
          <xdr:rowOff>200025</xdr:rowOff>
        </xdr:to>
        <xdr:sp macro="" textlink="">
          <xdr:nvSpPr>
            <xdr:cNvPr id="38915" name="Button 3" hidden="1">
              <a:extLst>
                <a:ext uri="{63B3BB69-23CF-44E3-9099-C40C66FF867C}">
                  <a14:compatExt spid="_x0000_s38915"/>
                </a:ext>
                <a:ext uri="{FF2B5EF4-FFF2-40B4-BE49-F238E27FC236}">
                  <a16:creationId xmlns:a16="http://schemas.microsoft.com/office/drawing/2014/main" id="{00000000-0008-0000-2300-000003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381000</xdr:colOff>
          <xdr:row>0</xdr:row>
          <xdr:rowOff>38100</xdr:rowOff>
        </xdr:from>
        <xdr:to>
          <xdr:col>7</xdr:col>
          <xdr:colOff>161925</xdr:colOff>
          <xdr:row>0</xdr:row>
          <xdr:rowOff>200025</xdr:rowOff>
        </xdr:to>
        <xdr:sp macro="" textlink="">
          <xdr:nvSpPr>
            <xdr:cNvPr id="39937" name="Button 1" hidden="1">
              <a:extLst>
                <a:ext uri="{63B3BB69-23CF-44E3-9099-C40C66FF867C}">
                  <a14:compatExt spid="_x0000_s39937"/>
                </a:ext>
                <a:ext uri="{FF2B5EF4-FFF2-40B4-BE49-F238E27FC236}">
                  <a16:creationId xmlns:a16="http://schemas.microsoft.com/office/drawing/2014/main" id="{00000000-0008-0000-2400-000001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228600</xdr:colOff>
          <xdr:row>0</xdr:row>
          <xdr:rowOff>38100</xdr:rowOff>
        </xdr:from>
        <xdr:to>
          <xdr:col>7</xdr:col>
          <xdr:colOff>428625</xdr:colOff>
          <xdr:row>0</xdr:row>
          <xdr:rowOff>200025</xdr:rowOff>
        </xdr:to>
        <xdr:sp macro="" textlink="">
          <xdr:nvSpPr>
            <xdr:cNvPr id="39938" name="Button 2" hidden="1">
              <a:extLst>
                <a:ext uri="{63B3BB69-23CF-44E3-9099-C40C66FF867C}">
                  <a14:compatExt spid="_x0000_s39938"/>
                </a:ext>
                <a:ext uri="{FF2B5EF4-FFF2-40B4-BE49-F238E27FC236}">
                  <a16:creationId xmlns:a16="http://schemas.microsoft.com/office/drawing/2014/main" id="{00000000-0008-0000-2400-000002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104775</xdr:colOff>
          <xdr:row>0</xdr:row>
          <xdr:rowOff>38100</xdr:rowOff>
        </xdr:from>
        <xdr:to>
          <xdr:col>6</xdr:col>
          <xdr:colOff>314325</xdr:colOff>
          <xdr:row>0</xdr:row>
          <xdr:rowOff>200025</xdr:rowOff>
        </xdr:to>
        <xdr:sp macro="" textlink="">
          <xdr:nvSpPr>
            <xdr:cNvPr id="39939" name="Button 3" hidden="1">
              <a:extLst>
                <a:ext uri="{63B3BB69-23CF-44E3-9099-C40C66FF867C}">
                  <a14:compatExt spid="_x0000_s39939"/>
                </a:ext>
                <a:ext uri="{FF2B5EF4-FFF2-40B4-BE49-F238E27FC236}">
                  <a16:creationId xmlns:a16="http://schemas.microsoft.com/office/drawing/2014/main" id="{00000000-0008-0000-2400-000003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114300</xdr:colOff>
          <xdr:row>0</xdr:row>
          <xdr:rowOff>38100</xdr:rowOff>
        </xdr:from>
        <xdr:to>
          <xdr:col>7</xdr:col>
          <xdr:colOff>590550</xdr:colOff>
          <xdr:row>0</xdr:row>
          <xdr:rowOff>200025</xdr:rowOff>
        </xdr:to>
        <xdr:sp macro="" textlink="">
          <xdr:nvSpPr>
            <xdr:cNvPr id="40961" name="Button 1" hidden="1">
              <a:extLst>
                <a:ext uri="{63B3BB69-23CF-44E3-9099-C40C66FF867C}">
                  <a14:compatExt spid="_x0000_s40961"/>
                </a:ext>
                <a:ext uri="{FF2B5EF4-FFF2-40B4-BE49-F238E27FC236}">
                  <a16:creationId xmlns:a16="http://schemas.microsoft.com/office/drawing/2014/main" id="{00000000-0008-0000-2500-000001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47625</xdr:colOff>
          <xdr:row>0</xdr:row>
          <xdr:rowOff>38100</xdr:rowOff>
        </xdr:from>
        <xdr:to>
          <xdr:col>8</xdr:col>
          <xdr:colOff>247650</xdr:colOff>
          <xdr:row>0</xdr:row>
          <xdr:rowOff>200025</xdr:rowOff>
        </xdr:to>
        <xdr:sp macro="" textlink="">
          <xdr:nvSpPr>
            <xdr:cNvPr id="40962" name="Button 2" hidden="1">
              <a:extLst>
                <a:ext uri="{63B3BB69-23CF-44E3-9099-C40C66FF867C}">
                  <a14:compatExt spid="_x0000_s40962"/>
                </a:ext>
                <a:ext uri="{FF2B5EF4-FFF2-40B4-BE49-F238E27FC236}">
                  <a16:creationId xmlns:a16="http://schemas.microsoft.com/office/drawing/2014/main" id="{00000000-0008-0000-2500-000002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533400</xdr:colOff>
          <xdr:row>0</xdr:row>
          <xdr:rowOff>38100</xdr:rowOff>
        </xdr:from>
        <xdr:to>
          <xdr:col>7</xdr:col>
          <xdr:colOff>47625</xdr:colOff>
          <xdr:row>0</xdr:row>
          <xdr:rowOff>200025</xdr:rowOff>
        </xdr:to>
        <xdr:sp macro="" textlink="">
          <xdr:nvSpPr>
            <xdr:cNvPr id="40963" name="Button 3" hidden="1">
              <a:extLst>
                <a:ext uri="{63B3BB69-23CF-44E3-9099-C40C66FF867C}">
                  <a14:compatExt spid="_x0000_s40963"/>
                </a:ext>
                <a:ext uri="{FF2B5EF4-FFF2-40B4-BE49-F238E27FC236}">
                  <a16:creationId xmlns:a16="http://schemas.microsoft.com/office/drawing/2014/main" id="{00000000-0008-0000-2500-000003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638175</xdr:colOff>
          <xdr:row>0</xdr:row>
          <xdr:rowOff>38100</xdr:rowOff>
        </xdr:from>
        <xdr:to>
          <xdr:col>6</xdr:col>
          <xdr:colOff>333375</xdr:colOff>
          <xdr:row>0</xdr:row>
          <xdr:rowOff>200025</xdr:rowOff>
        </xdr:to>
        <xdr:sp macro="" textlink="">
          <xdr:nvSpPr>
            <xdr:cNvPr id="41985" name="Button 1" hidden="1">
              <a:extLst>
                <a:ext uri="{63B3BB69-23CF-44E3-9099-C40C66FF867C}">
                  <a14:compatExt spid="_x0000_s41985"/>
                </a:ext>
                <a:ext uri="{FF2B5EF4-FFF2-40B4-BE49-F238E27FC236}">
                  <a16:creationId xmlns:a16="http://schemas.microsoft.com/office/drawing/2014/main" id="{00000000-0008-0000-2600-000001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400050</xdr:colOff>
          <xdr:row>0</xdr:row>
          <xdr:rowOff>38100</xdr:rowOff>
        </xdr:from>
        <xdr:to>
          <xdr:col>6</xdr:col>
          <xdr:colOff>600075</xdr:colOff>
          <xdr:row>0</xdr:row>
          <xdr:rowOff>200025</xdr:rowOff>
        </xdr:to>
        <xdr:sp macro="" textlink="">
          <xdr:nvSpPr>
            <xdr:cNvPr id="41986" name="Button 2" hidden="1">
              <a:extLst>
                <a:ext uri="{63B3BB69-23CF-44E3-9099-C40C66FF867C}">
                  <a14:compatExt spid="_x0000_s41986"/>
                </a:ext>
                <a:ext uri="{FF2B5EF4-FFF2-40B4-BE49-F238E27FC236}">
                  <a16:creationId xmlns:a16="http://schemas.microsoft.com/office/drawing/2014/main" id="{00000000-0008-0000-2600-000002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361950</xdr:colOff>
          <xdr:row>0</xdr:row>
          <xdr:rowOff>38100</xdr:rowOff>
        </xdr:from>
        <xdr:to>
          <xdr:col>5</xdr:col>
          <xdr:colOff>571500</xdr:colOff>
          <xdr:row>0</xdr:row>
          <xdr:rowOff>200025</xdr:rowOff>
        </xdr:to>
        <xdr:sp macro="" textlink="">
          <xdr:nvSpPr>
            <xdr:cNvPr id="41987" name="Button 3" hidden="1">
              <a:extLst>
                <a:ext uri="{63B3BB69-23CF-44E3-9099-C40C66FF867C}">
                  <a14:compatExt spid="_x0000_s41987"/>
                </a:ext>
                <a:ext uri="{FF2B5EF4-FFF2-40B4-BE49-F238E27FC236}">
                  <a16:creationId xmlns:a16="http://schemas.microsoft.com/office/drawing/2014/main" id="{00000000-0008-0000-2600-000003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0</xdr:colOff>
          <xdr:row>0</xdr:row>
          <xdr:rowOff>38100</xdr:rowOff>
        </xdr:from>
        <xdr:to>
          <xdr:col>7</xdr:col>
          <xdr:colOff>476250</xdr:colOff>
          <xdr:row>0</xdr:row>
          <xdr:rowOff>200025</xdr:rowOff>
        </xdr:to>
        <xdr:sp macro="" textlink="">
          <xdr:nvSpPr>
            <xdr:cNvPr id="43009" name="Button 1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27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552450</xdr:colOff>
          <xdr:row>0</xdr:row>
          <xdr:rowOff>38100</xdr:rowOff>
        </xdr:from>
        <xdr:to>
          <xdr:col>8</xdr:col>
          <xdr:colOff>142875</xdr:colOff>
          <xdr:row>0</xdr:row>
          <xdr:rowOff>200025</xdr:rowOff>
        </xdr:to>
        <xdr:sp macro="" textlink="">
          <xdr:nvSpPr>
            <xdr:cNvPr id="43010" name="Button 2" hidden="1">
              <a:extLst>
                <a:ext uri="{63B3BB69-23CF-44E3-9099-C40C66FF867C}">
                  <a14:compatExt spid="_x0000_s43010"/>
                </a:ext>
                <a:ext uri="{FF2B5EF4-FFF2-40B4-BE49-F238E27FC236}">
                  <a16:creationId xmlns:a16="http://schemas.microsoft.com/office/drawing/2014/main" id="{00000000-0008-0000-2700-000002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428625</xdr:colOff>
          <xdr:row>0</xdr:row>
          <xdr:rowOff>38100</xdr:rowOff>
        </xdr:from>
        <xdr:to>
          <xdr:col>6</xdr:col>
          <xdr:colOff>628650</xdr:colOff>
          <xdr:row>0</xdr:row>
          <xdr:rowOff>200025</xdr:rowOff>
        </xdr:to>
        <xdr:sp macro="" textlink="">
          <xdr:nvSpPr>
            <xdr:cNvPr id="43011" name="Button 3" hidden="1">
              <a:extLst>
                <a:ext uri="{63B3BB69-23CF-44E3-9099-C40C66FF867C}">
                  <a14:compatExt spid="_x0000_s43011"/>
                </a:ext>
                <a:ext uri="{FF2B5EF4-FFF2-40B4-BE49-F238E27FC236}">
                  <a16:creationId xmlns:a16="http://schemas.microsoft.com/office/drawing/2014/main" id="{00000000-0008-0000-2700-000003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4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590550</xdr:colOff>
          <xdr:row>0</xdr:row>
          <xdr:rowOff>38100</xdr:rowOff>
        </xdr:from>
        <xdr:to>
          <xdr:col>8</xdr:col>
          <xdr:colOff>447675</xdr:colOff>
          <xdr:row>0</xdr:row>
          <xdr:rowOff>200025</xdr:rowOff>
        </xdr:to>
        <xdr:sp macro="" textlink="">
          <xdr:nvSpPr>
            <xdr:cNvPr id="44033" name="Button 1" hidden="1">
              <a:extLst>
                <a:ext uri="{63B3BB69-23CF-44E3-9099-C40C66FF867C}">
                  <a14:compatExt spid="_x0000_s44033"/>
                </a:ext>
                <a:ext uri="{FF2B5EF4-FFF2-40B4-BE49-F238E27FC236}">
                  <a16:creationId xmlns:a16="http://schemas.microsoft.com/office/drawing/2014/main" id="{00000000-0008-0000-2800-000001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504825</xdr:colOff>
          <xdr:row>0</xdr:row>
          <xdr:rowOff>38100</xdr:rowOff>
        </xdr:from>
        <xdr:to>
          <xdr:col>8</xdr:col>
          <xdr:colOff>704850</xdr:colOff>
          <xdr:row>0</xdr:row>
          <xdr:rowOff>200025</xdr:rowOff>
        </xdr:to>
        <xdr:sp macro="" textlink="">
          <xdr:nvSpPr>
            <xdr:cNvPr id="44034" name="Button 2" hidden="1">
              <a:extLst>
                <a:ext uri="{63B3BB69-23CF-44E3-9099-C40C66FF867C}">
                  <a14:compatExt spid="_x0000_s44034"/>
                </a:ext>
                <a:ext uri="{FF2B5EF4-FFF2-40B4-BE49-F238E27FC236}">
                  <a16:creationId xmlns:a16="http://schemas.microsoft.com/office/drawing/2014/main" id="{00000000-0008-0000-2800-000002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314325</xdr:colOff>
          <xdr:row>0</xdr:row>
          <xdr:rowOff>38100</xdr:rowOff>
        </xdr:from>
        <xdr:to>
          <xdr:col>7</xdr:col>
          <xdr:colOff>523875</xdr:colOff>
          <xdr:row>0</xdr:row>
          <xdr:rowOff>200025</xdr:rowOff>
        </xdr:to>
        <xdr:sp macro="" textlink="">
          <xdr:nvSpPr>
            <xdr:cNvPr id="44035" name="Button 3" hidden="1">
              <a:extLst>
                <a:ext uri="{63B3BB69-23CF-44E3-9099-C40C66FF867C}">
                  <a14:compatExt spid="_x0000_s44035"/>
                </a:ext>
                <a:ext uri="{FF2B5EF4-FFF2-40B4-BE49-F238E27FC236}">
                  <a16:creationId xmlns:a16="http://schemas.microsoft.com/office/drawing/2014/main" id="{00000000-0008-0000-2800-000003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4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542925</xdr:colOff>
          <xdr:row>0</xdr:row>
          <xdr:rowOff>38100</xdr:rowOff>
        </xdr:from>
        <xdr:to>
          <xdr:col>8</xdr:col>
          <xdr:colOff>400050</xdr:colOff>
          <xdr:row>0</xdr:row>
          <xdr:rowOff>200025</xdr:rowOff>
        </xdr:to>
        <xdr:sp macro="" textlink="">
          <xdr:nvSpPr>
            <xdr:cNvPr id="45057" name="Button 1" hidden="1">
              <a:extLst>
                <a:ext uri="{63B3BB69-23CF-44E3-9099-C40C66FF867C}">
                  <a14:compatExt spid="_x0000_s45057"/>
                </a:ext>
                <a:ext uri="{FF2B5EF4-FFF2-40B4-BE49-F238E27FC236}">
                  <a16:creationId xmlns:a16="http://schemas.microsoft.com/office/drawing/2014/main" id="{00000000-0008-0000-2900-00000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466725</xdr:colOff>
          <xdr:row>0</xdr:row>
          <xdr:rowOff>38100</xdr:rowOff>
        </xdr:from>
        <xdr:to>
          <xdr:col>8</xdr:col>
          <xdr:colOff>666750</xdr:colOff>
          <xdr:row>0</xdr:row>
          <xdr:rowOff>200025</xdr:rowOff>
        </xdr:to>
        <xdr:sp macro="" textlink="">
          <xdr:nvSpPr>
            <xdr:cNvPr id="45058" name="Button 2" hidden="1">
              <a:extLst>
                <a:ext uri="{63B3BB69-23CF-44E3-9099-C40C66FF867C}">
                  <a14:compatExt spid="_x0000_s45058"/>
                </a:ext>
                <a:ext uri="{FF2B5EF4-FFF2-40B4-BE49-F238E27FC236}">
                  <a16:creationId xmlns:a16="http://schemas.microsoft.com/office/drawing/2014/main" id="{00000000-0008-0000-2900-00000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266700</xdr:colOff>
          <xdr:row>0</xdr:row>
          <xdr:rowOff>38100</xdr:rowOff>
        </xdr:from>
        <xdr:to>
          <xdr:col>7</xdr:col>
          <xdr:colOff>476250</xdr:colOff>
          <xdr:row>0</xdr:row>
          <xdr:rowOff>200025</xdr:rowOff>
        </xdr:to>
        <xdr:sp macro="" textlink="">
          <xdr:nvSpPr>
            <xdr:cNvPr id="45059" name="Button 3" hidden="1">
              <a:extLst>
                <a:ext uri="{63B3BB69-23CF-44E3-9099-C40C66FF867C}">
                  <a14:compatExt spid="_x0000_s45059"/>
                </a:ext>
                <a:ext uri="{FF2B5EF4-FFF2-40B4-BE49-F238E27FC236}">
                  <a16:creationId xmlns:a16="http://schemas.microsoft.com/office/drawing/2014/main" id="{00000000-0008-0000-2900-000003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4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200025</xdr:colOff>
          <xdr:row>0</xdr:row>
          <xdr:rowOff>38100</xdr:rowOff>
        </xdr:from>
        <xdr:to>
          <xdr:col>7</xdr:col>
          <xdr:colOff>666750</xdr:colOff>
          <xdr:row>0</xdr:row>
          <xdr:rowOff>200025</xdr:rowOff>
        </xdr:to>
        <xdr:sp macro="" textlink="">
          <xdr:nvSpPr>
            <xdr:cNvPr id="46081" name="Button 1" hidden="1">
              <a:extLst>
                <a:ext uri="{63B3BB69-23CF-44E3-9099-C40C66FF867C}">
                  <a14:compatExt spid="_x0000_s46081"/>
                </a:ext>
                <a:ext uri="{FF2B5EF4-FFF2-40B4-BE49-F238E27FC236}">
                  <a16:creationId xmlns:a16="http://schemas.microsoft.com/office/drawing/2014/main" id="{00000000-0008-0000-2A00-000001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733425</xdr:colOff>
          <xdr:row>0</xdr:row>
          <xdr:rowOff>38100</xdr:rowOff>
        </xdr:from>
        <xdr:to>
          <xdr:col>8</xdr:col>
          <xdr:colOff>0</xdr:colOff>
          <xdr:row>0</xdr:row>
          <xdr:rowOff>200025</xdr:rowOff>
        </xdr:to>
        <xdr:sp macro="" textlink="">
          <xdr:nvSpPr>
            <xdr:cNvPr id="46082" name="Button 2" hidden="1">
              <a:extLst>
                <a:ext uri="{63B3BB69-23CF-44E3-9099-C40C66FF867C}">
                  <a14:compatExt spid="_x0000_s46082"/>
                </a:ext>
                <a:ext uri="{FF2B5EF4-FFF2-40B4-BE49-F238E27FC236}">
                  <a16:creationId xmlns:a16="http://schemas.microsoft.com/office/drawing/2014/main" id="{00000000-0008-0000-2A00-000002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1304925</xdr:colOff>
          <xdr:row>0</xdr:row>
          <xdr:rowOff>38100</xdr:rowOff>
        </xdr:from>
        <xdr:to>
          <xdr:col>7</xdr:col>
          <xdr:colOff>133350</xdr:colOff>
          <xdr:row>0</xdr:row>
          <xdr:rowOff>200025</xdr:rowOff>
        </xdr:to>
        <xdr:sp macro="" textlink="">
          <xdr:nvSpPr>
            <xdr:cNvPr id="46083" name="Button 3" hidden="1">
              <a:extLst>
                <a:ext uri="{63B3BB69-23CF-44E3-9099-C40C66FF867C}">
                  <a14:compatExt spid="_x0000_s46083"/>
                </a:ext>
                <a:ext uri="{FF2B5EF4-FFF2-40B4-BE49-F238E27FC236}">
                  <a16:creationId xmlns:a16="http://schemas.microsoft.com/office/drawing/2014/main" id="{00000000-0008-0000-2A00-000003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4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171450</xdr:colOff>
          <xdr:row>0</xdr:row>
          <xdr:rowOff>38100</xdr:rowOff>
        </xdr:from>
        <xdr:to>
          <xdr:col>8</xdr:col>
          <xdr:colOff>38100</xdr:colOff>
          <xdr:row>0</xdr:row>
          <xdr:rowOff>200025</xdr:rowOff>
        </xdr:to>
        <xdr:sp macro="" textlink="">
          <xdr:nvSpPr>
            <xdr:cNvPr id="47105" name="Button 1" hidden="1">
              <a:extLst>
                <a:ext uri="{63B3BB69-23CF-44E3-9099-C40C66FF867C}">
                  <a14:compatExt spid="_x0000_s47105"/>
                </a:ext>
                <a:ext uri="{FF2B5EF4-FFF2-40B4-BE49-F238E27FC236}">
                  <a16:creationId xmlns:a16="http://schemas.microsoft.com/office/drawing/2014/main" id="{00000000-0008-0000-2B00-000001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104775</xdr:colOff>
          <xdr:row>0</xdr:row>
          <xdr:rowOff>38100</xdr:rowOff>
        </xdr:from>
        <xdr:to>
          <xdr:col>8</xdr:col>
          <xdr:colOff>304800</xdr:colOff>
          <xdr:row>0</xdr:row>
          <xdr:rowOff>200025</xdr:rowOff>
        </xdr:to>
        <xdr:sp macro="" textlink="">
          <xdr:nvSpPr>
            <xdr:cNvPr id="47106" name="Button 2" hidden="1">
              <a:extLst>
                <a:ext uri="{63B3BB69-23CF-44E3-9099-C40C66FF867C}">
                  <a14:compatExt spid="_x0000_s47106"/>
                </a:ext>
                <a:ext uri="{FF2B5EF4-FFF2-40B4-BE49-F238E27FC236}">
                  <a16:creationId xmlns:a16="http://schemas.microsoft.com/office/drawing/2014/main" id="{00000000-0008-0000-2B00-000002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504825</xdr:colOff>
          <xdr:row>0</xdr:row>
          <xdr:rowOff>38100</xdr:rowOff>
        </xdr:from>
        <xdr:to>
          <xdr:col>7</xdr:col>
          <xdr:colOff>95250</xdr:colOff>
          <xdr:row>0</xdr:row>
          <xdr:rowOff>200025</xdr:rowOff>
        </xdr:to>
        <xdr:sp macro="" textlink="">
          <xdr:nvSpPr>
            <xdr:cNvPr id="47107" name="Button 3" hidden="1">
              <a:extLst>
                <a:ext uri="{63B3BB69-23CF-44E3-9099-C40C66FF867C}">
                  <a14:compatExt spid="_x0000_s47107"/>
                </a:ext>
                <a:ext uri="{FF2B5EF4-FFF2-40B4-BE49-F238E27FC236}">
                  <a16:creationId xmlns:a16="http://schemas.microsoft.com/office/drawing/2014/main" id="{00000000-0008-0000-2B00-000003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4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828675</xdr:colOff>
          <xdr:row>0</xdr:row>
          <xdr:rowOff>38100</xdr:rowOff>
        </xdr:from>
        <xdr:to>
          <xdr:col>7</xdr:col>
          <xdr:colOff>400050</xdr:colOff>
          <xdr:row>0</xdr:row>
          <xdr:rowOff>200025</xdr:rowOff>
        </xdr:to>
        <xdr:sp macro="" textlink="">
          <xdr:nvSpPr>
            <xdr:cNvPr id="48129" name="Button 1" hidden="1">
              <a:extLst>
                <a:ext uri="{63B3BB69-23CF-44E3-9099-C40C66FF867C}">
                  <a14:compatExt spid="_x0000_s48129"/>
                </a:ext>
                <a:ext uri="{FF2B5EF4-FFF2-40B4-BE49-F238E27FC236}">
                  <a16:creationId xmlns:a16="http://schemas.microsoft.com/office/drawing/2014/main" id="{00000000-0008-0000-2C00-000001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466725</xdr:colOff>
          <xdr:row>0</xdr:row>
          <xdr:rowOff>38100</xdr:rowOff>
        </xdr:from>
        <xdr:to>
          <xdr:col>7</xdr:col>
          <xdr:colOff>666750</xdr:colOff>
          <xdr:row>0</xdr:row>
          <xdr:rowOff>200025</xdr:rowOff>
        </xdr:to>
        <xdr:sp macro="" textlink="">
          <xdr:nvSpPr>
            <xdr:cNvPr id="48130" name="Button 2" hidden="1">
              <a:extLst>
                <a:ext uri="{63B3BB69-23CF-44E3-9099-C40C66FF867C}">
                  <a14:compatExt spid="_x0000_s48130"/>
                </a:ext>
                <a:ext uri="{FF2B5EF4-FFF2-40B4-BE49-F238E27FC236}">
                  <a16:creationId xmlns:a16="http://schemas.microsoft.com/office/drawing/2014/main" id="{00000000-0008-0000-2C00-000002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561975</xdr:colOff>
          <xdr:row>0</xdr:row>
          <xdr:rowOff>38100</xdr:rowOff>
        </xdr:from>
        <xdr:to>
          <xdr:col>6</xdr:col>
          <xdr:colOff>762000</xdr:colOff>
          <xdr:row>0</xdr:row>
          <xdr:rowOff>200025</xdr:rowOff>
        </xdr:to>
        <xdr:sp macro="" textlink="">
          <xdr:nvSpPr>
            <xdr:cNvPr id="48131" name="Button 3" hidden="1">
              <a:extLst>
                <a:ext uri="{63B3BB69-23CF-44E3-9099-C40C66FF867C}">
                  <a14:compatExt spid="_x0000_s48131"/>
                </a:ext>
                <a:ext uri="{FF2B5EF4-FFF2-40B4-BE49-F238E27FC236}">
                  <a16:creationId xmlns:a16="http://schemas.microsoft.com/office/drawing/2014/main" id="{00000000-0008-0000-2C00-000003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4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76200</xdr:colOff>
          <xdr:row>0</xdr:row>
          <xdr:rowOff>38100</xdr:rowOff>
        </xdr:from>
        <xdr:to>
          <xdr:col>5</xdr:col>
          <xdr:colOff>542925</xdr:colOff>
          <xdr:row>0</xdr:row>
          <xdr:rowOff>200025</xdr:rowOff>
        </xdr:to>
        <xdr:sp macro="" textlink="">
          <xdr:nvSpPr>
            <xdr:cNvPr id="49153" name="Button 1" hidden="1">
              <a:extLst>
                <a:ext uri="{63B3BB69-23CF-44E3-9099-C40C66FF867C}">
                  <a14:compatExt spid="_x0000_s49153"/>
                </a:ext>
                <a:ext uri="{FF2B5EF4-FFF2-40B4-BE49-F238E27FC236}">
                  <a16:creationId xmlns:a16="http://schemas.microsoft.com/office/drawing/2014/main" id="{00000000-0008-0000-2D00-000001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609600</xdr:colOff>
          <xdr:row>0</xdr:row>
          <xdr:rowOff>38100</xdr:rowOff>
        </xdr:from>
        <xdr:to>
          <xdr:col>5</xdr:col>
          <xdr:colOff>809625</xdr:colOff>
          <xdr:row>0</xdr:row>
          <xdr:rowOff>200025</xdr:rowOff>
        </xdr:to>
        <xdr:sp macro="" textlink="">
          <xdr:nvSpPr>
            <xdr:cNvPr id="49154" name="Button 2" hidden="1">
              <a:extLst>
                <a:ext uri="{63B3BB69-23CF-44E3-9099-C40C66FF867C}">
                  <a14:compatExt spid="_x0000_s49154"/>
                </a:ext>
                <a:ext uri="{FF2B5EF4-FFF2-40B4-BE49-F238E27FC236}">
                  <a16:creationId xmlns:a16="http://schemas.microsoft.com/office/drawing/2014/main" id="{00000000-0008-0000-2D00-000002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409575</xdr:colOff>
          <xdr:row>0</xdr:row>
          <xdr:rowOff>38100</xdr:rowOff>
        </xdr:from>
        <xdr:to>
          <xdr:col>5</xdr:col>
          <xdr:colOff>9525</xdr:colOff>
          <xdr:row>0</xdr:row>
          <xdr:rowOff>200025</xdr:rowOff>
        </xdr:to>
        <xdr:sp macro="" textlink="">
          <xdr:nvSpPr>
            <xdr:cNvPr id="49155" name="Button 3" hidden="1">
              <a:extLst>
                <a:ext uri="{63B3BB69-23CF-44E3-9099-C40C66FF867C}">
                  <a14:compatExt spid="_x0000_s49155"/>
                </a:ext>
                <a:ext uri="{FF2B5EF4-FFF2-40B4-BE49-F238E27FC236}">
                  <a16:creationId xmlns:a16="http://schemas.microsoft.com/office/drawing/2014/main" id="{00000000-0008-0000-2D00-000003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4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20</xdr:col>
          <xdr:colOff>95250</xdr:colOff>
          <xdr:row>0</xdr:row>
          <xdr:rowOff>38100</xdr:rowOff>
        </xdr:from>
        <xdr:to>
          <xdr:col>22</xdr:col>
          <xdr:colOff>114300</xdr:colOff>
          <xdr:row>0</xdr:row>
          <xdr:rowOff>200025</xdr:rowOff>
        </xdr:to>
        <xdr:sp macro="" textlink="">
          <xdr:nvSpPr>
            <xdr:cNvPr id="50177" name="Button 1" hidden="1">
              <a:extLst>
                <a:ext uri="{63B3BB69-23CF-44E3-9099-C40C66FF867C}">
                  <a14:compatExt spid="_x0000_s50177"/>
                </a:ext>
                <a:ext uri="{FF2B5EF4-FFF2-40B4-BE49-F238E27FC236}">
                  <a16:creationId xmlns:a16="http://schemas.microsoft.com/office/drawing/2014/main" id="{00000000-0008-0000-2E00-000001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23</xdr:col>
          <xdr:colOff>47625</xdr:colOff>
          <xdr:row>0</xdr:row>
          <xdr:rowOff>38100</xdr:rowOff>
        </xdr:from>
        <xdr:to>
          <xdr:col>23</xdr:col>
          <xdr:colOff>257175</xdr:colOff>
          <xdr:row>0</xdr:row>
          <xdr:rowOff>200025</xdr:rowOff>
        </xdr:to>
        <xdr:sp macro="" textlink="">
          <xdr:nvSpPr>
            <xdr:cNvPr id="50178" name="Button 2" hidden="1">
              <a:extLst>
                <a:ext uri="{63B3BB69-23CF-44E3-9099-C40C66FF867C}">
                  <a14:compatExt spid="_x0000_s50178"/>
                </a:ext>
                <a:ext uri="{FF2B5EF4-FFF2-40B4-BE49-F238E27FC236}">
                  <a16:creationId xmlns:a16="http://schemas.microsoft.com/office/drawing/2014/main" id="{00000000-0008-0000-2E00-000002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19</xdr:col>
          <xdr:colOff>85725</xdr:colOff>
          <xdr:row>0</xdr:row>
          <xdr:rowOff>38100</xdr:rowOff>
        </xdr:from>
        <xdr:to>
          <xdr:col>20</xdr:col>
          <xdr:colOff>19050</xdr:colOff>
          <xdr:row>0</xdr:row>
          <xdr:rowOff>200025</xdr:rowOff>
        </xdr:to>
        <xdr:sp macro="" textlink="">
          <xdr:nvSpPr>
            <xdr:cNvPr id="50179" name="Button 3" hidden="1">
              <a:extLst>
                <a:ext uri="{63B3BB69-23CF-44E3-9099-C40C66FF867C}">
                  <a14:compatExt spid="_x0000_s50179"/>
                </a:ext>
                <a:ext uri="{FF2B5EF4-FFF2-40B4-BE49-F238E27FC236}">
                  <a16:creationId xmlns:a16="http://schemas.microsoft.com/office/drawing/2014/main" id="{00000000-0008-0000-2E00-000003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4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51201" name="Button 1" hidden="1">
              <a:extLst>
                <a:ext uri="{63B3BB69-23CF-44E3-9099-C40C66FF867C}">
                  <a14:compatExt spid="_x0000_s51201"/>
                </a:ext>
                <a:ext uri="{FF2B5EF4-FFF2-40B4-BE49-F238E27FC236}">
                  <a16:creationId xmlns:a16="http://schemas.microsoft.com/office/drawing/2014/main" id="{00000000-0008-0000-2F00-000001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51202" name="Button 2" hidden="1">
              <a:extLst>
                <a:ext uri="{63B3BB69-23CF-44E3-9099-C40C66FF867C}">
                  <a14:compatExt spid="_x0000_s51202"/>
                </a:ext>
                <a:ext uri="{FF2B5EF4-FFF2-40B4-BE49-F238E27FC236}">
                  <a16:creationId xmlns:a16="http://schemas.microsoft.com/office/drawing/2014/main" id="{00000000-0008-0000-2F00-000002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51203" name="Button 3" hidden="1">
              <a:extLst>
                <a:ext uri="{63B3BB69-23CF-44E3-9099-C40C66FF867C}">
                  <a14:compatExt spid="_x0000_s51203"/>
                </a:ext>
                <a:ext uri="{FF2B5EF4-FFF2-40B4-BE49-F238E27FC236}">
                  <a16:creationId xmlns:a16="http://schemas.microsoft.com/office/drawing/2014/main" id="{00000000-0008-0000-2F00-000003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4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276225</xdr:colOff>
          <xdr:row>0</xdr:row>
          <xdr:rowOff>38100</xdr:rowOff>
        </xdr:from>
        <xdr:to>
          <xdr:col>9</xdr:col>
          <xdr:colOff>142875</xdr:colOff>
          <xdr:row>0</xdr:row>
          <xdr:rowOff>200025</xdr:rowOff>
        </xdr:to>
        <xdr:sp macro="" textlink="">
          <xdr:nvSpPr>
            <xdr:cNvPr id="52225" name="Button 1" hidden="1">
              <a:extLst>
                <a:ext uri="{63B3BB69-23CF-44E3-9099-C40C66FF867C}">
                  <a14:compatExt spid="_x0000_s52225"/>
                </a:ext>
                <a:ext uri="{FF2B5EF4-FFF2-40B4-BE49-F238E27FC236}">
                  <a16:creationId xmlns:a16="http://schemas.microsoft.com/office/drawing/2014/main" id="{00000000-0008-0000-3000-000001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209550</xdr:colOff>
          <xdr:row>0</xdr:row>
          <xdr:rowOff>38100</xdr:rowOff>
        </xdr:from>
        <xdr:to>
          <xdr:col>9</xdr:col>
          <xdr:colOff>419100</xdr:colOff>
          <xdr:row>0</xdr:row>
          <xdr:rowOff>200025</xdr:rowOff>
        </xdr:to>
        <xdr:sp macro="" textlink="">
          <xdr:nvSpPr>
            <xdr:cNvPr id="52226" name="Button 2" hidden="1">
              <a:extLst>
                <a:ext uri="{63B3BB69-23CF-44E3-9099-C40C66FF867C}">
                  <a14:compatExt spid="_x0000_s52226"/>
                </a:ext>
                <a:ext uri="{FF2B5EF4-FFF2-40B4-BE49-F238E27FC236}">
                  <a16:creationId xmlns:a16="http://schemas.microsoft.com/office/drawing/2014/main" id="{00000000-0008-0000-3000-000002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0</xdr:colOff>
          <xdr:row>0</xdr:row>
          <xdr:rowOff>38100</xdr:rowOff>
        </xdr:from>
        <xdr:to>
          <xdr:col>8</xdr:col>
          <xdr:colOff>209550</xdr:colOff>
          <xdr:row>0</xdr:row>
          <xdr:rowOff>200025</xdr:rowOff>
        </xdr:to>
        <xdr:sp macro="" textlink="">
          <xdr:nvSpPr>
            <xdr:cNvPr id="52227" name="Button 3" hidden="1">
              <a:extLst>
                <a:ext uri="{63B3BB69-23CF-44E3-9099-C40C66FF867C}">
                  <a14:compatExt spid="_x0000_s52227"/>
                </a:ext>
                <a:ext uri="{FF2B5EF4-FFF2-40B4-BE49-F238E27FC236}">
                  <a16:creationId xmlns:a16="http://schemas.microsoft.com/office/drawing/2014/main" id="{00000000-0008-0000-3000-000003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8</xdr:col>
          <xdr:colOff>561975</xdr:colOff>
          <xdr:row>54</xdr:row>
          <xdr:rowOff>0</xdr:rowOff>
        </xdr:to>
        <xdr:pic>
          <xdr:nvPicPr>
            <xdr:cNvPr id="5" name="Picture 5">
              <a:extLst>
                <a:ext uri="{FF2B5EF4-FFF2-40B4-BE49-F238E27FC236}">
                  <a16:creationId xmlns:a16="http://schemas.microsoft.com/office/drawing/2014/main" id="{00000000-0008-0000-3000-000005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CHAR!$B$24:$W$48" spid="_x0000_s52263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80975" y="4819650"/>
              <a:ext cx="4933950" cy="4048125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pic>
        <xdr:clientData/>
      </xdr:twoCellAnchor>
    </mc:Choice>
    <mc:Fallback/>
  </mc:AlternateContent>
</xdr:wsDr>
</file>

<file path=xl/drawings/drawing4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790575</xdr:colOff>
          <xdr:row>0</xdr:row>
          <xdr:rowOff>38100</xdr:rowOff>
        </xdr:from>
        <xdr:to>
          <xdr:col>6</xdr:col>
          <xdr:colOff>142875</xdr:colOff>
          <xdr:row>0</xdr:row>
          <xdr:rowOff>200025</xdr:rowOff>
        </xdr:to>
        <xdr:sp macro="" textlink="">
          <xdr:nvSpPr>
            <xdr:cNvPr id="53249" name="Button 1" hidden="1">
              <a:extLst>
                <a:ext uri="{63B3BB69-23CF-44E3-9099-C40C66FF867C}">
                  <a14:compatExt spid="_x0000_s53249"/>
                </a:ext>
                <a:ext uri="{FF2B5EF4-FFF2-40B4-BE49-F238E27FC236}">
                  <a16:creationId xmlns:a16="http://schemas.microsoft.com/office/drawing/2014/main" id="{00000000-0008-0000-3100-000001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209550</xdr:colOff>
          <xdr:row>0</xdr:row>
          <xdr:rowOff>38100</xdr:rowOff>
        </xdr:from>
        <xdr:to>
          <xdr:col>6</xdr:col>
          <xdr:colOff>409575</xdr:colOff>
          <xdr:row>0</xdr:row>
          <xdr:rowOff>200025</xdr:rowOff>
        </xdr:to>
        <xdr:sp macro="" textlink="">
          <xdr:nvSpPr>
            <xdr:cNvPr id="53250" name="Button 2" hidden="1">
              <a:extLst>
                <a:ext uri="{63B3BB69-23CF-44E3-9099-C40C66FF867C}">
                  <a14:compatExt spid="_x0000_s53250"/>
                </a:ext>
                <a:ext uri="{FF2B5EF4-FFF2-40B4-BE49-F238E27FC236}">
                  <a16:creationId xmlns:a16="http://schemas.microsoft.com/office/drawing/2014/main" id="{00000000-0008-0000-3100-000002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523875</xdr:colOff>
          <xdr:row>0</xdr:row>
          <xdr:rowOff>38100</xdr:rowOff>
        </xdr:from>
        <xdr:to>
          <xdr:col>5</xdr:col>
          <xdr:colOff>723900</xdr:colOff>
          <xdr:row>0</xdr:row>
          <xdr:rowOff>200025</xdr:rowOff>
        </xdr:to>
        <xdr:sp macro="" textlink="">
          <xdr:nvSpPr>
            <xdr:cNvPr id="53251" name="Button 3" hidden="1">
              <a:extLst>
                <a:ext uri="{63B3BB69-23CF-44E3-9099-C40C66FF867C}">
                  <a14:compatExt spid="_x0000_s53251"/>
                </a:ext>
                <a:ext uri="{FF2B5EF4-FFF2-40B4-BE49-F238E27FC236}">
                  <a16:creationId xmlns:a16="http://schemas.microsoft.com/office/drawing/2014/main" id="{00000000-0008-0000-3100-000003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5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104775</xdr:colOff>
          <xdr:row>0</xdr:row>
          <xdr:rowOff>38100</xdr:rowOff>
        </xdr:from>
        <xdr:to>
          <xdr:col>7</xdr:col>
          <xdr:colOff>581025</xdr:colOff>
          <xdr:row>0</xdr:row>
          <xdr:rowOff>200025</xdr:rowOff>
        </xdr:to>
        <xdr:sp macro="" textlink="">
          <xdr:nvSpPr>
            <xdr:cNvPr id="54273" name="Button 1" hidden="1">
              <a:extLst>
                <a:ext uri="{63B3BB69-23CF-44E3-9099-C40C66FF867C}">
                  <a14:compatExt spid="_x0000_s54273"/>
                </a:ext>
                <a:ext uri="{FF2B5EF4-FFF2-40B4-BE49-F238E27FC236}">
                  <a16:creationId xmlns:a16="http://schemas.microsoft.com/office/drawing/2014/main" id="{00000000-0008-0000-3200-000001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47625</xdr:colOff>
          <xdr:row>0</xdr:row>
          <xdr:rowOff>38100</xdr:rowOff>
        </xdr:from>
        <xdr:to>
          <xdr:col>8</xdr:col>
          <xdr:colOff>257175</xdr:colOff>
          <xdr:row>0</xdr:row>
          <xdr:rowOff>200025</xdr:rowOff>
        </xdr:to>
        <xdr:sp macro="" textlink="">
          <xdr:nvSpPr>
            <xdr:cNvPr id="54274" name="Button 2" hidden="1">
              <a:extLst>
                <a:ext uri="{63B3BB69-23CF-44E3-9099-C40C66FF867C}">
                  <a14:compatExt spid="_x0000_s54274"/>
                </a:ext>
                <a:ext uri="{FF2B5EF4-FFF2-40B4-BE49-F238E27FC236}">
                  <a16:creationId xmlns:a16="http://schemas.microsoft.com/office/drawing/2014/main" id="{00000000-0008-0000-3200-000002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438150</xdr:colOff>
          <xdr:row>0</xdr:row>
          <xdr:rowOff>38100</xdr:rowOff>
        </xdr:from>
        <xdr:to>
          <xdr:col>7</xdr:col>
          <xdr:colOff>38100</xdr:colOff>
          <xdr:row>0</xdr:row>
          <xdr:rowOff>200025</xdr:rowOff>
        </xdr:to>
        <xdr:sp macro="" textlink="">
          <xdr:nvSpPr>
            <xdr:cNvPr id="54275" name="Button 3" hidden="1">
              <a:extLst>
                <a:ext uri="{63B3BB69-23CF-44E3-9099-C40C66FF867C}">
                  <a14:compatExt spid="_x0000_s54275"/>
                </a:ext>
                <a:ext uri="{FF2B5EF4-FFF2-40B4-BE49-F238E27FC236}">
                  <a16:creationId xmlns:a16="http://schemas.microsoft.com/office/drawing/2014/main" id="{00000000-0008-0000-3200-000003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5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514350</xdr:colOff>
          <xdr:row>0</xdr:row>
          <xdr:rowOff>38100</xdr:rowOff>
        </xdr:from>
        <xdr:to>
          <xdr:col>6</xdr:col>
          <xdr:colOff>371475</xdr:colOff>
          <xdr:row>0</xdr:row>
          <xdr:rowOff>200025</xdr:rowOff>
        </xdr:to>
        <xdr:sp macro="" textlink="">
          <xdr:nvSpPr>
            <xdr:cNvPr id="55297" name="Button 1" hidden="1">
              <a:extLst>
                <a:ext uri="{63B3BB69-23CF-44E3-9099-C40C66FF867C}">
                  <a14:compatExt spid="_x0000_s55297"/>
                </a:ext>
                <a:ext uri="{FF2B5EF4-FFF2-40B4-BE49-F238E27FC236}">
                  <a16:creationId xmlns:a16="http://schemas.microsoft.com/office/drawing/2014/main" id="{00000000-0008-0000-3300-000001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438150</xdr:colOff>
          <xdr:row>0</xdr:row>
          <xdr:rowOff>38100</xdr:rowOff>
        </xdr:from>
        <xdr:to>
          <xdr:col>7</xdr:col>
          <xdr:colOff>28575</xdr:colOff>
          <xdr:row>0</xdr:row>
          <xdr:rowOff>200025</xdr:rowOff>
        </xdr:to>
        <xdr:sp macro="" textlink="">
          <xdr:nvSpPr>
            <xdr:cNvPr id="55298" name="Button 2" hidden="1">
              <a:extLst>
                <a:ext uri="{63B3BB69-23CF-44E3-9099-C40C66FF867C}">
                  <a14:compatExt spid="_x0000_s55298"/>
                </a:ext>
                <a:ext uri="{FF2B5EF4-FFF2-40B4-BE49-F238E27FC236}">
                  <a16:creationId xmlns:a16="http://schemas.microsoft.com/office/drawing/2014/main" id="{00000000-0008-0000-3300-000002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247650</xdr:colOff>
          <xdr:row>0</xdr:row>
          <xdr:rowOff>38100</xdr:rowOff>
        </xdr:from>
        <xdr:to>
          <xdr:col>5</xdr:col>
          <xdr:colOff>447675</xdr:colOff>
          <xdr:row>0</xdr:row>
          <xdr:rowOff>200025</xdr:rowOff>
        </xdr:to>
        <xdr:sp macro="" textlink="">
          <xdr:nvSpPr>
            <xdr:cNvPr id="55299" name="Button 3" hidden="1">
              <a:extLst>
                <a:ext uri="{63B3BB69-23CF-44E3-9099-C40C66FF867C}">
                  <a14:compatExt spid="_x0000_s55299"/>
                </a:ext>
                <a:ext uri="{FF2B5EF4-FFF2-40B4-BE49-F238E27FC236}">
                  <a16:creationId xmlns:a16="http://schemas.microsoft.com/office/drawing/2014/main" id="{00000000-0008-0000-3300-000003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5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323850</xdr:colOff>
          <xdr:row>0</xdr:row>
          <xdr:rowOff>38100</xdr:rowOff>
        </xdr:from>
        <xdr:to>
          <xdr:col>9</xdr:col>
          <xdr:colOff>190500</xdr:colOff>
          <xdr:row>0</xdr:row>
          <xdr:rowOff>200025</xdr:rowOff>
        </xdr:to>
        <xdr:sp macro="" textlink="">
          <xdr:nvSpPr>
            <xdr:cNvPr id="56321" name="Button 1" hidden="1">
              <a:extLst>
                <a:ext uri="{63B3BB69-23CF-44E3-9099-C40C66FF867C}">
                  <a14:compatExt spid="_x0000_s56321"/>
                </a:ext>
                <a:ext uri="{FF2B5EF4-FFF2-40B4-BE49-F238E27FC236}">
                  <a16:creationId xmlns:a16="http://schemas.microsoft.com/office/drawing/2014/main" id="{00000000-0008-0000-3400-000001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257175</xdr:colOff>
          <xdr:row>0</xdr:row>
          <xdr:rowOff>38100</xdr:rowOff>
        </xdr:from>
        <xdr:to>
          <xdr:col>9</xdr:col>
          <xdr:colOff>457200</xdr:colOff>
          <xdr:row>0</xdr:row>
          <xdr:rowOff>200025</xdr:rowOff>
        </xdr:to>
        <xdr:sp macro="" textlink="">
          <xdr:nvSpPr>
            <xdr:cNvPr id="56322" name="Button 2" hidden="1">
              <a:extLst>
                <a:ext uri="{63B3BB69-23CF-44E3-9099-C40C66FF867C}">
                  <a14:compatExt spid="_x0000_s56322"/>
                </a:ext>
                <a:ext uri="{FF2B5EF4-FFF2-40B4-BE49-F238E27FC236}">
                  <a16:creationId xmlns:a16="http://schemas.microsoft.com/office/drawing/2014/main" id="{00000000-0008-0000-3400-000002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57150</xdr:colOff>
          <xdr:row>0</xdr:row>
          <xdr:rowOff>38100</xdr:rowOff>
        </xdr:from>
        <xdr:to>
          <xdr:col>8</xdr:col>
          <xdr:colOff>266700</xdr:colOff>
          <xdr:row>0</xdr:row>
          <xdr:rowOff>200025</xdr:rowOff>
        </xdr:to>
        <xdr:sp macro="" textlink="">
          <xdr:nvSpPr>
            <xdr:cNvPr id="56323" name="Button 3" hidden="1">
              <a:extLst>
                <a:ext uri="{63B3BB69-23CF-44E3-9099-C40C66FF867C}">
                  <a14:compatExt spid="_x0000_s56323"/>
                </a:ext>
                <a:ext uri="{FF2B5EF4-FFF2-40B4-BE49-F238E27FC236}">
                  <a16:creationId xmlns:a16="http://schemas.microsoft.com/office/drawing/2014/main" id="{00000000-0008-0000-3400-000003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5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323850</xdr:colOff>
          <xdr:row>0</xdr:row>
          <xdr:rowOff>38100</xdr:rowOff>
        </xdr:from>
        <xdr:to>
          <xdr:col>8</xdr:col>
          <xdr:colOff>190500</xdr:colOff>
          <xdr:row>0</xdr:row>
          <xdr:rowOff>200025</xdr:rowOff>
        </xdr:to>
        <xdr:sp macro="" textlink="">
          <xdr:nvSpPr>
            <xdr:cNvPr id="57345" name="Button 1" hidden="1">
              <a:extLst>
                <a:ext uri="{63B3BB69-23CF-44E3-9099-C40C66FF867C}">
                  <a14:compatExt spid="_x0000_s57345"/>
                </a:ext>
                <a:ext uri="{FF2B5EF4-FFF2-40B4-BE49-F238E27FC236}">
                  <a16:creationId xmlns:a16="http://schemas.microsoft.com/office/drawing/2014/main" id="{00000000-0008-0000-3500-000001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257175</xdr:colOff>
          <xdr:row>0</xdr:row>
          <xdr:rowOff>38100</xdr:rowOff>
        </xdr:from>
        <xdr:to>
          <xdr:col>8</xdr:col>
          <xdr:colOff>457200</xdr:colOff>
          <xdr:row>0</xdr:row>
          <xdr:rowOff>200025</xdr:rowOff>
        </xdr:to>
        <xdr:sp macro="" textlink="">
          <xdr:nvSpPr>
            <xdr:cNvPr id="57346" name="Button 2" hidden="1">
              <a:extLst>
                <a:ext uri="{63B3BB69-23CF-44E3-9099-C40C66FF867C}">
                  <a14:compatExt spid="_x0000_s57346"/>
                </a:ext>
                <a:ext uri="{FF2B5EF4-FFF2-40B4-BE49-F238E27FC236}">
                  <a16:creationId xmlns:a16="http://schemas.microsoft.com/office/drawing/2014/main" id="{00000000-0008-0000-3500-000002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47625</xdr:colOff>
          <xdr:row>0</xdr:row>
          <xdr:rowOff>38100</xdr:rowOff>
        </xdr:from>
        <xdr:to>
          <xdr:col>7</xdr:col>
          <xdr:colOff>257175</xdr:colOff>
          <xdr:row>0</xdr:row>
          <xdr:rowOff>200025</xdr:rowOff>
        </xdr:to>
        <xdr:sp macro="" textlink="">
          <xdr:nvSpPr>
            <xdr:cNvPr id="57347" name="Button 3" hidden="1">
              <a:extLst>
                <a:ext uri="{63B3BB69-23CF-44E3-9099-C40C66FF867C}">
                  <a14:compatExt spid="_x0000_s57347"/>
                </a:ext>
                <a:ext uri="{FF2B5EF4-FFF2-40B4-BE49-F238E27FC236}">
                  <a16:creationId xmlns:a16="http://schemas.microsoft.com/office/drawing/2014/main" id="{00000000-0008-0000-3500-000003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5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0</xdr:colOff>
          <xdr:row>0</xdr:row>
          <xdr:rowOff>38100</xdr:rowOff>
        </xdr:from>
        <xdr:to>
          <xdr:col>7</xdr:col>
          <xdr:colOff>476250</xdr:colOff>
          <xdr:row>0</xdr:row>
          <xdr:rowOff>200025</xdr:rowOff>
        </xdr:to>
        <xdr:sp macro="" textlink="">
          <xdr:nvSpPr>
            <xdr:cNvPr id="58369" name="Button 1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36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552450</xdr:colOff>
          <xdr:row>0</xdr:row>
          <xdr:rowOff>38100</xdr:rowOff>
        </xdr:from>
        <xdr:to>
          <xdr:col>8</xdr:col>
          <xdr:colOff>142875</xdr:colOff>
          <xdr:row>0</xdr:row>
          <xdr:rowOff>200025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00000000-0008-0000-3600-000002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428625</xdr:colOff>
          <xdr:row>0</xdr:row>
          <xdr:rowOff>38100</xdr:rowOff>
        </xdr:from>
        <xdr:to>
          <xdr:col>6</xdr:col>
          <xdr:colOff>628650</xdr:colOff>
          <xdr:row>0</xdr:row>
          <xdr:rowOff>200025</xdr:rowOff>
        </xdr:to>
        <xdr:sp macro="" textlink="">
          <xdr:nvSpPr>
            <xdr:cNvPr id="58371" name="Button 3" hidden="1">
              <a:extLst>
                <a:ext uri="{63B3BB69-23CF-44E3-9099-C40C66FF867C}">
                  <a14:compatExt spid="_x0000_s58371"/>
                </a:ext>
                <a:ext uri="{FF2B5EF4-FFF2-40B4-BE49-F238E27FC236}">
                  <a16:creationId xmlns:a16="http://schemas.microsoft.com/office/drawing/2014/main" id="{00000000-0008-0000-3600-000003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5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638175</xdr:colOff>
          <xdr:row>0</xdr:row>
          <xdr:rowOff>38100</xdr:rowOff>
        </xdr:from>
        <xdr:to>
          <xdr:col>6</xdr:col>
          <xdr:colOff>228600</xdr:colOff>
          <xdr:row>0</xdr:row>
          <xdr:rowOff>200025</xdr:rowOff>
        </xdr:to>
        <xdr:sp macro="" textlink="">
          <xdr:nvSpPr>
            <xdr:cNvPr id="59393" name="Button 1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00000000-0008-0000-3700-000001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295275</xdr:colOff>
          <xdr:row>0</xdr:row>
          <xdr:rowOff>38100</xdr:rowOff>
        </xdr:from>
        <xdr:to>
          <xdr:col>7</xdr:col>
          <xdr:colOff>9525</xdr:colOff>
          <xdr:row>0</xdr:row>
          <xdr:rowOff>200025</xdr:rowOff>
        </xdr:to>
        <xdr:sp macro="" textlink="">
          <xdr:nvSpPr>
            <xdr:cNvPr id="59394" name="Button 2" hidden="1">
              <a:extLst>
                <a:ext uri="{63B3BB69-23CF-44E3-9099-C40C66FF867C}">
                  <a14:compatExt spid="_x0000_s59394"/>
                </a:ext>
                <a:ext uri="{FF2B5EF4-FFF2-40B4-BE49-F238E27FC236}">
                  <a16:creationId xmlns:a16="http://schemas.microsoft.com/office/drawing/2014/main" id="{00000000-0008-0000-3700-000002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371475</xdr:colOff>
          <xdr:row>0</xdr:row>
          <xdr:rowOff>38100</xdr:rowOff>
        </xdr:from>
        <xdr:to>
          <xdr:col>5</xdr:col>
          <xdr:colOff>571500</xdr:colOff>
          <xdr:row>0</xdr:row>
          <xdr:rowOff>200025</xdr:rowOff>
        </xdr:to>
        <xdr:sp macro="" textlink="">
          <xdr:nvSpPr>
            <xdr:cNvPr id="59395" name="Button 3" hidden="1">
              <a:extLst>
                <a:ext uri="{63B3BB69-23CF-44E3-9099-C40C66FF867C}">
                  <a14:compatExt spid="_x0000_s59395"/>
                </a:ext>
                <a:ext uri="{FF2B5EF4-FFF2-40B4-BE49-F238E27FC236}">
                  <a16:creationId xmlns:a16="http://schemas.microsoft.com/office/drawing/2014/main" id="{00000000-0008-0000-3700-000003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5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00000000-0008-0000-3800-000001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60418" name="Button 2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38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60419" name="Button 3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38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5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1247775</xdr:colOff>
          <xdr:row>0</xdr:row>
          <xdr:rowOff>38100</xdr:rowOff>
        </xdr:from>
        <xdr:to>
          <xdr:col>5</xdr:col>
          <xdr:colOff>1714500</xdr:colOff>
          <xdr:row>0</xdr:row>
          <xdr:rowOff>200025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  <a:ext uri="{FF2B5EF4-FFF2-40B4-BE49-F238E27FC236}">
                  <a16:creationId xmlns:a16="http://schemas.microsoft.com/office/drawing/2014/main" id="{00000000-0008-0000-3900-000001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1781175</xdr:colOff>
          <xdr:row>0</xdr:row>
          <xdr:rowOff>38100</xdr:rowOff>
        </xdr:from>
        <xdr:to>
          <xdr:col>5</xdr:col>
          <xdr:colOff>1981200</xdr:colOff>
          <xdr:row>0</xdr:row>
          <xdr:rowOff>200025</xdr:rowOff>
        </xdr:to>
        <xdr:sp macro="" textlink="">
          <xdr:nvSpPr>
            <xdr:cNvPr id="61442" name="Button 2" hidden="1">
              <a:extLst>
                <a:ext uri="{63B3BB69-23CF-44E3-9099-C40C66FF867C}">
                  <a14:compatExt spid="_x0000_s61442"/>
                </a:ext>
                <a:ext uri="{FF2B5EF4-FFF2-40B4-BE49-F238E27FC236}">
                  <a16:creationId xmlns:a16="http://schemas.microsoft.com/office/drawing/2014/main" id="{00000000-0008-0000-3900-00000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981075</xdr:colOff>
          <xdr:row>0</xdr:row>
          <xdr:rowOff>38100</xdr:rowOff>
        </xdr:from>
        <xdr:to>
          <xdr:col>5</xdr:col>
          <xdr:colOff>1181100</xdr:colOff>
          <xdr:row>0</xdr:row>
          <xdr:rowOff>200025</xdr:rowOff>
        </xdr:to>
        <xdr:sp macro="" textlink="">
          <xdr:nvSpPr>
            <xdr:cNvPr id="61443" name="Button 3" hidden="1">
              <a:extLst>
                <a:ext uri="{63B3BB69-23CF-44E3-9099-C40C66FF867C}">
                  <a14:compatExt spid="_x0000_s61443"/>
                </a:ext>
                <a:ext uri="{FF2B5EF4-FFF2-40B4-BE49-F238E27FC236}">
                  <a16:creationId xmlns:a16="http://schemas.microsoft.com/office/drawing/2014/main" id="{00000000-0008-0000-3900-00000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5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142875</xdr:colOff>
          <xdr:row>0</xdr:row>
          <xdr:rowOff>38100</xdr:rowOff>
        </xdr:from>
        <xdr:to>
          <xdr:col>7</xdr:col>
          <xdr:colOff>609600</xdr:colOff>
          <xdr:row>0</xdr:row>
          <xdr:rowOff>200025</xdr:rowOff>
        </xdr:to>
        <xdr:sp macro="" textlink="">
          <xdr:nvSpPr>
            <xdr:cNvPr id="62465" name="Button 1" hidden="1">
              <a:extLst>
                <a:ext uri="{63B3BB69-23CF-44E3-9099-C40C66FF867C}">
                  <a14:compatExt spid="_x0000_s62465"/>
                </a:ext>
                <a:ext uri="{FF2B5EF4-FFF2-40B4-BE49-F238E27FC236}">
                  <a16:creationId xmlns:a16="http://schemas.microsoft.com/office/drawing/2014/main" id="{00000000-0008-0000-3A00-000001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676275</xdr:colOff>
          <xdr:row>0</xdr:row>
          <xdr:rowOff>38100</xdr:rowOff>
        </xdr:from>
        <xdr:to>
          <xdr:col>8</xdr:col>
          <xdr:colOff>133350</xdr:colOff>
          <xdr:row>0</xdr:row>
          <xdr:rowOff>200025</xdr:rowOff>
        </xdr:to>
        <xdr:sp macro="" textlink="">
          <xdr:nvSpPr>
            <xdr:cNvPr id="62466" name="Button 2" hidden="1">
              <a:extLst>
                <a:ext uri="{63B3BB69-23CF-44E3-9099-C40C66FF867C}">
                  <a14:compatExt spid="_x0000_s62466"/>
                </a:ext>
                <a:ext uri="{FF2B5EF4-FFF2-40B4-BE49-F238E27FC236}">
                  <a16:creationId xmlns:a16="http://schemas.microsoft.com/office/drawing/2014/main" id="{00000000-0008-0000-3A00-000002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676275</xdr:colOff>
          <xdr:row>0</xdr:row>
          <xdr:rowOff>38100</xdr:rowOff>
        </xdr:from>
        <xdr:to>
          <xdr:col>7</xdr:col>
          <xdr:colOff>76200</xdr:colOff>
          <xdr:row>0</xdr:row>
          <xdr:rowOff>200025</xdr:rowOff>
        </xdr:to>
        <xdr:sp macro="" textlink="">
          <xdr:nvSpPr>
            <xdr:cNvPr id="62467" name="Button 3" hidden="1">
              <a:extLst>
                <a:ext uri="{63B3BB69-23CF-44E3-9099-C40C66FF867C}">
                  <a14:compatExt spid="_x0000_s62467"/>
                </a:ext>
                <a:ext uri="{FF2B5EF4-FFF2-40B4-BE49-F238E27FC236}">
                  <a16:creationId xmlns:a16="http://schemas.microsoft.com/office/drawing/2014/main" id="{00000000-0008-0000-3A00-000003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5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3B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63490" name="Button 2" hidden="1">
              <a:extLst>
                <a:ext uri="{63B3BB69-23CF-44E3-9099-C40C66FF867C}">
                  <a14:compatExt spid="_x0000_s63490"/>
                </a:ext>
                <a:ext uri="{FF2B5EF4-FFF2-40B4-BE49-F238E27FC236}">
                  <a16:creationId xmlns:a16="http://schemas.microsoft.com/office/drawing/2014/main" id="{00000000-0008-0000-3B00-000002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63491" name="Button 3" hidden="1">
              <a:extLst>
                <a:ext uri="{63B3BB69-23CF-44E3-9099-C40C66FF867C}">
                  <a14:compatExt spid="_x0000_s63491"/>
                </a:ext>
                <a:ext uri="{FF2B5EF4-FFF2-40B4-BE49-F238E27FC236}">
                  <a16:creationId xmlns:a16="http://schemas.microsoft.com/office/drawing/2014/main" id="{00000000-0008-0000-3B00-000003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6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  <a:ext uri="{FF2B5EF4-FFF2-40B4-BE49-F238E27FC236}">
                  <a16:creationId xmlns:a16="http://schemas.microsoft.com/office/drawing/2014/main" id="{00000000-0008-0000-3C00-000001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64514" name="Button 2" hidden="1">
              <a:extLst>
                <a:ext uri="{63B3BB69-23CF-44E3-9099-C40C66FF867C}">
                  <a14:compatExt spid="_x0000_s64514"/>
                </a:ext>
                <a:ext uri="{FF2B5EF4-FFF2-40B4-BE49-F238E27FC236}">
                  <a16:creationId xmlns:a16="http://schemas.microsoft.com/office/drawing/2014/main" id="{00000000-0008-0000-3C00-000002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64515" name="Button 3" hidden="1">
              <a:extLst>
                <a:ext uri="{63B3BB69-23CF-44E3-9099-C40C66FF867C}">
                  <a14:compatExt spid="_x0000_s64515"/>
                </a:ext>
                <a:ext uri="{FF2B5EF4-FFF2-40B4-BE49-F238E27FC236}">
                  <a16:creationId xmlns:a16="http://schemas.microsoft.com/office/drawing/2014/main" id="{00000000-0008-0000-3C00-000003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6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333375</xdr:colOff>
          <xdr:row>0</xdr:row>
          <xdr:rowOff>38100</xdr:rowOff>
        </xdr:from>
        <xdr:to>
          <xdr:col>7</xdr:col>
          <xdr:colOff>209550</xdr:colOff>
          <xdr:row>0</xdr:row>
          <xdr:rowOff>200025</xdr:rowOff>
        </xdr:to>
        <xdr:sp macro="" textlink="">
          <xdr:nvSpPr>
            <xdr:cNvPr id="65537" name="Button 1" hidden="1">
              <a:extLst>
                <a:ext uri="{63B3BB69-23CF-44E3-9099-C40C66FF867C}">
                  <a14:compatExt spid="_x0000_s65537"/>
                </a:ext>
                <a:ext uri="{FF2B5EF4-FFF2-40B4-BE49-F238E27FC236}">
                  <a16:creationId xmlns:a16="http://schemas.microsoft.com/office/drawing/2014/main" id="{00000000-0008-0000-3D00-000001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276225</xdr:colOff>
          <xdr:row>0</xdr:row>
          <xdr:rowOff>38100</xdr:rowOff>
        </xdr:from>
        <xdr:to>
          <xdr:col>7</xdr:col>
          <xdr:colOff>485775</xdr:colOff>
          <xdr:row>0</xdr:row>
          <xdr:rowOff>200025</xdr:rowOff>
        </xdr:to>
        <xdr:sp macro="" textlink="">
          <xdr:nvSpPr>
            <xdr:cNvPr id="65538" name="Button 2" hidden="1">
              <a:extLst>
                <a:ext uri="{63B3BB69-23CF-44E3-9099-C40C66FF867C}">
                  <a14:compatExt spid="_x0000_s65538"/>
                </a:ext>
                <a:ext uri="{FF2B5EF4-FFF2-40B4-BE49-F238E27FC236}">
                  <a16:creationId xmlns:a16="http://schemas.microsoft.com/office/drawing/2014/main" id="{00000000-0008-0000-3D00-000002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57150</xdr:colOff>
          <xdr:row>0</xdr:row>
          <xdr:rowOff>38100</xdr:rowOff>
        </xdr:from>
        <xdr:to>
          <xdr:col>6</xdr:col>
          <xdr:colOff>266700</xdr:colOff>
          <xdr:row>0</xdr:row>
          <xdr:rowOff>200025</xdr:rowOff>
        </xdr:to>
        <xdr:sp macro="" textlink="">
          <xdr:nvSpPr>
            <xdr:cNvPr id="65539" name="Button 3" hidden="1">
              <a:extLst>
                <a:ext uri="{63B3BB69-23CF-44E3-9099-C40C66FF867C}">
                  <a14:compatExt spid="_x0000_s65539"/>
                </a:ext>
                <a:ext uri="{FF2B5EF4-FFF2-40B4-BE49-F238E27FC236}">
                  <a16:creationId xmlns:a16="http://schemas.microsoft.com/office/drawing/2014/main" id="{00000000-0008-0000-3D00-000003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6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285750</xdr:colOff>
          <xdr:row>0</xdr:row>
          <xdr:rowOff>38100</xdr:rowOff>
        </xdr:from>
        <xdr:to>
          <xdr:col>7</xdr:col>
          <xdr:colOff>152400</xdr:colOff>
          <xdr:row>0</xdr:row>
          <xdr:rowOff>200025</xdr:rowOff>
        </xdr:to>
        <xdr:sp macro="" textlink="">
          <xdr:nvSpPr>
            <xdr:cNvPr id="66561" name="Button 1" hidden="1">
              <a:extLst>
                <a:ext uri="{63B3BB69-23CF-44E3-9099-C40C66FF867C}">
                  <a14:compatExt spid="_x0000_s66561"/>
                </a:ext>
                <a:ext uri="{FF2B5EF4-FFF2-40B4-BE49-F238E27FC236}">
                  <a16:creationId xmlns:a16="http://schemas.microsoft.com/office/drawing/2014/main" id="{00000000-0008-0000-3E00-000001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219075</xdr:colOff>
          <xdr:row>0</xdr:row>
          <xdr:rowOff>38100</xdr:rowOff>
        </xdr:from>
        <xdr:to>
          <xdr:col>7</xdr:col>
          <xdr:colOff>419100</xdr:colOff>
          <xdr:row>0</xdr:row>
          <xdr:rowOff>200025</xdr:rowOff>
        </xdr:to>
        <xdr:sp macro="" textlink="">
          <xdr:nvSpPr>
            <xdr:cNvPr id="66562" name="Button 2" hidden="1">
              <a:extLst>
                <a:ext uri="{63B3BB69-23CF-44E3-9099-C40C66FF867C}">
                  <a14:compatExt spid="_x0000_s66562"/>
                </a:ext>
                <a:ext uri="{FF2B5EF4-FFF2-40B4-BE49-F238E27FC236}">
                  <a16:creationId xmlns:a16="http://schemas.microsoft.com/office/drawing/2014/main" id="{00000000-0008-0000-3E00-000002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19050</xdr:colOff>
          <xdr:row>0</xdr:row>
          <xdr:rowOff>38100</xdr:rowOff>
        </xdr:from>
        <xdr:to>
          <xdr:col>6</xdr:col>
          <xdr:colOff>228600</xdr:colOff>
          <xdr:row>0</xdr:row>
          <xdr:rowOff>200025</xdr:rowOff>
        </xdr:to>
        <xdr:sp macro="" textlink="">
          <xdr:nvSpPr>
            <xdr:cNvPr id="66563" name="Button 3" hidden="1">
              <a:extLst>
                <a:ext uri="{63B3BB69-23CF-44E3-9099-C40C66FF867C}">
                  <a14:compatExt spid="_x0000_s66563"/>
                </a:ext>
                <a:ext uri="{FF2B5EF4-FFF2-40B4-BE49-F238E27FC236}">
                  <a16:creationId xmlns:a16="http://schemas.microsoft.com/office/drawing/2014/main" id="{00000000-0008-0000-3E00-000003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6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323850</xdr:colOff>
          <xdr:row>0</xdr:row>
          <xdr:rowOff>38100</xdr:rowOff>
        </xdr:from>
        <xdr:to>
          <xdr:col>9</xdr:col>
          <xdr:colOff>190500</xdr:colOff>
          <xdr:row>0</xdr:row>
          <xdr:rowOff>200025</xdr:rowOff>
        </xdr:to>
        <xdr:sp macro="" textlink="">
          <xdr:nvSpPr>
            <xdr:cNvPr id="67585" name="Button 1" hidden="1">
              <a:extLst>
                <a:ext uri="{63B3BB69-23CF-44E3-9099-C40C66FF867C}">
                  <a14:compatExt spid="_x0000_s67585"/>
                </a:ext>
                <a:ext uri="{FF2B5EF4-FFF2-40B4-BE49-F238E27FC236}">
                  <a16:creationId xmlns:a16="http://schemas.microsoft.com/office/drawing/2014/main" id="{00000000-0008-0000-3F00-000001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257175</xdr:colOff>
          <xdr:row>0</xdr:row>
          <xdr:rowOff>38100</xdr:rowOff>
        </xdr:from>
        <xdr:to>
          <xdr:col>9</xdr:col>
          <xdr:colOff>457200</xdr:colOff>
          <xdr:row>0</xdr:row>
          <xdr:rowOff>200025</xdr:rowOff>
        </xdr:to>
        <xdr:sp macro="" textlink="">
          <xdr:nvSpPr>
            <xdr:cNvPr id="67586" name="Button 2" hidden="1">
              <a:extLst>
                <a:ext uri="{63B3BB69-23CF-44E3-9099-C40C66FF867C}">
                  <a14:compatExt spid="_x0000_s67586"/>
                </a:ext>
                <a:ext uri="{FF2B5EF4-FFF2-40B4-BE49-F238E27FC236}">
                  <a16:creationId xmlns:a16="http://schemas.microsoft.com/office/drawing/2014/main" id="{00000000-0008-0000-3F00-000002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57150</xdr:colOff>
          <xdr:row>0</xdr:row>
          <xdr:rowOff>38100</xdr:rowOff>
        </xdr:from>
        <xdr:to>
          <xdr:col>8</xdr:col>
          <xdr:colOff>266700</xdr:colOff>
          <xdr:row>0</xdr:row>
          <xdr:rowOff>200025</xdr:rowOff>
        </xdr:to>
        <xdr:sp macro="" textlink="">
          <xdr:nvSpPr>
            <xdr:cNvPr id="67587" name="Button 3" hidden="1">
              <a:extLst>
                <a:ext uri="{63B3BB69-23CF-44E3-9099-C40C66FF867C}">
                  <a14:compatExt spid="_x0000_s67587"/>
                </a:ext>
                <a:ext uri="{FF2B5EF4-FFF2-40B4-BE49-F238E27FC236}">
                  <a16:creationId xmlns:a16="http://schemas.microsoft.com/office/drawing/2014/main" id="{00000000-0008-0000-3F00-000003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6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68609" name="Button 1" hidden="1">
              <a:extLst>
                <a:ext uri="{63B3BB69-23CF-44E3-9099-C40C66FF867C}">
                  <a14:compatExt spid="_x0000_s68609"/>
                </a:ext>
                <a:ext uri="{FF2B5EF4-FFF2-40B4-BE49-F238E27FC236}">
                  <a16:creationId xmlns:a16="http://schemas.microsoft.com/office/drawing/2014/main" id="{00000000-0008-0000-4000-0000010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68610" name="Button 2" hidden="1">
              <a:extLst>
                <a:ext uri="{63B3BB69-23CF-44E3-9099-C40C66FF867C}">
                  <a14:compatExt spid="_x0000_s68610"/>
                </a:ext>
                <a:ext uri="{FF2B5EF4-FFF2-40B4-BE49-F238E27FC236}">
                  <a16:creationId xmlns:a16="http://schemas.microsoft.com/office/drawing/2014/main" id="{00000000-0008-0000-4000-0000020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68611" name="Button 3" hidden="1">
              <a:extLst>
                <a:ext uri="{63B3BB69-23CF-44E3-9099-C40C66FF867C}">
                  <a14:compatExt spid="_x0000_s68611"/>
                </a:ext>
                <a:ext uri="{FF2B5EF4-FFF2-40B4-BE49-F238E27FC236}">
                  <a16:creationId xmlns:a16="http://schemas.microsoft.com/office/drawing/2014/main" id="{00000000-0008-0000-4000-0000030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6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69633" name="Button 1" hidden="1">
              <a:extLst>
                <a:ext uri="{63B3BB69-23CF-44E3-9099-C40C66FF867C}">
                  <a14:compatExt spid="_x0000_s69633"/>
                </a:ext>
                <a:ext uri="{FF2B5EF4-FFF2-40B4-BE49-F238E27FC236}">
                  <a16:creationId xmlns:a16="http://schemas.microsoft.com/office/drawing/2014/main" id="{00000000-0008-0000-4100-000001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69634" name="Button 2" hidden="1">
              <a:extLst>
                <a:ext uri="{63B3BB69-23CF-44E3-9099-C40C66FF867C}">
                  <a14:compatExt spid="_x0000_s69634"/>
                </a:ext>
                <a:ext uri="{FF2B5EF4-FFF2-40B4-BE49-F238E27FC236}">
                  <a16:creationId xmlns:a16="http://schemas.microsoft.com/office/drawing/2014/main" id="{00000000-0008-0000-4100-000002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69635" name="Button 3" hidden="1">
              <a:extLst>
                <a:ext uri="{63B3BB69-23CF-44E3-9099-C40C66FF867C}">
                  <a14:compatExt spid="_x0000_s69635"/>
                </a:ext>
                <a:ext uri="{FF2B5EF4-FFF2-40B4-BE49-F238E27FC236}">
                  <a16:creationId xmlns:a16="http://schemas.microsoft.com/office/drawing/2014/main" id="{00000000-0008-0000-4100-000003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6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70657" name="Button 1" hidden="1">
              <a:extLst>
                <a:ext uri="{63B3BB69-23CF-44E3-9099-C40C66FF867C}">
                  <a14:compatExt spid="_x0000_s70657"/>
                </a:ext>
                <a:ext uri="{FF2B5EF4-FFF2-40B4-BE49-F238E27FC236}">
                  <a16:creationId xmlns:a16="http://schemas.microsoft.com/office/drawing/2014/main" id="{00000000-0008-0000-4200-000001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70658" name="Button 2" hidden="1">
              <a:extLst>
                <a:ext uri="{63B3BB69-23CF-44E3-9099-C40C66FF867C}">
                  <a14:compatExt spid="_x0000_s70658"/>
                </a:ext>
                <a:ext uri="{FF2B5EF4-FFF2-40B4-BE49-F238E27FC236}">
                  <a16:creationId xmlns:a16="http://schemas.microsoft.com/office/drawing/2014/main" id="{00000000-0008-0000-4200-000002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70659" name="Button 3" hidden="1">
              <a:extLst>
                <a:ext uri="{63B3BB69-23CF-44E3-9099-C40C66FF867C}">
                  <a14:compatExt spid="_x0000_s70659"/>
                </a:ext>
                <a:ext uri="{FF2B5EF4-FFF2-40B4-BE49-F238E27FC236}">
                  <a16:creationId xmlns:a16="http://schemas.microsoft.com/office/drawing/2014/main" id="{00000000-0008-0000-4200-000003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6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71681" name="Button 1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43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71682" name="Button 2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43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71683" name="Button 3" hidden="1">
              <a:extLst>
                <a:ext uri="{63B3BB69-23CF-44E3-9099-C40C66FF867C}">
                  <a14:compatExt spid="_x0000_s71683"/>
                </a:ext>
                <a:ext uri="{FF2B5EF4-FFF2-40B4-BE49-F238E27FC236}">
                  <a16:creationId xmlns:a16="http://schemas.microsoft.com/office/drawing/2014/main" id="{00000000-0008-0000-4300-000003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6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561975</xdr:colOff>
          <xdr:row>0</xdr:row>
          <xdr:rowOff>38100</xdr:rowOff>
        </xdr:from>
        <xdr:to>
          <xdr:col>8</xdr:col>
          <xdr:colOff>438150</xdr:colOff>
          <xdr:row>1</xdr:row>
          <xdr:rowOff>19050</xdr:rowOff>
        </xdr:to>
        <xdr:sp macro="" textlink="">
          <xdr:nvSpPr>
            <xdr:cNvPr id="72705" name="Button 1" hidden="1">
              <a:extLst>
                <a:ext uri="{63B3BB69-23CF-44E3-9099-C40C66FF867C}">
                  <a14:compatExt spid="_x0000_s72705"/>
                </a:ext>
                <a:ext uri="{FF2B5EF4-FFF2-40B4-BE49-F238E27FC236}">
                  <a16:creationId xmlns:a16="http://schemas.microsoft.com/office/drawing/2014/main" id="{00000000-0008-0000-4400-000001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504825</xdr:colOff>
          <xdr:row>0</xdr:row>
          <xdr:rowOff>38100</xdr:rowOff>
        </xdr:from>
        <xdr:to>
          <xdr:col>9</xdr:col>
          <xdr:colOff>114300</xdr:colOff>
          <xdr:row>1</xdr:row>
          <xdr:rowOff>19050</xdr:rowOff>
        </xdr:to>
        <xdr:sp macro="" textlink="">
          <xdr:nvSpPr>
            <xdr:cNvPr id="72706" name="Button 2" hidden="1">
              <a:extLst>
                <a:ext uri="{63B3BB69-23CF-44E3-9099-C40C66FF867C}">
                  <a14:compatExt spid="_x0000_s72706"/>
                </a:ext>
                <a:ext uri="{FF2B5EF4-FFF2-40B4-BE49-F238E27FC236}">
                  <a16:creationId xmlns:a16="http://schemas.microsoft.com/office/drawing/2014/main" id="{00000000-0008-0000-4400-00000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295275</xdr:colOff>
          <xdr:row>0</xdr:row>
          <xdr:rowOff>38100</xdr:rowOff>
        </xdr:from>
        <xdr:to>
          <xdr:col>7</xdr:col>
          <xdr:colOff>495300</xdr:colOff>
          <xdr:row>1</xdr:row>
          <xdr:rowOff>19050</xdr:rowOff>
        </xdr:to>
        <xdr:sp macro="" textlink="">
          <xdr:nvSpPr>
            <xdr:cNvPr id="72707" name="Button 3" hidden="1">
              <a:extLst>
                <a:ext uri="{63B3BB69-23CF-44E3-9099-C40C66FF867C}">
                  <a14:compatExt spid="_x0000_s72707"/>
                </a:ext>
                <a:ext uri="{FF2B5EF4-FFF2-40B4-BE49-F238E27FC236}">
                  <a16:creationId xmlns:a16="http://schemas.microsoft.com/office/drawing/2014/main" id="{00000000-0008-0000-4400-000003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6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1038225</xdr:colOff>
          <xdr:row>0</xdr:row>
          <xdr:rowOff>38100</xdr:rowOff>
        </xdr:from>
        <xdr:to>
          <xdr:col>6</xdr:col>
          <xdr:colOff>371475</xdr:colOff>
          <xdr:row>0</xdr:row>
          <xdr:rowOff>200025</xdr:rowOff>
        </xdr:to>
        <xdr:sp macro="" textlink="">
          <xdr:nvSpPr>
            <xdr:cNvPr id="73729" name="Button 1" hidden="1">
              <a:extLst>
                <a:ext uri="{63B3BB69-23CF-44E3-9099-C40C66FF867C}">
                  <a14:compatExt spid="_x0000_s73729"/>
                </a:ext>
                <a:ext uri="{FF2B5EF4-FFF2-40B4-BE49-F238E27FC236}">
                  <a16:creationId xmlns:a16="http://schemas.microsoft.com/office/drawing/2014/main" id="{00000000-0008-0000-4500-000001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438150</xdr:colOff>
          <xdr:row>0</xdr:row>
          <xdr:rowOff>38100</xdr:rowOff>
        </xdr:from>
        <xdr:to>
          <xdr:col>6</xdr:col>
          <xdr:colOff>638175</xdr:colOff>
          <xdr:row>0</xdr:row>
          <xdr:rowOff>200025</xdr:rowOff>
        </xdr:to>
        <xdr:sp macro="" textlink="">
          <xdr:nvSpPr>
            <xdr:cNvPr id="73730" name="Button 2" hidden="1">
              <a:extLst>
                <a:ext uri="{63B3BB69-23CF-44E3-9099-C40C66FF867C}">
                  <a14:compatExt spid="_x0000_s73730"/>
                </a:ext>
                <a:ext uri="{FF2B5EF4-FFF2-40B4-BE49-F238E27FC236}">
                  <a16:creationId xmlns:a16="http://schemas.microsoft.com/office/drawing/2014/main" id="{00000000-0008-0000-4500-000002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771525</xdr:colOff>
          <xdr:row>0</xdr:row>
          <xdr:rowOff>38100</xdr:rowOff>
        </xdr:from>
        <xdr:to>
          <xdr:col>5</xdr:col>
          <xdr:colOff>971550</xdr:colOff>
          <xdr:row>0</xdr:row>
          <xdr:rowOff>200025</xdr:rowOff>
        </xdr:to>
        <xdr:sp macro="" textlink="">
          <xdr:nvSpPr>
            <xdr:cNvPr id="73731" name="Button 3" hidden="1">
              <a:extLst>
                <a:ext uri="{63B3BB69-23CF-44E3-9099-C40C66FF867C}">
                  <a14:compatExt spid="_x0000_s73731"/>
                </a:ext>
                <a:ext uri="{FF2B5EF4-FFF2-40B4-BE49-F238E27FC236}">
                  <a16:creationId xmlns:a16="http://schemas.microsoft.com/office/drawing/2014/main" id="{00000000-0008-0000-4500-000003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7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1228725</xdr:colOff>
          <xdr:row>0</xdr:row>
          <xdr:rowOff>38100</xdr:rowOff>
        </xdr:from>
        <xdr:to>
          <xdr:col>6</xdr:col>
          <xdr:colOff>428625</xdr:colOff>
          <xdr:row>0</xdr:row>
          <xdr:rowOff>200025</xdr:rowOff>
        </xdr:to>
        <xdr:sp macro="" textlink="">
          <xdr:nvSpPr>
            <xdr:cNvPr id="74753" name="Button 1" hidden="1">
              <a:extLst>
                <a:ext uri="{63B3BB69-23CF-44E3-9099-C40C66FF867C}">
                  <a14:compatExt spid="_x0000_s74753"/>
                </a:ext>
                <a:ext uri="{FF2B5EF4-FFF2-40B4-BE49-F238E27FC236}">
                  <a16:creationId xmlns:a16="http://schemas.microsoft.com/office/drawing/2014/main" id="{00000000-0008-0000-4600-000001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495300</xdr:colOff>
          <xdr:row>0</xdr:row>
          <xdr:rowOff>38100</xdr:rowOff>
        </xdr:from>
        <xdr:to>
          <xdr:col>6</xdr:col>
          <xdr:colOff>695325</xdr:colOff>
          <xdr:row>0</xdr:row>
          <xdr:rowOff>200025</xdr:rowOff>
        </xdr:to>
        <xdr:sp macro="" textlink="">
          <xdr:nvSpPr>
            <xdr:cNvPr id="74754" name="Button 2" hidden="1">
              <a:extLst>
                <a:ext uri="{63B3BB69-23CF-44E3-9099-C40C66FF867C}">
                  <a14:compatExt spid="_x0000_s74754"/>
                </a:ext>
                <a:ext uri="{FF2B5EF4-FFF2-40B4-BE49-F238E27FC236}">
                  <a16:creationId xmlns:a16="http://schemas.microsoft.com/office/drawing/2014/main" id="{00000000-0008-0000-4600-000002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962025</xdr:colOff>
          <xdr:row>0</xdr:row>
          <xdr:rowOff>38100</xdr:rowOff>
        </xdr:from>
        <xdr:to>
          <xdr:col>5</xdr:col>
          <xdr:colOff>1162050</xdr:colOff>
          <xdr:row>0</xdr:row>
          <xdr:rowOff>200025</xdr:rowOff>
        </xdr:to>
        <xdr:sp macro="" textlink="">
          <xdr:nvSpPr>
            <xdr:cNvPr id="74755" name="Button 3" hidden="1">
              <a:extLst>
                <a:ext uri="{63B3BB69-23CF-44E3-9099-C40C66FF867C}">
                  <a14:compatExt spid="_x0000_s74755"/>
                </a:ext>
                <a:ext uri="{FF2B5EF4-FFF2-40B4-BE49-F238E27FC236}">
                  <a16:creationId xmlns:a16="http://schemas.microsoft.com/office/drawing/2014/main" id="{00000000-0008-0000-4600-000003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7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771525</xdr:colOff>
          <xdr:row>0</xdr:row>
          <xdr:rowOff>38100</xdr:rowOff>
        </xdr:from>
        <xdr:to>
          <xdr:col>6</xdr:col>
          <xdr:colOff>1238250</xdr:colOff>
          <xdr:row>0</xdr:row>
          <xdr:rowOff>200025</xdr:rowOff>
        </xdr:to>
        <xdr:sp macro="" textlink="">
          <xdr:nvSpPr>
            <xdr:cNvPr id="75777" name="Button 1" hidden="1">
              <a:extLst>
                <a:ext uri="{63B3BB69-23CF-44E3-9099-C40C66FF867C}">
                  <a14:compatExt spid="_x0000_s75777"/>
                </a:ext>
                <a:ext uri="{FF2B5EF4-FFF2-40B4-BE49-F238E27FC236}">
                  <a16:creationId xmlns:a16="http://schemas.microsoft.com/office/drawing/2014/main" id="{00000000-0008-0000-4700-000001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1304925</xdr:colOff>
          <xdr:row>0</xdr:row>
          <xdr:rowOff>38100</xdr:rowOff>
        </xdr:from>
        <xdr:to>
          <xdr:col>7</xdr:col>
          <xdr:colOff>28575</xdr:colOff>
          <xdr:row>0</xdr:row>
          <xdr:rowOff>200025</xdr:rowOff>
        </xdr:to>
        <xdr:sp macro="" textlink="">
          <xdr:nvSpPr>
            <xdr:cNvPr id="75778" name="Button 2" hidden="1">
              <a:extLst>
                <a:ext uri="{63B3BB69-23CF-44E3-9099-C40C66FF867C}">
                  <a14:compatExt spid="_x0000_s75778"/>
                </a:ext>
                <a:ext uri="{FF2B5EF4-FFF2-40B4-BE49-F238E27FC236}">
                  <a16:creationId xmlns:a16="http://schemas.microsoft.com/office/drawing/2014/main" id="{00000000-0008-0000-4700-000002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504825</xdr:colOff>
          <xdr:row>0</xdr:row>
          <xdr:rowOff>38100</xdr:rowOff>
        </xdr:from>
        <xdr:to>
          <xdr:col>6</xdr:col>
          <xdr:colOff>704850</xdr:colOff>
          <xdr:row>0</xdr:row>
          <xdr:rowOff>200025</xdr:rowOff>
        </xdr:to>
        <xdr:sp macro="" textlink="">
          <xdr:nvSpPr>
            <xdr:cNvPr id="75779" name="Button 3" hidden="1">
              <a:extLst>
                <a:ext uri="{63B3BB69-23CF-44E3-9099-C40C66FF867C}">
                  <a14:compatExt spid="_x0000_s75779"/>
                </a:ext>
                <a:ext uri="{FF2B5EF4-FFF2-40B4-BE49-F238E27FC236}">
                  <a16:creationId xmlns:a16="http://schemas.microsoft.com/office/drawing/2014/main" id="{00000000-0008-0000-4700-000003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7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76801" name="Button 1" hidden="1">
              <a:extLst>
                <a:ext uri="{63B3BB69-23CF-44E3-9099-C40C66FF867C}">
                  <a14:compatExt spid="_x0000_s76801"/>
                </a:ext>
                <a:ext uri="{FF2B5EF4-FFF2-40B4-BE49-F238E27FC236}">
                  <a16:creationId xmlns:a16="http://schemas.microsoft.com/office/drawing/2014/main" id="{00000000-0008-0000-4800-000001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76802" name="Button 2" hidden="1">
              <a:extLst>
                <a:ext uri="{63B3BB69-23CF-44E3-9099-C40C66FF867C}">
                  <a14:compatExt spid="_x0000_s76802"/>
                </a:ext>
                <a:ext uri="{FF2B5EF4-FFF2-40B4-BE49-F238E27FC236}">
                  <a16:creationId xmlns:a16="http://schemas.microsoft.com/office/drawing/2014/main" id="{00000000-0008-0000-4800-000002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76803" name="Button 3" hidden="1">
              <a:extLst>
                <a:ext uri="{63B3BB69-23CF-44E3-9099-C40C66FF867C}">
                  <a14:compatExt spid="_x0000_s76803"/>
                </a:ext>
                <a:ext uri="{FF2B5EF4-FFF2-40B4-BE49-F238E27FC236}">
                  <a16:creationId xmlns:a16="http://schemas.microsoft.com/office/drawing/2014/main" id="{00000000-0008-0000-4800-000003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7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323850</xdr:colOff>
          <xdr:row>0</xdr:row>
          <xdr:rowOff>38100</xdr:rowOff>
        </xdr:from>
        <xdr:to>
          <xdr:col>7</xdr:col>
          <xdr:colOff>190500</xdr:colOff>
          <xdr:row>0</xdr:row>
          <xdr:rowOff>200025</xdr:rowOff>
        </xdr:to>
        <xdr:sp macro="" textlink="">
          <xdr:nvSpPr>
            <xdr:cNvPr id="77825" name="Button 1" hidden="1">
              <a:extLst>
                <a:ext uri="{63B3BB69-23CF-44E3-9099-C40C66FF867C}">
                  <a14:compatExt spid="_x0000_s77825"/>
                </a:ext>
                <a:ext uri="{FF2B5EF4-FFF2-40B4-BE49-F238E27FC236}">
                  <a16:creationId xmlns:a16="http://schemas.microsoft.com/office/drawing/2014/main" id="{00000000-0008-0000-4900-000001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257175</xdr:colOff>
          <xdr:row>0</xdr:row>
          <xdr:rowOff>38100</xdr:rowOff>
        </xdr:from>
        <xdr:to>
          <xdr:col>7</xdr:col>
          <xdr:colOff>457200</xdr:colOff>
          <xdr:row>0</xdr:row>
          <xdr:rowOff>200025</xdr:rowOff>
        </xdr:to>
        <xdr:sp macro="" textlink="">
          <xdr:nvSpPr>
            <xdr:cNvPr id="77826" name="Button 2" hidden="1">
              <a:extLst>
                <a:ext uri="{63B3BB69-23CF-44E3-9099-C40C66FF867C}">
                  <a14:compatExt spid="_x0000_s77826"/>
                </a:ext>
                <a:ext uri="{FF2B5EF4-FFF2-40B4-BE49-F238E27FC236}">
                  <a16:creationId xmlns:a16="http://schemas.microsoft.com/office/drawing/2014/main" id="{00000000-0008-0000-4900-000002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57150</xdr:colOff>
          <xdr:row>0</xdr:row>
          <xdr:rowOff>38100</xdr:rowOff>
        </xdr:from>
        <xdr:to>
          <xdr:col>6</xdr:col>
          <xdr:colOff>266700</xdr:colOff>
          <xdr:row>0</xdr:row>
          <xdr:rowOff>200025</xdr:rowOff>
        </xdr:to>
        <xdr:sp macro="" textlink="">
          <xdr:nvSpPr>
            <xdr:cNvPr id="77827" name="Button 3" hidden="1">
              <a:extLst>
                <a:ext uri="{63B3BB69-23CF-44E3-9099-C40C66FF867C}">
                  <a14:compatExt spid="_x0000_s77827"/>
                </a:ext>
                <a:ext uri="{FF2B5EF4-FFF2-40B4-BE49-F238E27FC236}">
                  <a16:creationId xmlns:a16="http://schemas.microsoft.com/office/drawing/2014/main" id="{00000000-0008-0000-4900-000003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7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78849" name="Button 1" hidden="1">
              <a:extLst>
                <a:ext uri="{63B3BB69-23CF-44E3-9099-C40C66FF867C}">
                  <a14:compatExt spid="_x0000_s78849"/>
                </a:ext>
                <a:ext uri="{FF2B5EF4-FFF2-40B4-BE49-F238E27FC236}">
                  <a16:creationId xmlns:a16="http://schemas.microsoft.com/office/drawing/2014/main" id="{00000000-0008-0000-4A00-000001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78850" name="Button 2" hidden="1">
              <a:extLst>
                <a:ext uri="{63B3BB69-23CF-44E3-9099-C40C66FF867C}">
                  <a14:compatExt spid="_x0000_s78850"/>
                </a:ext>
                <a:ext uri="{FF2B5EF4-FFF2-40B4-BE49-F238E27FC236}">
                  <a16:creationId xmlns:a16="http://schemas.microsoft.com/office/drawing/2014/main" id="{00000000-0008-0000-4A00-000002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78851" name="Button 3" hidden="1">
              <a:extLst>
                <a:ext uri="{63B3BB69-23CF-44E3-9099-C40C66FF867C}">
                  <a14:compatExt spid="_x0000_s78851"/>
                </a:ext>
                <a:ext uri="{FF2B5EF4-FFF2-40B4-BE49-F238E27FC236}">
                  <a16:creationId xmlns:a16="http://schemas.microsoft.com/office/drawing/2014/main" id="{00000000-0008-0000-4A00-000003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7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104775</xdr:colOff>
          <xdr:row>0</xdr:row>
          <xdr:rowOff>38100</xdr:rowOff>
        </xdr:from>
        <xdr:to>
          <xdr:col>7</xdr:col>
          <xdr:colOff>571500</xdr:colOff>
          <xdr:row>0</xdr:row>
          <xdr:rowOff>200025</xdr:rowOff>
        </xdr:to>
        <xdr:sp macro="" textlink="">
          <xdr:nvSpPr>
            <xdr:cNvPr id="79873" name="Button 1" hidden="1">
              <a:extLst>
                <a:ext uri="{63B3BB69-23CF-44E3-9099-C40C66FF867C}">
                  <a14:compatExt spid="_x0000_s79873"/>
                </a:ext>
                <a:ext uri="{FF2B5EF4-FFF2-40B4-BE49-F238E27FC236}">
                  <a16:creationId xmlns:a16="http://schemas.microsoft.com/office/drawing/2014/main" id="{00000000-0008-0000-4B00-000001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638175</xdr:colOff>
          <xdr:row>0</xdr:row>
          <xdr:rowOff>38100</xdr:rowOff>
        </xdr:from>
        <xdr:to>
          <xdr:col>8</xdr:col>
          <xdr:colOff>0</xdr:colOff>
          <xdr:row>0</xdr:row>
          <xdr:rowOff>200025</xdr:rowOff>
        </xdr:to>
        <xdr:sp macro="" textlink="">
          <xdr:nvSpPr>
            <xdr:cNvPr id="79874" name="Button 2" hidden="1">
              <a:extLst>
                <a:ext uri="{63B3BB69-23CF-44E3-9099-C40C66FF867C}">
                  <a14:compatExt spid="_x0000_s79874"/>
                </a:ext>
                <a:ext uri="{FF2B5EF4-FFF2-40B4-BE49-F238E27FC236}">
                  <a16:creationId xmlns:a16="http://schemas.microsoft.com/office/drawing/2014/main" id="{00000000-0008-0000-4B00-000002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447675</xdr:colOff>
          <xdr:row>0</xdr:row>
          <xdr:rowOff>38100</xdr:rowOff>
        </xdr:from>
        <xdr:to>
          <xdr:col>7</xdr:col>
          <xdr:colOff>38100</xdr:colOff>
          <xdr:row>0</xdr:row>
          <xdr:rowOff>200025</xdr:rowOff>
        </xdr:to>
        <xdr:sp macro="" textlink="">
          <xdr:nvSpPr>
            <xdr:cNvPr id="79875" name="Button 3" hidden="1">
              <a:extLst>
                <a:ext uri="{63B3BB69-23CF-44E3-9099-C40C66FF867C}">
                  <a14:compatExt spid="_x0000_s79875"/>
                </a:ext>
                <a:ext uri="{FF2B5EF4-FFF2-40B4-BE49-F238E27FC236}">
                  <a16:creationId xmlns:a16="http://schemas.microsoft.com/office/drawing/2014/main" id="{00000000-0008-0000-4B00-000003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7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438150</xdr:colOff>
          <xdr:row>0</xdr:row>
          <xdr:rowOff>38100</xdr:rowOff>
        </xdr:from>
        <xdr:to>
          <xdr:col>8</xdr:col>
          <xdr:colOff>295275</xdr:colOff>
          <xdr:row>0</xdr:row>
          <xdr:rowOff>200025</xdr:rowOff>
        </xdr:to>
        <xdr:sp macro="" textlink="">
          <xdr:nvSpPr>
            <xdr:cNvPr id="80897" name="Button 1" hidden="1">
              <a:extLst>
                <a:ext uri="{63B3BB69-23CF-44E3-9099-C40C66FF867C}">
                  <a14:compatExt spid="_x0000_s80897"/>
                </a:ext>
                <a:ext uri="{FF2B5EF4-FFF2-40B4-BE49-F238E27FC236}">
                  <a16:creationId xmlns:a16="http://schemas.microsoft.com/office/drawing/2014/main" id="{00000000-0008-0000-4C00-000001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361950</xdr:colOff>
          <xdr:row>0</xdr:row>
          <xdr:rowOff>38100</xdr:rowOff>
        </xdr:from>
        <xdr:to>
          <xdr:col>8</xdr:col>
          <xdr:colOff>561975</xdr:colOff>
          <xdr:row>0</xdr:row>
          <xdr:rowOff>200025</xdr:rowOff>
        </xdr:to>
        <xdr:sp macro="" textlink="">
          <xdr:nvSpPr>
            <xdr:cNvPr id="80898" name="Button 2" hidden="1">
              <a:extLst>
                <a:ext uri="{63B3BB69-23CF-44E3-9099-C40C66FF867C}">
                  <a14:compatExt spid="_x0000_s80898"/>
                </a:ext>
                <a:ext uri="{FF2B5EF4-FFF2-40B4-BE49-F238E27FC236}">
                  <a16:creationId xmlns:a16="http://schemas.microsoft.com/office/drawing/2014/main" id="{00000000-0008-0000-4C00-000002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161925</xdr:colOff>
          <xdr:row>0</xdr:row>
          <xdr:rowOff>38100</xdr:rowOff>
        </xdr:from>
        <xdr:to>
          <xdr:col>7</xdr:col>
          <xdr:colOff>371475</xdr:colOff>
          <xdr:row>0</xdr:row>
          <xdr:rowOff>200025</xdr:rowOff>
        </xdr:to>
        <xdr:sp macro="" textlink="">
          <xdr:nvSpPr>
            <xdr:cNvPr id="80899" name="Button 3" hidden="1">
              <a:extLst>
                <a:ext uri="{63B3BB69-23CF-44E3-9099-C40C66FF867C}">
                  <a14:compatExt spid="_x0000_s80899"/>
                </a:ext>
                <a:ext uri="{FF2B5EF4-FFF2-40B4-BE49-F238E27FC236}">
                  <a16:creationId xmlns:a16="http://schemas.microsoft.com/office/drawing/2014/main" id="{00000000-0008-0000-4C00-000003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7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9525</xdr:colOff>
          <xdr:row>0</xdr:row>
          <xdr:rowOff>38100</xdr:rowOff>
        </xdr:from>
        <xdr:to>
          <xdr:col>8</xdr:col>
          <xdr:colOff>476250</xdr:colOff>
          <xdr:row>0</xdr:row>
          <xdr:rowOff>200025</xdr:rowOff>
        </xdr:to>
        <xdr:sp macro="" textlink="">
          <xdr:nvSpPr>
            <xdr:cNvPr id="81921" name="Button 1" hidden="1">
              <a:extLst>
                <a:ext uri="{63B3BB69-23CF-44E3-9099-C40C66FF867C}">
                  <a14:compatExt spid="_x0000_s81921"/>
                </a:ext>
                <a:ext uri="{FF2B5EF4-FFF2-40B4-BE49-F238E27FC236}">
                  <a16:creationId xmlns:a16="http://schemas.microsoft.com/office/drawing/2014/main" id="{00000000-0008-0000-4D00-000001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542925</xdr:colOff>
          <xdr:row>0</xdr:row>
          <xdr:rowOff>38100</xdr:rowOff>
        </xdr:from>
        <xdr:to>
          <xdr:col>8</xdr:col>
          <xdr:colOff>742950</xdr:colOff>
          <xdr:row>0</xdr:row>
          <xdr:rowOff>200025</xdr:rowOff>
        </xdr:to>
        <xdr:sp macro="" textlink="">
          <xdr:nvSpPr>
            <xdr:cNvPr id="81922" name="Button 2" hidden="1">
              <a:extLst>
                <a:ext uri="{63B3BB69-23CF-44E3-9099-C40C66FF867C}">
                  <a14:compatExt spid="_x0000_s81922"/>
                </a:ext>
                <a:ext uri="{FF2B5EF4-FFF2-40B4-BE49-F238E27FC236}">
                  <a16:creationId xmlns:a16="http://schemas.microsoft.com/office/drawing/2014/main" id="{00000000-0008-0000-4D00-000002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342900</xdr:colOff>
          <xdr:row>0</xdr:row>
          <xdr:rowOff>38100</xdr:rowOff>
        </xdr:from>
        <xdr:to>
          <xdr:col>7</xdr:col>
          <xdr:colOff>552450</xdr:colOff>
          <xdr:row>0</xdr:row>
          <xdr:rowOff>200025</xdr:rowOff>
        </xdr:to>
        <xdr:sp macro="" textlink="">
          <xdr:nvSpPr>
            <xdr:cNvPr id="81923" name="Button 3" hidden="1">
              <a:extLst>
                <a:ext uri="{63B3BB69-23CF-44E3-9099-C40C66FF867C}">
                  <a14:compatExt spid="_x0000_s81923"/>
                </a:ext>
                <a:ext uri="{FF2B5EF4-FFF2-40B4-BE49-F238E27FC236}">
                  <a16:creationId xmlns:a16="http://schemas.microsoft.com/office/drawing/2014/main" id="{00000000-0008-0000-4D00-000003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7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438150</xdr:colOff>
          <xdr:row>0</xdr:row>
          <xdr:rowOff>38100</xdr:rowOff>
        </xdr:from>
        <xdr:to>
          <xdr:col>8</xdr:col>
          <xdr:colOff>314325</xdr:colOff>
          <xdr:row>0</xdr:row>
          <xdr:rowOff>200025</xdr:rowOff>
        </xdr:to>
        <xdr:sp macro="" textlink="">
          <xdr:nvSpPr>
            <xdr:cNvPr id="82945" name="Button 1" hidden="1">
              <a:extLst>
                <a:ext uri="{63B3BB69-23CF-44E3-9099-C40C66FF867C}">
                  <a14:compatExt spid="_x0000_s82945"/>
                </a:ext>
                <a:ext uri="{FF2B5EF4-FFF2-40B4-BE49-F238E27FC236}">
                  <a16:creationId xmlns:a16="http://schemas.microsoft.com/office/drawing/2014/main" id="{00000000-0008-0000-4E00-0000014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381000</xdr:colOff>
          <xdr:row>0</xdr:row>
          <xdr:rowOff>38100</xdr:rowOff>
        </xdr:from>
        <xdr:to>
          <xdr:col>8</xdr:col>
          <xdr:colOff>590550</xdr:colOff>
          <xdr:row>0</xdr:row>
          <xdr:rowOff>200025</xdr:rowOff>
        </xdr:to>
        <xdr:sp macro="" textlink="">
          <xdr:nvSpPr>
            <xdr:cNvPr id="82946" name="Button 2" hidden="1">
              <a:extLst>
                <a:ext uri="{63B3BB69-23CF-44E3-9099-C40C66FF867C}">
                  <a14:compatExt spid="_x0000_s82946"/>
                </a:ext>
                <a:ext uri="{FF2B5EF4-FFF2-40B4-BE49-F238E27FC236}">
                  <a16:creationId xmlns:a16="http://schemas.microsoft.com/office/drawing/2014/main" id="{00000000-0008-0000-4E00-0000024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171450</xdr:colOff>
          <xdr:row>0</xdr:row>
          <xdr:rowOff>38100</xdr:rowOff>
        </xdr:from>
        <xdr:to>
          <xdr:col>7</xdr:col>
          <xdr:colOff>381000</xdr:colOff>
          <xdr:row>0</xdr:row>
          <xdr:rowOff>200025</xdr:rowOff>
        </xdr:to>
        <xdr:sp macro="" textlink="">
          <xdr:nvSpPr>
            <xdr:cNvPr id="82947" name="Button 3" hidden="1">
              <a:extLst>
                <a:ext uri="{63B3BB69-23CF-44E3-9099-C40C66FF867C}">
                  <a14:compatExt spid="_x0000_s82947"/>
                </a:ext>
                <a:ext uri="{FF2B5EF4-FFF2-40B4-BE49-F238E27FC236}">
                  <a16:creationId xmlns:a16="http://schemas.microsoft.com/office/drawing/2014/main" id="{00000000-0008-0000-4E00-0000034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7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76200</xdr:colOff>
          <xdr:row>0</xdr:row>
          <xdr:rowOff>38100</xdr:rowOff>
        </xdr:from>
        <xdr:to>
          <xdr:col>8</xdr:col>
          <xdr:colOff>552450</xdr:colOff>
          <xdr:row>0</xdr:row>
          <xdr:rowOff>200025</xdr:rowOff>
        </xdr:to>
        <xdr:sp macro="" textlink="">
          <xdr:nvSpPr>
            <xdr:cNvPr id="83969" name="Button 1" hidden="1">
              <a:extLst>
                <a:ext uri="{63B3BB69-23CF-44E3-9099-C40C66FF867C}">
                  <a14:compatExt spid="_x0000_s83969"/>
                </a:ext>
                <a:ext uri="{FF2B5EF4-FFF2-40B4-BE49-F238E27FC236}">
                  <a16:creationId xmlns:a16="http://schemas.microsoft.com/office/drawing/2014/main" id="{00000000-0008-0000-4F00-0000014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19050</xdr:colOff>
          <xdr:row>0</xdr:row>
          <xdr:rowOff>38100</xdr:rowOff>
        </xdr:from>
        <xdr:to>
          <xdr:col>9</xdr:col>
          <xdr:colOff>228600</xdr:colOff>
          <xdr:row>0</xdr:row>
          <xdr:rowOff>200025</xdr:rowOff>
        </xdr:to>
        <xdr:sp macro="" textlink="">
          <xdr:nvSpPr>
            <xdr:cNvPr id="83970" name="Button 2" hidden="1">
              <a:extLst>
                <a:ext uri="{63B3BB69-23CF-44E3-9099-C40C66FF867C}">
                  <a14:compatExt spid="_x0000_s83970"/>
                </a:ext>
                <a:ext uri="{FF2B5EF4-FFF2-40B4-BE49-F238E27FC236}">
                  <a16:creationId xmlns:a16="http://schemas.microsoft.com/office/drawing/2014/main" id="{00000000-0008-0000-4F00-0000024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409575</xdr:colOff>
          <xdr:row>0</xdr:row>
          <xdr:rowOff>38100</xdr:rowOff>
        </xdr:from>
        <xdr:to>
          <xdr:col>8</xdr:col>
          <xdr:colOff>9525</xdr:colOff>
          <xdr:row>0</xdr:row>
          <xdr:rowOff>200025</xdr:rowOff>
        </xdr:to>
        <xdr:sp macro="" textlink="">
          <xdr:nvSpPr>
            <xdr:cNvPr id="83971" name="Button 3" hidden="1">
              <a:extLst>
                <a:ext uri="{63B3BB69-23CF-44E3-9099-C40C66FF867C}">
                  <a14:compatExt spid="_x0000_s83971"/>
                </a:ext>
                <a:ext uri="{FF2B5EF4-FFF2-40B4-BE49-F238E27FC236}">
                  <a16:creationId xmlns:a16="http://schemas.microsoft.com/office/drawing/2014/main" id="{00000000-0008-0000-4F00-0000034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8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84993" name="Button 1" hidden="1">
              <a:extLst>
                <a:ext uri="{63B3BB69-23CF-44E3-9099-C40C66FF867C}">
                  <a14:compatExt spid="_x0000_s84993"/>
                </a:ext>
                <a:ext uri="{FF2B5EF4-FFF2-40B4-BE49-F238E27FC236}">
                  <a16:creationId xmlns:a16="http://schemas.microsoft.com/office/drawing/2014/main" id="{00000000-0008-0000-5000-000001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84994" name="Button 2" hidden="1">
              <a:extLst>
                <a:ext uri="{63B3BB69-23CF-44E3-9099-C40C66FF867C}">
                  <a14:compatExt spid="_x0000_s84994"/>
                </a:ext>
                <a:ext uri="{FF2B5EF4-FFF2-40B4-BE49-F238E27FC236}">
                  <a16:creationId xmlns:a16="http://schemas.microsoft.com/office/drawing/2014/main" id="{00000000-0008-0000-5000-000002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84995" name="Button 3" hidden="1">
              <a:extLst>
                <a:ext uri="{63B3BB69-23CF-44E3-9099-C40C66FF867C}">
                  <a14:compatExt spid="_x0000_s84995"/>
                </a:ext>
                <a:ext uri="{FF2B5EF4-FFF2-40B4-BE49-F238E27FC236}">
                  <a16:creationId xmlns:a16="http://schemas.microsoft.com/office/drawing/2014/main" id="{00000000-0008-0000-5000-000003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8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552450</xdr:colOff>
          <xdr:row>0</xdr:row>
          <xdr:rowOff>38100</xdr:rowOff>
        </xdr:from>
        <xdr:to>
          <xdr:col>6</xdr:col>
          <xdr:colOff>409575</xdr:colOff>
          <xdr:row>0</xdr:row>
          <xdr:rowOff>200025</xdr:rowOff>
        </xdr:to>
        <xdr:sp macro="" textlink="">
          <xdr:nvSpPr>
            <xdr:cNvPr id="86017" name="Button 1" hidden="1">
              <a:extLst>
                <a:ext uri="{63B3BB69-23CF-44E3-9099-C40C66FF867C}">
                  <a14:compatExt spid="_x0000_s86017"/>
                </a:ext>
                <a:ext uri="{FF2B5EF4-FFF2-40B4-BE49-F238E27FC236}">
                  <a16:creationId xmlns:a16="http://schemas.microsoft.com/office/drawing/2014/main" id="{00000000-0008-0000-5100-000001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476250</xdr:colOff>
          <xdr:row>0</xdr:row>
          <xdr:rowOff>38100</xdr:rowOff>
        </xdr:from>
        <xdr:to>
          <xdr:col>6</xdr:col>
          <xdr:colOff>676275</xdr:colOff>
          <xdr:row>0</xdr:row>
          <xdr:rowOff>200025</xdr:rowOff>
        </xdr:to>
        <xdr:sp macro="" textlink="">
          <xdr:nvSpPr>
            <xdr:cNvPr id="86018" name="Button 2" hidden="1">
              <a:extLst>
                <a:ext uri="{63B3BB69-23CF-44E3-9099-C40C66FF867C}">
                  <a14:compatExt spid="_x0000_s86018"/>
                </a:ext>
                <a:ext uri="{FF2B5EF4-FFF2-40B4-BE49-F238E27FC236}">
                  <a16:creationId xmlns:a16="http://schemas.microsoft.com/office/drawing/2014/main" id="{00000000-0008-0000-5100-000002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276225</xdr:colOff>
          <xdr:row>0</xdr:row>
          <xdr:rowOff>38100</xdr:rowOff>
        </xdr:from>
        <xdr:to>
          <xdr:col>5</xdr:col>
          <xdr:colOff>485775</xdr:colOff>
          <xdr:row>0</xdr:row>
          <xdr:rowOff>200025</xdr:rowOff>
        </xdr:to>
        <xdr:sp macro="" textlink="">
          <xdr:nvSpPr>
            <xdr:cNvPr id="86019" name="Button 3" hidden="1">
              <a:extLst>
                <a:ext uri="{63B3BB69-23CF-44E3-9099-C40C66FF867C}">
                  <a14:compatExt spid="_x0000_s86019"/>
                </a:ext>
                <a:ext uri="{FF2B5EF4-FFF2-40B4-BE49-F238E27FC236}">
                  <a16:creationId xmlns:a16="http://schemas.microsoft.com/office/drawing/2014/main" id="{00000000-0008-0000-5100-000003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8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361950</xdr:colOff>
          <xdr:row>0</xdr:row>
          <xdr:rowOff>38100</xdr:rowOff>
        </xdr:from>
        <xdr:to>
          <xdr:col>8</xdr:col>
          <xdr:colOff>219075</xdr:colOff>
          <xdr:row>0</xdr:row>
          <xdr:rowOff>200025</xdr:rowOff>
        </xdr:to>
        <xdr:sp macro="" textlink="">
          <xdr:nvSpPr>
            <xdr:cNvPr id="87041" name="Button 1" hidden="1">
              <a:extLst>
                <a:ext uri="{63B3BB69-23CF-44E3-9099-C40C66FF867C}">
                  <a14:compatExt spid="_x0000_s87041"/>
                </a:ext>
                <a:ext uri="{FF2B5EF4-FFF2-40B4-BE49-F238E27FC236}">
                  <a16:creationId xmlns:a16="http://schemas.microsoft.com/office/drawing/2014/main" id="{00000000-0008-0000-5200-000001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295275</xdr:colOff>
          <xdr:row>0</xdr:row>
          <xdr:rowOff>38100</xdr:rowOff>
        </xdr:from>
        <xdr:to>
          <xdr:col>8</xdr:col>
          <xdr:colOff>495300</xdr:colOff>
          <xdr:row>0</xdr:row>
          <xdr:rowOff>200025</xdr:rowOff>
        </xdr:to>
        <xdr:sp macro="" textlink="">
          <xdr:nvSpPr>
            <xdr:cNvPr id="87042" name="Button 2" hidden="1">
              <a:extLst>
                <a:ext uri="{63B3BB69-23CF-44E3-9099-C40C66FF867C}">
                  <a14:compatExt spid="_x0000_s87042"/>
                </a:ext>
                <a:ext uri="{FF2B5EF4-FFF2-40B4-BE49-F238E27FC236}">
                  <a16:creationId xmlns:a16="http://schemas.microsoft.com/office/drawing/2014/main" id="{00000000-0008-0000-5200-000002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85725</xdr:colOff>
          <xdr:row>0</xdr:row>
          <xdr:rowOff>38100</xdr:rowOff>
        </xdr:from>
        <xdr:to>
          <xdr:col>7</xdr:col>
          <xdr:colOff>295275</xdr:colOff>
          <xdr:row>0</xdr:row>
          <xdr:rowOff>200025</xdr:rowOff>
        </xdr:to>
        <xdr:sp macro="" textlink="">
          <xdr:nvSpPr>
            <xdr:cNvPr id="87043" name="Button 3" hidden="1">
              <a:extLst>
                <a:ext uri="{63B3BB69-23CF-44E3-9099-C40C66FF867C}">
                  <a14:compatExt spid="_x0000_s87043"/>
                </a:ext>
                <a:ext uri="{FF2B5EF4-FFF2-40B4-BE49-F238E27FC236}">
                  <a16:creationId xmlns:a16="http://schemas.microsoft.com/office/drawing/2014/main" id="{00000000-0008-0000-5200-000003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8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561975</xdr:colOff>
          <xdr:row>0</xdr:row>
          <xdr:rowOff>38100</xdr:rowOff>
        </xdr:from>
        <xdr:to>
          <xdr:col>8</xdr:col>
          <xdr:colOff>438150</xdr:colOff>
          <xdr:row>0</xdr:row>
          <xdr:rowOff>200025</xdr:rowOff>
        </xdr:to>
        <xdr:sp macro="" textlink="">
          <xdr:nvSpPr>
            <xdr:cNvPr id="88065" name="Button 1" hidden="1">
              <a:extLst>
                <a:ext uri="{63B3BB69-23CF-44E3-9099-C40C66FF867C}">
                  <a14:compatExt spid="_x0000_s88065"/>
                </a:ext>
                <a:ext uri="{FF2B5EF4-FFF2-40B4-BE49-F238E27FC236}">
                  <a16:creationId xmlns:a16="http://schemas.microsoft.com/office/drawing/2014/main" id="{00000000-0008-0000-5300-0000015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504825</xdr:colOff>
          <xdr:row>0</xdr:row>
          <xdr:rowOff>38100</xdr:rowOff>
        </xdr:from>
        <xdr:to>
          <xdr:col>9</xdr:col>
          <xdr:colOff>95250</xdr:colOff>
          <xdr:row>0</xdr:row>
          <xdr:rowOff>200025</xdr:rowOff>
        </xdr:to>
        <xdr:sp macro="" textlink="">
          <xdr:nvSpPr>
            <xdr:cNvPr id="88066" name="Button 2" hidden="1">
              <a:extLst>
                <a:ext uri="{63B3BB69-23CF-44E3-9099-C40C66FF867C}">
                  <a14:compatExt spid="_x0000_s88066"/>
                </a:ext>
                <a:ext uri="{FF2B5EF4-FFF2-40B4-BE49-F238E27FC236}">
                  <a16:creationId xmlns:a16="http://schemas.microsoft.com/office/drawing/2014/main" id="{00000000-0008-0000-5300-0000025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285750</xdr:colOff>
          <xdr:row>0</xdr:row>
          <xdr:rowOff>38100</xdr:rowOff>
        </xdr:from>
        <xdr:to>
          <xdr:col>7</xdr:col>
          <xdr:colOff>495300</xdr:colOff>
          <xdr:row>0</xdr:row>
          <xdr:rowOff>200025</xdr:rowOff>
        </xdr:to>
        <xdr:sp macro="" textlink="">
          <xdr:nvSpPr>
            <xdr:cNvPr id="88067" name="Button 3" hidden="1">
              <a:extLst>
                <a:ext uri="{63B3BB69-23CF-44E3-9099-C40C66FF867C}">
                  <a14:compatExt spid="_x0000_s88067"/>
                </a:ext>
                <a:ext uri="{FF2B5EF4-FFF2-40B4-BE49-F238E27FC236}">
                  <a16:creationId xmlns:a16="http://schemas.microsoft.com/office/drawing/2014/main" id="{00000000-0008-0000-5300-0000035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8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152400</xdr:colOff>
          <xdr:row>0</xdr:row>
          <xdr:rowOff>38100</xdr:rowOff>
        </xdr:from>
        <xdr:to>
          <xdr:col>8</xdr:col>
          <xdr:colOff>619125</xdr:colOff>
          <xdr:row>0</xdr:row>
          <xdr:rowOff>200025</xdr:rowOff>
        </xdr:to>
        <xdr:sp macro="" textlink="">
          <xdr:nvSpPr>
            <xdr:cNvPr id="89089" name="Button 1" hidden="1">
              <a:extLst>
                <a:ext uri="{63B3BB69-23CF-44E3-9099-C40C66FF867C}">
                  <a14:compatExt spid="_x0000_s89089"/>
                </a:ext>
                <a:ext uri="{FF2B5EF4-FFF2-40B4-BE49-F238E27FC236}">
                  <a16:creationId xmlns:a16="http://schemas.microsoft.com/office/drawing/2014/main" id="{00000000-0008-0000-5400-000001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676275</xdr:colOff>
          <xdr:row>0</xdr:row>
          <xdr:rowOff>38100</xdr:rowOff>
        </xdr:from>
        <xdr:to>
          <xdr:col>8</xdr:col>
          <xdr:colOff>876300</xdr:colOff>
          <xdr:row>0</xdr:row>
          <xdr:rowOff>200025</xdr:rowOff>
        </xdr:to>
        <xdr:sp macro="" textlink="">
          <xdr:nvSpPr>
            <xdr:cNvPr id="89090" name="Button 2" hidden="1">
              <a:extLst>
                <a:ext uri="{63B3BB69-23CF-44E3-9099-C40C66FF867C}">
                  <a14:compatExt spid="_x0000_s89090"/>
                </a:ext>
                <a:ext uri="{FF2B5EF4-FFF2-40B4-BE49-F238E27FC236}">
                  <a16:creationId xmlns:a16="http://schemas.microsoft.com/office/drawing/2014/main" id="{00000000-0008-0000-5400-000002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485775</xdr:colOff>
          <xdr:row>0</xdr:row>
          <xdr:rowOff>38100</xdr:rowOff>
        </xdr:from>
        <xdr:to>
          <xdr:col>8</xdr:col>
          <xdr:colOff>85725</xdr:colOff>
          <xdr:row>0</xdr:row>
          <xdr:rowOff>200025</xdr:rowOff>
        </xdr:to>
        <xdr:sp macro="" textlink="">
          <xdr:nvSpPr>
            <xdr:cNvPr id="89091" name="Button 3" hidden="1">
              <a:extLst>
                <a:ext uri="{63B3BB69-23CF-44E3-9099-C40C66FF867C}">
                  <a14:compatExt spid="_x0000_s89091"/>
                </a:ext>
                <a:ext uri="{FF2B5EF4-FFF2-40B4-BE49-F238E27FC236}">
                  <a16:creationId xmlns:a16="http://schemas.microsoft.com/office/drawing/2014/main" id="{00000000-0008-0000-5400-000003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8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361950</xdr:colOff>
          <xdr:row>0</xdr:row>
          <xdr:rowOff>38100</xdr:rowOff>
        </xdr:from>
        <xdr:to>
          <xdr:col>9</xdr:col>
          <xdr:colOff>219075</xdr:colOff>
          <xdr:row>0</xdr:row>
          <xdr:rowOff>200025</xdr:rowOff>
        </xdr:to>
        <xdr:sp macro="" textlink="">
          <xdr:nvSpPr>
            <xdr:cNvPr id="90113" name="Button 1" hidden="1">
              <a:extLst>
                <a:ext uri="{63B3BB69-23CF-44E3-9099-C40C66FF867C}">
                  <a14:compatExt spid="_x0000_s90113"/>
                </a:ext>
                <a:ext uri="{FF2B5EF4-FFF2-40B4-BE49-F238E27FC236}">
                  <a16:creationId xmlns:a16="http://schemas.microsoft.com/office/drawing/2014/main" id="{00000000-0008-0000-5500-000001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285750</xdr:colOff>
          <xdr:row>0</xdr:row>
          <xdr:rowOff>38100</xdr:rowOff>
        </xdr:from>
        <xdr:to>
          <xdr:col>9</xdr:col>
          <xdr:colOff>485775</xdr:colOff>
          <xdr:row>0</xdr:row>
          <xdr:rowOff>200025</xdr:rowOff>
        </xdr:to>
        <xdr:sp macro="" textlink="">
          <xdr:nvSpPr>
            <xdr:cNvPr id="90114" name="Button 2" hidden="1">
              <a:extLst>
                <a:ext uri="{63B3BB69-23CF-44E3-9099-C40C66FF867C}">
                  <a14:compatExt spid="_x0000_s90114"/>
                </a:ext>
                <a:ext uri="{FF2B5EF4-FFF2-40B4-BE49-F238E27FC236}">
                  <a16:creationId xmlns:a16="http://schemas.microsoft.com/office/drawing/2014/main" id="{00000000-0008-0000-5500-000002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85725</xdr:colOff>
          <xdr:row>0</xdr:row>
          <xdr:rowOff>38100</xdr:rowOff>
        </xdr:from>
        <xdr:to>
          <xdr:col>8</xdr:col>
          <xdr:colOff>295275</xdr:colOff>
          <xdr:row>0</xdr:row>
          <xdr:rowOff>200025</xdr:rowOff>
        </xdr:to>
        <xdr:sp macro="" textlink="">
          <xdr:nvSpPr>
            <xdr:cNvPr id="90115" name="Button 3" hidden="1">
              <a:extLst>
                <a:ext uri="{63B3BB69-23CF-44E3-9099-C40C66FF867C}">
                  <a14:compatExt spid="_x0000_s90115"/>
                </a:ext>
                <a:ext uri="{FF2B5EF4-FFF2-40B4-BE49-F238E27FC236}">
                  <a16:creationId xmlns:a16="http://schemas.microsoft.com/office/drawing/2014/main" id="{00000000-0008-0000-5500-000003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8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3</xdr:col>
          <xdr:colOff>552450</xdr:colOff>
          <xdr:row>0</xdr:row>
          <xdr:rowOff>38100</xdr:rowOff>
        </xdr:from>
        <xdr:to>
          <xdr:col>4</xdr:col>
          <xdr:colOff>428625</xdr:colOff>
          <xdr:row>0</xdr:row>
          <xdr:rowOff>200025</xdr:rowOff>
        </xdr:to>
        <xdr:sp macro="" textlink="">
          <xdr:nvSpPr>
            <xdr:cNvPr id="91137" name="Button 1" hidden="1">
              <a:extLst>
                <a:ext uri="{63B3BB69-23CF-44E3-9099-C40C66FF867C}">
                  <a14:compatExt spid="_x0000_s91137"/>
                </a:ext>
                <a:ext uri="{FF2B5EF4-FFF2-40B4-BE49-F238E27FC236}">
                  <a16:creationId xmlns:a16="http://schemas.microsoft.com/office/drawing/2014/main" id="{00000000-0008-0000-5600-000001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495300</xdr:colOff>
          <xdr:row>0</xdr:row>
          <xdr:rowOff>38100</xdr:rowOff>
        </xdr:from>
        <xdr:to>
          <xdr:col>5</xdr:col>
          <xdr:colOff>95250</xdr:colOff>
          <xdr:row>0</xdr:row>
          <xdr:rowOff>200025</xdr:rowOff>
        </xdr:to>
        <xdr:sp macro="" textlink="">
          <xdr:nvSpPr>
            <xdr:cNvPr id="91138" name="Button 2" hidden="1">
              <a:extLst>
                <a:ext uri="{63B3BB69-23CF-44E3-9099-C40C66FF867C}">
                  <a14:compatExt spid="_x0000_s91138"/>
                </a:ext>
                <a:ext uri="{FF2B5EF4-FFF2-40B4-BE49-F238E27FC236}">
                  <a16:creationId xmlns:a16="http://schemas.microsoft.com/office/drawing/2014/main" id="{00000000-0008-0000-5600-000002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3</xdr:col>
          <xdr:colOff>285750</xdr:colOff>
          <xdr:row>0</xdr:row>
          <xdr:rowOff>38100</xdr:rowOff>
        </xdr:from>
        <xdr:to>
          <xdr:col>3</xdr:col>
          <xdr:colOff>495300</xdr:colOff>
          <xdr:row>0</xdr:row>
          <xdr:rowOff>200025</xdr:rowOff>
        </xdr:to>
        <xdr:sp macro="" textlink="">
          <xdr:nvSpPr>
            <xdr:cNvPr id="91139" name="Button 3" hidden="1">
              <a:extLst>
                <a:ext uri="{63B3BB69-23CF-44E3-9099-C40C66FF867C}">
                  <a14:compatExt spid="_x0000_s91139"/>
                </a:ext>
                <a:ext uri="{FF2B5EF4-FFF2-40B4-BE49-F238E27FC236}">
                  <a16:creationId xmlns:a16="http://schemas.microsoft.com/office/drawing/2014/main" id="{00000000-0008-0000-5600-000003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8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542925</xdr:colOff>
          <xdr:row>0</xdr:row>
          <xdr:rowOff>38100</xdr:rowOff>
        </xdr:from>
        <xdr:to>
          <xdr:col>8</xdr:col>
          <xdr:colOff>409575</xdr:colOff>
          <xdr:row>0</xdr:row>
          <xdr:rowOff>200025</xdr:rowOff>
        </xdr:to>
        <xdr:sp macro="" textlink="">
          <xdr:nvSpPr>
            <xdr:cNvPr id="92161" name="Button 1" hidden="1">
              <a:extLst>
                <a:ext uri="{63B3BB69-23CF-44E3-9099-C40C66FF867C}">
                  <a14:compatExt spid="_x0000_s92161"/>
                </a:ext>
                <a:ext uri="{FF2B5EF4-FFF2-40B4-BE49-F238E27FC236}">
                  <a16:creationId xmlns:a16="http://schemas.microsoft.com/office/drawing/2014/main" id="{00000000-0008-0000-5700-0000016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476250</xdr:colOff>
          <xdr:row>0</xdr:row>
          <xdr:rowOff>38100</xdr:rowOff>
        </xdr:from>
        <xdr:to>
          <xdr:col>9</xdr:col>
          <xdr:colOff>76200</xdr:colOff>
          <xdr:row>0</xdr:row>
          <xdr:rowOff>200025</xdr:rowOff>
        </xdr:to>
        <xdr:sp macro="" textlink="">
          <xdr:nvSpPr>
            <xdr:cNvPr id="92162" name="Button 2" hidden="1">
              <a:extLst>
                <a:ext uri="{63B3BB69-23CF-44E3-9099-C40C66FF867C}">
                  <a14:compatExt spid="_x0000_s92162"/>
                </a:ext>
                <a:ext uri="{FF2B5EF4-FFF2-40B4-BE49-F238E27FC236}">
                  <a16:creationId xmlns:a16="http://schemas.microsoft.com/office/drawing/2014/main" id="{00000000-0008-0000-5700-0000026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266700</xdr:colOff>
          <xdr:row>0</xdr:row>
          <xdr:rowOff>38100</xdr:rowOff>
        </xdr:from>
        <xdr:to>
          <xdr:col>7</xdr:col>
          <xdr:colOff>476250</xdr:colOff>
          <xdr:row>0</xdr:row>
          <xdr:rowOff>200025</xdr:rowOff>
        </xdr:to>
        <xdr:sp macro="" textlink="">
          <xdr:nvSpPr>
            <xdr:cNvPr id="92163" name="Button 3" hidden="1">
              <a:extLst>
                <a:ext uri="{63B3BB69-23CF-44E3-9099-C40C66FF867C}">
                  <a14:compatExt spid="_x0000_s92163"/>
                </a:ext>
                <a:ext uri="{FF2B5EF4-FFF2-40B4-BE49-F238E27FC236}">
                  <a16:creationId xmlns:a16="http://schemas.microsoft.com/office/drawing/2014/main" id="{00000000-0008-0000-5700-0000036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8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76200</xdr:colOff>
          <xdr:row>0</xdr:row>
          <xdr:rowOff>38100</xdr:rowOff>
        </xdr:from>
        <xdr:to>
          <xdr:col>7</xdr:col>
          <xdr:colOff>542925</xdr:colOff>
          <xdr:row>0</xdr:row>
          <xdr:rowOff>200025</xdr:rowOff>
        </xdr:to>
        <xdr:sp macro="" textlink="">
          <xdr:nvSpPr>
            <xdr:cNvPr id="93185" name="Button 1" hidden="1">
              <a:extLst>
                <a:ext uri="{63B3BB69-23CF-44E3-9099-C40C66FF867C}">
                  <a14:compatExt spid="_x0000_s93185"/>
                </a:ext>
                <a:ext uri="{FF2B5EF4-FFF2-40B4-BE49-F238E27FC236}">
                  <a16:creationId xmlns:a16="http://schemas.microsoft.com/office/drawing/2014/main" id="{00000000-0008-0000-5800-000001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609600</xdr:colOff>
          <xdr:row>0</xdr:row>
          <xdr:rowOff>38100</xdr:rowOff>
        </xdr:from>
        <xdr:to>
          <xdr:col>8</xdr:col>
          <xdr:colOff>66675</xdr:colOff>
          <xdr:row>0</xdr:row>
          <xdr:rowOff>200025</xdr:rowOff>
        </xdr:to>
        <xdr:sp macro="" textlink="">
          <xdr:nvSpPr>
            <xdr:cNvPr id="93186" name="Button 2" hidden="1">
              <a:extLst>
                <a:ext uri="{63B3BB69-23CF-44E3-9099-C40C66FF867C}">
                  <a14:compatExt spid="_x0000_s93186"/>
                </a:ext>
                <a:ext uri="{FF2B5EF4-FFF2-40B4-BE49-F238E27FC236}">
                  <a16:creationId xmlns:a16="http://schemas.microsoft.com/office/drawing/2014/main" id="{00000000-0008-0000-5800-000002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409575</xdr:colOff>
          <xdr:row>0</xdr:row>
          <xdr:rowOff>38100</xdr:rowOff>
        </xdr:from>
        <xdr:to>
          <xdr:col>7</xdr:col>
          <xdr:colOff>9525</xdr:colOff>
          <xdr:row>0</xdr:row>
          <xdr:rowOff>200025</xdr:rowOff>
        </xdr:to>
        <xdr:sp macro="" textlink="">
          <xdr:nvSpPr>
            <xdr:cNvPr id="93187" name="Button 3" hidden="1">
              <a:extLst>
                <a:ext uri="{63B3BB69-23CF-44E3-9099-C40C66FF867C}">
                  <a14:compatExt spid="_x0000_s93187"/>
                </a:ext>
                <a:ext uri="{FF2B5EF4-FFF2-40B4-BE49-F238E27FC236}">
                  <a16:creationId xmlns:a16="http://schemas.microsoft.com/office/drawing/2014/main" id="{00000000-0008-0000-5800-000003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8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66675</xdr:colOff>
          <xdr:row>0</xdr:row>
          <xdr:rowOff>38100</xdr:rowOff>
        </xdr:from>
        <xdr:to>
          <xdr:col>8</xdr:col>
          <xdr:colOff>533400</xdr:colOff>
          <xdr:row>0</xdr:row>
          <xdr:rowOff>200025</xdr:rowOff>
        </xdr:to>
        <xdr:sp macro="" textlink="">
          <xdr:nvSpPr>
            <xdr:cNvPr id="94209" name="Button 1" hidden="1">
              <a:extLst>
                <a:ext uri="{63B3BB69-23CF-44E3-9099-C40C66FF867C}">
                  <a14:compatExt spid="_x0000_s94209"/>
                </a:ext>
                <a:ext uri="{FF2B5EF4-FFF2-40B4-BE49-F238E27FC236}">
                  <a16:creationId xmlns:a16="http://schemas.microsoft.com/office/drawing/2014/main" id="{00000000-0008-0000-5900-0000017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600075</xdr:colOff>
          <xdr:row>0</xdr:row>
          <xdr:rowOff>38100</xdr:rowOff>
        </xdr:from>
        <xdr:to>
          <xdr:col>8</xdr:col>
          <xdr:colOff>800100</xdr:colOff>
          <xdr:row>0</xdr:row>
          <xdr:rowOff>200025</xdr:rowOff>
        </xdr:to>
        <xdr:sp macro="" textlink="">
          <xdr:nvSpPr>
            <xdr:cNvPr id="94210" name="Button 2" hidden="1">
              <a:extLst>
                <a:ext uri="{63B3BB69-23CF-44E3-9099-C40C66FF867C}">
                  <a14:compatExt spid="_x0000_s94210"/>
                </a:ext>
                <a:ext uri="{FF2B5EF4-FFF2-40B4-BE49-F238E27FC236}">
                  <a16:creationId xmlns:a16="http://schemas.microsoft.com/office/drawing/2014/main" id="{00000000-0008-0000-5900-0000027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400050</xdr:colOff>
          <xdr:row>0</xdr:row>
          <xdr:rowOff>38100</xdr:rowOff>
        </xdr:from>
        <xdr:to>
          <xdr:col>8</xdr:col>
          <xdr:colOff>0</xdr:colOff>
          <xdr:row>0</xdr:row>
          <xdr:rowOff>200025</xdr:rowOff>
        </xdr:to>
        <xdr:sp macro="" textlink="">
          <xdr:nvSpPr>
            <xdr:cNvPr id="94211" name="Button 3" hidden="1">
              <a:extLst>
                <a:ext uri="{63B3BB69-23CF-44E3-9099-C40C66FF867C}">
                  <a14:compatExt spid="_x0000_s94211"/>
                </a:ext>
                <a:ext uri="{FF2B5EF4-FFF2-40B4-BE49-F238E27FC236}">
                  <a16:creationId xmlns:a16="http://schemas.microsoft.com/office/drawing/2014/main" id="{00000000-0008-0000-5900-0000037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9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95250</xdr:colOff>
          <xdr:row>0</xdr:row>
          <xdr:rowOff>38100</xdr:rowOff>
        </xdr:from>
        <xdr:to>
          <xdr:col>7</xdr:col>
          <xdr:colOff>561975</xdr:colOff>
          <xdr:row>0</xdr:row>
          <xdr:rowOff>200025</xdr:rowOff>
        </xdr:to>
        <xdr:sp macro="" textlink="">
          <xdr:nvSpPr>
            <xdr:cNvPr id="95233" name="Button 1" hidden="1">
              <a:extLst>
                <a:ext uri="{63B3BB69-23CF-44E3-9099-C40C66FF867C}">
                  <a14:compatExt spid="_x0000_s95233"/>
                </a:ext>
                <a:ext uri="{FF2B5EF4-FFF2-40B4-BE49-F238E27FC236}">
                  <a16:creationId xmlns:a16="http://schemas.microsoft.com/office/drawing/2014/main" id="{00000000-0008-0000-5A00-000001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628650</xdr:colOff>
          <xdr:row>0</xdr:row>
          <xdr:rowOff>38100</xdr:rowOff>
        </xdr:from>
        <xdr:to>
          <xdr:col>7</xdr:col>
          <xdr:colOff>828675</xdr:colOff>
          <xdr:row>0</xdr:row>
          <xdr:rowOff>200025</xdr:rowOff>
        </xdr:to>
        <xdr:sp macro="" textlink="">
          <xdr:nvSpPr>
            <xdr:cNvPr id="95234" name="Button 2" hidden="1">
              <a:extLst>
                <a:ext uri="{63B3BB69-23CF-44E3-9099-C40C66FF867C}">
                  <a14:compatExt spid="_x0000_s95234"/>
                </a:ext>
                <a:ext uri="{FF2B5EF4-FFF2-40B4-BE49-F238E27FC236}">
                  <a16:creationId xmlns:a16="http://schemas.microsoft.com/office/drawing/2014/main" id="{00000000-0008-0000-5A00-000002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438150</xdr:colOff>
          <xdr:row>0</xdr:row>
          <xdr:rowOff>38100</xdr:rowOff>
        </xdr:from>
        <xdr:to>
          <xdr:col>7</xdr:col>
          <xdr:colOff>28575</xdr:colOff>
          <xdr:row>0</xdr:row>
          <xdr:rowOff>200025</xdr:rowOff>
        </xdr:to>
        <xdr:sp macro="" textlink="">
          <xdr:nvSpPr>
            <xdr:cNvPr id="95235" name="Button 3" hidden="1">
              <a:extLst>
                <a:ext uri="{63B3BB69-23CF-44E3-9099-C40C66FF867C}">
                  <a14:compatExt spid="_x0000_s95235"/>
                </a:ext>
                <a:ext uri="{FF2B5EF4-FFF2-40B4-BE49-F238E27FC236}">
                  <a16:creationId xmlns:a16="http://schemas.microsoft.com/office/drawing/2014/main" id="{00000000-0008-0000-5A00-000003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9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295275</xdr:colOff>
          <xdr:row>0</xdr:row>
          <xdr:rowOff>38100</xdr:rowOff>
        </xdr:from>
        <xdr:to>
          <xdr:col>8</xdr:col>
          <xdr:colOff>171450</xdr:colOff>
          <xdr:row>0</xdr:row>
          <xdr:rowOff>200025</xdr:rowOff>
        </xdr:to>
        <xdr:sp macro="" textlink="">
          <xdr:nvSpPr>
            <xdr:cNvPr id="96257" name="Button 1" hidden="1">
              <a:extLst>
                <a:ext uri="{63B3BB69-23CF-44E3-9099-C40C66FF867C}">
                  <a14:compatExt spid="_x0000_s96257"/>
                </a:ext>
                <a:ext uri="{FF2B5EF4-FFF2-40B4-BE49-F238E27FC236}">
                  <a16:creationId xmlns:a16="http://schemas.microsoft.com/office/drawing/2014/main" id="{00000000-0008-0000-5B00-000001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238125</xdr:colOff>
          <xdr:row>0</xdr:row>
          <xdr:rowOff>38100</xdr:rowOff>
        </xdr:from>
        <xdr:to>
          <xdr:col>8</xdr:col>
          <xdr:colOff>447675</xdr:colOff>
          <xdr:row>0</xdr:row>
          <xdr:rowOff>200025</xdr:rowOff>
        </xdr:to>
        <xdr:sp macro="" textlink="">
          <xdr:nvSpPr>
            <xdr:cNvPr id="96258" name="Button 2" hidden="1">
              <a:extLst>
                <a:ext uri="{63B3BB69-23CF-44E3-9099-C40C66FF867C}">
                  <a14:compatExt spid="_x0000_s96258"/>
                </a:ext>
                <a:ext uri="{FF2B5EF4-FFF2-40B4-BE49-F238E27FC236}">
                  <a16:creationId xmlns:a16="http://schemas.microsoft.com/office/drawing/2014/main" id="{00000000-0008-0000-5B00-000002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19050</xdr:colOff>
          <xdr:row>0</xdr:row>
          <xdr:rowOff>38100</xdr:rowOff>
        </xdr:from>
        <xdr:to>
          <xdr:col>7</xdr:col>
          <xdr:colOff>228600</xdr:colOff>
          <xdr:row>0</xdr:row>
          <xdr:rowOff>200025</xdr:rowOff>
        </xdr:to>
        <xdr:sp macro="" textlink="">
          <xdr:nvSpPr>
            <xdr:cNvPr id="96259" name="Button 3" hidden="1">
              <a:extLst>
                <a:ext uri="{63B3BB69-23CF-44E3-9099-C40C66FF867C}">
                  <a14:compatExt spid="_x0000_s96259"/>
                </a:ext>
                <a:ext uri="{FF2B5EF4-FFF2-40B4-BE49-F238E27FC236}">
                  <a16:creationId xmlns:a16="http://schemas.microsoft.com/office/drawing/2014/main" id="{00000000-0008-0000-5B00-000003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9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257175</xdr:colOff>
          <xdr:row>0</xdr:row>
          <xdr:rowOff>38100</xdr:rowOff>
        </xdr:from>
        <xdr:to>
          <xdr:col>9</xdr:col>
          <xdr:colOff>123825</xdr:colOff>
          <xdr:row>0</xdr:row>
          <xdr:rowOff>200025</xdr:rowOff>
        </xdr:to>
        <xdr:sp macro="" textlink="">
          <xdr:nvSpPr>
            <xdr:cNvPr id="97281" name="Button 1" hidden="1">
              <a:extLst>
                <a:ext uri="{63B3BB69-23CF-44E3-9099-C40C66FF867C}">
                  <a14:compatExt spid="_x0000_s97281"/>
                </a:ext>
                <a:ext uri="{FF2B5EF4-FFF2-40B4-BE49-F238E27FC236}">
                  <a16:creationId xmlns:a16="http://schemas.microsoft.com/office/drawing/2014/main" id="{00000000-0008-0000-5C00-0000017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190500</xdr:colOff>
          <xdr:row>0</xdr:row>
          <xdr:rowOff>38100</xdr:rowOff>
        </xdr:from>
        <xdr:to>
          <xdr:col>9</xdr:col>
          <xdr:colOff>390525</xdr:colOff>
          <xdr:row>0</xdr:row>
          <xdr:rowOff>200025</xdr:rowOff>
        </xdr:to>
        <xdr:sp macro="" textlink="">
          <xdr:nvSpPr>
            <xdr:cNvPr id="97282" name="Button 2" hidden="1">
              <a:extLst>
                <a:ext uri="{63B3BB69-23CF-44E3-9099-C40C66FF867C}">
                  <a14:compatExt spid="_x0000_s97282"/>
                </a:ext>
                <a:ext uri="{FF2B5EF4-FFF2-40B4-BE49-F238E27FC236}">
                  <a16:creationId xmlns:a16="http://schemas.microsoft.com/office/drawing/2014/main" id="{00000000-0008-0000-5C00-0000027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590550</xdr:colOff>
          <xdr:row>0</xdr:row>
          <xdr:rowOff>38100</xdr:rowOff>
        </xdr:from>
        <xdr:to>
          <xdr:col>8</xdr:col>
          <xdr:colOff>190500</xdr:colOff>
          <xdr:row>0</xdr:row>
          <xdr:rowOff>200025</xdr:rowOff>
        </xdr:to>
        <xdr:sp macro="" textlink="">
          <xdr:nvSpPr>
            <xdr:cNvPr id="97283" name="Button 3" hidden="1">
              <a:extLst>
                <a:ext uri="{63B3BB69-23CF-44E3-9099-C40C66FF867C}">
                  <a14:compatExt spid="_x0000_s97283"/>
                </a:ext>
                <a:ext uri="{FF2B5EF4-FFF2-40B4-BE49-F238E27FC236}">
                  <a16:creationId xmlns:a16="http://schemas.microsoft.com/office/drawing/2014/main" id="{00000000-0008-0000-5C00-0000037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9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9525</xdr:colOff>
          <xdr:row>0</xdr:row>
          <xdr:rowOff>38100</xdr:rowOff>
        </xdr:from>
        <xdr:to>
          <xdr:col>8</xdr:col>
          <xdr:colOff>485775</xdr:colOff>
          <xdr:row>0</xdr:row>
          <xdr:rowOff>200025</xdr:rowOff>
        </xdr:to>
        <xdr:sp macro="" textlink="">
          <xdr:nvSpPr>
            <xdr:cNvPr id="98305" name="Button 1" hidden="1">
              <a:extLst>
                <a:ext uri="{63B3BB69-23CF-44E3-9099-C40C66FF867C}">
                  <a14:compatExt spid="_x0000_s98305"/>
                </a:ext>
                <a:ext uri="{FF2B5EF4-FFF2-40B4-BE49-F238E27FC236}">
                  <a16:creationId xmlns:a16="http://schemas.microsoft.com/office/drawing/2014/main" id="{00000000-0008-0000-5D00-0000018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552450</xdr:colOff>
          <xdr:row>0</xdr:row>
          <xdr:rowOff>38100</xdr:rowOff>
        </xdr:from>
        <xdr:to>
          <xdr:col>9</xdr:col>
          <xdr:colOff>152400</xdr:colOff>
          <xdr:row>0</xdr:row>
          <xdr:rowOff>200025</xdr:rowOff>
        </xdr:to>
        <xdr:sp macro="" textlink="">
          <xdr:nvSpPr>
            <xdr:cNvPr id="98306" name="Button 2" hidden="1">
              <a:extLst>
                <a:ext uri="{63B3BB69-23CF-44E3-9099-C40C66FF867C}">
                  <a14:compatExt spid="_x0000_s98306"/>
                </a:ext>
                <a:ext uri="{FF2B5EF4-FFF2-40B4-BE49-F238E27FC236}">
                  <a16:creationId xmlns:a16="http://schemas.microsoft.com/office/drawing/2014/main" id="{00000000-0008-0000-5D00-0000028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342900</xdr:colOff>
          <xdr:row>0</xdr:row>
          <xdr:rowOff>38100</xdr:rowOff>
        </xdr:from>
        <xdr:to>
          <xdr:col>7</xdr:col>
          <xdr:colOff>552450</xdr:colOff>
          <xdr:row>0</xdr:row>
          <xdr:rowOff>200025</xdr:rowOff>
        </xdr:to>
        <xdr:sp macro="" textlink="">
          <xdr:nvSpPr>
            <xdr:cNvPr id="98307" name="Button 3" hidden="1">
              <a:extLst>
                <a:ext uri="{63B3BB69-23CF-44E3-9099-C40C66FF867C}">
                  <a14:compatExt spid="_x0000_s98307"/>
                </a:ext>
                <a:ext uri="{FF2B5EF4-FFF2-40B4-BE49-F238E27FC236}">
                  <a16:creationId xmlns:a16="http://schemas.microsoft.com/office/drawing/2014/main" id="{00000000-0008-0000-5D00-0000038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9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933450</xdr:colOff>
          <xdr:row>0</xdr:row>
          <xdr:rowOff>38100</xdr:rowOff>
        </xdr:from>
        <xdr:to>
          <xdr:col>6</xdr:col>
          <xdr:colOff>361950</xdr:colOff>
          <xdr:row>0</xdr:row>
          <xdr:rowOff>200025</xdr:rowOff>
        </xdr:to>
        <xdr:sp macro="" textlink="">
          <xdr:nvSpPr>
            <xdr:cNvPr id="99329" name="Button 1" hidden="1">
              <a:extLst>
                <a:ext uri="{63B3BB69-23CF-44E3-9099-C40C66FF867C}">
                  <a14:compatExt spid="_x0000_s99329"/>
                </a:ext>
                <a:ext uri="{FF2B5EF4-FFF2-40B4-BE49-F238E27FC236}">
                  <a16:creationId xmlns:a16="http://schemas.microsoft.com/office/drawing/2014/main" id="{00000000-0008-0000-5E00-0000018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428625</xdr:colOff>
          <xdr:row>0</xdr:row>
          <xdr:rowOff>38100</xdr:rowOff>
        </xdr:from>
        <xdr:to>
          <xdr:col>7</xdr:col>
          <xdr:colOff>19050</xdr:colOff>
          <xdr:row>0</xdr:row>
          <xdr:rowOff>200025</xdr:rowOff>
        </xdr:to>
        <xdr:sp macro="" textlink="">
          <xdr:nvSpPr>
            <xdr:cNvPr id="99330" name="Button 2" hidden="1">
              <a:extLst>
                <a:ext uri="{63B3BB69-23CF-44E3-9099-C40C66FF867C}">
                  <a14:compatExt spid="_x0000_s99330"/>
                </a:ext>
                <a:ext uri="{FF2B5EF4-FFF2-40B4-BE49-F238E27FC236}">
                  <a16:creationId xmlns:a16="http://schemas.microsoft.com/office/drawing/2014/main" id="{00000000-0008-0000-5E00-0000028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657225</xdr:colOff>
          <xdr:row>0</xdr:row>
          <xdr:rowOff>38100</xdr:rowOff>
        </xdr:from>
        <xdr:to>
          <xdr:col>5</xdr:col>
          <xdr:colOff>857250</xdr:colOff>
          <xdr:row>0</xdr:row>
          <xdr:rowOff>200025</xdr:rowOff>
        </xdr:to>
        <xdr:sp macro="" textlink="">
          <xdr:nvSpPr>
            <xdr:cNvPr id="99331" name="Button 3" hidden="1">
              <a:extLst>
                <a:ext uri="{63B3BB69-23CF-44E3-9099-C40C66FF867C}">
                  <a14:compatExt spid="_x0000_s99331"/>
                </a:ext>
                <a:ext uri="{FF2B5EF4-FFF2-40B4-BE49-F238E27FC236}">
                  <a16:creationId xmlns:a16="http://schemas.microsoft.com/office/drawing/2014/main" id="{00000000-0008-0000-5E00-0000038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9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333375</xdr:colOff>
          <xdr:row>0</xdr:row>
          <xdr:rowOff>38100</xdr:rowOff>
        </xdr:from>
        <xdr:to>
          <xdr:col>9</xdr:col>
          <xdr:colOff>200025</xdr:colOff>
          <xdr:row>0</xdr:row>
          <xdr:rowOff>200025</xdr:rowOff>
        </xdr:to>
        <xdr:sp macro="" textlink="">
          <xdr:nvSpPr>
            <xdr:cNvPr id="100353" name="Button 1" hidden="1">
              <a:extLst>
                <a:ext uri="{63B3BB69-23CF-44E3-9099-C40C66FF867C}">
                  <a14:compatExt spid="_x0000_s100353"/>
                </a:ext>
                <a:ext uri="{FF2B5EF4-FFF2-40B4-BE49-F238E27FC236}">
                  <a16:creationId xmlns:a16="http://schemas.microsoft.com/office/drawing/2014/main" id="{00000000-0008-0000-5F00-0000018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266700</xdr:colOff>
          <xdr:row>0</xdr:row>
          <xdr:rowOff>38100</xdr:rowOff>
        </xdr:from>
        <xdr:to>
          <xdr:col>9</xdr:col>
          <xdr:colOff>466725</xdr:colOff>
          <xdr:row>0</xdr:row>
          <xdr:rowOff>200025</xdr:rowOff>
        </xdr:to>
        <xdr:sp macro="" textlink="">
          <xdr:nvSpPr>
            <xdr:cNvPr id="100354" name="Button 2" hidden="1">
              <a:extLst>
                <a:ext uri="{63B3BB69-23CF-44E3-9099-C40C66FF867C}">
                  <a14:compatExt spid="_x0000_s100354"/>
                </a:ext>
                <a:ext uri="{FF2B5EF4-FFF2-40B4-BE49-F238E27FC236}">
                  <a16:creationId xmlns:a16="http://schemas.microsoft.com/office/drawing/2014/main" id="{00000000-0008-0000-5F00-0000028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57150</xdr:colOff>
          <xdr:row>0</xdr:row>
          <xdr:rowOff>38100</xdr:rowOff>
        </xdr:from>
        <xdr:to>
          <xdr:col>8</xdr:col>
          <xdr:colOff>266700</xdr:colOff>
          <xdr:row>0</xdr:row>
          <xdr:rowOff>200025</xdr:rowOff>
        </xdr:to>
        <xdr:sp macro="" textlink="">
          <xdr:nvSpPr>
            <xdr:cNvPr id="100355" name="Button 3" hidden="1">
              <a:extLst>
                <a:ext uri="{63B3BB69-23CF-44E3-9099-C40C66FF867C}">
                  <a14:compatExt spid="_x0000_s100355"/>
                </a:ext>
                <a:ext uri="{FF2B5EF4-FFF2-40B4-BE49-F238E27FC236}">
                  <a16:creationId xmlns:a16="http://schemas.microsoft.com/office/drawing/2014/main" id="{00000000-0008-0000-5F00-0000038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9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447675</xdr:colOff>
          <xdr:row>0</xdr:row>
          <xdr:rowOff>38100</xdr:rowOff>
        </xdr:from>
        <xdr:to>
          <xdr:col>8</xdr:col>
          <xdr:colOff>314325</xdr:colOff>
          <xdr:row>0</xdr:row>
          <xdr:rowOff>200025</xdr:rowOff>
        </xdr:to>
        <xdr:sp macro="" textlink="">
          <xdr:nvSpPr>
            <xdr:cNvPr id="101377" name="Button 1" hidden="1">
              <a:extLst>
                <a:ext uri="{63B3BB69-23CF-44E3-9099-C40C66FF867C}">
                  <a14:compatExt spid="_x0000_s101377"/>
                </a:ext>
                <a:ext uri="{FF2B5EF4-FFF2-40B4-BE49-F238E27FC236}">
                  <a16:creationId xmlns:a16="http://schemas.microsoft.com/office/drawing/2014/main" id="{00000000-0008-0000-6000-000001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381000</xdr:colOff>
          <xdr:row>0</xdr:row>
          <xdr:rowOff>38100</xdr:rowOff>
        </xdr:from>
        <xdr:to>
          <xdr:col>9</xdr:col>
          <xdr:colOff>47625</xdr:colOff>
          <xdr:row>0</xdr:row>
          <xdr:rowOff>200025</xdr:rowOff>
        </xdr:to>
        <xdr:sp macro="" textlink="">
          <xdr:nvSpPr>
            <xdr:cNvPr id="101378" name="Button 2" hidden="1">
              <a:extLst>
                <a:ext uri="{63B3BB69-23CF-44E3-9099-C40C66FF867C}">
                  <a14:compatExt spid="_x0000_s101378"/>
                </a:ext>
                <a:ext uri="{FF2B5EF4-FFF2-40B4-BE49-F238E27FC236}">
                  <a16:creationId xmlns:a16="http://schemas.microsoft.com/office/drawing/2014/main" id="{00000000-0008-0000-6000-000002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171450</xdr:colOff>
          <xdr:row>0</xdr:row>
          <xdr:rowOff>38100</xdr:rowOff>
        </xdr:from>
        <xdr:to>
          <xdr:col>7</xdr:col>
          <xdr:colOff>381000</xdr:colOff>
          <xdr:row>0</xdr:row>
          <xdr:rowOff>200025</xdr:rowOff>
        </xdr:to>
        <xdr:sp macro="" textlink="">
          <xdr:nvSpPr>
            <xdr:cNvPr id="101379" name="Button 3" hidden="1">
              <a:extLst>
                <a:ext uri="{63B3BB69-23CF-44E3-9099-C40C66FF867C}">
                  <a14:compatExt spid="_x0000_s101379"/>
                </a:ext>
                <a:ext uri="{FF2B5EF4-FFF2-40B4-BE49-F238E27FC236}">
                  <a16:creationId xmlns:a16="http://schemas.microsoft.com/office/drawing/2014/main" id="{00000000-0008-0000-6000-000003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9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266700</xdr:colOff>
          <xdr:row>0</xdr:row>
          <xdr:rowOff>38100</xdr:rowOff>
        </xdr:from>
        <xdr:to>
          <xdr:col>8</xdr:col>
          <xdr:colOff>114300</xdr:colOff>
          <xdr:row>0</xdr:row>
          <xdr:rowOff>190500</xdr:rowOff>
        </xdr:to>
        <xdr:sp macro="" textlink="">
          <xdr:nvSpPr>
            <xdr:cNvPr id="102401" name="Button 1" hidden="1">
              <a:extLst>
                <a:ext uri="{63B3BB69-23CF-44E3-9099-C40C66FF867C}">
                  <a14:compatExt spid="_x0000_s102401"/>
                </a:ext>
                <a:ext uri="{FF2B5EF4-FFF2-40B4-BE49-F238E27FC236}">
                  <a16:creationId xmlns:a16="http://schemas.microsoft.com/office/drawing/2014/main" id="{00000000-0008-0000-6100-000001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190500</xdr:colOff>
          <xdr:row>0</xdr:row>
          <xdr:rowOff>38100</xdr:rowOff>
        </xdr:from>
        <xdr:to>
          <xdr:col>8</xdr:col>
          <xdr:colOff>381000</xdr:colOff>
          <xdr:row>0</xdr:row>
          <xdr:rowOff>190500</xdr:rowOff>
        </xdr:to>
        <xdr:sp macro="" textlink="">
          <xdr:nvSpPr>
            <xdr:cNvPr id="102402" name="Button 2" hidden="1">
              <a:extLst>
                <a:ext uri="{63B3BB69-23CF-44E3-9099-C40C66FF867C}">
                  <a14:compatExt spid="_x0000_s102402"/>
                </a:ext>
                <a:ext uri="{FF2B5EF4-FFF2-40B4-BE49-F238E27FC236}">
                  <a16:creationId xmlns:a16="http://schemas.microsoft.com/office/drawing/2014/main" id="{00000000-0008-0000-6100-000002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0</xdr:colOff>
          <xdr:row>0</xdr:row>
          <xdr:rowOff>38100</xdr:rowOff>
        </xdr:from>
        <xdr:to>
          <xdr:col>7</xdr:col>
          <xdr:colOff>190500</xdr:colOff>
          <xdr:row>0</xdr:row>
          <xdr:rowOff>190500</xdr:rowOff>
        </xdr:to>
        <xdr:sp macro="" textlink="">
          <xdr:nvSpPr>
            <xdr:cNvPr id="102403" name="Button 3" hidden="1">
              <a:extLst>
                <a:ext uri="{63B3BB69-23CF-44E3-9099-C40C66FF867C}">
                  <a14:compatExt spid="_x0000_s102403"/>
                </a:ext>
                <a:ext uri="{FF2B5EF4-FFF2-40B4-BE49-F238E27FC236}">
                  <a16:creationId xmlns:a16="http://schemas.microsoft.com/office/drawing/2014/main" id="{00000000-0008-0000-6100-000003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9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590550</xdr:colOff>
          <xdr:row>0</xdr:row>
          <xdr:rowOff>200025</xdr:rowOff>
        </xdr:to>
        <xdr:sp macro="" textlink="">
          <xdr:nvSpPr>
            <xdr:cNvPr id="103425" name="Button 1" hidden="1">
              <a:extLst>
                <a:ext uri="{63B3BB69-23CF-44E3-9099-C40C66FF867C}">
                  <a14:compatExt spid="_x0000_s103425"/>
                </a:ext>
                <a:ext uri="{FF2B5EF4-FFF2-40B4-BE49-F238E27FC236}">
                  <a16:creationId xmlns:a16="http://schemas.microsoft.com/office/drawing/2014/main" id="{00000000-0008-0000-6200-0000019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657225</xdr:colOff>
          <xdr:row>0</xdr:row>
          <xdr:rowOff>38100</xdr:rowOff>
        </xdr:from>
        <xdr:to>
          <xdr:col>8</xdr:col>
          <xdr:colOff>857250</xdr:colOff>
          <xdr:row>0</xdr:row>
          <xdr:rowOff>200025</xdr:rowOff>
        </xdr:to>
        <xdr:sp macro="" textlink="">
          <xdr:nvSpPr>
            <xdr:cNvPr id="103426" name="Button 2" hidden="1">
              <a:extLst>
                <a:ext uri="{63B3BB69-23CF-44E3-9099-C40C66FF867C}">
                  <a14:compatExt spid="_x0000_s103426"/>
                </a:ext>
                <a:ext uri="{FF2B5EF4-FFF2-40B4-BE49-F238E27FC236}">
                  <a16:creationId xmlns:a16="http://schemas.microsoft.com/office/drawing/2014/main" id="{00000000-0008-0000-6200-0000029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466725</xdr:colOff>
          <xdr:row>0</xdr:row>
          <xdr:rowOff>38100</xdr:rowOff>
        </xdr:from>
        <xdr:to>
          <xdr:col>8</xdr:col>
          <xdr:colOff>57150</xdr:colOff>
          <xdr:row>0</xdr:row>
          <xdr:rowOff>200025</xdr:rowOff>
        </xdr:to>
        <xdr:sp macro="" textlink="">
          <xdr:nvSpPr>
            <xdr:cNvPr id="103427" name="Button 3" hidden="1">
              <a:extLst>
                <a:ext uri="{63B3BB69-23CF-44E3-9099-C40C66FF867C}">
                  <a14:compatExt spid="_x0000_s103427"/>
                </a:ext>
                <a:ext uri="{FF2B5EF4-FFF2-40B4-BE49-F238E27FC236}">
                  <a16:creationId xmlns:a16="http://schemas.microsoft.com/office/drawing/2014/main" id="{00000000-0008-0000-6200-0000039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9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9525</xdr:colOff>
          <xdr:row>0</xdr:row>
          <xdr:rowOff>38100</xdr:rowOff>
        </xdr:from>
        <xdr:to>
          <xdr:col>8</xdr:col>
          <xdr:colOff>485775</xdr:colOff>
          <xdr:row>0</xdr:row>
          <xdr:rowOff>200025</xdr:rowOff>
        </xdr:to>
        <xdr:sp macro="" textlink="">
          <xdr:nvSpPr>
            <xdr:cNvPr id="104449" name="Button 1" hidden="1">
              <a:extLst>
                <a:ext uri="{63B3BB69-23CF-44E3-9099-C40C66FF867C}">
                  <a14:compatExt spid="_x0000_s104449"/>
                </a:ext>
                <a:ext uri="{FF2B5EF4-FFF2-40B4-BE49-F238E27FC236}">
                  <a16:creationId xmlns:a16="http://schemas.microsoft.com/office/drawing/2014/main" id="{00000000-0008-0000-6300-0000019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552450</xdr:colOff>
          <xdr:row>0</xdr:row>
          <xdr:rowOff>38100</xdr:rowOff>
        </xdr:from>
        <xdr:to>
          <xdr:col>9</xdr:col>
          <xdr:colOff>152400</xdr:colOff>
          <xdr:row>0</xdr:row>
          <xdr:rowOff>200025</xdr:rowOff>
        </xdr:to>
        <xdr:sp macro="" textlink="">
          <xdr:nvSpPr>
            <xdr:cNvPr id="104450" name="Button 2" hidden="1">
              <a:extLst>
                <a:ext uri="{63B3BB69-23CF-44E3-9099-C40C66FF867C}">
                  <a14:compatExt spid="_x0000_s104450"/>
                </a:ext>
                <a:ext uri="{FF2B5EF4-FFF2-40B4-BE49-F238E27FC236}">
                  <a16:creationId xmlns:a16="http://schemas.microsoft.com/office/drawing/2014/main" id="{00000000-0008-0000-6300-0000029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342900</xdr:colOff>
          <xdr:row>0</xdr:row>
          <xdr:rowOff>38100</xdr:rowOff>
        </xdr:from>
        <xdr:to>
          <xdr:col>7</xdr:col>
          <xdr:colOff>552450</xdr:colOff>
          <xdr:row>0</xdr:row>
          <xdr:rowOff>200025</xdr:rowOff>
        </xdr:to>
        <xdr:sp macro="" textlink="">
          <xdr:nvSpPr>
            <xdr:cNvPr id="104451" name="Button 3" hidden="1">
              <a:extLst>
                <a:ext uri="{63B3BB69-23CF-44E3-9099-C40C66FF867C}">
                  <a14:compatExt spid="_x0000_s104451"/>
                </a:ext>
                <a:ext uri="{FF2B5EF4-FFF2-40B4-BE49-F238E27FC236}">
                  <a16:creationId xmlns:a16="http://schemas.microsoft.com/office/drawing/2014/main" id="{00000000-0008-0000-6300-0000039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0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28575</xdr:colOff>
          <xdr:row>0</xdr:row>
          <xdr:rowOff>38100</xdr:rowOff>
        </xdr:from>
        <xdr:to>
          <xdr:col>8</xdr:col>
          <xdr:colOff>495300</xdr:colOff>
          <xdr:row>0</xdr:row>
          <xdr:rowOff>200025</xdr:rowOff>
        </xdr:to>
        <xdr:sp macro="" textlink="">
          <xdr:nvSpPr>
            <xdr:cNvPr id="105473" name="Button 1" hidden="1">
              <a:extLst>
                <a:ext uri="{63B3BB69-23CF-44E3-9099-C40C66FF867C}">
                  <a14:compatExt spid="_x0000_s105473"/>
                </a:ext>
                <a:ext uri="{FF2B5EF4-FFF2-40B4-BE49-F238E27FC236}">
                  <a16:creationId xmlns:a16="http://schemas.microsoft.com/office/drawing/2014/main" id="{00000000-0008-0000-6400-0000019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561975</xdr:colOff>
          <xdr:row>0</xdr:row>
          <xdr:rowOff>38100</xdr:rowOff>
        </xdr:from>
        <xdr:to>
          <xdr:col>8</xdr:col>
          <xdr:colOff>762000</xdr:colOff>
          <xdr:row>0</xdr:row>
          <xdr:rowOff>200025</xdr:rowOff>
        </xdr:to>
        <xdr:sp macro="" textlink="">
          <xdr:nvSpPr>
            <xdr:cNvPr id="105474" name="Button 2" hidden="1">
              <a:extLst>
                <a:ext uri="{63B3BB69-23CF-44E3-9099-C40C66FF867C}">
                  <a14:compatExt spid="_x0000_s105474"/>
                </a:ext>
                <a:ext uri="{FF2B5EF4-FFF2-40B4-BE49-F238E27FC236}">
                  <a16:creationId xmlns:a16="http://schemas.microsoft.com/office/drawing/2014/main" id="{00000000-0008-0000-6400-0000029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361950</xdr:colOff>
          <xdr:row>0</xdr:row>
          <xdr:rowOff>38100</xdr:rowOff>
        </xdr:from>
        <xdr:to>
          <xdr:col>7</xdr:col>
          <xdr:colOff>571500</xdr:colOff>
          <xdr:row>0</xdr:row>
          <xdr:rowOff>200025</xdr:rowOff>
        </xdr:to>
        <xdr:sp macro="" textlink="">
          <xdr:nvSpPr>
            <xdr:cNvPr id="105475" name="Button 3" hidden="1">
              <a:extLst>
                <a:ext uri="{63B3BB69-23CF-44E3-9099-C40C66FF867C}">
                  <a14:compatExt spid="_x0000_s105475"/>
                </a:ext>
                <a:ext uri="{FF2B5EF4-FFF2-40B4-BE49-F238E27FC236}">
                  <a16:creationId xmlns:a16="http://schemas.microsoft.com/office/drawing/2014/main" id="{00000000-0008-0000-6400-0000039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0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333375</xdr:colOff>
          <xdr:row>0</xdr:row>
          <xdr:rowOff>38100</xdr:rowOff>
        </xdr:from>
        <xdr:to>
          <xdr:col>9</xdr:col>
          <xdr:colOff>200025</xdr:colOff>
          <xdr:row>0</xdr:row>
          <xdr:rowOff>200025</xdr:rowOff>
        </xdr:to>
        <xdr:sp macro="" textlink="">
          <xdr:nvSpPr>
            <xdr:cNvPr id="106497" name="Button 1" hidden="1">
              <a:extLst>
                <a:ext uri="{63B3BB69-23CF-44E3-9099-C40C66FF867C}">
                  <a14:compatExt spid="_x0000_s106497"/>
                </a:ext>
                <a:ext uri="{FF2B5EF4-FFF2-40B4-BE49-F238E27FC236}">
                  <a16:creationId xmlns:a16="http://schemas.microsoft.com/office/drawing/2014/main" id="{00000000-0008-0000-6500-000001A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266700</xdr:colOff>
          <xdr:row>0</xdr:row>
          <xdr:rowOff>38100</xdr:rowOff>
        </xdr:from>
        <xdr:to>
          <xdr:col>9</xdr:col>
          <xdr:colOff>466725</xdr:colOff>
          <xdr:row>0</xdr:row>
          <xdr:rowOff>200025</xdr:rowOff>
        </xdr:to>
        <xdr:sp macro="" textlink="">
          <xdr:nvSpPr>
            <xdr:cNvPr id="106498" name="Button 2" hidden="1">
              <a:extLst>
                <a:ext uri="{63B3BB69-23CF-44E3-9099-C40C66FF867C}">
                  <a14:compatExt spid="_x0000_s106498"/>
                </a:ext>
                <a:ext uri="{FF2B5EF4-FFF2-40B4-BE49-F238E27FC236}">
                  <a16:creationId xmlns:a16="http://schemas.microsoft.com/office/drawing/2014/main" id="{00000000-0008-0000-6500-000002A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66675</xdr:colOff>
          <xdr:row>0</xdr:row>
          <xdr:rowOff>38100</xdr:rowOff>
        </xdr:from>
        <xdr:to>
          <xdr:col>8</xdr:col>
          <xdr:colOff>266700</xdr:colOff>
          <xdr:row>0</xdr:row>
          <xdr:rowOff>200025</xdr:rowOff>
        </xdr:to>
        <xdr:sp macro="" textlink="">
          <xdr:nvSpPr>
            <xdr:cNvPr id="106499" name="Button 3" hidden="1">
              <a:extLst>
                <a:ext uri="{63B3BB69-23CF-44E3-9099-C40C66FF867C}">
                  <a14:compatExt spid="_x0000_s106499"/>
                </a:ext>
                <a:ext uri="{FF2B5EF4-FFF2-40B4-BE49-F238E27FC236}">
                  <a16:creationId xmlns:a16="http://schemas.microsoft.com/office/drawing/2014/main" id="{00000000-0008-0000-6500-000003A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0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47625</xdr:colOff>
          <xdr:row>0</xdr:row>
          <xdr:rowOff>38100</xdr:rowOff>
        </xdr:from>
        <xdr:to>
          <xdr:col>8</xdr:col>
          <xdr:colOff>514350</xdr:colOff>
          <xdr:row>0</xdr:row>
          <xdr:rowOff>200025</xdr:rowOff>
        </xdr:to>
        <xdr:sp macro="" textlink="">
          <xdr:nvSpPr>
            <xdr:cNvPr id="107521" name="Button 1" hidden="1">
              <a:extLst>
                <a:ext uri="{63B3BB69-23CF-44E3-9099-C40C66FF867C}">
                  <a14:compatExt spid="_x0000_s107521"/>
                </a:ext>
                <a:ext uri="{FF2B5EF4-FFF2-40B4-BE49-F238E27FC236}">
                  <a16:creationId xmlns:a16="http://schemas.microsoft.com/office/drawing/2014/main" id="{00000000-0008-0000-6600-000001A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581025</xdr:colOff>
          <xdr:row>0</xdr:row>
          <xdr:rowOff>38100</xdr:rowOff>
        </xdr:from>
        <xdr:to>
          <xdr:col>9</xdr:col>
          <xdr:colOff>180975</xdr:colOff>
          <xdr:row>0</xdr:row>
          <xdr:rowOff>200025</xdr:rowOff>
        </xdr:to>
        <xdr:sp macro="" textlink="">
          <xdr:nvSpPr>
            <xdr:cNvPr id="107522" name="Button 2" hidden="1">
              <a:extLst>
                <a:ext uri="{63B3BB69-23CF-44E3-9099-C40C66FF867C}">
                  <a14:compatExt spid="_x0000_s107522"/>
                </a:ext>
                <a:ext uri="{FF2B5EF4-FFF2-40B4-BE49-F238E27FC236}">
                  <a16:creationId xmlns:a16="http://schemas.microsoft.com/office/drawing/2014/main" id="{00000000-0008-0000-6600-000002A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381000</xdr:colOff>
          <xdr:row>0</xdr:row>
          <xdr:rowOff>38100</xdr:rowOff>
        </xdr:from>
        <xdr:to>
          <xdr:col>7</xdr:col>
          <xdr:colOff>581025</xdr:colOff>
          <xdr:row>0</xdr:row>
          <xdr:rowOff>200025</xdr:rowOff>
        </xdr:to>
        <xdr:sp macro="" textlink="">
          <xdr:nvSpPr>
            <xdr:cNvPr id="107523" name="Button 3" hidden="1">
              <a:extLst>
                <a:ext uri="{63B3BB69-23CF-44E3-9099-C40C66FF867C}">
                  <a14:compatExt spid="_x0000_s107523"/>
                </a:ext>
                <a:ext uri="{FF2B5EF4-FFF2-40B4-BE49-F238E27FC236}">
                  <a16:creationId xmlns:a16="http://schemas.microsoft.com/office/drawing/2014/main" id="{00000000-0008-0000-6600-000003A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0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590550</xdr:colOff>
          <xdr:row>0</xdr:row>
          <xdr:rowOff>38100</xdr:rowOff>
        </xdr:from>
        <xdr:to>
          <xdr:col>8</xdr:col>
          <xdr:colOff>342900</xdr:colOff>
          <xdr:row>0</xdr:row>
          <xdr:rowOff>200025</xdr:rowOff>
        </xdr:to>
        <xdr:sp macro="" textlink="">
          <xdr:nvSpPr>
            <xdr:cNvPr id="108545" name="Button 1" hidden="1">
              <a:extLst>
                <a:ext uri="{63B3BB69-23CF-44E3-9099-C40C66FF867C}">
                  <a14:compatExt spid="_x0000_s108545"/>
                </a:ext>
                <a:ext uri="{FF2B5EF4-FFF2-40B4-BE49-F238E27FC236}">
                  <a16:creationId xmlns:a16="http://schemas.microsoft.com/office/drawing/2014/main" id="{00000000-0008-0000-6700-000001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409575</xdr:colOff>
          <xdr:row>0</xdr:row>
          <xdr:rowOff>38100</xdr:rowOff>
        </xdr:from>
        <xdr:to>
          <xdr:col>8</xdr:col>
          <xdr:colOff>609600</xdr:colOff>
          <xdr:row>0</xdr:row>
          <xdr:rowOff>200025</xdr:rowOff>
        </xdr:to>
        <xdr:sp macro="" textlink="">
          <xdr:nvSpPr>
            <xdr:cNvPr id="108546" name="Button 2" hidden="1">
              <a:extLst>
                <a:ext uri="{63B3BB69-23CF-44E3-9099-C40C66FF867C}">
                  <a14:compatExt spid="_x0000_s108546"/>
                </a:ext>
                <a:ext uri="{FF2B5EF4-FFF2-40B4-BE49-F238E27FC236}">
                  <a16:creationId xmlns:a16="http://schemas.microsoft.com/office/drawing/2014/main" id="{00000000-0008-0000-6700-000002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314325</xdr:colOff>
          <xdr:row>0</xdr:row>
          <xdr:rowOff>38100</xdr:rowOff>
        </xdr:from>
        <xdr:to>
          <xdr:col>7</xdr:col>
          <xdr:colOff>514350</xdr:colOff>
          <xdr:row>0</xdr:row>
          <xdr:rowOff>200025</xdr:rowOff>
        </xdr:to>
        <xdr:sp macro="" textlink="">
          <xdr:nvSpPr>
            <xdr:cNvPr id="108547" name="Button 3" hidden="1">
              <a:extLst>
                <a:ext uri="{63B3BB69-23CF-44E3-9099-C40C66FF867C}">
                  <a14:compatExt spid="_x0000_s108547"/>
                </a:ext>
                <a:ext uri="{FF2B5EF4-FFF2-40B4-BE49-F238E27FC236}">
                  <a16:creationId xmlns:a16="http://schemas.microsoft.com/office/drawing/2014/main" id="{00000000-0008-0000-6700-000003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0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419100</xdr:colOff>
          <xdr:row>0</xdr:row>
          <xdr:rowOff>38100</xdr:rowOff>
        </xdr:from>
        <xdr:to>
          <xdr:col>7</xdr:col>
          <xdr:colOff>285750</xdr:colOff>
          <xdr:row>0</xdr:row>
          <xdr:rowOff>200025</xdr:rowOff>
        </xdr:to>
        <xdr:sp macro="" textlink="">
          <xdr:nvSpPr>
            <xdr:cNvPr id="109569" name="Button 1" hidden="1">
              <a:extLst>
                <a:ext uri="{63B3BB69-23CF-44E3-9099-C40C66FF867C}">
                  <a14:compatExt spid="_x0000_s109569"/>
                </a:ext>
                <a:ext uri="{FF2B5EF4-FFF2-40B4-BE49-F238E27FC236}">
                  <a16:creationId xmlns:a16="http://schemas.microsoft.com/office/drawing/2014/main" id="{00000000-0008-0000-6800-000001A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361950</xdr:colOff>
          <xdr:row>0</xdr:row>
          <xdr:rowOff>38100</xdr:rowOff>
        </xdr:from>
        <xdr:to>
          <xdr:col>7</xdr:col>
          <xdr:colOff>571500</xdr:colOff>
          <xdr:row>0</xdr:row>
          <xdr:rowOff>200025</xdr:rowOff>
        </xdr:to>
        <xdr:sp macro="" textlink="">
          <xdr:nvSpPr>
            <xdr:cNvPr id="109570" name="Button 2" hidden="1">
              <a:extLst>
                <a:ext uri="{63B3BB69-23CF-44E3-9099-C40C66FF867C}">
                  <a14:compatExt spid="_x0000_s109570"/>
                </a:ext>
                <a:ext uri="{FF2B5EF4-FFF2-40B4-BE49-F238E27FC236}">
                  <a16:creationId xmlns:a16="http://schemas.microsoft.com/office/drawing/2014/main" id="{00000000-0008-0000-6800-000002A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142875</xdr:colOff>
          <xdr:row>0</xdr:row>
          <xdr:rowOff>38100</xdr:rowOff>
        </xdr:from>
        <xdr:to>
          <xdr:col>6</xdr:col>
          <xdr:colOff>352425</xdr:colOff>
          <xdr:row>0</xdr:row>
          <xdr:rowOff>200025</xdr:rowOff>
        </xdr:to>
        <xdr:sp macro="" textlink="">
          <xdr:nvSpPr>
            <xdr:cNvPr id="109571" name="Button 3" hidden="1">
              <a:extLst>
                <a:ext uri="{63B3BB69-23CF-44E3-9099-C40C66FF867C}">
                  <a14:compatExt spid="_x0000_s109571"/>
                </a:ext>
                <a:ext uri="{FF2B5EF4-FFF2-40B4-BE49-F238E27FC236}">
                  <a16:creationId xmlns:a16="http://schemas.microsoft.com/office/drawing/2014/main" id="{00000000-0008-0000-6800-000003A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0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762000</xdr:colOff>
          <xdr:row>0</xdr:row>
          <xdr:rowOff>38100</xdr:rowOff>
        </xdr:from>
        <xdr:to>
          <xdr:col>7</xdr:col>
          <xdr:colOff>457200</xdr:colOff>
          <xdr:row>0</xdr:row>
          <xdr:rowOff>200025</xdr:rowOff>
        </xdr:to>
        <xdr:sp macro="" textlink="">
          <xdr:nvSpPr>
            <xdr:cNvPr id="110593" name="Button 1" hidden="1">
              <a:extLst>
                <a:ext uri="{63B3BB69-23CF-44E3-9099-C40C66FF867C}">
                  <a14:compatExt spid="_x0000_s110593"/>
                </a:ext>
                <a:ext uri="{FF2B5EF4-FFF2-40B4-BE49-F238E27FC236}">
                  <a16:creationId xmlns:a16="http://schemas.microsoft.com/office/drawing/2014/main" id="{00000000-0008-0000-6900-000001B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523875</xdr:colOff>
          <xdr:row>0</xdr:row>
          <xdr:rowOff>38100</xdr:rowOff>
        </xdr:from>
        <xdr:to>
          <xdr:col>8</xdr:col>
          <xdr:colOff>114300</xdr:colOff>
          <xdr:row>0</xdr:row>
          <xdr:rowOff>200025</xdr:rowOff>
        </xdr:to>
        <xdr:sp macro="" textlink="">
          <xdr:nvSpPr>
            <xdr:cNvPr id="110594" name="Button 2" hidden="1">
              <a:extLst>
                <a:ext uri="{63B3BB69-23CF-44E3-9099-C40C66FF867C}">
                  <a14:compatExt spid="_x0000_s110594"/>
                </a:ext>
                <a:ext uri="{FF2B5EF4-FFF2-40B4-BE49-F238E27FC236}">
                  <a16:creationId xmlns:a16="http://schemas.microsoft.com/office/drawing/2014/main" id="{00000000-0008-0000-6900-000002B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495300</xdr:colOff>
          <xdr:row>0</xdr:row>
          <xdr:rowOff>38100</xdr:rowOff>
        </xdr:from>
        <xdr:to>
          <xdr:col>6</xdr:col>
          <xdr:colOff>695325</xdr:colOff>
          <xdr:row>0</xdr:row>
          <xdr:rowOff>200025</xdr:rowOff>
        </xdr:to>
        <xdr:sp macro="" textlink="">
          <xdr:nvSpPr>
            <xdr:cNvPr id="110595" name="Button 3" hidden="1">
              <a:extLst>
                <a:ext uri="{63B3BB69-23CF-44E3-9099-C40C66FF867C}">
                  <a14:compatExt spid="_x0000_s110595"/>
                </a:ext>
                <a:ext uri="{FF2B5EF4-FFF2-40B4-BE49-F238E27FC236}">
                  <a16:creationId xmlns:a16="http://schemas.microsoft.com/office/drawing/2014/main" id="{00000000-0008-0000-6900-000003B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0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200025</xdr:colOff>
          <xdr:row>0</xdr:row>
          <xdr:rowOff>38100</xdr:rowOff>
        </xdr:from>
        <xdr:to>
          <xdr:col>9</xdr:col>
          <xdr:colOff>57150</xdr:colOff>
          <xdr:row>0</xdr:row>
          <xdr:rowOff>200025</xdr:rowOff>
        </xdr:to>
        <xdr:sp macro="" textlink="">
          <xdr:nvSpPr>
            <xdr:cNvPr id="111617" name="Button 1" hidden="1">
              <a:extLst>
                <a:ext uri="{63B3BB69-23CF-44E3-9099-C40C66FF867C}">
                  <a14:compatExt spid="_x0000_s111617"/>
                </a:ext>
                <a:ext uri="{FF2B5EF4-FFF2-40B4-BE49-F238E27FC236}">
                  <a16:creationId xmlns:a16="http://schemas.microsoft.com/office/drawing/2014/main" id="{00000000-0008-0000-6A00-000001B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123825</xdr:colOff>
          <xdr:row>0</xdr:row>
          <xdr:rowOff>38100</xdr:rowOff>
        </xdr:from>
        <xdr:to>
          <xdr:col>9</xdr:col>
          <xdr:colOff>323850</xdr:colOff>
          <xdr:row>0</xdr:row>
          <xdr:rowOff>200025</xdr:rowOff>
        </xdr:to>
        <xdr:sp macro="" textlink="">
          <xdr:nvSpPr>
            <xdr:cNvPr id="111618" name="Button 2" hidden="1">
              <a:extLst>
                <a:ext uri="{63B3BB69-23CF-44E3-9099-C40C66FF867C}">
                  <a14:compatExt spid="_x0000_s111618"/>
                </a:ext>
                <a:ext uri="{FF2B5EF4-FFF2-40B4-BE49-F238E27FC236}">
                  <a16:creationId xmlns:a16="http://schemas.microsoft.com/office/drawing/2014/main" id="{00000000-0008-0000-6A00-000002B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542925</xdr:colOff>
          <xdr:row>0</xdr:row>
          <xdr:rowOff>38100</xdr:rowOff>
        </xdr:from>
        <xdr:to>
          <xdr:col>8</xdr:col>
          <xdr:colOff>133350</xdr:colOff>
          <xdr:row>0</xdr:row>
          <xdr:rowOff>200025</xdr:rowOff>
        </xdr:to>
        <xdr:sp macro="" textlink="">
          <xdr:nvSpPr>
            <xdr:cNvPr id="111619" name="Button 3" hidden="1">
              <a:extLst>
                <a:ext uri="{63B3BB69-23CF-44E3-9099-C40C66FF867C}">
                  <a14:compatExt spid="_x0000_s111619"/>
                </a:ext>
                <a:ext uri="{FF2B5EF4-FFF2-40B4-BE49-F238E27FC236}">
                  <a16:creationId xmlns:a16="http://schemas.microsoft.com/office/drawing/2014/main" id="{00000000-0008-0000-6A00-000003B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0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9525</xdr:colOff>
          <xdr:row>0</xdr:row>
          <xdr:rowOff>38100</xdr:rowOff>
        </xdr:from>
        <xdr:to>
          <xdr:col>8</xdr:col>
          <xdr:colOff>476250</xdr:colOff>
          <xdr:row>0</xdr:row>
          <xdr:rowOff>200025</xdr:rowOff>
        </xdr:to>
        <xdr:sp macro="" textlink="">
          <xdr:nvSpPr>
            <xdr:cNvPr id="112641" name="Button 1" hidden="1">
              <a:extLst>
                <a:ext uri="{63B3BB69-23CF-44E3-9099-C40C66FF867C}">
                  <a14:compatExt spid="_x0000_s112641"/>
                </a:ext>
                <a:ext uri="{FF2B5EF4-FFF2-40B4-BE49-F238E27FC236}">
                  <a16:creationId xmlns:a16="http://schemas.microsoft.com/office/drawing/2014/main" id="{00000000-0008-0000-6B00-000001B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542925</xdr:colOff>
          <xdr:row>0</xdr:row>
          <xdr:rowOff>38100</xdr:rowOff>
        </xdr:from>
        <xdr:to>
          <xdr:col>8</xdr:col>
          <xdr:colOff>742950</xdr:colOff>
          <xdr:row>0</xdr:row>
          <xdr:rowOff>200025</xdr:rowOff>
        </xdr:to>
        <xdr:sp macro="" textlink="">
          <xdr:nvSpPr>
            <xdr:cNvPr id="112642" name="Button 2" hidden="1">
              <a:extLst>
                <a:ext uri="{63B3BB69-23CF-44E3-9099-C40C66FF867C}">
                  <a14:compatExt spid="_x0000_s112642"/>
                </a:ext>
                <a:ext uri="{FF2B5EF4-FFF2-40B4-BE49-F238E27FC236}">
                  <a16:creationId xmlns:a16="http://schemas.microsoft.com/office/drawing/2014/main" id="{00000000-0008-0000-6B00-000002B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342900</xdr:colOff>
          <xdr:row>0</xdr:row>
          <xdr:rowOff>38100</xdr:rowOff>
        </xdr:from>
        <xdr:to>
          <xdr:col>7</xdr:col>
          <xdr:colOff>552450</xdr:colOff>
          <xdr:row>0</xdr:row>
          <xdr:rowOff>200025</xdr:rowOff>
        </xdr:to>
        <xdr:sp macro="" textlink="">
          <xdr:nvSpPr>
            <xdr:cNvPr id="112643" name="Button 3" hidden="1">
              <a:extLst>
                <a:ext uri="{63B3BB69-23CF-44E3-9099-C40C66FF867C}">
                  <a14:compatExt spid="_x0000_s112643"/>
                </a:ext>
                <a:ext uri="{FF2B5EF4-FFF2-40B4-BE49-F238E27FC236}">
                  <a16:creationId xmlns:a16="http://schemas.microsoft.com/office/drawing/2014/main" id="{00000000-0008-0000-6B00-000003B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0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113665" name="Button 1" hidden="1">
              <a:extLst>
                <a:ext uri="{63B3BB69-23CF-44E3-9099-C40C66FF867C}">
                  <a14:compatExt spid="_x0000_s113665"/>
                </a:ext>
                <a:ext uri="{FF2B5EF4-FFF2-40B4-BE49-F238E27FC236}">
                  <a16:creationId xmlns:a16="http://schemas.microsoft.com/office/drawing/2014/main" id="{00000000-0008-0000-6C00-000001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113666" name="Button 2" hidden="1">
              <a:extLst>
                <a:ext uri="{63B3BB69-23CF-44E3-9099-C40C66FF867C}">
                  <a14:compatExt spid="_x0000_s113666"/>
                </a:ext>
                <a:ext uri="{FF2B5EF4-FFF2-40B4-BE49-F238E27FC236}">
                  <a16:creationId xmlns:a16="http://schemas.microsoft.com/office/drawing/2014/main" id="{00000000-0008-0000-6C00-000002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113667" name="Button 3" hidden="1">
              <a:extLst>
                <a:ext uri="{63B3BB69-23CF-44E3-9099-C40C66FF867C}">
                  <a14:compatExt spid="_x0000_s113667"/>
                </a:ext>
                <a:ext uri="{FF2B5EF4-FFF2-40B4-BE49-F238E27FC236}">
                  <a16:creationId xmlns:a16="http://schemas.microsoft.com/office/drawing/2014/main" id="{00000000-0008-0000-6C00-000003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0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85725</xdr:colOff>
          <xdr:row>0</xdr:row>
          <xdr:rowOff>38100</xdr:rowOff>
        </xdr:from>
        <xdr:to>
          <xdr:col>6</xdr:col>
          <xdr:colOff>552450</xdr:colOff>
          <xdr:row>0</xdr:row>
          <xdr:rowOff>200025</xdr:rowOff>
        </xdr:to>
        <xdr:sp macro="" textlink="">
          <xdr:nvSpPr>
            <xdr:cNvPr id="114689" name="Button 1" hidden="1">
              <a:extLst>
                <a:ext uri="{63B3BB69-23CF-44E3-9099-C40C66FF867C}">
                  <a14:compatExt spid="_x0000_s114689"/>
                </a:ext>
                <a:ext uri="{FF2B5EF4-FFF2-40B4-BE49-F238E27FC236}">
                  <a16:creationId xmlns:a16="http://schemas.microsoft.com/office/drawing/2014/main" id="{00000000-0008-0000-6D00-000001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619125</xdr:colOff>
          <xdr:row>0</xdr:row>
          <xdr:rowOff>38100</xdr:rowOff>
        </xdr:from>
        <xdr:to>
          <xdr:col>6</xdr:col>
          <xdr:colOff>819150</xdr:colOff>
          <xdr:row>0</xdr:row>
          <xdr:rowOff>200025</xdr:rowOff>
        </xdr:to>
        <xdr:sp macro="" textlink="">
          <xdr:nvSpPr>
            <xdr:cNvPr id="114690" name="Button 2" hidden="1">
              <a:extLst>
                <a:ext uri="{63B3BB69-23CF-44E3-9099-C40C66FF867C}">
                  <a14:compatExt spid="_x0000_s114690"/>
                </a:ext>
                <a:ext uri="{FF2B5EF4-FFF2-40B4-BE49-F238E27FC236}">
                  <a16:creationId xmlns:a16="http://schemas.microsoft.com/office/drawing/2014/main" id="{00000000-0008-0000-6D00-000002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847725</xdr:colOff>
          <xdr:row>0</xdr:row>
          <xdr:rowOff>38100</xdr:rowOff>
        </xdr:from>
        <xdr:to>
          <xdr:col>6</xdr:col>
          <xdr:colOff>19050</xdr:colOff>
          <xdr:row>0</xdr:row>
          <xdr:rowOff>200025</xdr:rowOff>
        </xdr:to>
        <xdr:sp macro="" textlink="">
          <xdr:nvSpPr>
            <xdr:cNvPr id="114691" name="Button 3" hidden="1">
              <a:extLst>
                <a:ext uri="{63B3BB69-23CF-44E3-9099-C40C66FF867C}">
                  <a14:compatExt spid="_x0000_s114691"/>
                </a:ext>
                <a:ext uri="{FF2B5EF4-FFF2-40B4-BE49-F238E27FC236}">
                  <a16:creationId xmlns:a16="http://schemas.microsoft.com/office/drawing/2014/main" id="{00000000-0008-0000-6D00-000003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190500</xdr:colOff>
          <xdr:row>0</xdr:row>
          <xdr:rowOff>38100</xdr:rowOff>
        </xdr:from>
        <xdr:to>
          <xdr:col>9</xdr:col>
          <xdr:colOff>57150</xdr:colOff>
          <xdr:row>0</xdr:row>
          <xdr:rowOff>200025</xdr:rowOff>
        </xdr:to>
        <xdr:sp macro="" textlink="">
          <xdr:nvSpPr>
            <xdr:cNvPr id="115713" name="Button 1" hidden="1">
              <a:extLst>
                <a:ext uri="{63B3BB69-23CF-44E3-9099-C40C66FF867C}">
                  <a14:compatExt spid="_x0000_s115713"/>
                </a:ext>
                <a:ext uri="{FF2B5EF4-FFF2-40B4-BE49-F238E27FC236}">
                  <a16:creationId xmlns:a16="http://schemas.microsoft.com/office/drawing/2014/main" id="{00000000-0008-0000-6E00-000001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123825</xdr:colOff>
          <xdr:row>0</xdr:row>
          <xdr:rowOff>38100</xdr:rowOff>
        </xdr:from>
        <xdr:to>
          <xdr:col>9</xdr:col>
          <xdr:colOff>323850</xdr:colOff>
          <xdr:row>0</xdr:row>
          <xdr:rowOff>200025</xdr:rowOff>
        </xdr:to>
        <xdr:sp macro="" textlink="">
          <xdr:nvSpPr>
            <xdr:cNvPr id="115714" name="Button 2" hidden="1">
              <a:extLst>
                <a:ext uri="{63B3BB69-23CF-44E3-9099-C40C66FF867C}">
                  <a14:compatExt spid="_x0000_s115714"/>
                </a:ext>
                <a:ext uri="{FF2B5EF4-FFF2-40B4-BE49-F238E27FC236}">
                  <a16:creationId xmlns:a16="http://schemas.microsoft.com/office/drawing/2014/main" id="{00000000-0008-0000-6E00-000002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523875</xdr:colOff>
          <xdr:row>0</xdr:row>
          <xdr:rowOff>38100</xdr:rowOff>
        </xdr:from>
        <xdr:to>
          <xdr:col>8</xdr:col>
          <xdr:colOff>123825</xdr:colOff>
          <xdr:row>0</xdr:row>
          <xdr:rowOff>200025</xdr:rowOff>
        </xdr:to>
        <xdr:sp macro="" textlink="">
          <xdr:nvSpPr>
            <xdr:cNvPr id="115715" name="Button 3" hidden="1">
              <a:extLst>
                <a:ext uri="{63B3BB69-23CF-44E3-9099-C40C66FF867C}">
                  <a14:compatExt spid="_x0000_s115715"/>
                </a:ext>
                <a:ext uri="{FF2B5EF4-FFF2-40B4-BE49-F238E27FC236}">
                  <a16:creationId xmlns:a16="http://schemas.microsoft.com/office/drawing/2014/main" id="{00000000-0008-0000-6E00-000003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200025</xdr:colOff>
          <xdr:row>0</xdr:row>
          <xdr:rowOff>38100</xdr:rowOff>
        </xdr:from>
        <xdr:to>
          <xdr:col>8</xdr:col>
          <xdr:colOff>666750</xdr:colOff>
          <xdr:row>0</xdr:row>
          <xdr:rowOff>200025</xdr:rowOff>
        </xdr:to>
        <xdr:sp macro="" textlink="">
          <xdr:nvSpPr>
            <xdr:cNvPr id="116737" name="Butto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6F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733425</xdr:colOff>
          <xdr:row>0</xdr:row>
          <xdr:rowOff>38100</xdr:rowOff>
        </xdr:from>
        <xdr:to>
          <xdr:col>8</xdr:col>
          <xdr:colOff>933450</xdr:colOff>
          <xdr:row>0</xdr:row>
          <xdr:rowOff>200025</xdr:rowOff>
        </xdr:to>
        <xdr:sp macro="" textlink="">
          <xdr:nvSpPr>
            <xdr:cNvPr id="116738" name="Button 2" hidden="1">
              <a:extLst>
                <a:ext uri="{63B3BB69-23CF-44E3-9099-C40C66FF867C}">
                  <a14:compatExt spid="_x0000_s116738"/>
                </a:ext>
                <a:ext uri="{FF2B5EF4-FFF2-40B4-BE49-F238E27FC236}">
                  <a16:creationId xmlns:a16="http://schemas.microsoft.com/office/drawing/2014/main" id="{00000000-0008-0000-6F00-000002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542925</xdr:colOff>
          <xdr:row>0</xdr:row>
          <xdr:rowOff>38100</xdr:rowOff>
        </xdr:from>
        <xdr:to>
          <xdr:col>8</xdr:col>
          <xdr:colOff>133350</xdr:colOff>
          <xdr:row>0</xdr:row>
          <xdr:rowOff>200025</xdr:rowOff>
        </xdr:to>
        <xdr:sp macro="" textlink="">
          <xdr:nvSpPr>
            <xdr:cNvPr id="116739" name="Button 3" hidden="1">
              <a:extLst>
                <a:ext uri="{63B3BB69-23CF-44E3-9099-C40C66FF867C}">
                  <a14:compatExt spid="_x0000_s116739"/>
                </a:ext>
                <a:ext uri="{FF2B5EF4-FFF2-40B4-BE49-F238E27FC236}">
                  <a16:creationId xmlns:a16="http://schemas.microsoft.com/office/drawing/2014/main" id="{00000000-0008-0000-6F00-000003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1000125</xdr:colOff>
          <xdr:row>0</xdr:row>
          <xdr:rowOff>38100</xdr:rowOff>
        </xdr:from>
        <xdr:to>
          <xdr:col>5</xdr:col>
          <xdr:colOff>1466850</xdr:colOff>
          <xdr:row>0</xdr:row>
          <xdr:rowOff>200025</xdr:rowOff>
        </xdr:to>
        <xdr:sp macro="" textlink="">
          <xdr:nvSpPr>
            <xdr:cNvPr id="117761" name="Button 1" hidden="1">
              <a:extLst>
                <a:ext uri="{63B3BB69-23CF-44E3-9099-C40C66FF867C}">
                  <a14:compatExt spid="_x0000_s117761"/>
                </a:ext>
                <a:ext uri="{FF2B5EF4-FFF2-40B4-BE49-F238E27FC236}">
                  <a16:creationId xmlns:a16="http://schemas.microsoft.com/office/drawing/2014/main" id="{00000000-0008-0000-7000-000001C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1533525</xdr:colOff>
          <xdr:row>0</xdr:row>
          <xdr:rowOff>38100</xdr:rowOff>
        </xdr:from>
        <xdr:to>
          <xdr:col>5</xdr:col>
          <xdr:colOff>1733550</xdr:colOff>
          <xdr:row>0</xdr:row>
          <xdr:rowOff>200025</xdr:rowOff>
        </xdr:to>
        <xdr:sp macro="" textlink="">
          <xdr:nvSpPr>
            <xdr:cNvPr id="117762" name="Button 2" hidden="1">
              <a:extLst>
                <a:ext uri="{63B3BB69-23CF-44E3-9099-C40C66FF867C}">
                  <a14:compatExt spid="_x0000_s117762"/>
                </a:ext>
                <a:ext uri="{FF2B5EF4-FFF2-40B4-BE49-F238E27FC236}">
                  <a16:creationId xmlns:a16="http://schemas.microsoft.com/office/drawing/2014/main" id="{00000000-0008-0000-7000-000002C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733425</xdr:colOff>
          <xdr:row>0</xdr:row>
          <xdr:rowOff>38100</xdr:rowOff>
        </xdr:from>
        <xdr:to>
          <xdr:col>5</xdr:col>
          <xdr:colOff>933450</xdr:colOff>
          <xdr:row>0</xdr:row>
          <xdr:rowOff>200025</xdr:rowOff>
        </xdr:to>
        <xdr:sp macro="" textlink="">
          <xdr:nvSpPr>
            <xdr:cNvPr id="117763" name="Button 3" hidden="1">
              <a:extLst>
                <a:ext uri="{63B3BB69-23CF-44E3-9099-C40C66FF867C}">
                  <a14:compatExt spid="_x0000_s117763"/>
                </a:ext>
                <a:ext uri="{FF2B5EF4-FFF2-40B4-BE49-F238E27FC236}">
                  <a16:creationId xmlns:a16="http://schemas.microsoft.com/office/drawing/2014/main" id="{00000000-0008-0000-7000-000003C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266700</xdr:colOff>
          <xdr:row>1</xdr:row>
          <xdr:rowOff>19050</xdr:rowOff>
        </xdr:to>
        <xdr:sp macro="" textlink="">
          <xdr:nvSpPr>
            <xdr:cNvPr id="118785" name="Button 1" hidden="1">
              <a:extLst>
                <a:ext uri="{63B3BB69-23CF-44E3-9099-C40C66FF867C}">
                  <a14:compatExt spid="_x0000_s118785"/>
                </a:ext>
                <a:ext uri="{FF2B5EF4-FFF2-40B4-BE49-F238E27FC236}">
                  <a16:creationId xmlns:a16="http://schemas.microsoft.com/office/drawing/2014/main" id="{00000000-0008-0000-7100-000001D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333375</xdr:colOff>
          <xdr:row>0</xdr:row>
          <xdr:rowOff>38100</xdr:rowOff>
        </xdr:from>
        <xdr:to>
          <xdr:col>9</xdr:col>
          <xdr:colOff>542925</xdr:colOff>
          <xdr:row>1</xdr:row>
          <xdr:rowOff>19050</xdr:rowOff>
        </xdr:to>
        <xdr:sp macro="" textlink="">
          <xdr:nvSpPr>
            <xdr:cNvPr id="118786" name="Button 2" hidden="1">
              <a:extLst>
                <a:ext uri="{63B3BB69-23CF-44E3-9099-C40C66FF867C}">
                  <a14:compatExt spid="_x0000_s118786"/>
                </a:ext>
                <a:ext uri="{FF2B5EF4-FFF2-40B4-BE49-F238E27FC236}">
                  <a16:creationId xmlns:a16="http://schemas.microsoft.com/office/drawing/2014/main" id="{00000000-0008-0000-7100-000002D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323850</xdr:colOff>
          <xdr:row>1</xdr:row>
          <xdr:rowOff>19050</xdr:rowOff>
        </xdr:to>
        <xdr:sp macro="" textlink="">
          <xdr:nvSpPr>
            <xdr:cNvPr id="118787" name="Button 3" hidden="1">
              <a:extLst>
                <a:ext uri="{63B3BB69-23CF-44E3-9099-C40C66FF867C}">
                  <a14:compatExt spid="_x0000_s118787"/>
                </a:ext>
                <a:ext uri="{FF2B5EF4-FFF2-40B4-BE49-F238E27FC236}">
                  <a16:creationId xmlns:a16="http://schemas.microsoft.com/office/drawing/2014/main" id="{00000000-0008-0000-7100-000003D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285750</xdr:colOff>
          <xdr:row>0</xdr:row>
          <xdr:rowOff>38100</xdr:rowOff>
        </xdr:from>
        <xdr:to>
          <xdr:col>9</xdr:col>
          <xdr:colOff>142875</xdr:colOff>
          <xdr:row>0</xdr:row>
          <xdr:rowOff>200025</xdr:rowOff>
        </xdr:to>
        <xdr:sp macro="" textlink="">
          <xdr:nvSpPr>
            <xdr:cNvPr id="119809" name="Button 1" hidden="1">
              <a:extLst>
                <a:ext uri="{63B3BB69-23CF-44E3-9099-C40C66FF867C}">
                  <a14:compatExt spid="_x0000_s119809"/>
                </a:ext>
                <a:ext uri="{FF2B5EF4-FFF2-40B4-BE49-F238E27FC236}">
                  <a16:creationId xmlns:a16="http://schemas.microsoft.com/office/drawing/2014/main" id="{00000000-0008-0000-7200-000001D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209550</xdr:colOff>
          <xdr:row>0</xdr:row>
          <xdr:rowOff>38100</xdr:rowOff>
        </xdr:from>
        <xdr:to>
          <xdr:col>9</xdr:col>
          <xdr:colOff>409575</xdr:colOff>
          <xdr:row>0</xdr:row>
          <xdr:rowOff>200025</xdr:rowOff>
        </xdr:to>
        <xdr:sp macro="" textlink="">
          <xdr:nvSpPr>
            <xdr:cNvPr id="119810" name="Button 2" hidden="1">
              <a:extLst>
                <a:ext uri="{63B3BB69-23CF-44E3-9099-C40C66FF867C}">
                  <a14:compatExt spid="_x0000_s119810"/>
                </a:ext>
                <a:ext uri="{FF2B5EF4-FFF2-40B4-BE49-F238E27FC236}">
                  <a16:creationId xmlns:a16="http://schemas.microsoft.com/office/drawing/2014/main" id="{00000000-0008-0000-7200-000002D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9525</xdr:colOff>
          <xdr:row>0</xdr:row>
          <xdr:rowOff>38100</xdr:rowOff>
        </xdr:from>
        <xdr:to>
          <xdr:col>8</xdr:col>
          <xdr:colOff>219075</xdr:colOff>
          <xdr:row>0</xdr:row>
          <xdr:rowOff>200025</xdr:rowOff>
        </xdr:to>
        <xdr:sp macro="" textlink="">
          <xdr:nvSpPr>
            <xdr:cNvPr id="119811" name="Button 3" hidden="1">
              <a:extLst>
                <a:ext uri="{63B3BB69-23CF-44E3-9099-C40C66FF867C}">
                  <a14:compatExt spid="_x0000_s119811"/>
                </a:ext>
                <a:ext uri="{FF2B5EF4-FFF2-40B4-BE49-F238E27FC236}">
                  <a16:creationId xmlns:a16="http://schemas.microsoft.com/office/drawing/2014/main" id="{00000000-0008-0000-7200-000003D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504825</xdr:colOff>
          <xdr:row>0</xdr:row>
          <xdr:rowOff>38100</xdr:rowOff>
        </xdr:from>
        <xdr:to>
          <xdr:col>7</xdr:col>
          <xdr:colOff>371475</xdr:colOff>
          <xdr:row>0</xdr:row>
          <xdr:rowOff>200025</xdr:rowOff>
        </xdr:to>
        <xdr:sp macro="" textlink="">
          <xdr:nvSpPr>
            <xdr:cNvPr id="120833" name="Button 1" hidden="1">
              <a:extLst>
                <a:ext uri="{63B3BB69-23CF-44E3-9099-C40C66FF867C}">
                  <a14:compatExt spid="_x0000_s120833"/>
                </a:ext>
                <a:ext uri="{FF2B5EF4-FFF2-40B4-BE49-F238E27FC236}">
                  <a16:creationId xmlns:a16="http://schemas.microsoft.com/office/drawing/2014/main" id="{00000000-0008-0000-7300-000001D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438150</xdr:colOff>
          <xdr:row>0</xdr:row>
          <xdr:rowOff>38100</xdr:rowOff>
        </xdr:from>
        <xdr:to>
          <xdr:col>8</xdr:col>
          <xdr:colOff>38100</xdr:colOff>
          <xdr:row>0</xdr:row>
          <xdr:rowOff>200025</xdr:rowOff>
        </xdr:to>
        <xdr:sp macro="" textlink="">
          <xdr:nvSpPr>
            <xdr:cNvPr id="120834" name="Button 2" hidden="1">
              <a:extLst>
                <a:ext uri="{63B3BB69-23CF-44E3-9099-C40C66FF867C}">
                  <a14:compatExt spid="_x0000_s120834"/>
                </a:ext>
                <a:ext uri="{FF2B5EF4-FFF2-40B4-BE49-F238E27FC236}">
                  <a16:creationId xmlns:a16="http://schemas.microsoft.com/office/drawing/2014/main" id="{00000000-0008-0000-7300-000002D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228600</xdr:colOff>
          <xdr:row>0</xdr:row>
          <xdr:rowOff>38100</xdr:rowOff>
        </xdr:from>
        <xdr:to>
          <xdr:col>6</xdr:col>
          <xdr:colOff>438150</xdr:colOff>
          <xdr:row>0</xdr:row>
          <xdr:rowOff>200025</xdr:rowOff>
        </xdr:to>
        <xdr:sp macro="" textlink="">
          <xdr:nvSpPr>
            <xdr:cNvPr id="120835" name="Button 3" hidden="1">
              <a:extLst>
                <a:ext uri="{63B3BB69-23CF-44E3-9099-C40C66FF867C}">
                  <a14:compatExt spid="_x0000_s120835"/>
                </a:ext>
                <a:ext uri="{FF2B5EF4-FFF2-40B4-BE49-F238E27FC236}">
                  <a16:creationId xmlns:a16="http://schemas.microsoft.com/office/drawing/2014/main" id="{00000000-0008-0000-7300-000003D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190500</xdr:colOff>
          <xdr:row>0</xdr:row>
          <xdr:rowOff>38100</xdr:rowOff>
        </xdr:from>
        <xdr:to>
          <xdr:col>8</xdr:col>
          <xdr:colOff>657225</xdr:colOff>
          <xdr:row>0</xdr:row>
          <xdr:rowOff>200025</xdr:rowOff>
        </xdr:to>
        <xdr:sp macro="" textlink="">
          <xdr:nvSpPr>
            <xdr:cNvPr id="121857" name="Button 1" hidden="1">
              <a:extLst>
                <a:ext uri="{63B3BB69-23CF-44E3-9099-C40C66FF867C}">
                  <a14:compatExt spid="_x0000_s121857"/>
                </a:ext>
                <a:ext uri="{FF2B5EF4-FFF2-40B4-BE49-F238E27FC236}">
                  <a16:creationId xmlns:a16="http://schemas.microsoft.com/office/drawing/2014/main" id="{00000000-0008-0000-7400-000001D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723900</xdr:colOff>
          <xdr:row>0</xdr:row>
          <xdr:rowOff>38100</xdr:rowOff>
        </xdr:from>
        <xdr:to>
          <xdr:col>8</xdr:col>
          <xdr:colOff>923925</xdr:colOff>
          <xdr:row>0</xdr:row>
          <xdr:rowOff>200025</xdr:rowOff>
        </xdr:to>
        <xdr:sp macro="" textlink="">
          <xdr:nvSpPr>
            <xdr:cNvPr id="121858" name="Button 2" hidden="1">
              <a:extLst>
                <a:ext uri="{63B3BB69-23CF-44E3-9099-C40C66FF867C}">
                  <a14:compatExt spid="_x0000_s121858"/>
                </a:ext>
                <a:ext uri="{FF2B5EF4-FFF2-40B4-BE49-F238E27FC236}">
                  <a16:creationId xmlns:a16="http://schemas.microsoft.com/office/drawing/2014/main" id="{00000000-0008-0000-7400-000002D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533400</xdr:colOff>
          <xdr:row>0</xdr:row>
          <xdr:rowOff>38100</xdr:rowOff>
        </xdr:from>
        <xdr:to>
          <xdr:col>8</xdr:col>
          <xdr:colOff>123825</xdr:colOff>
          <xdr:row>0</xdr:row>
          <xdr:rowOff>200025</xdr:rowOff>
        </xdr:to>
        <xdr:sp macro="" textlink="">
          <xdr:nvSpPr>
            <xdr:cNvPr id="121859" name="Button 3" hidden="1">
              <a:extLst>
                <a:ext uri="{63B3BB69-23CF-44E3-9099-C40C66FF867C}">
                  <a14:compatExt spid="_x0000_s121859"/>
                </a:ext>
                <a:ext uri="{FF2B5EF4-FFF2-40B4-BE49-F238E27FC236}">
                  <a16:creationId xmlns:a16="http://schemas.microsoft.com/office/drawing/2014/main" id="{00000000-0008-0000-7400-000003D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122881" name="Button 1" hidden="1">
              <a:extLst>
                <a:ext uri="{63B3BB69-23CF-44E3-9099-C40C66FF867C}">
                  <a14:compatExt spid="_x0000_s122881"/>
                </a:ext>
                <a:ext uri="{FF2B5EF4-FFF2-40B4-BE49-F238E27FC236}">
                  <a16:creationId xmlns:a16="http://schemas.microsoft.com/office/drawing/2014/main" id="{00000000-0008-0000-7500-000001E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122882" name="Button 2" hidden="1">
              <a:extLst>
                <a:ext uri="{63B3BB69-23CF-44E3-9099-C40C66FF867C}">
                  <a14:compatExt spid="_x0000_s122882"/>
                </a:ext>
                <a:ext uri="{FF2B5EF4-FFF2-40B4-BE49-F238E27FC236}">
                  <a16:creationId xmlns:a16="http://schemas.microsoft.com/office/drawing/2014/main" id="{00000000-0008-0000-7500-000002E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122883" name="Button 3" hidden="1">
              <a:extLst>
                <a:ext uri="{63B3BB69-23CF-44E3-9099-C40C66FF867C}">
                  <a14:compatExt spid="_x0000_s122883"/>
                </a:ext>
                <a:ext uri="{FF2B5EF4-FFF2-40B4-BE49-F238E27FC236}">
                  <a16:creationId xmlns:a16="http://schemas.microsoft.com/office/drawing/2014/main" id="{00000000-0008-0000-7500-000003E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409575</xdr:colOff>
          <xdr:row>0</xdr:row>
          <xdr:rowOff>38100</xdr:rowOff>
        </xdr:from>
        <xdr:to>
          <xdr:col>8</xdr:col>
          <xdr:colOff>171450</xdr:colOff>
          <xdr:row>0</xdr:row>
          <xdr:rowOff>200025</xdr:rowOff>
        </xdr:to>
        <xdr:sp macro="" textlink="">
          <xdr:nvSpPr>
            <xdr:cNvPr id="123905" name="Button 1" hidden="1">
              <a:extLst>
                <a:ext uri="{63B3BB69-23CF-44E3-9099-C40C66FF867C}">
                  <a14:compatExt spid="_x0000_s123905"/>
                </a:ext>
                <a:ext uri="{FF2B5EF4-FFF2-40B4-BE49-F238E27FC236}">
                  <a16:creationId xmlns:a16="http://schemas.microsoft.com/office/drawing/2014/main" id="{00000000-0008-0000-7600-000001E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238125</xdr:colOff>
          <xdr:row>0</xdr:row>
          <xdr:rowOff>38100</xdr:rowOff>
        </xdr:from>
        <xdr:to>
          <xdr:col>8</xdr:col>
          <xdr:colOff>438150</xdr:colOff>
          <xdr:row>0</xdr:row>
          <xdr:rowOff>200025</xdr:rowOff>
        </xdr:to>
        <xdr:sp macro="" textlink="">
          <xdr:nvSpPr>
            <xdr:cNvPr id="123906" name="Button 2" hidden="1">
              <a:extLst>
                <a:ext uri="{63B3BB69-23CF-44E3-9099-C40C66FF867C}">
                  <a14:compatExt spid="_x0000_s123906"/>
                </a:ext>
                <a:ext uri="{FF2B5EF4-FFF2-40B4-BE49-F238E27FC236}">
                  <a16:creationId xmlns:a16="http://schemas.microsoft.com/office/drawing/2014/main" id="{00000000-0008-0000-7600-000002E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142875</xdr:colOff>
          <xdr:row>0</xdr:row>
          <xdr:rowOff>38100</xdr:rowOff>
        </xdr:from>
        <xdr:to>
          <xdr:col>7</xdr:col>
          <xdr:colOff>342900</xdr:colOff>
          <xdr:row>0</xdr:row>
          <xdr:rowOff>200025</xdr:rowOff>
        </xdr:to>
        <xdr:sp macro="" textlink="">
          <xdr:nvSpPr>
            <xdr:cNvPr id="123907" name="Button 3" hidden="1">
              <a:extLst>
                <a:ext uri="{63B3BB69-23CF-44E3-9099-C40C66FF867C}">
                  <a14:compatExt spid="_x0000_s123907"/>
                </a:ext>
                <a:ext uri="{FF2B5EF4-FFF2-40B4-BE49-F238E27FC236}">
                  <a16:creationId xmlns:a16="http://schemas.microsoft.com/office/drawing/2014/main" id="{00000000-0008-0000-7600-000003E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561975</xdr:colOff>
          <xdr:row>0</xdr:row>
          <xdr:rowOff>38100</xdr:rowOff>
        </xdr:from>
        <xdr:to>
          <xdr:col>8</xdr:col>
          <xdr:colOff>438150</xdr:colOff>
          <xdr:row>1</xdr:row>
          <xdr:rowOff>19050</xdr:rowOff>
        </xdr:to>
        <xdr:sp macro="" textlink="">
          <xdr:nvSpPr>
            <xdr:cNvPr id="124929" name="Button 1" hidden="1">
              <a:extLst>
                <a:ext uri="{63B3BB69-23CF-44E3-9099-C40C66FF867C}">
                  <a14:compatExt spid="_x0000_s124929"/>
                </a:ext>
                <a:ext uri="{FF2B5EF4-FFF2-40B4-BE49-F238E27FC236}">
                  <a16:creationId xmlns:a16="http://schemas.microsoft.com/office/drawing/2014/main" id="{00000000-0008-0000-7700-000001E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504825</xdr:colOff>
          <xdr:row>0</xdr:row>
          <xdr:rowOff>38100</xdr:rowOff>
        </xdr:from>
        <xdr:to>
          <xdr:col>9</xdr:col>
          <xdr:colOff>114300</xdr:colOff>
          <xdr:row>1</xdr:row>
          <xdr:rowOff>19050</xdr:rowOff>
        </xdr:to>
        <xdr:sp macro="" textlink="">
          <xdr:nvSpPr>
            <xdr:cNvPr id="124930" name="Button 2" hidden="1">
              <a:extLst>
                <a:ext uri="{63B3BB69-23CF-44E3-9099-C40C66FF867C}">
                  <a14:compatExt spid="_x0000_s124930"/>
                </a:ext>
                <a:ext uri="{FF2B5EF4-FFF2-40B4-BE49-F238E27FC236}">
                  <a16:creationId xmlns:a16="http://schemas.microsoft.com/office/drawing/2014/main" id="{00000000-0008-0000-7700-000002E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295275</xdr:colOff>
          <xdr:row>0</xdr:row>
          <xdr:rowOff>38100</xdr:rowOff>
        </xdr:from>
        <xdr:to>
          <xdr:col>7</xdr:col>
          <xdr:colOff>495300</xdr:colOff>
          <xdr:row>1</xdr:row>
          <xdr:rowOff>19050</xdr:rowOff>
        </xdr:to>
        <xdr:sp macro="" textlink="">
          <xdr:nvSpPr>
            <xdr:cNvPr id="124931" name="Button 3" hidden="1">
              <a:extLst>
                <a:ext uri="{63B3BB69-23CF-44E3-9099-C40C66FF867C}">
                  <a14:compatExt spid="_x0000_s124931"/>
                </a:ext>
                <a:ext uri="{FF2B5EF4-FFF2-40B4-BE49-F238E27FC236}">
                  <a16:creationId xmlns:a16="http://schemas.microsoft.com/office/drawing/2014/main" id="{00000000-0008-0000-7700-000003E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342900</xdr:colOff>
          <xdr:row>0</xdr:row>
          <xdr:rowOff>38100</xdr:rowOff>
        </xdr:from>
        <xdr:to>
          <xdr:col>7</xdr:col>
          <xdr:colOff>209550</xdr:colOff>
          <xdr:row>0</xdr:row>
          <xdr:rowOff>200025</xdr:rowOff>
        </xdr:to>
        <xdr:sp macro="" textlink="">
          <xdr:nvSpPr>
            <xdr:cNvPr id="125953" name="Button 1" hidden="1">
              <a:extLst>
                <a:ext uri="{63B3BB69-23CF-44E3-9099-C40C66FF867C}">
                  <a14:compatExt spid="_x0000_s125953"/>
                </a:ext>
                <a:ext uri="{FF2B5EF4-FFF2-40B4-BE49-F238E27FC236}">
                  <a16:creationId xmlns:a16="http://schemas.microsoft.com/office/drawing/2014/main" id="{00000000-0008-0000-7800-000001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276225</xdr:colOff>
          <xdr:row>0</xdr:row>
          <xdr:rowOff>38100</xdr:rowOff>
        </xdr:from>
        <xdr:to>
          <xdr:col>7</xdr:col>
          <xdr:colOff>476250</xdr:colOff>
          <xdr:row>0</xdr:row>
          <xdr:rowOff>200025</xdr:rowOff>
        </xdr:to>
        <xdr:sp macro="" textlink="">
          <xdr:nvSpPr>
            <xdr:cNvPr id="125954" name="Button 2" hidden="1">
              <a:extLst>
                <a:ext uri="{63B3BB69-23CF-44E3-9099-C40C66FF867C}">
                  <a14:compatExt spid="_x0000_s125954"/>
                </a:ext>
                <a:ext uri="{FF2B5EF4-FFF2-40B4-BE49-F238E27FC236}">
                  <a16:creationId xmlns:a16="http://schemas.microsoft.com/office/drawing/2014/main" id="{00000000-0008-0000-7800-000002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66675</xdr:colOff>
          <xdr:row>0</xdr:row>
          <xdr:rowOff>38100</xdr:rowOff>
        </xdr:from>
        <xdr:to>
          <xdr:col>6</xdr:col>
          <xdr:colOff>276225</xdr:colOff>
          <xdr:row>0</xdr:row>
          <xdr:rowOff>200025</xdr:rowOff>
        </xdr:to>
        <xdr:sp macro="" textlink="">
          <xdr:nvSpPr>
            <xdr:cNvPr id="125955" name="Button 3" hidden="1">
              <a:extLst>
                <a:ext uri="{63B3BB69-23CF-44E3-9099-C40C66FF867C}">
                  <a14:compatExt spid="_x0000_s125955"/>
                </a:ext>
                <a:ext uri="{FF2B5EF4-FFF2-40B4-BE49-F238E27FC236}">
                  <a16:creationId xmlns:a16="http://schemas.microsoft.com/office/drawing/2014/main" id="{00000000-0008-0000-7800-000003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238125</xdr:colOff>
          <xdr:row>0</xdr:row>
          <xdr:rowOff>38100</xdr:rowOff>
        </xdr:from>
        <xdr:to>
          <xdr:col>8</xdr:col>
          <xdr:colOff>104775</xdr:colOff>
          <xdr:row>0</xdr:row>
          <xdr:rowOff>200025</xdr:rowOff>
        </xdr:to>
        <xdr:sp macro="" textlink="">
          <xdr:nvSpPr>
            <xdr:cNvPr id="126977" name="Button 1" hidden="1">
              <a:extLst>
                <a:ext uri="{63B3BB69-23CF-44E3-9099-C40C66FF867C}">
                  <a14:compatExt spid="_x0000_s126977"/>
                </a:ext>
                <a:ext uri="{FF2B5EF4-FFF2-40B4-BE49-F238E27FC236}">
                  <a16:creationId xmlns:a16="http://schemas.microsoft.com/office/drawing/2014/main" id="{00000000-0008-0000-7900-000001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171450</xdr:colOff>
          <xdr:row>0</xdr:row>
          <xdr:rowOff>38100</xdr:rowOff>
        </xdr:from>
        <xdr:to>
          <xdr:col>8</xdr:col>
          <xdr:colOff>371475</xdr:colOff>
          <xdr:row>0</xdr:row>
          <xdr:rowOff>200025</xdr:rowOff>
        </xdr:to>
        <xdr:sp macro="" textlink="">
          <xdr:nvSpPr>
            <xdr:cNvPr id="126978" name="Button 2" hidden="1">
              <a:extLst>
                <a:ext uri="{63B3BB69-23CF-44E3-9099-C40C66FF867C}">
                  <a14:compatExt spid="_x0000_s126978"/>
                </a:ext>
                <a:ext uri="{FF2B5EF4-FFF2-40B4-BE49-F238E27FC236}">
                  <a16:creationId xmlns:a16="http://schemas.microsoft.com/office/drawing/2014/main" id="{00000000-0008-0000-7900-000002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571500</xdr:colOff>
          <xdr:row>0</xdr:row>
          <xdr:rowOff>38100</xdr:rowOff>
        </xdr:from>
        <xdr:to>
          <xdr:col>7</xdr:col>
          <xdr:colOff>171450</xdr:colOff>
          <xdr:row>0</xdr:row>
          <xdr:rowOff>200025</xdr:rowOff>
        </xdr:to>
        <xdr:sp macro="" textlink="">
          <xdr:nvSpPr>
            <xdr:cNvPr id="126979" name="Button 3" hidden="1">
              <a:extLst>
                <a:ext uri="{63B3BB69-23CF-44E3-9099-C40C66FF867C}">
                  <a14:compatExt spid="_x0000_s126979"/>
                </a:ext>
                <a:ext uri="{FF2B5EF4-FFF2-40B4-BE49-F238E27FC236}">
                  <a16:creationId xmlns:a16="http://schemas.microsoft.com/office/drawing/2014/main" id="{00000000-0008-0000-7900-000003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285750</xdr:colOff>
          <xdr:row>0</xdr:row>
          <xdr:rowOff>38100</xdr:rowOff>
        </xdr:from>
        <xdr:to>
          <xdr:col>8</xdr:col>
          <xdr:colOff>152400</xdr:colOff>
          <xdr:row>0</xdr:row>
          <xdr:rowOff>200025</xdr:rowOff>
        </xdr:to>
        <xdr:sp macro="" textlink="">
          <xdr:nvSpPr>
            <xdr:cNvPr id="128001" name="Button 1" hidden="1">
              <a:extLst>
                <a:ext uri="{63B3BB69-23CF-44E3-9099-C40C66FF867C}">
                  <a14:compatExt spid="_x0000_s128001"/>
                </a:ext>
                <a:ext uri="{FF2B5EF4-FFF2-40B4-BE49-F238E27FC236}">
                  <a16:creationId xmlns:a16="http://schemas.microsoft.com/office/drawing/2014/main" id="{00000000-0008-0000-7A00-000001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209550</xdr:colOff>
          <xdr:row>0</xdr:row>
          <xdr:rowOff>38100</xdr:rowOff>
        </xdr:from>
        <xdr:to>
          <xdr:col>8</xdr:col>
          <xdr:colOff>409575</xdr:colOff>
          <xdr:row>0</xdr:row>
          <xdr:rowOff>200025</xdr:rowOff>
        </xdr:to>
        <xdr:sp macro="" textlink="">
          <xdr:nvSpPr>
            <xdr:cNvPr id="128002" name="Button 2" hidden="1">
              <a:extLst>
                <a:ext uri="{63B3BB69-23CF-44E3-9099-C40C66FF867C}">
                  <a14:compatExt spid="_x0000_s128002"/>
                </a:ext>
                <a:ext uri="{FF2B5EF4-FFF2-40B4-BE49-F238E27FC236}">
                  <a16:creationId xmlns:a16="http://schemas.microsoft.com/office/drawing/2014/main" id="{00000000-0008-0000-7A00-000002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9525</xdr:colOff>
          <xdr:row>0</xdr:row>
          <xdr:rowOff>38100</xdr:rowOff>
        </xdr:from>
        <xdr:to>
          <xdr:col>7</xdr:col>
          <xdr:colOff>219075</xdr:colOff>
          <xdr:row>0</xdr:row>
          <xdr:rowOff>200025</xdr:rowOff>
        </xdr:to>
        <xdr:sp macro="" textlink="">
          <xdr:nvSpPr>
            <xdr:cNvPr id="128003" name="Button 3" hidden="1">
              <a:extLst>
                <a:ext uri="{63B3BB69-23CF-44E3-9099-C40C66FF867C}">
                  <a14:compatExt spid="_x0000_s128003"/>
                </a:ext>
                <a:ext uri="{FF2B5EF4-FFF2-40B4-BE49-F238E27FC236}">
                  <a16:creationId xmlns:a16="http://schemas.microsoft.com/office/drawing/2014/main" id="{00000000-0008-0000-7A00-000003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209550</xdr:colOff>
          <xdr:row>0</xdr:row>
          <xdr:rowOff>38100</xdr:rowOff>
        </xdr:from>
        <xdr:to>
          <xdr:col>8</xdr:col>
          <xdr:colOff>85725</xdr:colOff>
          <xdr:row>0</xdr:row>
          <xdr:rowOff>200025</xdr:rowOff>
        </xdr:to>
        <xdr:sp macro="" textlink="">
          <xdr:nvSpPr>
            <xdr:cNvPr id="129025" name="Button 1" hidden="1">
              <a:extLst>
                <a:ext uri="{63B3BB69-23CF-44E3-9099-C40C66FF867C}">
                  <a14:compatExt spid="_x0000_s129025"/>
                </a:ext>
                <a:ext uri="{FF2B5EF4-FFF2-40B4-BE49-F238E27FC236}">
                  <a16:creationId xmlns:a16="http://schemas.microsoft.com/office/drawing/2014/main" id="{00000000-0008-0000-7B00-000001F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152400</xdr:colOff>
          <xdr:row>0</xdr:row>
          <xdr:rowOff>38100</xdr:rowOff>
        </xdr:from>
        <xdr:to>
          <xdr:col>8</xdr:col>
          <xdr:colOff>352425</xdr:colOff>
          <xdr:row>0</xdr:row>
          <xdr:rowOff>200025</xdr:rowOff>
        </xdr:to>
        <xdr:sp macro="" textlink="">
          <xdr:nvSpPr>
            <xdr:cNvPr id="129026" name="Button 2" hidden="1">
              <a:extLst>
                <a:ext uri="{63B3BB69-23CF-44E3-9099-C40C66FF867C}">
                  <a14:compatExt spid="_x0000_s129026"/>
                </a:ext>
                <a:ext uri="{FF2B5EF4-FFF2-40B4-BE49-F238E27FC236}">
                  <a16:creationId xmlns:a16="http://schemas.microsoft.com/office/drawing/2014/main" id="{00000000-0008-0000-7B00-000002F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552450</xdr:colOff>
          <xdr:row>0</xdr:row>
          <xdr:rowOff>38100</xdr:rowOff>
        </xdr:from>
        <xdr:to>
          <xdr:col>7</xdr:col>
          <xdr:colOff>142875</xdr:colOff>
          <xdr:row>0</xdr:row>
          <xdr:rowOff>200025</xdr:rowOff>
        </xdr:to>
        <xdr:sp macro="" textlink="">
          <xdr:nvSpPr>
            <xdr:cNvPr id="129027" name="Button 3" hidden="1">
              <a:extLst>
                <a:ext uri="{63B3BB69-23CF-44E3-9099-C40C66FF867C}">
                  <a14:compatExt spid="_x0000_s129027"/>
                </a:ext>
                <a:ext uri="{FF2B5EF4-FFF2-40B4-BE49-F238E27FC236}">
                  <a16:creationId xmlns:a16="http://schemas.microsoft.com/office/drawing/2014/main" id="{00000000-0008-0000-7B00-000003F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10</xdr:col>
          <xdr:colOff>47625</xdr:colOff>
          <xdr:row>0</xdr:row>
          <xdr:rowOff>38100</xdr:rowOff>
        </xdr:from>
        <xdr:to>
          <xdr:col>10</xdr:col>
          <xdr:colOff>514350</xdr:colOff>
          <xdr:row>0</xdr:row>
          <xdr:rowOff>200025</xdr:rowOff>
        </xdr:to>
        <xdr:sp macro="" textlink="">
          <xdr:nvSpPr>
            <xdr:cNvPr id="130049" name="Button 1" hidden="1">
              <a:extLst>
                <a:ext uri="{63B3BB69-23CF-44E3-9099-C40C66FF867C}">
                  <a14:compatExt spid="_x0000_s130049"/>
                </a:ext>
                <a:ext uri="{FF2B5EF4-FFF2-40B4-BE49-F238E27FC236}">
                  <a16:creationId xmlns:a16="http://schemas.microsoft.com/office/drawing/2014/main" id="{00000000-0008-0000-7C00-000001F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10</xdr:col>
          <xdr:colOff>581025</xdr:colOff>
          <xdr:row>0</xdr:row>
          <xdr:rowOff>38100</xdr:rowOff>
        </xdr:from>
        <xdr:to>
          <xdr:col>10</xdr:col>
          <xdr:colOff>781050</xdr:colOff>
          <xdr:row>0</xdr:row>
          <xdr:rowOff>200025</xdr:rowOff>
        </xdr:to>
        <xdr:sp macro="" textlink="">
          <xdr:nvSpPr>
            <xdr:cNvPr id="130050" name="Button 2" hidden="1">
              <a:extLst>
                <a:ext uri="{63B3BB69-23CF-44E3-9099-C40C66FF867C}">
                  <a14:compatExt spid="_x0000_s130050"/>
                </a:ext>
                <a:ext uri="{FF2B5EF4-FFF2-40B4-BE49-F238E27FC236}">
                  <a16:creationId xmlns:a16="http://schemas.microsoft.com/office/drawing/2014/main" id="{00000000-0008-0000-7C00-000002F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381000</xdr:colOff>
          <xdr:row>0</xdr:row>
          <xdr:rowOff>38100</xdr:rowOff>
        </xdr:from>
        <xdr:to>
          <xdr:col>9</xdr:col>
          <xdr:colOff>590550</xdr:colOff>
          <xdr:row>0</xdr:row>
          <xdr:rowOff>200025</xdr:rowOff>
        </xdr:to>
        <xdr:sp macro="" textlink="">
          <xdr:nvSpPr>
            <xdr:cNvPr id="130051" name="Button 3" hidden="1">
              <a:extLst>
                <a:ext uri="{63B3BB69-23CF-44E3-9099-C40C66FF867C}">
                  <a14:compatExt spid="_x0000_s130051"/>
                </a:ext>
                <a:ext uri="{FF2B5EF4-FFF2-40B4-BE49-F238E27FC236}">
                  <a16:creationId xmlns:a16="http://schemas.microsoft.com/office/drawing/2014/main" id="{00000000-0008-0000-7C00-000003F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685800</xdr:colOff>
          <xdr:row>0</xdr:row>
          <xdr:rowOff>38100</xdr:rowOff>
        </xdr:from>
        <xdr:to>
          <xdr:col>6</xdr:col>
          <xdr:colOff>1152525</xdr:colOff>
          <xdr:row>0</xdr:row>
          <xdr:rowOff>200025</xdr:rowOff>
        </xdr:to>
        <xdr:sp macro="" textlink="">
          <xdr:nvSpPr>
            <xdr:cNvPr id="131073" name="Button 1" hidden="1">
              <a:extLst>
                <a:ext uri="{63B3BB69-23CF-44E3-9099-C40C66FF867C}">
                  <a14:compatExt spid="_x0000_s131073"/>
                </a:ext>
                <a:ext uri="{FF2B5EF4-FFF2-40B4-BE49-F238E27FC236}">
                  <a16:creationId xmlns:a16="http://schemas.microsoft.com/office/drawing/2014/main" id="{00000000-0008-0000-7D00-0000010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1219200</xdr:colOff>
          <xdr:row>0</xdr:row>
          <xdr:rowOff>38100</xdr:rowOff>
        </xdr:from>
        <xdr:to>
          <xdr:col>7</xdr:col>
          <xdr:colOff>85725</xdr:colOff>
          <xdr:row>0</xdr:row>
          <xdr:rowOff>200025</xdr:rowOff>
        </xdr:to>
        <xdr:sp macro="" textlink="">
          <xdr:nvSpPr>
            <xdr:cNvPr id="131074" name="Button 2" hidden="1">
              <a:extLst>
                <a:ext uri="{63B3BB69-23CF-44E3-9099-C40C66FF867C}">
                  <a14:compatExt spid="_x0000_s131074"/>
                </a:ext>
                <a:ext uri="{FF2B5EF4-FFF2-40B4-BE49-F238E27FC236}">
                  <a16:creationId xmlns:a16="http://schemas.microsoft.com/office/drawing/2014/main" id="{00000000-0008-0000-7D00-0000020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419100</xdr:colOff>
          <xdr:row>0</xdr:row>
          <xdr:rowOff>38100</xdr:rowOff>
        </xdr:from>
        <xdr:to>
          <xdr:col>6</xdr:col>
          <xdr:colOff>619125</xdr:colOff>
          <xdr:row>0</xdr:row>
          <xdr:rowOff>200025</xdr:rowOff>
        </xdr:to>
        <xdr:sp macro="" textlink="">
          <xdr:nvSpPr>
            <xdr:cNvPr id="131075" name="Button 3" hidden="1">
              <a:extLst>
                <a:ext uri="{63B3BB69-23CF-44E3-9099-C40C66FF867C}">
                  <a14:compatExt spid="_x0000_s131075"/>
                </a:ext>
                <a:ext uri="{FF2B5EF4-FFF2-40B4-BE49-F238E27FC236}">
                  <a16:creationId xmlns:a16="http://schemas.microsoft.com/office/drawing/2014/main" id="{00000000-0008-0000-7D00-0000030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590550</xdr:colOff>
          <xdr:row>0</xdr:row>
          <xdr:rowOff>38100</xdr:rowOff>
        </xdr:from>
        <xdr:to>
          <xdr:col>8</xdr:col>
          <xdr:colOff>447675</xdr:colOff>
          <xdr:row>0</xdr:row>
          <xdr:rowOff>200025</xdr:rowOff>
        </xdr:to>
        <xdr:sp macro="" textlink="">
          <xdr:nvSpPr>
            <xdr:cNvPr id="132097" name="Button 1" hidden="1">
              <a:extLst>
                <a:ext uri="{63B3BB69-23CF-44E3-9099-C40C66FF867C}">
                  <a14:compatExt spid="_x0000_s132097"/>
                </a:ext>
                <a:ext uri="{FF2B5EF4-FFF2-40B4-BE49-F238E27FC236}">
                  <a16:creationId xmlns:a16="http://schemas.microsoft.com/office/drawing/2014/main" id="{00000000-0008-0000-7E00-0000010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514350</xdr:colOff>
          <xdr:row>0</xdr:row>
          <xdr:rowOff>38100</xdr:rowOff>
        </xdr:from>
        <xdr:to>
          <xdr:col>8</xdr:col>
          <xdr:colOff>714375</xdr:colOff>
          <xdr:row>0</xdr:row>
          <xdr:rowOff>200025</xdr:rowOff>
        </xdr:to>
        <xdr:sp macro="" textlink="">
          <xdr:nvSpPr>
            <xdr:cNvPr id="132098" name="Button 2" hidden="1">
              <a:extLst>
                <a:ext uri="{63B3BB69-23CF-44E3-9099-C40C66FF867C}">
                  <a14:compatExt spid="_x0000_s132098"/>
                </a:ext>
                <a:ext uri="{FF2B5EF4-FFF2-40B4-BE49-F238E27FC236}">
                  <a16:creationId xmlns:a16="http://schemas.microsoft.com/office/drawing/2014/main" id="{00000000-0008-0000-7E00-0000020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314325</xdr:colOff>
          <xdr:row>0</xdr:row>
          <xdr:rowOff>38100</xdr:rowOff>
        </xdr:from>
        <xdr:to>
          <xdr:col>7</xdr:col>
          <xdr:colOff>523875</xdr:colOff>
          <xdr:row>0</xdr:row>
          <xdr:rowOff>200025</xdr:rowOff>
        </xdr:to>
        <xdr:sp macro="" textlink="">
          <xdr:nvSpPr>
            <xdr:cNvPr id="132099" name="Button 3" hidden="1">
              <a:extLst>
                <a:ext uri="{63B3BB69-23CF-44E3-9099-C40C66FF867C}">
                  <a14:compatExt spid="_x0000_s132099"/>
                </a:ext>
                <a:ext uri="{FF2B5EF4-FFF2-40B4-BE49-F238E27FC236}">
                  <a16:creationId xmlns:a16="http://schemas.microsoft.com/office/drawing/2014/main" id="{00000000-0008-0000-7E00-0000030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723900</xdr:colOff>
          <xdr:row>0</xdr:row>
          <xdr:rowOff>38100</xdr:rowOff>
        </xdr:from>
        <xdr:to>
          <xdr:col>8</xdr:col>
          <xdr:colOff>438150</xdr:colOff>
          <xdr:row>0</xdr:row>
          <xdr:rowOff>200025</xdr:rowOff>
        </xdr:to>
        <xdr:sp macro="" textlink="">
          <xdr:nvSpPr>
            <xdr:cNvPr id="133121" name="Button 1" hidden="1">
              <a:extLst>
                <a:ext uri="{63B3BB69-23CF-44E3-9099-C40C66FF867C}">
                  <a14:compatExt spid="_x0000_s133121"/>
                </a:ext>
                <a:ext uri="{FF2B5EF4-FFF2-40B4-BE49-F238E27FC236}">
                  <a16:creationId xmlns:a16="http://schemas.microsoft.com/office/drawing/2014/main" id="{00000000-0008-0000-7F00-0000010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504825</xdr:colOff>
          <xdr:row>0</xdr:row>
          <xdr:rowOff>38100</xdr:rowOff>
        </xdr:from>
        <xdr:to>
          <xdr:col>8</xdr:col>
          <xdr:colOff>704850</xdr:colOff>
          <xdr:row>0</xdr:row>
          <xdr:rowOff>200025</xdr:rowOff>
        </xdr:to>
        <xdr:sp macro="" textlink="">
          <xdr:nvSpPr>
            <xdr:cNvPr id="133122" name="Button 2" hidden="1">
              <a:extLst>
                <a:ext uri="{63B3BB69-23CF-44E3-9099-C40C66FF867C}">
                  <a14:compatExt spid="_x0000_s133122"/>
                </a:ext>
                <a:ext uri="{FF2B5EF4-FFF2-40B4-BE49-F238E27FC236}">
                  <a16:creationId xmlns:a16="http://schemas.microsoft.com/office/drawing/2014/main" id="{00000000-0008-0000-7F00-0000020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457200</xdr:colOff>
          <xdr:row>0</xdr:row>
          <xdr:rowOff>38100</xdr:rowOff>
        </xdr:from>
        <xdr:to>
          <xdr:col>7</xdr:col>
          <xdr:colOff>657225</xdr:colOff>
          <xdr:row>0</xdr:row>
          <xdr:rowOff>200025</xdr:rowOff>
        </xdr:to>
        <xdr:sp macro="" textlink="">
          <xdr:nvSpPr>
            <xdr:cNvPr id="133123" name="Button 3" hidden="1">
              <a:extLst>
                <a:ext uri="{63B3BB69-23CF-44E3-9099-C40C66FF867C}">
                  <a14:compatExt spid="_x0000_s133123"/>
                </a:ext>
                <a:ext uri="{FF2B5EF4-FFF2-40B4-BE49-F238E27FC236}">
                  <a16:creationId xmlns:a16="http://schemas.microsoft.com/office/drawing/2014/main" id="{00000000-0008-0000-7F00-0000030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2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0</xdr:colOff>
          <xdr:row>0</xdr:row>
          <xdr:rowOff>38100</xdr:rowOff>
        </xdr:from>
        <xdr:to>
          <xdr:col>8</xdr:col>
          <xdr:colOff>466725</xdr:colOff>
          <xdr:row>0</xdr:row>
          <xdr:rowOff>200025</xdr:rowOff>
        </xdr:to>
        <xdr:sp macro="" textlink="">
          <xdr:nvSpPr>
            <xdr:cNvPr id="134145" name="Button 1" hidden="1">
              <a:extLst>
                <a:ext uri="{63B3BB69-23CF-44E3-9099-C40C66FF867C}">
                  <a14:compatExt spid="_x0000_s134145"/>
                </a:ext>
                <a:ext uri="{FF2B5EF4-FFF2-40B4-BE49-F238E27FC236}">
                  <a16:creationId xmlns:a16="http://schemas.microsoft.com/office/drawing/2014/main" id="{00000000-0008-0000-8000-0000010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533400</xdr:colOff>
          <xdr:row>0</xdr:row>
          <xdr:rowOff>38100</xdr:rowOff>
        </xdr:from>
        <xdr:to>
          <xdr:col>8</xdr:col>
          <xdr:colOff>733425</xdr:colOff>
          <xdr:row>0</xdr:row>
          <xdr:rowOff>200025</xdr:rowOff>
        </xdr:to>
        <xdr:sp macro="" textlink="">
          <xdr:nvSpPr>
            <xdr:cNvPr id="134146" name="Button 2" hidden="1">
              <a:extLst>
                <a:ext uri="{63B3BB69-23CF-44E3-9099-C40C66FF867C}">
                  <a14:compatExt spid="_x0000_s134146"/>
                </a:ext>
                <a:ext uri="{FF2B5EF4-FFF2-40B4-BE49-F238E27FC236}">
                  <a16:creationId xmlns:a16="http://schemas.microsoft.com/office/drawing/2014/main" id="{00000000-0008-0000-8000-0000020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342900</xdr:colOff>
          <xdr:row>0</xdr:row>
          <xdr:rowOff>38100</xdr:rowOff>
        </xdr:from>
        <xdr:to>
          <xdr:col>7</xdr:col>
          <xdr:colOff>542925</xdr:colOff>
          <xdr:row>0</xdr:row>
          <xdr:rowOff>200025</xdr:rowOff>
        </xdr:to>
        <xdr:sp macro="" textlink="">
          <xdr:nvSpPr>
            <xdr:cNvPr id="134147" name="Button 3" hidden="1">
              <a:extLst>
                <a:ext uri="{63B3BB69-23CF-44E3-9099-C40C66FF867C}">
                  <a14:compatExt spid="_x0000_s134147"/>
                </a:ext>
                <a:ext uri="{FF2B5EF4-FFF2-40B4-BE49-F238E27FC236}">
                  <a16:creationId xmlns:a16="http://schemas.microsoft.com/office/drawing/2014/main" id="{00000000-0008-0000-8000-0000030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2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590550</xdr:colOff>
          <xdr:row>0</xdr:row>
          <xdr:rowOff>38100</xdr:rowOff>
        </xdr:from>
        <xdr:to>
          <xdr:col>8</xdr:col>
          <xdr:colOff>447675</xdr:colOff>
          <xdr:row>0</xdr:row>
          <xdr:rowOff>200025</xdr:rowOff>
        </xdr:to>
        <xdr:sp macro="" textlink="">
          <xdr:nvSpPr>
            <xdr:cNvPr id="135169" name="Button 1" hidden="1">
              <a:extLst>
                <a:ext uri="{63B3BB69-23CF-44E3-9099-C40C66FF867C}">
                  <a14:compatExt spid="_x0000_s135169"/>
                </a:ext>
                <a:ext uri="{FF2B5EF4-FFF2-40B4-BE49-F238E27FC236}">
                  <a16:creationId xmlns:a16="http://schemas.microsoft.com/office/drawing/2014/main" id="{00000000-0008-0000-8100-0000011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504825</xdr:colOff>
          <xdr:row>0</xdr:row>
          <xdr:rowOff>38100</xdr:rowOff>
        </xdr:from>
        <xdr:to>
          <xdr:col>8</xdr:col>
          <xdr:colOff>704850</xdr:colOff>
          <xdr:row>0</xdr:row>
          <xdr:rowOff>200025</xdr:rowOff>
        </xdr:to>
        <xdr:sp macro="" textlink="">
          <xdr:nvSpPr>
            <xdr:cNvPr id="135170" name="Button 2" hidden="1">
              <a:extLst>
                <a:ext uri="{63B3BB69-23CF-44E3-9099-C40C66FF867C}">
                  <a14:compatExt spid="_x0000_s135170"/>
                </a:ext>
                <a:ext uri="{FF2B5EF4-FFF2-40B4-BE49-F238E27FC236}">
                  <a16:creationId xmlns:a16="http://schemas.microsoft.com/office/drawing/2014/main" id="{00000000-0008-0000-8100-0000021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314325</xdr:colOff>
          <xdr:row>0</xdr:row>
          <xdr:rowOff>38100</xdr:rowOff>
        </xdr:from>
        <xdr:to>
          <xdr:col>7</xdr:col>
          <xdr:colOff>523875</xdr:colOff>
          <xdr:row>0</xdr:row>
          <xdr:rowOff>200025</xdr:rowOff>
        </xdr:to>
        <xdr:sp macro="" textlink="">
          <xdr:nvSpPr>
            <xdr:cNvPr id="135171" name="Button 3" hidden="1">
              <a:extLst>
                <a:ext uri="{63B3BB69-23CF-44E3-9099-C40C66FF867C}">
                  <a14:compatExt spid="_x0000_s135171"/>
                </a:ext>
                <a:ext uri="{FF2B5EF4-FFF2-40B4-BE49-F238E27FC236}">
                  <a16:creationId xmlns:a16="http://schemas.microsoft.com/office/drawing/2014/main" id="{00000000-0008-0000-8100-0000031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3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371475</xdr:colOff>
          <xdr:row>0</xdr:row>
          <xdr:rowOff>38100</xdr:rowOff>
        </xdr:from>
        <xdr:to>
          <xdr:col>8</xdr:col>
          <xdr:colOff>247650</xdr:colOff>
          <xdr:row>0</xdr:row>
          <xdr:rowOff>200025</xdr:rowOff>
        </xdr:to>
        <xdr:sp macro="" textlink="">
          <xdr:nvSpPr>
            <xdr:cNvPr id="136193" name="Button 1" hidden="1">
              <a:extLst>
                <a:ext uri="{63B3BB69-23CF-44E3-9099-C40C66FF867C}">
                  <a14:compatExt spid="_x0000_s136193"/>
                </a:ext>
                <a:ext uri="{FF2B5EF4-FFF2-40B4-BE49-F238E27FC236}">
                  <a16:creationId xmlns:a16="http://schemas.microsoft.com/office/drawing/2014/main" id="{00000000-0008-0000-8200-0000011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314325</xdr:colOff>
          <xdr:row>0</xdr:row>
          <xdr:rowOff>38100</xdr:rowOff>
        </xdr:from>
        <xdr:to>
          <xdr:col>8</xdr:col>
          <xdr:colOff>523875</xdr:colOff>
          <xdr:row>0</xdr:row>
          <xdr:rowOff>200025</xdr:rowOff>
        </xdr:to>
        <xdr:sp macro="" textlink="">
          <xdr:nvSpPr>
            <xdr:cNvPr id="136194" name="Button 2" hidden="1">
              <a:extLst>
                <a:ext uri="{63B3BB69-23CF-44E3-9099-C40C66FF867C}">
                  <a14:compatExt spid="_x0000_s136194"/>
                </a:ext>
                <a:ext uri="{FF2B5EF4-FFF2-40B4-BE49-F238E27FC236}">
                  <a16:creationId xmlns:a16="http://schemas.microsoft.com/office/drawing/2014/main" id="{00000000-0008-0000-8200-0000021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95250</xdr:colOff>
          <xdr:row>0</xdr:row>
          <xdr:rowOff>38100</xdr:rowOff>
        </xdr:from>
        <xdr:to>
          <xdr:col>7</xdr:col>
          <xdr:colOff>304800</xdr:colOff>
          <xdr:row>0</xdr:row>
          <xdr:rowOff>200025</xdr:rowOff>
        </xdr:to>
        <xdr:sp macro="" textlink="">
          <xdr:nvSpPr>
            <xdr:cNvPr id="136195" name="Button 3" hidden="1">
              <a:extLst>
                <a:ext uri="{63B3BB69-23CF-44E3-9099-C40C66FF867C}">
                  <a14:compatExt spid="_x0000_s136195"/>
                </a:ext>
                <a:ext uri="{FF2B5EF4-FFF2-40B4-BE49-F238E27FC236}">
                  <a16:creationId xmlns:a16="http://schemas.microsoft.com/office/drawing/2014/main" id="{00000000-0008-0000-8200-0000031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3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104775</xdr:colOff>
          <xdr:row>0</xdr:row>
          <xdr:rowOff>38100</xdr:rowOff>
        </xdr:from>
        <xdr:to>
          <xdr:col>7</xdr:col>
          <xdr:colOff>581025</xdr:colOff>
          <xdr:row>0</xdr:row>
          <xdr:rowOff>200025</xdr:rowOff>
        </xdr:to>
        <xdr:sp macro="" textlink="">
          <xdr:nvSpPr>
            <xdr:cNvPr id="137217" name="Button 1" hidden="1">
              <a:extLst>
                <a:ext uri="{63B3BB69-23CF-44E3-9099-C40C66FF867C}">
                  <a14:compatExt spid="_x0000_s137217"/>
                </a:ext>
                <a:ext uri="{FF2B5EF4-FFF2-40B4-BE49-F238E27FC236}">
                  <a16:creationId xmlns:a16="http://schemas.microsoft.com/office/drawing/2014/main" id="{00000000-0008-0000-8300-0000011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47625</xdr:colOff>
          <xdr:row>0</xdr:row>
          <xdr:rowOff>38100</xdr:rowOff>
        </xdr:from>
        <xdr:to>
          <xdr:col>8</xdr:col>
          <xdr:colOff>257175</xdr:colOff>
          <xdr:row>0</xdr:row>
          <xdr:rowOff>200025</xdr:rowOff>
        </xdr:to>
        <xdr:sp macro="" textlink="">
          <xdr:nvSpPr>
            <xdr:cNvPr id="137218" name="Button 2" hidden="1">
              <a:extLst>
                <a:ext uri="{63B3BB69-23CF-44E3-9099-C40C66FF867C}">
                  <a14:compatExt spid="_x0000_s137218"/>
                </a:ext>
                <a:ext uri="{FF2B5EF4-FFF2-40B4-BE49-F238E27FC236}">
                  <a16:creationId xmlns:a16="http://schemas.microsoft.com/office/drawing/2014/main" id="{00000000-0008-0000-8300-0000021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1057275</xdr:colOff>
          <xdr:row>0</xdr:row>
          <xdr:rowOff>38100</xdr:rowOff>
        </xdr:from>
        <xdr:to>
          <xdr:col>7</xdr:col>
          <xdr:colOff>38100</xdr:colOff>
          <xdr:row>0</xdr:row>
          <xdr:rowOff>200025</xdr:rowOff>
        </xdr:to>
        <xdr:sp macro="" textlink="">
          <xdr:nvSpPr>
            <xdr:cNvPr id="137219" name="Button 3" hidden="1">
              <a:extLst>
                <a:ext uri="{63B3BB69-23CF-44E3-9099-C40C66FF867C}">
                  <a14:compatExt spid="_x0000_s137219"/>
                </a:ext>
                <a:ext uri="{FF2B5EF4-FFF2-40B4-BE49-F238E27FC236}">
                  <a16:creationId xmlns:a16="http://schemas.microsoft.com/office/drawing/2014/main" id="{00000000-0008-0000-8300-0000031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3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228600</xdr:colOff>
          <xdr:row>0</xdr:row>
          <xdr:rowOff>38100</xdr:rowOff>
        </xdr:from>
        <xdr:to>
          <xdr:col>9</xdr:col>
          <xdr:colOff>95250</xdr:colOff>
          <xdr:row>0</xdr:row>
          <xdr:rowOff>200025</xdr:rowOff>
        </xdr:to>
        <xdr:sp macro="" textlink="">
          <xdr:nvSpPr>
            <xdr:cNvPr id="138241" name="Button 1" hidden="1">
              <a:extLst>
                <a:ext uri="{63B3BB69-23CF-44E3-9099-C40C66FF867C}">
                  <a14:compatExt spid="_x0000_s138241"/>
                </a:ext>
                <a:ext uri="{FF2B5EF4-FFF2-40B4-BE49-F238E27FC236}">
                  <a16:creationId xmlns:a16="http://schemas.microsoft.com/office/drawing/2014/main" id="{00000000-0008-0000-8400-0000011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171450</xdr:colOff>
          <xdr:row>0</xdr:row>
          <xdr:rowOff>38100</xdr:rowOff>
        </xdr:from>
        <xdr:to>
          <xdr:col>9</xdr:col>
          <xdr:colOff>381000</xdr:colOff>
          <xdr:row>0</xdr:row>
          <xdr:rowOff>200025</xdr:rowOff>
        </xdr:to>
        <xdr:sp macro="" textlink="">
          <xdr:nvSpPr>
            <xdr:cNvPr id="138242" name="Button 2" hidden="1">
              <a:extLst>
                <a:ext uri="{63B3BB69-23CF-44E3-9099-C40C66FF867C}">
                  <a14:compatExt spid="_x0000_s138242"/>
                </a:ext>
                <a:ext uri="{FF2B5EF4-FFF2-40B4-BE49-F238E27FC236}">
                  <a16:creationId xmlns:a16="http://schemas.microsoft.com/office/drawing/2014/main" id="{00000000-0008-0000-8400-0000021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561975</xdr:colOff>
          <xdr:row>0</xdr:row>
          <xdr:rowOff>38100</xdr:rowOff>
        </xdr:from>
        <xdr:to>
          <xdr:col>8</xdr:col>
          <xdr:colOff>161925</xdr:colOff>
          <xdr:row>0</xdr:row>
          <xdr:rowOff>200025</xdr:rowOff>
        </xdr:to>
        <xdr:sp macro="" textlink="">
          <xdr:nvSpPr>
            <xdr:cNvPr id="138243" name="Button 3" hidden="1">
              <a:extLst>
                <a:ext uri="{63B3BB69-23CF-44E3-9099-C40C66FF867C}">
                  <a14:compatExt spid="_x0000_s138243"/>
                </a:ext>
                <a:ext uri="{FF2B5EF4-FFF2-40B4-BE49-F238E27FC236}">
                  <a16:creationId xmlns:a16="http://schemas.microsoft.com/office/drawing/2014/main" id="{00000000-0008-0000-8400-0000031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3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828675</xdr:colOff>
          <xdr:row>0</xdr:row>
          <xdr:rowOff>38100</xdr:rowOff>
        </xdr:from>
        <xdr:to>
          <xdr:col>6</xdr:col>
          <xdr:colOff>1295400</xdr:colOff>
          <xdr:row>0</xdr:row>
          <xdr:rowOff>200025</xdr:rowOff>
        </xdr:to>
        <xdr:sp macro="" textlink="">
          <xdr:nvSpPr>
            <xdr:cNvPr id="139265" name="Button 1" hidden="1">
              <a:extLst>
                <a:ext uri="{63B3BB69-23CF-44E3-9099-C40C66FF867C}">
                  <a14:compatExt spid="_x0000_s139265"/>
                </a:ext>
                <a:ext uri="{FF2B5EF4-FFF2-40B4-BE49-F238E27FC236}">
                  <a16:creationId xmlns:a16="http://schemas.microsoft.com/office/drawing/2014/main" id="{00000000-0008-0000-8500-0000012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1362075</xdr:colOff>
          <xdr:row>0</xdr:row>
          <xdr:rowOff>38100</xdr:rowOff>
        </xdr:from>
        <xdr:to>
          <xdr:col>7</xdr:col>
          <xdr:colOff>133350</xdr:colOff>
          <xdr:row>0</xdr:row>
          <xdr:rowOff>200025</xdr:rowOff>
        </xdr:to>
        <xdr:sp macro="" textlink="">
          <xdr:nvSpPr>
            <xdr:cNvPr id="139266" name="Button 2" hidden="1">
              <a:extLst>
                <a:ext uri="{63B3BB69-23CF-44E3-9099-C40C66FF867C}">
                  <a14:compatExt spid="_x0000_s139266"/>
                </a:ext>
                <a:ext uri="{FF2B5EF4-FFF2-40B4-BE49-F238E27FC236}">
                  <a16:creationId xmlns:a16="http://schemas.microsoft.com/office/drawing/2014/main" id="{00000000-0008-0000-8500-0000022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561975</xdr:colOff>
          <xdr:row>0</xdr:row>
          <xdr:rowOff>38100</xdr:rowOff>
        </xdr:from>
        <xdr:to>
          <xdr:col>6</xdr:col>
          <xdr:colOff>762000</xdr:colOff>
          <xdr:row>0</xdr:row>
          <xdr:rowOff>200025</xdr:rowOff>
        </xdr:to>
        <xdr:sp macro="" textlink="">
          <xdr:nvSpPr>
            <xdr:cNvPr id="139267" name="Button 3" hidden="1">
              <a:extLst>
                <a:ext uri="{63B3BB69-23CF-44E3-9099-C40C66FF867C}">
                  <a14:compatExt spid="_x0000_s139267"/>
                </a:ext>
                <a:ext uri="{FF2B5EF4-FFF2-40B4-BE49-F238E27FC236}">
                  <a16:creationId xmlns:a16="http://schemas.microsoft.com/office/drawing/2014/main" id="{00000000-0008-0000-8500-0000032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3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152400</xdr:colOff>
          <xdr:row>0</xdr:row>
          <xdr:rowOff>38100</xdr:rowOff>
        </xdr:from>
        <xdr:to>
          <xdr:col>8</xdr:col>
          <xdr:colOff>619125</xdr:colOff>
          <xdr:row>0</xdr:row>
          <xdr:rowOff>200025</xdr:rowOff>
        </xdr:to>
        <xdr:sp macro="" textlink="">
          <xdr:nvSpPr>
            <xdr:cNvPr id="140289" name="Button 1" hidden="1">
              <a:extLst>
                <a:ext uri="{63B3BB69-23CF-44E3-9099-C40C66FF867C}">
                  <a14:compatExt spid="_x0000_s140289"/>
                </a:ext>
                <a:ext uri="{FF2B5EF4-FFF2-40B4-BE49-F238E27FC236}">
                  <a16:creationId xmlns:a16="http://schemas.microsoft.com/office/drawing/2014/main" id="{00000000-0008-0000-8600-0000012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685800</xdr:colOff>
          <xdr:row>0</xdr:row>
          <xdr:rowOff>38100</xdr:rowOff>
        </xdr:from>
        <xdr:to>
          <xdr:col>8</xdr:col>
          <xdr:colOff>885825</xdr:colOff>
          <xdr:row>0</xdr:row>
          <xdr:rowOff>200025</xdr:rowOff>
        </xdr:to>
        <xdr:sp macro="" textlink="">
          <xdr:nvSpPr>
            <xdr:cNvPr id="140290" name="Button 2" hidden="1">
              <a:extLst>
                <a:ext uri="{63B3BB69-23CF-44E3-9099-C40C66FF867C}">
                  <a14:compatExt spid="_x0000_s140290"/>
                </a:ext>
                <a:ext uri="{FF2B5EF4-FFF2-40B4-BE49-F238E27FC236}">
                  <a16:creationId xmlns:a16="http://schemas.microsoft.com/office/drawing/2014/main" id="{00000000-0008-0000-8600-0000022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485775</xdr:colOff>
          <xdr:row>0</xdr:row>
          <xdr:rowOff>38100</xdr:rowOff>
        </xdr:from>
        <xdr:to>
          <xdr:col>8</xdr:col>
          <xdr:colOff>85725</xdr:colOff>
          <xdr:row>0</xdr:row>
          <xdr:rowOff>200025</xdr:rowOff>
        </xdr:to>
        <xdr:sp macro="" textlink="">
          <xdr:nvSpPr>
            <xdr:cNvPr id="140291" name="Button 3" hidden="1">
              <a:extLst>
                <a:ext uri="{63B3BB69-23CF-44E3-9099-C40C66FF867C}">
                  <a14:compatExt spid="_x0000_s140291"/>
                </a:ext>
                <a:ext uri="{FF2B5EF4-FFF2-40B4-BE49-F238E27FC236}">
                  <a16:creationId xmlns:a16="http://schemas.microsoft.com/office/drawing/2014/main" id="{00000000-0008-0000-8600-0000032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3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0</xdr:colOff>
          <xdr:row>0</xdr:row>
          <xdr:rowOff>38100</xdr:rowOff>
        </xdr:from>
        <xdr:to>
          <xdr:col>8</xdr:col>
          <xdr:colOff>466725</xdr:colOff>
          <xdr:row>0</xdr:row>
          <xdr:rowOff>200025</xdr:rowOff>
        </xdr:to>
        <xdr:sp macro="" textlink="">
          <xdr:nvSpPr>
            <xdr:cNvPr id="141313" name="Button 1" hidden="1">
              <a:extLst>
                <a:ext uri="{63B3BB69-23CF-44E3-9099-C40C66FF867C}">
                  <a14:compatExt spid="_x0000_s141313"/>
                </a:ext>
                <a:ext uri="{FF2B5EF4-FFF2-40B4-BE49-F238E27FC236}">
                  <a16:creationId xmlns:a16="http://schemas.microsoft.com/office/drawing/2014/main" id="{00000000-0008-0000-8700-0000012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533400</xdr:colOff>
          <xdr:row>0</xdr:row>
          <xdr:rowOff>38100</xdr:rowOff>
        </xdr:from>
        <xdr:to>
          <xdr:col>8</xdr:col>
          <xdr:colOff>733425</xdr:colOff>
          <xdr:row>0</xdr:row>
          <xdr:rowOff>200025</xdr:rowOff>
        </xdr:to>
        <xdr:sp macro="" textlink="">
          <xdr:nvSpPr>
            <xdr:cNvPr id="141314" name="Button 2" hidden="1">
              <a:extLst>
                <a:ext uri="{63B3BB69-23CF-44E3-9099-C40C66FF867C}">
                  <a14:compatExt spid="_x0000_s141314"/>
                </a:ext>
                <a:ext uri="{FF2B5EF4-FFF2-40B4-BE49-F238E27FC236}">
                  <a16:creationId xmlns:a16="http://schemas.microsoft.com/office/drawing/2014/main" id="{00000000-0008-0000-8700-0000022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333375</xdr:colOff>
          <xdr:row>0</xdr:row>
          <xdr:rowOff>38100</xdr:rowOff>
        </xdr:from>
        <xdr:to>
          <xdr:col>7</xdr:col>
          <xdr:colOff>542925</xdr:colOff>
          <xdr:row>0</xdr:row>
          <xdr:rowOff>200025</xdr:rowOff>
        </xdr:to>
        <xdr:sp macro="" textlink="">
          <xdr:nvSpPr>
            <xdr:cNvPr id="141315" name="Button 3" hidden="1">
              <a:extLst>
                <a:ext uri="{63B3BB69-23CF-44E3-9099-C40C66FF867C}">
                  <a14:compatExt spid="_x0000_s141315"/>
                </a:ext>
                <a:ext uri="{FF2B5EF4-FFF2-40B4-BE49-F238E27FC236}">
                  <a16:creationId xmlns:a16="http://schemas.microsoft.com/office/drawing/2014/main" id="{00000000-0008-0000-8700-0000032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3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142337" name="Button 1" hidden="1">
              <a:extLst>
                <a:ext uri="{63B3BB69-23CF-44E3-9099-C40C66FF867C}">
                  <a14:compatExt spid="_x0000_s142337"/>
                </a:ext>
                <a:ext uri="{FF2B5EF4-FFF2-40B4-BE49-F238E27FC236}">
                  <a16:creationId xmlns:a16="http://schemas.microsoft.com/office/drawing/2014/main" id="{00000000-0008-0000-8800-0000012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142338" name="Button 2" hidden="1">
              <a:extLst>
                <a:ext uri="{63B3BB69-23CF-44E3-9099-C40C66FF867C}">
                  <a14:compatExt spid="_x0000_s142338"/>
                </a:ext>
                <a:ext uri="{FF2B5EF4-FFF2-40B4-BE49-F238E27FC236}">
                  <a16:creationId xmlns:a16="http://schemas.microsoft.com/office/drawing/2014/main" id="{00000000-0008-0000-8800-0000022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142339" name="Button 3" hidden="1">
              <a:extLst>
                <a:ext uri="{63B3BB69-23CF-44E3-9099-C40C66FF867C}">
                  <a14:compatExt spid="_x0000_s142339"/>
                </a:ext>
                <a:ext uri="{FF2B5EF4-FFF2-40B4-BE49-F238E27FC236}">
                  <a16:creationId xmlns:a16="http://schemas.microsoft.com/office/drawing/2014/main" id="{00000000-0008-0000-8800-0000032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3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143361" name="Button 1" hidden="1">
              <a:extLst>
                <a:ext uri="{63B3BB69-23CF-44E3-9099-C40C66FF867C}">
                  <a14:compatExt spid="_x0000_s143361"/>
                </a:ext>
                <a:ext uri="{FF2B5EF4-FFF2-40B4-BE49-F238E27FC236}">
                  <a16:creationId xmlns:a16="http://schemas.microsoft.com/office/drawing/2014/main" id="{00000000-0008-0000-8900-0000013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143362" name="Button 2" hidden="1">
              <a:extLst>
                <a:ext uri="{63B3BB69-23CF-44E3-9099-C40C66FF867C}">
                  <a14:compatExt spid="_x0000_s143362"/>
                </a:ext>
                <a:ext uri="{FF2B5EF4-FFF2-40B4-BE49-F238E27FC236}">
                  <a16:creationId xmlns:a16="http://schemas.microsoft.com/office/drawing/2014/main" id="{00000000-0008-0000-8900-0000023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143363" name="Button 3" hidden="1">
              <a:extLst>
                <a:ext uri="{63B3BB69-23CF-44E3-9099-C40C66FF867C}">
                  <a14:compatExt spid="_x0000_s143363"/>
                </a:ext>
                <a:ext uri="{FF2B5EF4-FFF2-40B4-BE49-F238E27FC236}">
                  <a16:creationId xmlns:a16="http://schemas.microsoft.com/office/drawing/2014/main" id="{00000000-0008-0000-8900-0000033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3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438150</xdr:colOff>
          <xdr:row>0</xdr:row>
          <xdr:rowOff>38100</xdr:rowOff>
        </xdr:from>
        <xdr:to>
          <xdr:col>7</xdr:col>
          <xdr:colOff>304800</xdr:colOff>
          <xdr:row>0</xdr:row>
          <xdr:rowOff>200025</xdr:rowOff>
        </xdr:to>
        <xdr:sp macro="" textlink="">
          <xdr:nvSpPr>
            <xdr:cNvPr id="144385" name="Button 1" hidden="1">
              <a:extLst>
                <a:ext uri="{63B3BB69-23CF-44E3-9099-C40C66FF867C}">
                  <a14:compatExt spid="_x0000_s144385"/>
                </a:ext>
                <a:ext uri="{FF2B5EF4-FFF2-40B4-BE49-F238E27FC236}">
                  <a16:creationId xmlns:a16="http://schemas.microsoft.com/office/drawing/2014/main" id="{00000000-0008-0000-8A00-0000013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371475</xdr:colOff>
          <xdr:row>0</xdr:row>
          <xdr:rowOff>38100</xdr:rowOff>
        </xdr:from>
        <xdr:to>
          <xdr:col>7</xdr:col>
          <xdr:colOff>581025</xdr:colOff>
          <xdr:row>0</xdr:row>
          <xdr:rowOff>200025</xdr:rowOff>
        </xdr:to>
        <xdr:sp macro="" textlink="">
          <xdr:nvSpPr>
            <xdr:cNvPr id="144386" name="Button 2" hidden="1">
              <a:extLst>
                <a:ext uri="{63B3BB69-23CF-44E3-9099-C40C66FF867C}">
                  <a14:compatExt spid="_x0000_s144386"/>
                </a:ext>
                <a:ext uri="{FF2B5EF4-FFF2-40B4-BE49-F238E27FC236}">
                  <a16:creationId xmlns:a16="http://schemas.microsoft.com/office/drawing/2014/main" id="{00000000-0008-0000-8A00-0000023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161925</xdr:colOff>
          <xdr:row>0</xdr:row>
          <xdr:rowOff>38100</xdr:rowOff>
        </xdr:from>
        <xdr:to>
          <xdr:col>6</xdr:col>
          <xdr:colOff>371475</xdr:colOff>
          <xdr:row>0</xdr:row>
          <xdr:rowOff>200025</xdr:rowOff>
        </xdr:to>
        <xdr:sp macro="" textlink="">
          <xdr:nvSpPr>
            <xdr:cNvPr id="144387" name="Button 3" hidden="1">
              <a:extLst>
                <a:ext uri="{63B3BB69-23CF-44E3-9099-C40C66FF867C}">
                  <a14:compatExt spid="_x0000_s144387"/>
                </a:ext>
                <a:ext uri="{FF2B5EF4-FFF2-40B4-BE49-F238E27FC236}">
                  <a16:creationId xmlns:a16="http://schemas.microsoft.com/office/drawing/2014/main" id="{00000000-0008-0000-8A00-0000033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3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285750</xdr:colOff>
          <xdr:row>0</xdr:row>
          <xdr:rowOff>38100</xdr:rowOff>
        </xdr:from>
        <xdr:to>
          <xdr:col>9</xdr:col>
          <xdr:colOff>152400</xdr:colOff>
          <xdr:row>0</xdr:row>
          <xdr:rowOff>200025</xdr:rowOff>
        </xdr:to>
        <xdr:sp macro="" textlink="">
          <xdr:nvSpPr>
            <xdr:cNvPr id="145409" name="Button 1" hidden="1">
              <a:extLst>
                <a:ext uri="{63B3BB69-23CF-44E3-9099-C40C66FF867C}">
                  <a14:compatExt spid="_x0000_s145409"/>
                </a:ext>
                <a:ext uri="{FF2B5EF4-FFF2-40B4-BE49-F238E27FC236}">
                  <a16:creationId xmlns:a16="http://schemas.microsoft.com/office/drawing/2014/main" id="{00000000-0008-0000-8B00-0000013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219075</xdr:colOff>
          <xdr:row>0</xdr:row>
          <xdr:rowOff>38100</xdr:rowOff>
        </xdr:from>
        <xdr:to>
          <xdr:col>9</xdr:col>
          <xdr:colOff>419100</xdr:colOff>
          <xdr:row>0</xdr:row>
          <xdr:rowOff>200025</xdr:rowOff>
        </xdr:to>
        <xdr:sp macro="" textlink="">
          <xdr:nvSpPr>
            <xdr:cNvPr id="145410" name="Button 2" hidden="1">
              <a:extLst>
                <a:ext uri="{63B3BB69-23CF-44E3-9099-C40C66FF867C}">
                  <a14:compatExt spid="_x0000_s145410"/>
                </a:ext>
                <a:ext uri="{FF2B5EF4-FFF2-40B4-BE49-F238E27FC236}">
                  <a16:creationId xmlns:a16="http://schemas.microsoft.com/office/drawing/2014/main" id="{00000000-0008-0000-8B00-0000023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19050</xdr:colOff>
          <xdr:row>0</xdr:row>
          <xdr:rowOff>38100</xdr:rowOff>
        </xdr:from>
        <xdr:to>
          <xdr:col>8</xdr:col>
          <xdr:colOff>228600</xdr:colOff>
          <xdr:row>0</xdr:row>
          <xdr:rowOff>200025</xdr:rowOff>
        </xdr:to>
        <xdr:sp macro="" textlink="">
          <xdr:nvSpPr>
            <xdr:cNvPr id="145411" name="Button 3" hidden="1">
              <a:extLst>
                <a:ext uri="{63B3BB69-23CF-44E3-9099-C40C66FF867C}">
                  <a14:compatExt spid="_x0000_s145411"/>
                </a:ext>
                <a:ext uri="{FF2B5EF4-FFF2-40B4-BE49-F238E27FC236}">
                  <a16:creationId xmlns:a16="http://schemas.microsoft.com/office/drawing/2014/main" id="{00000000-0008-0000-8B00-0000033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4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47625</xdr:colOff>
          <xdr:row>0</xdr:row>
          <xdr:rowOff>38100</xdr:rowOff>
        </xdr:from>
        <xdr:to>
          <xdr:col>8</xdr:col>
          <xdr:colOff>514350</xdr:colOff>
          <xdr:row>0</xdr:row>
          <xdr:rowOff>200025</xdr:rowOff>
        </xdr:to>
        <xdr:sp macro="" textlink="">
          <xdr:nvSpPr>
            <xdr:cNvPr id="146433" name="Button 1" hidden="1">
              <a:extLst>
                <a:ext uri="{63B3BB69-23CF-44E3-9099-C40C66FF867C}">
                  <a14:compatExt spid="_x0000_s146433"/>
                </a:ext>
                <a:ext uri="{FF2B5EF4-FFF2-40B4-BE49-F238E27FC236}">
                  <a16:creationId xmlns:a16="http://schemas.microsoft.com/office/drawing/2014/main" id="{00000000-0008-0000-8C00-0000013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581025</xdr:colOff>
          <xdr:row>0</xdr:row>
          <xdr:rowOff>38100</xdr:rowOff>
        </xdr:from>
        <xdr:to>
          <xdr:col>8</xdr:col>
          <xdr:colOff>781050</xdr:colOff>
          <xdr:row>0</xdr:row>
          <xdr:rowOff>200025</xdr:rowOff>
        </xdr:to>
        <xdr:sp macro="" textlink="">
          <xdr:nvSpPr>
            <xdr:cNvPr id="146434" name="Button 2" hidden="1">
              <a:extLst>
                <a:ext uri="{63B3BB69-23CF-44E3-9099-C40C66FF867C}">
                  <a14:compatExt spid="_x0000_s146434"/>
                </a:ext>
                <a:ext uri="{FF2B5EF4-FFF2-40B4-BE49-F238E27FC236}">
                  <a16:creationId xmlns:a16="http://schemas.microsoft.com/office/drawing/2014/main" id="{00000000-0008-0000-8C00-0000023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381000</xdr:colOff>
          <xdr:row>0</xdr:row>
          <xdr:rowOff>38100</xdr:rowOff>
        </xdr:from>
        <xdr:to>
          <xdr:col>7</xdr:col>
          <xdr:colOff>590550</xdr:colOff>
          <xdr:row>0</xdr:row>
          <xdr:rowOff>200025</xdr:rowOff>
        </xdr:to>
        <xdr:sp macro="" textlink="">
          <xdr:nvSpPr>
            <xdr:cNvPr id="146435" name="Button 3" hidden="1">
              <a:extLst>
                <a:ext uri="{63B3BB69-23CF-44E3-9099-C40C66FF867C}">
                  <a14:compatExt spid="_x0000_s146435"/>
                </a:ext>
                <a:ext uri="{FF2B5EF4-FFF2-40B4-BE49-F238E27FC236}">
                  <a16:creationId xmlns:a16="http://schemas.microsoft.com/office/drawing/2014/main" id="{00000000-0008-0000-8C00-0000033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4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561975</xdr:colOff>
          <xdr:row>0</xdr:row>
          <xdr:rowOff>38100</xdr:rowOff>
        </xdr:from>
        <xdr:to>
          <xdr:col>8</xdr:col>
          <xdr:colOff>438150</xdr:colOff>
          <xdr:row>1</xdr:row>
          <xdr:rowOff>19050</xdr:rowOff>
        </xdr:to>
        <xdr:sp macro="" textlink="">
          <xdr:nvSpPr>
            <xdr:cNvPr id="147457" name="Button 1" hidden="1">
              <a:extLst>
                <a:ext uri="{63B3BB69-23CF-44E3-9099-C40C66FF867C}">
                  <a14:compatExt spid="_x0000_s147457"/>
                </a:ext>
                <a:ext uri="{FF2B5EF4-FFF2-40B4-BE49-F238E27FC236}">
                  <a16:creationId xmlns:a16="http://schemas.microsoft.com/office/drawing/2014/main" id="{00000000-0008-0000-8D00-0000014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504825</xdr:colOff>
          <xdr:row>0</xdr:row>
          <xdr:rowOff>38100</xdr:rowOff>
        </xdr:from>
        <xdr:to>
          <xdr:col>9</xdr:col>
          <xdr:colOff>114300</xdr:colOff>
          <xdr:row>1</xdr:row>
          <xdr:rowOff>19050</xdr:rowOff>
        </xdr:to>
        <xdr:sp macro="" textlink="">
          <xdr:nvSpPr>
            <xdr:cNvPr id="147458" name="Button 2" hidden="1">
              <a:extLst>
                <a:ext uri="{63B3BB69-23CF-44E3-9099-C40C66FF867C}">
                  <a14:compatExt spid="_x0000_s147458"/>
                </a:ext>
                <a:ext uri="{FF2B5EF4-FFF2-40B4-BE49-F238E27FC236}">
                  <a16:creationId xmlns:a16="http://schemas.microsoft.com/office/drawing/2014/main" id="{00000000-0008-0000-8D00-0000024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295275</xdr:colOff>
          <xdr:row>0</xdr:row>
          <xdr:rowOff>38100</xdr:rowOff>
        </xdr:from>
        <xdr:to>
          <xdr:col>7</xdr:col>
          <xdr:colOff>495300</xdr:colOff>
          <xdr:row>1</xdr:row>
          <xdr:rowOff>19050</xdr:rowOff>
        </xdr:to>
        <xdr:sp macro="" textlink="">
          <xdr:nvSpPr>
            <xdr:cNvPr id="147459" name="Button 3" hidden="1">
              <a:extLst>
                <a:ext uri="{63B3BB69-23CF-44E3-9099-C40C66FF867C}">
                  <a14:compatExt spid="_x0000_s147459"/>
                </a:ext>
                <a:ext uri="{FF2B5EF4-FFF2-40B4-BE49-F238E27FC236}">
                  <a16:creationId xmlns:a16="http://schemas.microsoft.com/office/drawing/2014/main" id="{00000000-0008-0000-8D00-0000034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4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266700</xdr:colOff>
          <xdr:row>0</xdr:row>
          <xdr:rowOff>38100</xdr:rowOff>
        </xdr:from>
        <xdr:to>
          <xdr:col>9</xdr:col>
          <xdr:colOff>133350</xdr:colOff>
          <xdr:row>0</xdr:row>
          <xdr:rowOff>200025</xdr:rowOff>
        </xdr:to>
        <xdr:sp macro="" textlink="">
          <xdr:nvSpPr>
            <xdr:cNvPr id="148481" name="Button 1" hidden="1">
              <a:extLst>
                <a:ext uri="{63B3BB69-23CF-44E3-9099-C40C66FF867C}">
                  <a14:compatExt spid="_x0000_s148481"/>
                </a:ext>
                <a:ext uri="{FF2B5EF4-FFF2-40B4-BE49-F238E27FC236}">
                  <a16:creationId xmlns:a16="http://schemas.microsoft.com/office/drawing/2014/main" id="{00000000-0008-0000-8E00-0000014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200025</xdr:colOff>
          <xdr:row>0</xdr:row>
          <xdr:rowOff>38100</xdr:rowOff>
        </xdr:from>
        <xdr:to>
          <xdr:col>9</xdr:col>
          <xdr:colOff>400050</xdr:colOff>
          <xdr:row>0</xdr:row>
          <xdr:rowOff>200025</xdr:rowOff>
        </xdr:to>
        <xdr:sp macro="" textlink="">
          <xdr:nvSpPr>
            <xdr:cNvPr id="148482" name="Button 2" hidden="1">
              <a:extLst>
                <a:ext uri="{63B3BB69-23CF-44E3-9099-C40C66FF867C}">
                  <a14:compatExt spid="_x0000_s148482"/>
                </a:ext>
                <a:ext uri="{FF2B5EF4-FFF2-40B4-BE49-F238E27FC236}">
                  <a16:creationId xmlns:a16="http://schemas.microsoft.com/office/drawing/2014/main" id="{00000000-0008-0000-8E00-0000024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657225</xdr:colOff>
          <xdr:row>0</xdr:row>
          <xdr:rowOff>38100</xdr:rowOff>
        </xdr:from>
        <xdr:to>
          <xdr:col>8</xdr:col>
          <xdr:colOff>200025</xdr:colOff>
          <xdr:row>0</xdr:row>
          <xdr:rowOff>200025</xdr:rowOff>
        </xdr:to>
        <xdr:sp macro="" textlink="">
          <xdr:nvSpPr>
            <xdr:cNvPr id="148483" name="Button 3" hidden="1">
              <a:extLst>
                <a:ext uri="{63B3BB69-23CF-44E3-9099-C40C66FF867C}">
                  <a14:compatExt spid="_x0000_s148483"/>
                </a:ext>
                <a:ext uri="{FF2B5EF4-FFF2-40B4-BE49-F238E27FC236}">
                  <a16:creationId xmlns:a16="http://schemas.microsoft.com/office/drawing/2014/main" id="{00000000-0008-0000-8E00-0000034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4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381000</xdr:colOff>
          <xdr:row>0</xdr:row>
          <xdr:rowOff>38100</xdr:rowOff>
        </xdr:from>
        <xdr:to>
          <xdr:col>9</xdr:col>
          <xdr:colOff>247650</xdr:colOff>
          <xdr:row>0</xdr:row>
          <xdr:rowOff>200025</xdr:rowOff>
        </xdr:to>
        <xdr:sp macro="" textlink="">
          <xdr:nvSpPr>
            <xdr:cNvPr id="149505" name="Button 1" hidden="1">
              <a:extLst>
                <a:ext uri="{63B3BB69-23CF-44E3-9099-C40C66FF867C}">
                  <a14:compatExt spid="_x0000_s149505"/>
                </a:ext>
                <a:ext uri="{FF2B5EF4-FFF2-40B4-BE49-F238E27FC236}">
                  <a16:creationId xmlns:a16="http://schemas.microsoft.com/office/drawing/2014/main" id="{00000000-0008-0000-8F00-0000014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314325</xdr:colOff>
          <xdr:row>0</xdr:row>
          <xdr:rowOff>38100</xdr:rowOff>
        </xdr:from>
        <xdr:to>
          <xdr:col>9</xdr:col>
          <xdr:colOff>514350</xdr:colOff>
          <xdr:row>0</xdr:row>
          <xdr:rowOff>200025</xdr:rowOff>
        </xdr:to>
        <xdr:sp macro="" textlink="">
          <xdr:nvSpPr>
            <xdr:cNvPr id="149506" name="Button 2" hidden="1">
              <a:extLst>
                <a:ext uri="{63B3BB69-23CF-44E3-9099-C40C66FF867C}">
                  <a14:compatExt spid="_x0000_s149506"/>
                </a:ext>
                <a:ext uri="{FF2B5EF4-FFF2-40B4-BE49-F238E27FC236}">
                  <a16:creationId xmlns:a16="http://schemas.microsoft.com/office/drawing/2014/main" id="{00000000-0008-0000-8F00-0000024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104775</xdr:colOff>
          <xdr:row>0</xdr:row>
          <xdr:rowOff>38100</xdr:rowOff>
        </xdr:from>
        <xdr:to>
          <xdr:col>8</xdr:col>
          <xdr:colOff>314325</xdr:colOff>
          <xdr:row>0</xdr:row>
          <xdr:rowOff>200025</xdr:rowOff>
        </xdr:to>
        <xdr:sp macro="" textlink="">
          <xdr:nvSpPr>
            <xdr:cNvPr id="149507" name="Button 3" hidden="1">
              <a:extLst>
                <a:ext uri="{63B3BB69-23CF-44E3-9099-C40C66FF867C}">
                  <a14:compatExt spid="_x0000_s149507"/>
                </a:ext>
                <a:ext uri="{FF2B5EF4-FFF2-40B4-BE49-F238E27FC236}">
                  <a16:creationId xmlns:a16="http://schemas.microsoft.com/office/drawing/2014/main" id="{00000000-0008-0000-8F00-0000034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4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266700</xdr:colOff>
          <xdr:row>0</xdr:row>
          <xdr:rowOff>38100</xdr:rowOff>
        </xdr:from>
        <xdr:to>
          <xdr:col>7</xdr:col>
          <xdr:colOff>133350</xdr:colOff>
          <xdr:row>0</xdr:row>
          <xdr:rowOff>200025</xdr:rowOff>
        </xdr:to>
        <xdr:sp macro="" textlink="">
          <xdr:nvSpPr>
            <xdr:cNvPr id="150529" name="Button 1" hidden="1">
              <a:extLst>
                <a:ext uri="{63B3BB69-23CF-44E3-9099-C40C66FF867C}">
                  <a14:compatExt spid="_x0000_s150529"/>
                </a:ext>
                <a:ext uri="{FF2B5EF4-FFF2-40B4-BE49-F238E27FC236}">
                  <a16:creationId xmlns:a16="http://schemas.microsoft.com/office/drawing/2014/main" id="{00000000-0008-0000-9000-0000014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200025</xdr:colOff>
          <xdr:row>0</xdr:row>
          <xdr:rowOff>38100</xdr:rowOff>
        </xdr:from>
        <xdr:to>
          <xdr:col>7</xdr:col>
          <xdr:colOff>400050</xdr:colOff>
          <xdr:row>0</xdr:row>
          <xdr:rowOff>200025</xdr:rowOff>
        </xdr:to>
        <xdr:sp macro="" textlink="">
          <xdr:nvSpPr>
            <xdr:cNvPr id="150530" name="Button 2" hidden="1">
              <a:extLst>
                <a:ext uri="{63B3BB69-23CF-44E3-9099-C40C66FF867C}">
                  <a14:compatExt spid="_x0000_s150530"/>
                </a:ext>
                <a:ext uri="{FF2B5EF4-FFF2-40B4-BE49-F238E27FC236}">
                  <a16:creationId xmlns:a16="http://schemas.microsoft.com/office/drawing/2014/main" id="{00000000-0008-0000-9000-0000024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962025</xdr:colOff>
          <xdr:row>0</xdr:row>
          <xdr:rowOff>38100</xdr:rowOff>
        </xdr:from>
        <xdr:to>
          <xdr:col>6</xdr:col>
          <xdr:colOff>200025</xdr:colOff>
          <xdr:row>0</xdr:row>
          <xdr:rowOff>200025</xdr:rowOff>
        </xdr:to>
        <xdr:sp macro="" textlink="">
          <xdr:nvSpPr>
            <xdr:cNvPr id="150531" name="Button 3" hidden="1">
              <a:extLst>
                <a:ext uri="{63B3BB69-23CF-44E3-9099-C40C66FF867C}">
                  <a14:compatExt spid="_x0000_s150531"/>
                </a:ext>
                <a:ext uri="{FF2B5EF4-FFF2-40B4-BE49-F238E27FC236}">
                  <a16:creationId xmlns:a16="http://schemas.microsoft.com/office/drawing/2014/main" id="{00000000-0008-0000-9000-0000034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4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151553" name="Button 1" hidden="1">
              <a:extLst>
                <a:ext uri="{63B3BB69-23CF-44E3-9099-C40C66FF867C}">
                  <a14:compatExt spid="_x0000_s151553"/>
                </a:ext>
                <a:ext uri="{FF2B5EF4-FFF2-40B4-BE49-F238E27FC236}">
                  <a16:creationId xmlns:a16="http://schemas.microsoft.com/office/drawing/2014/main" id="{00000000-0008-0000-9100-0000015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151554" name="Button 2" hidden="1">
              <a:extLst>
                <a:ext uri="{63B3BB69-23CF-44E3-9099-C40C66FF867C}">
                  <a14:compatExt spid="_x0000_s151554"/>
                </a:ext>
                <a:ext uri="{FF2B5EF4-FFF2-40B4-BE49-F238E27FC236}">
                  <a16:creationId xmlns:a16="http://schemas.microsoft.com/office/drawing/2014/main" id="{00000000-0008-0000-9100-0000025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151555" name="Button 3" hidden="1">
              <a:extLst>
                <a:ext uri="{63B3BB69-23CF-44E3-9099-C40C66FF867C}">
                  <a14:compatExt spid="_x0000_s151555"/>
                </a:ext>
                <a:ext uri="{FF2B5EF4-FFF2-40B4-BE49-F238E27FC236}">
                  <a16:creationId xmlns:a16="http://schemas.microsoft.com/office/drawing/2014/main" id="{00000000-0008-0000-9100-0000035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4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95250</xdr:colOff>
          <xdr:row>0</xdr:row>
          <xdr:rowOff>38100</xdr:rowOff>
        </xdr:from>
        <xdr:to>
          <xdr:col>9</xdr:col>
          <xdr:colOff>561975</xdr:colOff>
          <xdr:row>0</xdr:row>
          <xdr:rowOff>200025</xdr:rowOff>
        </xdr:to>
        <xdr:sp macro="" textlink="">
          <xdr:nvSpPr>
            <xdr:cNvPr id="152577" name="Button 1" hidden="1">
              <a:extLst>
                <a:ext uri="{63B3BB69-23CF-44E3-9099-C40C66FF867C}">
                  <a14:compatExt spid="_x0000_s152577"/>
                </a:ext>
                <a:ext uri="{FF2B5EF4-FFF2-40B4-BE49-F238E27FC236}">
                  <a16:creationId xmlns:a16="http://schemas.microsoft.com/office/drawing/2014/main" id="{00000000-0008-0000-9200-000001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628650</xdr:colOff>
          <xdr:row>0</xdr:row>
          <xdr:rowOff>38100</xdr:rowOff>
        </xdr:from>
        <xdr:to>
          <xdr:col>9</xdr:col>
          <xdr:colOff>828675</xdr:colOff>
          <xdr:row>0</xdr:row>
          <xdr:rowOff>200025</xdr:rowOff>
        </xdr:to>
        <xdr:sp macro="" textlink="">
          <xdr:nvSpPr>
            <xdr:cNvPr id="152578" name="Button 2" hidden="1">
              <a:extLst>
                <a:ext uri="{63B3BB69-23CF-44E3-9099-C40C66FF867C}">
                  <a14:compatExt spid="_x0000_s152578"/>
                </a:ext>
                <a:ext uri="{FF2B5EF4-FFF2-40B4-BE49-F238E27FC236}">
                  <a16:creationId xmlns:a16="http://schemas.microsoft.com/office/drawing/2014/main" id="{00000000-0008-0000-9200-000002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438150</xdr:colOff>
          <xdr:row>0</xdr:row>
          <xdr:rowOff>38100</xdr:rowOff>
        </xdr:from>
        <xdr:to>
          <xdr:col>9</xdr:col>
          <xdr:colOff>28575</xdr:colOff>
          <xdr:row>0</xdr:row>
          <xdr:rowOff>200025</xdr:rowOff>
        </xdr:to>
        <xdr:sp macro="" textlink="">
          <xdr:nvSpPr>
            <xdr:cNvPr id="152579" name="Button 3" hidden="1">
              <a:extLst>
                <a:ext uri="{63B3BB69-23CF-44E3-9099-C40C66FF867C}">
                  <a14:compatExt spid="_x0000_s152579"/>
                </a:ext>
                <a:ext uri="{FF2B5EF4-FFF2-40B4-BE49-F238E27FC236}">
                  <a16:creationId xmlns:a16="http://schemas.microsoft.com/office/drawing/2014/main" id="{00000000-0008-0000-9200-000003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4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228600</xdr:colOff>
          <xdr:row>0</xdr:row>
          <xdr:rowOff>38100</xdr:rowOff>
        </xdr:from>
        <xdr:to>
          <xdr:col>8</xdr:col>
          <xdr:colOff>695325</xdr:colOff>
          <xdr:row>0</xdr:row>
          <xdr:rowOff>200025</xdr:rowOff>
        </xdr:to>
        <xdr:sp macro="" textlink="">
          <xdr:nvSpPr>
            <xdr:cNvPr id="153601" name="Button 1" hidden="1">
              <a:extLst>
                <a:ext uri="{63B3BB69-23CF-44E3-9099-C40C66FF867C}">
                  <a14:compatExt spid="_x0000_s153601"/>
                </a:ext>
                <a:ext uri="{FF2B5EF4-FFF2-40B4-BE49-F238E27FC236}">
                  <a16:creationId xmlns:a16="http://schemas.microsoft.com/office/drawing/2014/main" id="{00000000-0008-0000-9300-0000015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762000</xdr:colOff>
          <xdr:row>0</xdr:row>
          <xdr:rowOff>38100</xdr:rowOff>
        </xdr:from>
        <xdr:to>
          <xdr:col>9</xdr:col>
          <xdr:colOff>0</xdr:colOff>
          <xdr:row>0</xdr:row>
          <xdr:rowOff>200025</xdr:rowOff>
        </xdr:to>
        <xdr:sp macro="" textlink="">
          <xdr:nvSpPr>
            <xdr:cNvPr id="153602" name="Button 2" hidden="1">
              <a:extLst>
                <a:ext uri="{63B3BB69-23CF-44E3-9099-C40C66FF867C}">
                  <a14:compatExt spid="_x0000_s153602"/>
                </a:ext>
                <a:ext uri="{FF2B5EF4-FFF2-40B4-BE49-F238E27FC236}">
                  <a16:creationId xmlns:a16="http://schemas.microsoft.com/office/drawing/2014/main" id="{00000000-0008-0000-9300-0000025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571500</xdr:colOff>
          <xdr:row>0</xdr:row>
          <xdr:rowOff>38100</xdr:rowOff>
        </xdr:from>
        <xdr:to>
          <xdr:col>8</xdr:col>
          <xdr:colOff>161925</xdr:colOff>
          <xdr:row>0</xdr:row>
          <xdr:rowOff>200025</xdr:rowOff>
        </xdr:to>
        <xdr:sp macro="" textlink="">
          <xdr:nvSpPr>
            <xdr:cNvPr id="153603" name="Button 3" hidden="1">
              <a:extLst>
                <a:ext uri="{63B3BB69-23CF-44E3-9099-C40C66FF867C}">
                  <a14:compatExt spid="_x0000_s153603"/>
                </a:ext>
                <a:ext uri="{FF2B5EF4-FFF2-40B4-BE49-F238E27FC236}">
                  <a16:creationId xmlns:a16="http://schemas.microsoft.com/office/drawing/2014/main" id="{00000000-0008-0000-9300-0000035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4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104775</xdr:colOff>
          <xdr:row>0</xdr:row>
          <xdr:rowOff>38100</xdr:rowOff>
        </xdr:from>
        <xdr:to>
          <xdr:col>8</xdr:col>
          <xdr:colOff>571500</xdr:colOff>
          <xdr:row>0</xdr:row>
          <xdr:rowOff>200025</xdr:rowOff>
        </xdr:to>
        <xdr:sp macro="" textlink="">
          <xdr:nvSpPr>
            <xdr:cNvPr id="154625" name="Button 1" hidden="1">
              <a:extLst>
                <a:ext uri="{63B3BB69-23CF-44E3-9099-C40C66FF867C}">
                  <a14:compatExt spid="_x0000_s154625"/>
                </a:ext>
                <a:ext uri="{FF2B5EF4-FFF2-40B4-BE49-F238E27FC236}">
                  <a16:creationId xmlns:a16="http://schemas.microsoft.com/office/drawing/2014/main" id="{00000000-0008-0000-9400-0000015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638175</xdr:colOff>
          <xdr:row>0</xdr:row>
          <xdr:rowOff>38100</xdr:rowOff>
        </xdr:from>
        <xdr:to>
          <xdr:col>8</xdr:col>
          <xdr:colOff>838200</xdr:colOff>
          <xdr:row>0</xdr:row>
          <xdr:rowOff>200025</xdr:rowOff>
        </xdr:to>
        <xdr:sp macro="" textlink="">
          <xdr:nvSpPr>
            <xdr:cNvPr id="154626" name="Button 2" hidden="1">
              <a:extLst>
                <a:ext uri="{63B3BB69-23CF-44E3-9099-C40C66FF867C}">
                  <a14:compatExt spid="_x0000_s154626"/>
                </a:ext>
                <a:ext uri="{FF2B5EF4-FFF2-40B4-BE49-F238E27FC236}">
                  <a16:creationId xmlns:a16="http://schemas.microsoft.com/office/drawing/2014/main" id="{00000000-0008-0000-9400-0000025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600075</xdr:colOff>
          <xdr:row>0</xdr:row>
          <xdr:rowOff>38100</xdr:rowOff>
        </xdr:from>
        <xdr:to>
          <xdr:col>8</xdr:col>
          <xdr:colOff>38100</xdr:colOff>
          <xdr:row>0</xdr:row>
          <xdr:rowOff>200025</xdr:rowOff>
        </xdr:to>
        <xdr:sp macro="" textlink="">
          <xdr:nvSpPr>
            <xdr:cNvPr id="154627" name="Button 3" hidden="1">
              <a:extLst>
                <a:ext uri="{63B3BB69-23CF-44E3-9099-C40C66FF867C}">
                  <a14:compatExt spid="_x0000_s154627"/>
                </a:ext>
                <a:ext uri="{FF2B5EF4-FFF2-40B4-BE49-F238E27FC236}">
                  <a16:creationId xmlns:a16="http://schemas.microsoft.com/office/drawing/2014/main" id="{00000000-0008-0000-9400-0000035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4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438150</xdr:colOff>
          <xdr:row>0</xdr:row>
          <xdr:rowOff>38100</xdr:rowOff>
        </xdr:from>
        <xdr:to>
          <xdr:col>8</xdr:col>
          <xdr:colOff>304800</xdr:colOff>
          <xdr:row>0</xdr:row>
          <xdr:rowOff>200025</xdr:rowOff>
        </xdr:to>
        <xdr:sp macro="" textlink="">
          <xdr:nvSpPr>
            <xdr:cNvPr id="155649" name="Button 1" hidden="1">
              <a:extLst>
                <a:ext uri="{63B3BB69-23CF-44E3-9099-C40C66FF867C}">
                  <a14:compatExt spid="_x0000_s155649"/>
                </a:ext>
                <a:ext uri="{FF2B5EF4-FFF2-40B4-BE49-F238E27FC236}">
                  <a16:creationId xmlns:a16="http://schemas.microsoft.com/office/drawing/2014/main" id="{00000000-0008-0000-9500-0000016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371475</xdr:colOff>
          <xdr:row>0</xdr:row>
          <xdr:rowOff>38100</xdr:rowOff>
        </xdr:from>
        <xdr:to>
          <xdr:col>8</xdr:col>
          <xdr:colOff>571500</xdr:colOff>
          <xdr:row>0</xdr:row>
          <xdr:rowOff>200025</xdr:rowOff>
        </xdr:to>
        <xdr:sp macro="" textlink="">
          <xdr:nvSpPr>
            <xdr:cNvPr id="155650" name="Button 2" hidden="1">
              <a:extLst>
                <a:ext uri="{63B3BB69-23CF-44E3-9099-C40C66FF867C}">
                  <a14:compatExt spid="_x0000_s155650"/>
                </a:ext>
                <a:ext uri="{FF2B5EF4-FFF2-40B4-BE49-F238E27FC236}">
                  <a16:creationId xmlns:a16="http://schemas.microsoft.com/office/drawing/2014/main" id="{00000000-0008-0000-9500-0000026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171450</xdr:colOff>
          <xdr:row>0</xdr:row>
          <xdr:rowOff>38100</xdr:rowOff>
        </xdr:from>
        <xdr:to>
          <xdr:col>7</xdr:col>
          <xdr:colOff>381000</xdr:colOff>
          <xdr:row>0</xdr:row>
          <xdr:rowOff>200025</xdr:rowOff>
        </xdr:to>
        <xdr:sp macro="" textlink="">
          <xdr:nvSpPr>
            <xdr:cNvPr id="155651" name="Button 3" hidden="1">
              <a:extLst>
                <a:ext uri="{63B3BB69-23CF-44E3-9099-C40C66FF867C}">
                  <a14:compatExt spid="_x0000_s155651"/>
                </a:ext>
                <a:ext uri="{FF2B5EF4-FFF2-40B4-BE49-F238E27FC236}">
                  <a16:creationId xmlns:a16="http://schemas.microsoft.com/office/drawing/2014/main" id="{00000000-0008-0000-9500-0000036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5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209550</xdr:colOff>
          <xdr:row>0</xdr:row>
          <xdr:rowOff>38100</xdr:rowOff>
        </xdr:from>
        <xdr:to>
          <xdr:col>9</xdr:col>
          <xdr:colOff>76200</xdr:colOff>
          <xdr:row>0</xdr:row>
          <xdr:rowOff>200025</xdr:rowOff>
        </xdr:to>
        <xdr:sp macro="" textlink="">
          <xdr:nvSpPr>
            <xdr:cNvPr id="156673" name="Button 1" hidden="1">
              <a:extLst>
                <a:ext uri="{63B3BB69-23CF-44E3-9099-C40C66FF867C}">
                  <a14:compatExt spid="_x0000_s156673"/>
                </a:ext>
                <a:ext uri="{FF2B5EF4-FFF2-40B4-BE49-F238E27FC236}">
                  <a16:creationId xmlns:a16="http://schemas.microsoft.com/office/drawing/2014/main" id="{00000000-0008-0000-9600-000001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142875</xdr:colOff>
          <xdr:row>0</xdr:row>
          <xdr:rowOff>38100</xdr:rowOff>
        </xdr:from>
        <xdr:to>
          <xdr:col>9</xdr:col>
          <xdr:colOff>342900</xdr:colOff>
          <xdr:row>0</xdr:row>
          <xdr:rowOff>200025</xdr:rowOff>
        </xdr:to>
        <xdr:sp macro="" textlink="">
          <xdr:nvSpPr>
            <xdr:cNvPr id="156674" name="Button 2" hidden="1">
              <a:extLst>
                <a:ext uri="{63B3BB69-23CF-44E3-9099-C40C66FF867C}">
                  <a14:compatExt spid="_x0000_s156674"/>
                </a:ext>
                <a:ext uri="{FF2B5EF4-FFF2-40B4-BE49-F238E27FC236}">
                  <a16:creationId xmlns:a16="http://schemas.microsoft.com/office/drawing/2014/main" id="{00000000-0008-0000-9600-000002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542925</xdr:colOff>
          <xdr:row>0</xdr:row>
          <xdr:rowOff>38100</xdr:rowOff>
        </xdr:from>
        <xdr:to>
          <xdr:col>8</xdr:col>
          <xdr:colOff>133350</xdr:colOff>
          <xdr:row>0</xdr:row>
          <xdr:rowOff>200025</xdr:rowOff>
        </xdr:to>
        <xdr:sp macro="" textlink="">
          <xdr:nvSpPr>
            <xdr:cNvPr id="156675" name="Button 3" hidden="1">
              <a:extLst>
                <a:ext uri="{63B3BB69-23CF-44E3-9099-C40C66FF867C}">
                  <a14:compatExt spid="_x0000_s156675"/>
                </a:ext>
                <a:ext uri="{FF2B5EF4-FFF2-40B4-BE49-F238E27FC236}">
                  <a16:creationId xmlns:a16="http://schemas.microsoft.com/office/drawing/2014/main" id="{00000000-0008-0000-9600-000003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5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209550</xdr:colOff>
          <xdr:row>0</xdr:row>
          <xdr:rowOff>38100</xdr:rowOff>
        </xdr:from>
        <xdr:to>
          <xdr:col>7</xdr:col>
          <xdr:colOff>85725</xdr:colOff>
          <xdr:row>0</xdr:row>
          <xdr:rowOff>200025</xdr:rowOff>
        </xdr:to>
        <xdr:sp macro="" textlink="">
          <xdr:nvSpPr>
            <xdr:cNvPr id="157697" name="Button 1" hidden="1">
              <a:extLst>
                <a:ext uri="{63B3BB69-23CF-44E3-9099-C40C66FF867C}">
                  <a14:compatExt spid="_x0000_s157697"/>
                </a:ext>
                <a:ext uri="{FF2B5EF4-FFF2-40B4-BE49-F238E27FC236}">
                  <a16:creationId xmlns:a16="http://schemas.microsoft.com/office/drawing/2014/main" id="{00000000-0008-0000-9700-000001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152400</xdr:colOff>
          <xdr:row>0</xdr:row>
          <xdr:rowOff>38100</xdr:rowOff>
        </xdr:from>
        <xdr:to>
          <xdr:col>7</xdr:col>
          <xdr:colOff>352425</xdr:colOff>
          <xdr:row>0</xdr:row>
          <xdr:rowOff>200025</xdr:rowOff>
        </xdr:to>
        <xdr:sp macro="" textlink="">
          <xdr:nvSpPr>
            <xdr:cNvPr id="157698" name="Button 2" hidden="1">
              <a:extLst>
                <a:ext uri="{63B3BB69-23CF-44E3-9099-C40C66FF867C}">
                  <a14:compatExt spid="_x0000_s157698"/>
                </a:ext>
                <a:ext uri="{FF2B5EF4-FFF2-40B4-BE49-F238E27FC236}">
                  <a16:creationId xmlns:a16="http://schemas.microsoft.com/office/drawing/2014/main" id="{00000000-0008-0000-9700-000002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552450</xdr:colOff>
          <xdr:row>0</xdr:row>
          <xdr:rowOff>38100</xdr:rowOff>
        </xdr:from>
        <xdr:to>
          <xdr:col>6</xdr:col>
          <xdr:colOff>142875</xdr:colOff>
          <xdr:row>0</xdr:row>
          <xdr:rowOff>200025</xdr:rowOff>
        </xdr:to>
        <xdr:sp macro="" textlink="">
          <xdr:nvSpPr>
            <xdr:cNvPr id="157699" name="Button 3" hidden="1">
              <a:extLst>
                <a:ext uri="{63B3BB69-23CF-44E3-9099-C40C66FF867C}">
                  <a14:compatExt spid="_x0000_s157699"/>
                </a:ext>
                <a:ext uri="{FF2B5EF4-FFF2-40B4-BE49-F238E27FC236}">
                  <a16:creationId xmlns:a16="http://schemas.microsoft.com/office/drawing/2014/main" id="{00000000-0008-0000-9700-000003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5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158721" name="Button 1" hidden="1">
              <a:extLst>
                <a:ext uri="{63B3BB69-23CF-44E3-9099-C40C66FF867C}">
                  <a14:compatExt spid="_x0000_s158721"/>
                </a:ext>
                <a:ext uri="{FF2B5EF4-FFF2-40B4-BE49-F238E27FC236}">
                  <a16:creationId xmlns:a16="http://schemas.microsoft.com/office/drawing/2014/main" id="{00000000-0008-0000-9800-0000016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158722" name="Button 2" hidden="1">
              <a:extLst>
                <a:ext uri="{63B3BB69-23CF-44E3-9099-C40C66FF867C}">
                  <a14:compatExt spid="_x0000_s158722"/>
                </a:ext>
                <a:ext uri="{FF2B5EF4-FFF2-40B4-BE49-F238E27FC236}">
                  <a16:creationId xmlns:a16="http://schemas.microsoft.com/office/drawing/2014/main" id="{00000000-0008-0000-9800-0000026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158723" name="Button 3" hidden="1">
              <a:extLst>
                <a:ext uri="{63B3BB69-23CF-44E3-9099-C40C66FF867C}">
                  <a14:compatExt spid="_x0000_s158723"/>
                </a:ext>
                <a:ext uri="{FF2B5EF4-FFF2-40B4-BE49-F238E27FC236}">
                  <a16:creationId xmlns:a16="http://schemas.microsoft.com/office/drawing/2014/main" id="{00000000-0008-0000-9800-0000036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5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400050</xdr:colOff>
          <xdr:row>0</xdr:row>
          <xdr:rowOff>38100</xdr:rowOff>
        </xdr:from>
        <xdr:to>
          <xdr:col>9</xdr:col>
          <xdr:colOff>257175</xdr:colOff>
          <xdr:row>0</xdr:row>
          <xdr:rowOff>200025</xdr:rowOff>
        </xdr:to>
        <xdr:sp macro="" textlink="">
          <xdr:nvSpPr>
            <xdr:cNvPr id="159745" name="Button 1" hidden="1">
              <a:extLst>
                <a:ext uri="{63B3BB69-23CF-44E3-9099-C40C66FF867C}">
                  <a14:compatExt spid="_x0000_s159745"/>
                </a:ext>
                <a:ext uri="{FF2B5EF4-FFF2-40B4-BE49-F238E27FC236}">
                  <a16:creationId xmlns:a16="http://schemas.microsoft.com/office/drawing/2014/main" id="{00000000-0008-0000-9900-0000017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323850</xdr:colOff>
          <xdr:row>0</xdr:row>
          <xdr:rowOff>38100</xdr:rowOff>
        </xdr:from>
        <xdr:to>
          <xdr:col>9</xdr:col>
          <xdr:colOff>523875</xdr:colOff>
          <xdr:row>0</xdr:row>
          <xdr:rowOff>200025</xdr:rowOff>
        </xdr:to>
        <xdr:sp macro="" textlink="">
          <xdr:nvSpPr>
            <xdr:cNvPr id="159746" name="Button 2" hidden="1">
              <a:extLst>
                <a:ext uri="{63B3BB69-23CF-44E3-9099-C40C66FF867C}">
                  <a14:compatExt spid="_x0000_s159746"/>
                </a:ext>
                <a:ext uri="{FF2B5EF4-FFF2-40B4-BE49-F238E27FC236}">
                  <a16:creationId xmlns:a16="http://schemas.microsoft.com/office/drawing/2014/main" id="{00000000-0008-0000-9900-0000027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123825</xdr:colOff>
          <xdr:row>0</xdr:row>
          <xdr:rowOff>38100</xdr:rowOff>
        </xdr:from>
        <xdr:to>
          <xdr:col>8</xdr:col>
          <xdr:colOff>333375</xdr:colOff>
          <xdr:row>0</xdr:row>
          <xdr:rowOff>200025</xdr:rowOff>
        </xdr:to>
        <xdr:sp macro="" textlink="">
          <xdr:nvSpPr>
            <xdr:cNvPr id="159747" name="Button 3" hidden="1">
              <a:extLst>
                <a:ext uri="{63B3BB69-23CF-44E3-9099-C40C66FF867C}">
                  <a14:compatExt spid="_x0000_s159747"/>
                </a:ext>
                <a:ext uri="{FF2B5EF4-FFF2-40B4-BE49-F238E27FC236}">
                  <a16:creationId xmlns:a16="http://schemas.microsoft.com/office/drawing/2014/main" id="{00000000-0008-0000-9900-0000037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5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323850</xdr:colOff>
          <xdr:row>0</xdr:row>
          <xdr:rowOff>38100</xdr:rowOff>
        </xdr:from>
        <xdr:to>
          <xdr:col>9</xdr:col>
          <xdr:colOff>190500</xdr:colOff>
          <xdr:row>0</xdr:row>
          <xdr:rowOff>200025</xdr:rowOff>
        </xdr:to>
        <xdr:sp macro="" textlink="">
          <xdr:nvSpPr>
            <xdr:cNvPr id="160769" name="Button 1" hidden="1">
              <a:extLst>
                <a:ext uri="{63B3BB69-23CF-44E3-9099-C40C66FF867C}">
                  <a14:compatExt spid="_x0000_s160769"/>
                </a:ext>
                <a:ext uri="{FF2B5EF4-FFF2-40B4-BE49-F238E27FC236}">
                  <a16:creationId xmlns:a16="http://schemas.microsoft.com/office/drawing/2014/main" id="{00000000-0008-0000-9A00-0000017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257175</xdr:colOff>
          <xdr:row>0</xdr:row>
          <xdr:rowOff>38100</xdr:rowOff>
        </xdr:from>
        <xdr:to>
          <xdr:col>9</xdr:col>
          <xdr:colOff>457200</xdr:colOff>
          <xdr:row>0</xdr:row>
          <xdr:rowOff>200025</xdr:rowOff>
        </xdr:to>
        <xdr:sp macro="" textlink="">
          <xdr:nvSpPr>
            <xdr:cNvPr id="160770" name="Button 2" hidden="1">
              <a:extLst>
                <a:ext uri="{63B3BB69-23CF-44E3-9099-C40C66FF867C}">
                  <a14:compatExt spid="_x0000_s160770"/>
                </a:ext>
                <a:ext uri="{FF2B5EF4-FFF2-40B4-BE49-F238E27FC236}">
                  <a16:creationId xmlns:a16="http://schemas.microsoft.com/office/drawing/2014/main" id="{00000000-0008-0000-9A00-0000027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57150</xdr:colOff>
          <xdr:row>0</xdr:row>
          <xdr:rowOff>38100</xdr:rowOff>
        </xdr:from>
        <xdr:to>
          <xdr:col>8</xdr:col>
          <xdr:colOff>266700</xdr:colOff>
          <xdr:row>0</xdr:row>
          <xdr:rowOff>200025</xdr:rowOff>
        </xdr:to>
        <xdr:sp macro="" textlink="">
          <xdr:nvSpPr>
            <xdr:cNvPr id="160771" name="Button 3" hidden="1">
              <a:extLst>
                <a:ext uri="{63B3BB69-23CF-44E3-9099-C40C66FF867C}">
                  <a14:compatExt spid="_x0000_s160771"/>
                </a:ext>
                <a:ext uri="{FF2B5EF4-FFF2-40B4-BE49-F238E27FC236}">
                  <a16:creationId xmlns:a16="http://schemas.microsoft.com/office/drawing/2014/main" id="{00000000-0008-0000-9A00-0000037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5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476250</xdr:colOff>
          <xdr:row>0</xdr:row>
          <xdr:rowOff>38100</xdr:rowOff>
        </xdr:from>
        <xdr:to>
          <xdr:col>7</xdr:col>
          <xdr:colOff>342900</xdr:colOff>
          <xdr:row>0</xdr:row>
          <xdr:rowOff>200025</xdr:rowOff>
        </xdr:to>
        <xdr:sp macro="" textlink="">
          <xdr:nvSpPr>
            <xdr:cNvPr id="161793" name="Button 1" hidden="1">
              <a:extLst>
                <a:ext uri="{63B3BB69-23CF-44E3-9099-C40C66FF867C}">
                  <a14:compatExt spid="_x0000_s161793"/>
                </a:ext>
                <a:ext uri="{FF2B5EF4-FFF2-40B4-BE49-F238E27FC236}">
                  <a16:creationId xmlns:a16="http://schemas.microsoft.com/office/drawing/2014/main" id="{00000000-0008-0000-9B00-0000017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409575</xdr:colOff>
          <xdr:row>0</xdr:row>
          <xdr:rowOff>38100</xdr:rowOff>
        </xdr:from>
        <xdr:to>
          <xdr:col>7</xdr:col>
          <xdr:colOff>609600</xdr:colOff>
          <xdr:row>0</xdr:row>
          <xdr:rowOff>200025</xdr:rowOff>
        </xdr:to>
        <xdr:sp macro="" textlink="">
          <xdr:nvSpPr>
            <xdr:cNvPr id="161794" name="Button 2" hidden="1">
              <a:extLst>
                <a:ext uri="{63B3BB69-23CF-44E3-9099-C40C66FF867C}">
                  <a14:compatExt spid="_x0000_s161794"/>
                </a:ext>
                <a:ext uri="{FF2B5EF4-FFF2-40B4-BE49-F238E27FC236}">
                  <a16:creationId xmlns:a16="http://schemas.microsoft.com/office/drawing/2014/main" id="{00000000-0008-0000-9B00-0000027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209550</xdr:colOff>
          <xdr:row>0</xdr:row>
          <xdr:rowOff>38100</xdr:rowOff>
        </xdr:from>
        <xdr:to>
          <xdr:col>6</xdr:col>
          <xdr:colOff>419100</xdr:colOff>
          <xdr:row>0</xdr:row>
          <xdr:rowOff>200025</xdr:rowOff>
        </xdr:to>
        <xdr:sp macro="" textlink="">
          <xdr:nvSpPr>
            <xdr:cNvPr id="161795" name="Button 3" hidden="1">
              <a:extLst>
                <a:ext uri="{63B3BB69-23CF-44E3-9099-C40C66FF867C}">
                  <a14:compatExt spid="_x0000_s161795"/>
                </a:ext>
                <a:ext uri="{FF2B5EF4-FFF2-40B4-BE49-F238E27FC236}">
                  <a16:creationId xmlns:a16="http://schemas.microsoft.com/office/drawing/2014/main" id="{00000000-0008-0000-9B00-0000037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5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266700</xdr:colOff>
          <xdr:row>0</xdr:row>
          <xdr:rowOff>38100</xdr:rowOff>
        </xdr:from>
        <xdr:to>
          <xdr:col>9</xdr:col>
          <xdr:colOff>133350</xdr:colOff>
          <xdr:row>0</xdr:row>
          <xdr:rowOff>200025</xdr:rowOff>
        </xdr:to>
        <xdr:sp macro="" textlink="">
          <xdr:nvSpPr>
            <xdr:cNvPr id="162817" name="Button 1" hidden="1">
              <a:extLst>
                <a:ext uri="{63B3BB69-23CF-44E3-9099-C40C66FF867C}">
                  <a14:compatExt spid="_x0000_s162817"/>
                </a:ext>
                <a:ext uri="{FF2B5EF4-FFF2-40B4-BE49-F238E27FC236}">
                  <a16:creationId xmlns:a16="http://schemas.microsoft.com/office/drawing/2014/main" id="{00000000-0008-0000-9C00-0000017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200025</xdr:colOff>
          <xdr:row>0</xdr:row>
          <xdr:rowOff>38100</xdr:rowOff>
        </xdr:from>
        <xdr:to>
          <xdr:col>9</xdr:col>
          <xdr:colOff>400050</xdr:colOff>
          <xdr:row>0</xdr:row>
          <xdr:rowOff>200025</xdr:rowOff>
        </xdr:to>
        <xdr:sp macro="" textlink="">
          <xdr:nvSpPr>
            <xdr:cNvPr id="162818" name="Button 2" hidden="1">
              <a:extLst>
                <a:ext uri="{63B3BB69-23CF-44E3-9099-C40C66FF867C}">
                  <a14:compatExt spid="_x0000_s162818"/>
                </a:ext>
                <a:ext uri="{FF2B5EF4-FFF2-40B4-BE49-F238E27FC236}">
                  <a16:creationId xmlns:a16="http://schemas.microsoft.com/office/drawing/2014/main" id="{00000000-0008-0000-9C00-0000027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657225</xdr:colOff>
          <xdr:row>0</xdr:row>
          <xdr:rowOff>38100</xdr:rowOff>
        </xdr:from>
        <xdr:to>
          <xdr:col>8</xdr:col>
          <xdr:colOff>200025</xdr:colOff>
          <xdr:row>0</xdr:row>
          <xdr:rowOff>200025</xdr:rowOff>
        </xdr:to>
        <xdr:sp macro="" textlink="">
          <xdr:nvSpPr>
            <xdr:cNvPr id="162819" name="Button 3" hidden="1">
              <a:extLst>
                <a:ext uri="{63B3BB69-23CF-44E3-9099-C40C66FF867C}">
                  <a14:compatExt spid="_x0000_s162819"/>
                </a:ext>
                <a:ext uri="{FF2B5EF4-FFF2-40B4-BE49-F238E27FC236}">
                  <a16:creationId xmlns:a16="http://schemas.microsoft.com/office/drawing/2014/main" id="{00000000-0008-0000-9C00-0000037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5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8</xdr:col>
          <xdr:colOff>266700</xdr:colOff>
          <xdr:row>0</xdr:row>
          <xdr:rowOff>38100</xdr:rowOff>
        </xdr:from>
        <xdr:to>
          <xdr:col>9</xdr:col>
          <xdr:colOff>133350</xdr:colOff>
          <xdr:row>0</xdr:row>
          <xdr:rowOff>200025</xdr:rowOff>
        </xdr:to>
        <xdr:sp macro="" textlink="">
          <xdr:nvSpPr>
            <xdr:cNvPr id="163841" name="Button 1" hidden="1">
              <a:extLst>
                <a:ext uri="{63B3BB69-23CF-44E3-9099-C40C66FF867C}">
                  <a14:compatExt spid="_x0000_s163841"/>
                </a:ext>
                <a:ext uri="{FF2B5EF4-FFF2-40B4-BE49-F238E27FC236}">
                  <a16:creationId xmlns:a16="http://schemas.microsoft.com/office/drawing/2014/main" id="{00000000-0008-0000-9D00-0000018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200025</xdr:colOff>
          <xdr:row>0</xdr:row>
          <xdr:rowOff>38100</xdr:rowOff>
        </xdr:from>
        <xdr:to>
          <xdr:col>9</xdr:col>
          <xdr:colOff>400050</xdr:colOff>
          <xdr:row>0</xdr:row>
          <xdr:rowOff>200025</xdr:rowOff>
        </xdr:to>
        <xdr:sp macro="" textlink="">
          <xdr:nvSpPr>
            <xdr:cNvPr id="163842" name="Button 2" hidden="1">
              <a:extLst>
                <a:ext uri="{63B3BB69-23CF-44E3-9099-C40C66FF867C}">
                  <a14:compatExt spid="_x0000_s163842"/>
                </a:ext>
                <a:ext uri="{FF2B5EF4-FFF2-40B4-BE49-F238E27FC236}">
                  <a16:creationId xmlns:a16="http://schemas.microsoft.com/office/drawing/2014/main" id="{00000000-0008-0000-9D00-0000028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657225</xdr:colOff>
          <xdr:row>0</xdr:row>
          <xdr:rowOff>38100</xdr:rowOff>
        </xdr:from>
        <xdr:to>
          <xdr:col>8</xdr:col>
          <xdr:colOff>200025</xdr:colOff>
          <xdr:row>0</xdr:row>
          <xdr:rowOff>200025</xdr:rowOff>
        </xdr:to>
        <xdr:sp macro="" textlink="">
          <xdr:nvSpPr>
            <xdr:cNvPr id="163843" name="Button 3" hidden="1">
              <a:extLst>
                <a:ext uri="{63B3BB69-23CF-44E3-9099-C40C66FF867C}">
                  <a14:compatExt spid="_x0000_s163843"/>
                </a:ext>
                <a:ext uri="{FF2B5EF4-FFF2-40B4-BE49-F238E27FC236}">
                  <a16:creationId xmlns:a16="http://schemas.microsoft.com/office/drawing/2014/main" id="{00000000-0008-0000-9D00-0000038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5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38100</xdr:colOff>
          <xdr:row>0</xdr:row>
          <xdr:rowOff>38100</xdr:rowOff>
        </xdr:from>
        <xdr:to>
          <xdr:col>7</xdr:col>
          <xdr:colOff>504825</xdr:colOff>
          <xdr:row>0</xdr:row>
          <xdr:rowOff>200025</xdr:rowOff>
        </xdr:to>
        <xdr:sp macro="" textlink="">
          <xdr:nvSpPr>
            <xdr:cNvPr id="164865" name="Button 1" hidden="1">
              <a:extLst>
                <a:ext uri="{63B3BB69-23CF-44E3-9099-C40C66FF867C}">
                  <a14:compatExt spid="_x0000_s164865"/>
                </a:ext>
                <a:ext uri="{FF2B5EF4-FFF2-40B4-BE49-F238E27FC236}">
                  <a16:creationId xmlns:a16="http://schemas.microsoft.com/office/drawing/2014/main" id="{00000000-0008-0000-9E00-0000018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571500</xdr:colOff>
          <xdr:row>0</xdr:row>
          <xdr:rowOff>38100</xdr:rowOff>
        </xdr:from>
        <xdr:to>
          <xdr:col>7</xdr:col>
          <xdr:colOff>771525</xdr:colOff>
          <xdr:row>0</xdr:row>
          <xdr:rowOff>200025</xdr:rowOff>
        </xdr:to>
        <xdr:sp macro="" textlink="">
          <xdr:nvSpPr>
            <xdr:cNvPr id="164866" name="Button 2" hidden="1">
              <a:extLst>
                <a:ext uri="{63B3BB69-23CF-44E3-9099-C40C66FF867C}">
                  <a14:compatExt spid="_x0000_s164866"/>
                </a:ext>
                <a:ext uri="{FF2B5EF4-FFF2-40B4-BE49-F238E27FC236}">
                  <a16:creationId xmlns:a16="http://schemas.microsoft.com/office/drawing/2014/main" id="{00000000-0008-0000-9E00-0000028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371475</xdr:colOff>
          <xdr:row>0</xdr:row>
          <xdr:rowOff>38100</xdr:rowOff>
        </xdr:from>
        <xdr:to>
          <xdr:col>6</xdr:col>
          <xdr:colOff>581025</xdr:colOff>
          <xdr:row>0</xdr:row>
          <xdr:rowOff>200025</xdr:rowOff>
        </xdr:to>
        <xdr:sp macro="" textlink="">
          <xdr:nvSpPr>
            <xdr:cNvPr id="164867" name="Button 3" hidden="1">
              <a:extLst>
                <a:ext uri="{63B3BB69-23CF-44E3-9099-C40C66FF867C}">
                  <a14:compatExt spid="_x0000_s164867"/>
                </a:ext>
                <a:ext uri="{FF2B5EF4-FFF2-40B4-BE49-F238E27FC236}">
                  <a16:creationId xmlns:a16="http://schemas.microsoft.com/office/drawing/2014/main" id="{00000000-0008-0000-9E00-0000038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5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200025</xdr:colOff>
          <xdr:row>0</xdr:row>
          <xdr:rowOff>38100</xdr:rowOff>
        </xdr:from>
        <xdr:to>
          <xdr:col>7</xdr:col>
          <xdr:colOff>66675</xdr:colOff>
          <xdr:row>0</xdr:row>
          <xdr:rowOff>200025</xdr:rowOff>
        </xdr:to>
        <xdr:sp macro="" textlink="">
          <xdr:nvSpPr>
            <xdr:cNvPr id="165889" name="Button 1" hidden="1">
              <a:extLst>
                <a:ext uri="{63B3BB69-23CF-44E3-9099-C40C66FF867C}">
                  <a14:compatExt spid="_x0000_s165889"/>
                </a:ext>
                <a:ext uri="{FF2B5EF4-FFF2-40B4-BE49-F238E27FC236}">
                  <a16:creationId xmlns:a16="http://schemas.microsoft.com/office/drawing/2014/main" id="{00000000-0008-0000-9F00-0000018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133350</xdr:colOff>
          <xdr:row>0</xdr:row>
          <xdr:rowOff>38100</xdr:rowOff>
        </xdr:from>
        <xdr:to>
          <xdr:col>7</xdr:col>
          <xdr:colOff>333375</xdr:colOff>
          <xdr:row>0</xdr:row>
          <xdr:rowOff>200025</xdr:rowOff>
        </xdr:to>
        <xdr:sp macro="" textlink="">
          <xdr:nvSpPr>
            <xdr:cNvPr id="165890" name="Button 2" hidden="1">
              <a:extLst>
                <a:ext uri="{63B3BB69-23CF-44E3-9099-C40C66FF867C}">
                  <a14:compatExt spid="_x0000_s165890"/>
                </a:ext>
                <a:ext uri="{FF2B5EF4-FFF2-40B4-BE49-F238E27FC236}">
                  <a16:creationId xmlns:a16="http://schemas.microsoft.com/office/drawing/2014/main" id="{00000000-0008-0000-9F00-0000028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1200150</xdr:colOff>
          <xdr:row>0</xdr:row>
          <xdr:rowOff>38100</xdr:rowOff>
        </xdr:from>
        <xdr:to>
          <xdr:col>6</xdr:col>
          <xdr:colOff>133350</xdr:colOff>
          <xdr:row>0</xdr:row>
          <xdr:rowOff>200025</xdr:rowOff>
        </xdr:to>
        <xdr:sp macro="" textlink="">
          <xdr:nvSpPr>
            <xdr:cNvPr id="165891" name="Button 3" hidden="1">
              <a:extLst>
                <a:ext uri="{63B3BB69-23CF-44E3-9099-C40C66FF867C}">
                  <a14:compatExt spid="_x0000_s165891"/>
                </a:ext>
                <a:ext uri="{FF2B5EF4-FFF2-40B4-BE49-F238E27FC236}">
                  <a16:creationId xmlns:a16="http://schemas.microsoft.com/office/drawing/2014/main" id="{00000000-0008-0000-9F00-0000038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drawings/drawing16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133350</xdr:colOff>
          <xdr:row>0</xdr:row>
          <xdr:rowOff>38100</xdr:rowOff>
        </xdr:from>
        <xdr:to>
          <xdr:col>7</xdr:col>
          <xdr:colOff>600075</xdr:colOff>
          <xdr:row>0</xdr:row>
          <xdr:rowOff>200025</xdr:rowOff>
        </xdr:to>
        <xdr:sp macro="" textlink="">
          <xdr:nvSpPr>
            <xdr:cNvPr id="166913" name="Button 1" hidden="1">
              <a:extLst>
                <a:ext uri="{63B3BB69-23CF-44E3-9099-C40C66FF867C}">
                  <a14:compatExt spid="_x0000_s166913"/>
                </a:ext>
                <a:ext uri="{FF2B5EF4-FFF2-40B4-BE49-F238E27FC236}">
                  <a16:creationId xmlns:a16="http://schemas.microsoft.com/office/drawing/2014/main" id="{00000000-0008-0000-A000-0000018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Index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666750</xdr:colOff>
          <xdr:row>0</xdr:row>
          <xdr:rowOff>38100</xdr:rowOff>
        </xdr:from>
        <xdr:to>
          <xdr:col>8</xdr:col>
          <xdr:colOff>180975</xdr:colOff>
          <xdr:row>0</xdr:row>
          <xdr:rowOff>200025</xdr:rowOff>
        </xdr:to>
        <xdr:sp macro="" textlink="">
          <xdr:nvSpPr>
            <xdr:cNvPr id="166914" name="Button 2" hidden="1">
              <a:extLst>
                <a:ext uri="{63B3BB69-23CF-44E3-9099-C40C66FF867C}">
                  <a14:compatExt spid="_x0000_s166914"/>
                </a:ext>
                <a:ext uri="{FF2B5EF4-FFF2-40B4-BE49-F238E27FC236}">
                  <a16:creationId xmlns:a16="http://schemas.microsoft.com/office/drawing/2014/main" id="{00000000-0008-0000-A000-0000028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&gt;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6</xdr:col>
          <xdr:colOff>704850</xdr:colOff>
          <xdr:row>0</xdr:row>
          <xdr:rowOff>38100</xdr:rowOff>
        </xdr:from>
        <xdr:to>
          <xdr:col>7</xdr:col>
          <xdr:colOff>66675</xdr:colOff>
          <xdr:row>0</xdr:row>
          <xdr:rowOff>200025</xdr:rowOff>
        </xdr:to>
        <xdr:sp macro="" textlink="">
          <xdr:nvSpPr>
            <xdr:cNvPr id="166915" name="Button 3" hidden="1">
              <a:extLst>
                <a:ext uri="{63B3BB69-23CF-44E3-9099-C40C66FF867C}">
                  <a14:compatExt spid="_x0000_s166915"/>
                </a:ext>
                <a:ext uri="{FF2B5EF4-FFF2-40B4-BE49-F238E27FC236}">
                  <a16:creationId xmlns:a16="http://schemas.microsoft.com/office/drawing/2014/main" id="{00000000-0008-0000-A000-0000038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&lt;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xlfhelp/XLF970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Documentation"/>
      <sheetName val="Instructions"/>
      <sheetName val="Colours"/>
      <sheetName val="Analysis ToolPak"/>
      <sheetName val="FunctionList"/>
      <sheetName val="Show_all_formula"/>
      <sheetName val="SUM_using_names"/>
      <sheetName val="Instant_Charts"/>
      <sheetName val="Filename_formula"/>
      <sheetName val="Brackets_in_formula"/>
      <sheetName val="Calculate_Age"/>
      <sheetName val="AutoSum_Shortcut_Key"/>
      <sheetName val="97 AVERAGEA"/>
      <sheetName val="97 MAXA"/>
      <sheetName val="ABS"/>
      <sheetName val="ADDRESS"/>
      <sheetName val="AND"/>
      <sheetName val="AREAS"/>
      <sheetName val="AVERAGE"/>
      <sheetName val="BIN2DEC"/>
      <sheetName val="CEILING"/>
      <sheetName val="CELL"/>
      <sheetName val="CHAR"/>
      <sheetName val="CHOOSE"/>
      <sheetName val="CLEAN"/>
      <sheetName val="CODE"/>
      <sheetName val="COMBIN"/>
      <sheetName val="CONCATENATE"/>
      <sheetName val="CONVERT"/>
      <sheetName val="CORREL"/>
      <sheetName val="COUNT"/>
      <sheetName val="COUNTA"/>
      <sheetName val="COUNTBLANK"/>
      <sheetName val="COUNTIF"/>
      <sheetName val="DATE"/>
      <sheetName val="DATEVALUE"/>
      <sheetName val="DAVERAGE"/>
      <sheetName val="DAY"/>
      <sheetName val="DAYS360"/>
      <sheetName val="DB"/>
      <sheetName val="DCOUNT"/>
      <sheetName val="DCOUNTA"/>
      <sheetName val="DEC2BIN"/>
      <sheetName val="DEC2HEX"/>
      <sheetName val="DELTA"/>
      <sheetName val="DGET"/>
      <sheetName val="DMAX"/>
      <sheetName val="DMIN"/>
      <sheetName val="DOLLAR"/>
      <sheetName val="DSUM"/>
      <sheetName val="EAST"/>
      <sheetName val="EDATE"/>
      <sheetName val="EOMONTH"/>
      <sheetName val="ERROR.TYPE"/>
      <sheetName val="EVEN"/>
      <sheetName val="EXACT"/>
      <sheetName val="FACT"/>
      <sheetName val="FIND"/>
      <sheetName val="FIXED"/>
      <sheetName val="FLOOR"/>
      <sheetName val="FORECAST"/>
      <sheetName val="FREQUENCY"/>
      <sheetName val="FREQUENCY 2"/>
      <sheetName val="GCD"/>
      <sheetName val="GESTEP"/>
      <sheetName val="GROWTH"/>
      <sheetName val="HEX2DEC"/>
      <sheetName val="HLOOKUP"/>
      <sheetName val="HOUR"/>
      <sheetName val="IF"/>
      <sheetName val="INDEX"/>
      <sheetName val="INDIRECT"/>
      <sheetName val="INFO"/>
      <sheetName val="INT"/>
      <sheetName val="ISBLANK"/>
      <sheetName val="ISERR"/>
      <sheetName val="ISERROR"/>
      <sheetName val="ISEVEN"/>
      <sheetName val="ISLOGICAL"/>
      <sheetName val="ISNA"/>
      <sheetName val="ISNONTEXT"/>
      <sheetName val="ISNUMBER"/>
      <sheetName val="ISODD"/>
      <sheetName val="ISREF"/>
      <sheetName val="ISTEXT"/>
      <sheetName val="LARGE"/>
      <sheetName val="LCM"/>
      <sheetName val="LEFT"/>
      <sheetName val="LEN"/>
      <sheetName val="LOOKUP (Array)"/>
      <sheetName val="LOOKUP (Vector)"/>
      <sheetName val="LOWER"/>
      <sheetName val="MATCH"/>
      <sheetName val="MAX"/>
      <sheetName val="MEDIAN"/>
      <sheetName val="MID"/>
      <sheetName val="MIN"/>
      <sheetName val="MINUTE"/>
      <sheetName val="MINVERSE"/>
      <sheetName val="MMULT"/>
      <sheetName val="MOD"/>
      <sheetName val="MODE"/>
      <sheetName val="MONTH"/>
      <sheetName val="MROUND"/>
      <sheetName val="N"/>
      <sheetName val="NA"/>
      <sheetName val="NETWORKDAYS"/>
      <sheetName val="NORTH"/>
      <sheetName val="NOT"/>
      <sheetName val="NOW"/>
      <sheetName val="ODD"/>
      <sheetName val="OR"/>
      <sheetName val="Ordering Stock"/>
      <sheetName val="PACKERS"/>
      <sheetName val="PERMUT"/>
      <sheetName val="PI"/>
      <sheetName val="POWER"/>
      <sheetName val="PRODUCT"/>
      <sheetName val="PROPER"/>
      <sheetName val="QUARTILE"/>
      <sheetName val="QUOTIENT"/>
      <sheetName val="RAND"/>
      <sheetName val="RANDBETWEEN"/>
      <sheetName val="RANK"/>
      <sheetName val="REPLACE"/>
      <sheetName val="REPT"/>
      <sheetName val="RIGHT"/>
      <sheetName val="ROMAN"/>
      <sheetName val="ROUND"/>
      <sheetName val="ROUNDDOWN"/>
      <sheetName val="ROUNDUP"/>
      <sheetName val="SECOND"/>
      <sheetName val="SIGN"/>
      <sheetName val="SLN"/>
      <sheetName val="SMALL"/>
      <sheetName val="SOUTH"/>
      <sheetName val="STDEV"/>
      <sheetName val="STDEVP"/>
      <sheetName val="SUBSTITUTE"/>
      <sheetName val="SUBTOTAL"/>
      <sheetName val="SUBTOTAL2"/>
      <sheetName val="SUM"/>
      <sheetName val="SUM_as_Running_Total"/>
      <sheetName val="SUM_with_OFFSET"/>
      <sheetName val="SUMIF"/>
      <sheetName val="SUMPRODUCT"/>
      <sheetName val="SYD"/>
      <sheetName val="T"/>
      <sheetName val="TEXT"/>
      <sheetName val="TIME"/>
      <sheetName val="TIMEVALUE"/>
      <sheetName val="TODAY"/>
      <sheetName val="TRANSPOSE"/>
      <sheetName val="TREND"/>
      <sheetName val="TRIM"/>
      <sheetName val="TRUNC"/>
      <sheetName val="TYPE"/>
      <sheetName val="UPPER"/>
      <sheetName val="VALUE"/>
      <sheetName val="VAR"/>
      <sheetName val="VARP"/>
      <sheetName val="VLOOKUP"/>
      <sheetName val="WEEKDAY"/>
      <sheetName val="WORKDAY"/>
      <sheetName val="YEAR"/>
      <sheetName val="YEARFRAC"/>
      <sheetName val="TimeSheet"/>
      <sheetName val="Project_Dates"/>
      <sheetName val="Macros"/>
      <sheetName val="XLF97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3">
          <cell r="C3" t="str">
            <v>Name</v>
          </cell>
          <cell r="D3" t="str">
            <v>Age</v>
          </cell>
        </row>
        <row r="4">
          <cell r="C4" t="str">
            <v>Alan</v>
          </cell>
          <cell r="D4">
            <v>18</v>
          </cell>
        </row>
        <row r="5">
          <cell r="C5" t="str">
            <v>Bob</v>
          </cell>
          <cell r="D5">
            <v>17</v>
          </cell>
        </row>
        <row r="6">
          <cell r="C6" t="str">
            <v>Carol</v>
          </cell>
          <cell r="D6">
            <v>20</v>
          </cell>
        </row>
        <row r="8">
          <cell r="C8" t="str">
            <v>Name</v>
          </cell>
          <cell r="D8" t="str">
            <v>Age</v>
          </cell>
        </row>
        <row r="9">
          <cell r="C9" t="str">
            <v>David</v>
          </cell>
          <cell r="D9">
            <v>20</v>
          </cell>
        </row>
        <row r="10">
          <cell r="C10" t="str">
            <v>Eric</v>
          </cell>
          <cell r="D10">
            <v>16</v>
          </cell>
        </row>
        <row r="11">
          <cell r="C11" t="str">
            <v>Fred</v>
          </cell>
          <cell r="D11">
            <v>19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>
        <row r="67">
          <cell r="D67">
            <v>1000</v>
          </cell>
          <cell r="E67">
            <v>2000</v>
          </cell>
          <cell r="F67">
            <v>3000</v>
          </cell>
          <cell r="G67">
            <v>4000</v>
          </cell>
        </row>
        <row r="68">
          <cell r="D68">
            <v>5000</v>
          </cell>
          <cell r="E68">
            <v>6000</v>
          </cell>
          <cell r="F68">
            <v>7000</v>
          </cell>
          <cell r="G68">
            <v>8000</v>
          </cell>
        </row>
        <row r="69">
          <cell r="D69">
            <v>9000</v>
          </cell>
          <cell r="E69">
            <v>10000</v>
          </cell>
          <cell r="F69">
            <v>11000</v>
          </cell>
          <cell r="G69">
            <v>12000</v>
          </cell>
        </row>
        <row r="72">
          <cell r="D72">
            <v>1500</v>
          </cell>
          <cell r="E72">
            <v>2500</v>
          </cell>
          <cell r="F72">
            <v>3500</v>
          </cell>
          <cell r="G72">
            <v>4500</v>
          </cell>
        </row>
        <row r="73">
          <cell r="D73">
            <v>5500</v>
          </cell>
          <cell r="E73">
            <v>6500</v>
          </cell>
          <cell r="F73">
            <v>7500</v>
          </cell>
          <cell r="G73">
            <v>8500</v>
          </cell>
        </row>
        <row r="74">
          <cell r="D74">
            <v>9500</v>
          </cell>
          <cell r="E74">
            <v>10500</v>
          </cell>
          <cell r="F74">
            <v>11500</v>
          </cell>
          <cell r="G74">
            <v>12500</v>
          </cell>
        </row>
        <row r="91">
          <cell r="D91">
            <v>1000</v>
          </cell>
          <cell r="E91">
            <v>2000</v>
          </cell>
          <cell r="F91">
            <v>3000</v>
          </cell>
          <cell r="G91">
            <v>4000</v>
          </cell>
        </row>
        <row r="92">
          <cell r="D92">
            <v>5000</v>
          </cell>
          <cell r="E92">
            <v>6000</v>
          </cell>
          <cell r="F92">
            <v>7000</v>
          </cell>
          <cell r="G92">
            <v>8000</v>
          </cell>
        </row>
        <row r="93">
          <cell r="D93">
            <v>9000</v>
          </cell>
          <cell r="E93">
            <v>10000</v>
          </cell>
          <cell r="F93">
            <v>11000</v>
          </cell>
          <cell r="G93">
            <v>12000</v>
          </cell>
        </row>
        <row r="96">
          <cell r="D96">
            <v>1500</v>
          </cell>
          <cell r="E96">
            <v>2500</v>
          </cell>
          <cell r="F96">
            <v>3500</v>
          </cell>
          <cell r="G96">
            <v>4500</v>
          </cell>
        </row>
        <row r="97">
          <cell r="D97">
            <v>5500</v>
          </cell>
          <cell r="E97">
            <v>6500</v>
          </cell>
          <cell r="F97">
            <v>7500</v>
          </cell>
          <cell r="G97">
            <v>8500</v>
          </cell>
        </row>
        <row r="98">
          <cell r="D98">
            <v>9500</v>
          </cell>
          <cell r="E98">
            <v>10500</v>
          </cell>
          <cell r="F98">
            <v>11500</v>
          </cell>
          <cell r="G98">
            <v>12500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 refreshError="1"/>
      <sheetData sheetId="17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orms.gle/SZi7jXJuZF8UCta28" TargetMode="External"/><Relationship Id="rId2" Type="http://schemas.openxmlformats.org/officeDocument/2006/relationships/hyperlink" Target="https://www.youtube.com/watch?v=7WcxDo6dIso" TargetMode="External"/><Relationship Id="rId1" Type="http://schemas.openxmlformats.org/officeDocument/2006/relationships/hyperlink" Target="https://www.facebook.com/groups/JCKSB/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7" Type="http://schemas.openxmlformats.org/officeDocument/2006/relationships/ctrlProp" Target="../ctrlProps/ctrlProp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utube.com/watch?v=ZdS88_5b1cw&amp;list=PLsoVb8bbqrbYVkt-ZOmTnnc2uyTzqRoPr" TargetMode="External"/><Relationship Id="rId6" Type="http://schemas.openxmlformats.org/officeDocument/2006/relationships/ctrlProp" Target="../ctrlProps/ctrlProp2.xm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7" Type="http://schemas.openxmlformats.org/officeDocument/2006/relationships/ctrlProp" Target="../ctrlProps/ctrlProp6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ZdS88_5b1cw&amp;list=PLsoVb8bbqrbYVkt-ZOmTnnc2uyTzqRoPr" TargetMode="External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7" Type="http://schemas.openxmlformats.org/officeDocument/2006/relationships/ctrlProp" Target="../ctrlProps/ctrlProp9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youtube.com/watch?v=ZdS88_5b1cw&amp;list=PLsoVb8bbqrbYVkt-ZOmTnnc2uyTzqRoPr" TargetMode="External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7" Type="http://schemas.openxmlformats.org/officeDocument/2006/relationships/ctrlProp" Target="../ctrlProps/ctrlProp1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youtube.com/watch?v=ZdS88_5b1cw&amp;list=PLsoVb8bbqrbYVkt-ZOmTnnc2uyTzqRoPr" TargetMode="External"/><Relationship Id="rId6" Type="http://schemas.openxmlformats.org/officeDocument/2006/relationships/ctrlProp" Target="../ctrlProps/ctrlProp11.xml"/><Relationship Id="rId5" Type="http://schemas.openxmlformats.org/officeDocument/2006/relationships/ctrlProp" Target="../ctrlProps/ctrlProp10.xm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7" Type="http://schemas.openxmlformats.org/officeDocument/2006/relationships/ctrlProp" Target="../ctrlProps/ctrlProp15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youtube.com/watch?v=ZdS88_5b1cw&amp;list=PLsoVb8bbqrbYVkt-ZOmTnnc2uyTzqRoPr" TargetMode="External"/><Relationship Id="rId6" Type="http://schemas.openxmlformats.org/officeDocument/2006/relationships/ctrlProp" Target="../ctrlProps/ctrlProp14.xml"/><Relationship Id="rId5" Type="http://schemas.openxmlformats.org/officeDocument/2006/relationships/ctrlProp" Target="../ctrlProps/ctrlProp13.xm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7" Type="http://schemas.openxmlformats.org/officeDocument/2006/relationships/ctrlProp" Target="../ctrlProps/ctrlProp18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youtube.com/watch?v=ZdS88_5b1cw&amp;list=PLsoVb8bbqrbYVkt-ZOmTnnc2uyTzqRoPr" TargetMode="External"/><Relationship Id="rId6" Type="http://schemas.openxmlformats.org/officeDocument/2006/relationships/ctrlProp" Target="../ctrlProps/ctrlProp17.xml"/><Relationship Id="rId5" Type="http://schemas.openxmlformats.org/officeDocument/2006/relationships/ctrlProp" Target="../ctrlProps/ctrlProp16.xml"/><Relationship Id="rId4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7" Type="http://schemas.openxmlformats.org/officeDocument/2006/relationships/ctrlProp" Target="../ctrlProps/ctrlProp21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youtube.com/watch?v=ZdS88_5b1cw&amp;list=PLsoVb8bbqrbYVkt-ZOmTnnc2uyTzqRoPr" TargetMode="External"/><Relationship Id="rId6" Type="http://schemas.openxmlformats.org/officeDocument/2006/relationships/ctrlProp" Target="../ctrlProps/ctrlProp20.xml"/><Relationship Id="rId5" Type="http://schemas.openxmlformats.org/officeDocument/2006/relationships/ctrlProp" Target="../ctrlProps/ctrlProp19.xml"/><Relationship Id="rId4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7" Type="http://schemas.openxmlformats.org/officeDocument/2006/relationships/ctrlProp" Target="../ctrlProps/ctrlProp24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www.youtube.com/watch?v=ZdS88_5b1cw&amp;list=PLsoVb8bbqrbYVkt-ZOmTnnc2uyTzqRoPr" TargetMode="External"/><Relationship Id="rId6" Type="http://schemas.openxmlformats.org/officeDocument/2006/relationships/ctrlProp" Target="../ctrlProps/ctrlProp23.xml"/><Relationship Id="rId5" Type="http://schemas.openxmlformats.org/officeDocument/2006/relationships/ctrlProp" Target="../ctrlProps/ctrlProp22.xml"/><Relationship Id="rId4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7" Type="http://schemas.openxmlformats.org/officeDocument/2006/relationships/ctrlProp" Target="../ctrlProps/ctrlProp27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youtube.com/watch?v=ZdS88_5b1cw&amp;list=PLsoVb8bbqrbYVkt-ZOmTnnc2uyTzqRoPr" TargetMode="External"/><Relationship Id="rId6" Type="http://schemas.openxmlformats.org/officeDocument/2006/relationships/ctrlProp" Target="../ctrlProps/ctrlProp26.xml"/><Relationship Id="rId5" Type="http://schemas.openxmlformats.org/officeDocument/2006/relationships/ctrlProp" Target="../ctrlProps/ctrlProp25.xml"/><Relationship Id="rId4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7" Type="http://schemas.openxmlformats.org/officeDocument/2006/relationships/ctrlProp" Target="../ctrlProps/ctrlProp30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ww.youtube.com/watch?v=ZdS88_5b1cw&amp;list=PLsoVb8bbqrbYVkt-ZOmTnnc2uyTzqRoPr" TargetMode="External"/><Relationship Id="rId6" Type="http://schemas.openxmlformats.org/officeDocument/2006/relationships/ctrlProp" Target="../ctrlProps/ctrlProp29.xml"/><Relationship Id="rId5" Type="http://schemas.openxmlformats.org/officeDocument/2006/relationships/ctrlProp" Target="../ctrlProps/ctrlProp28.xml"/><Relationship Id="rId4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7" Type="http://schemas.openxmlformats.org/officeDocument/2006/relationships/ctrlProp" Target="../ctrlProps/ctrlProp33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youtube.com/watch?v=ZdS88_5b1cw&amp;list=PLsoVb8bbqrbYVkt-ZOmTnnc2uyTzqRoPr" TargetMode="External"/><Relationship Id="rId6" Type="http://schemas.openxmlformats.org/officeDocument/2006/relationships/ctrlProp" Target="../ctrlProps/ctrlProp32.xml"/><Relationship Id="rId5" Type="http://schemas.openxmlformats.org/officeDocument/2006/relationships/ctrlProp" Target="../ctrlProps/ctrlProp31.xml"/><Relationship Id="rId4" Type="http://schemas.openxmlformats.org/officeDocument/2006/relationships/vmlDrawing" Target="../drawings/vmlDrawing11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7" Type="http://schemas.openxmlformats.org/officeDocument/2006/relationships/ctrlProp" Target="../ctrlProps/ctrlProp3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youtube.com/watch?v=ZdS88_5b1cw&amp;list=PLsoVb8bbqrbYVkt-ZOmTnnc2uyTzqRoPr" TargetMode="External"/><Relationship Id="rId6" Type="http://schemas.openxmlformats.org/officeDocument/2006/relationships/ctrlProp" Target="../ctrlProps/ctrlProp35.xml"/><Relationship Id="rId5" Type="http://schemas.openxmlformats.org/officeDocument/2006/relationships/ctrlProp" Target="../ctrlProps/ctrlProp34.xml"/><Relationship Id="rId4" Type="http://schemas.openxmlformats.org/officeDocument/2006/relationships/vmlDrawing" Target="../drawings/vmlDrawing12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7" Type="http://schemas.openxmlformats.org/officeDocument/2006/relationships/ctrlProp" Target="../ctrlProps/ctrlProp39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www.youtube.com/watch?v=ZdS88_5b1cw&amp;list=PLsoVb8bbqrbYVkt-ZOmTnnc2uyTzqRoPr" TargetMode="External"/><Relationship Id="rId6" Type="http://schemas.openxmlformats.org/officeDocument/2006/relationships/ctrlProp" Target="../ctrlProps/ctrlProp38.xml"/><Relationship Id="rId5" Type="http://schemas.openxmlformats.org/officeDocument/2006/relationships/ctrlProp" Target="../ctrlProps/ctrlProp37.xml"/><Relationship Id="rId4" Type="http://schemas.openxmlformats.org/officeDocument/2006/relationships/vmlDrawing" Target="../drawings/vmlDrawing13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7" Type="http://schemas.openxmlformats.org/officeDocument/2006/relationships/ctrlProp" Target="../ctrlProps/ctrlProp42.xml"/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https://www.youtube.com/watch?v=ZdS88_5b1cw&amp;list=PLsoVb8bbqrbYVkt-ZOmTnnc2uyTzqRoPr" TargetMode="External"/><Relationship Id="rId6" Type="http://schemas.openxmlformats.org/officeDocument/2006/relationships/ctrlProp" Target="../ctrlProps/ctrlProp41.xml"/><Relationship Id="rId5" Type="http://schemas.openxmlformats.org/officeDocument/2006/relationships/ctrlProp" Target="../ctrlProps/ctrlProp40.xml"/><Relationship Id="rId4" Type="http://schemas.openxmlformats.org/officeDocument/2006/relationships/vmlDrawing" Target="../drawings/vmlDrawing14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7" Type="http://schemas.openxmlformats.org/officeDocument/2006/relationships/ctrlProp" Target="../ctrlProps/ctrlProp45.x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www.youtube.com/watch?v=ZdS88_5b1cw&amp;list=PLsoVb8bbqrbYVkt-ZOmTnnc2uyTzqRoPr" TargetMode="External"/><Relationship Id="rId6" Type="http://schemas.openxmlformats.org/officeDocument/2006/relationships/ctrlProp" Target="../ctrlProps/ctrlProp44.xml"/><Relationship Id="rId5" Type="http://schemas.openxmlformats.org/officeDocument/2006/relationships/ctrlProp" Target="../ctrlProps/ctrlProp43.xml"/><Relationship Id="rId4" Type="http://schemas.openxmlformats.org/officeDocument/2006/relationships/vmlDrawing" Target="../drawings/vmlDrawing15.v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7" Type="http://schemas.openxmlformats.org/officeDocument/2006/relationships/ctrlProp" Target="../ctrlProps/ctrlProp48.xml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www.youtube.com/watch?v=ZdS88_5b1cw&amp;list=PLsoVb8bbqrbYVkt-ZOmTnnc2uyTzqRoPr" TargetMode="External"/><Relationship Id="rId6" Type="http://schemas.openxmlformats.org/officeDocument/2006/relationships/ctrlProp" Target="../ctrlProps/ctrlProp47.xml"/><Relationship Id="rId5" Type="http://schemas.openxmlformats.org/officeDocument/2006/relationships/ctrlProp" Target="../ctrlProps/ctrlProp46.xml"/><Relationship Id="rId4" Type="http://schemas.openxmlformats.org/officeDocument/2006/relationships/vmlDrawing" Target="../drawings/vmlDrawing16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7" Type="http://schemas.openxmlformats.org/officeDocument/2006/relationships/ctrlProp" Target="../ctrlProps/ctrlProp51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s://www.youtube.com/watch?v=ZdS88_5b1cw&amp;list=PLsoVb8bbqrbYVkt-ZOmTnnc2uyTzqRoPr" TargetMode="External"/><Relationship Id="rId6" Type="http://schemas.openxmlformats.org/officeDocument/2006/relationships/ctrlProp" Target="../ctrlProps/ctrlProp50.xml"/><Relationship Id="rId5" Type="http://schemas.openxmlformats.org/officeDocument/2006/relationships/ctrlProp" Target="../ctrlProps/ctrlProp49.xml"/><Relationship Id="rId4" Type="http://schemas.openxmlformats.org/officeDocument/2006/relationships/vmlDrawing" Target="../drawings/vmlDrawing17.v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7" Type="http://schemas.openxmlformats.org/officeDocument/2006/relationships/ctrlProp" Target="../ctrlProps/ctrlProp54.x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https://www.youtube.com/watch?v=ZdS88_5b1cw&amp;list=PLsoVb8bbqrbYVkt-ZOmTnnc2uyTzqRoPr" TargetMode="External"/><Relationship Id="rId6" Type="http://schemas.openxmlformats.org/officeDocument/2006/relationships/ctrlProp" Target="../ctrlProps/ctrlProp53.xml"/><Relationship Id="rId5" Type="http://schemas.openxmlformats.org/officeDocument/2006/relationships/ctrlProp" Target="../ctrlProps/ctrlProp52.xml"/><Relationship Id="rId4" Type="http://schemas.openxmlformats.org/officeDocument/2006/relationships/vmlDrawing" Target="../drawings/vmlDrawing18.v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7" Type="http://schemas.openxmlformats.org/officeDocument/2006/relationships/ctrlProp" Target="../ctrlProps/ctrlProp57.x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https://www.youtube.com/watch?v=ZdS88_5b1cw&amp;list=PLsoVb8bbqrbYVkt-ZOmTnnc2uyTzqRoPr" TargetMode="External"/><Relationship Id="rId6" Type="http://schemas.openxmlformats.org/officeDocument/2006/relationships/ctrlProp" Target="../ctrlProps/ctrlProp56.xml"/><Relationship Id="rId5" Type="http://schemas.openxmlformats.org/officeDocument/2006/relationships/ctrlProp" Target="../ctrlProps/ctrlProp55.xml"/><Relationship Id="rId4" Type="http://schemas.openxmlformats.org/officeDocument/2006/relationships/vmlDrawing" Target="../drawings/vmlDrawing19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Relationship Id="rId6" Type="http://schemas.openxmlformats.org/officeDocument/2006/relationships/ctrlProp" Target="../ctrlProps/ctrlProp60.xml"/><Relationship Id="rId5" Type="http://schemas.openxmlformats.org/officeDocument/2006/relationships/ctrlProp" Target="../ctrlProps/ctrlProp59.xml"/><Relationship Id="rId4" Type="http://schemas.openxmlformats.org/officeDocument/2006/relationships/ctrlProp" Target="../ctrlProps/ctrlProp58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Relationship Id="rId6" Type="http://schemas.openxmlformats.org/officeDocument/2006/relationships/ctrlProp" Target="../ctrlProps/ctrlProp63.xml"/><Relationship Id="rId5" Type="http://schemas.openxmlformats.org/officeDocument/2006/relationships/ctrlProp" Target="../ctrlProps/ctrlProp62.xml"/><Relationship Id="rId4" Type="http://schemas.openxmlformats.org/officeDocument/2006/relationships/ctrlProp" Target="../ctrlProps/ctrlProp61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Relationship Id="rId6" Type="http://schemas.openxmlformats.org/officeDocument/2006/relationships/ctrlProp" Target="../ctrlProps/ctrlProp66.xml"/><Relationship Id="rId5" Type="http://schemas.openxmlformats.org/officeDocument/2006/relationships/ctrlProp" Target="../ctrlProps/ctrlProp65.xml"/><Relationship Id="rId4" Type="http://schemas.openxmlformats.org/officeDocument/2006/relationships/ctrlProp" Target="../ctrlProps/ctrlProp64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Relationship Id="rId6" Type="http://schemas.openxmlformats.org/officeDocument/2006/relationships/ctrlProp" Target="../ctrlProps/ctrlProp69.xml"/><Relationship Id="rId5" Type="http://schemas.openxmlformats.org/officeDocument/2006/relationships/ctrlProp" Target="../ctrlProps/ctrlProp68.xml"/><Relationship Id="rId4" Type="http://schemas.openxmlformats.org/officeDocument/2006/relationships/ctrlProp" Target="../ctrlProps/ctrlProp67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Relationship Id="rId6" Type="http://schemas.openxmlformats.org/officeDocument/2006/relationships/ctrlProp" Target="../ctrlProps/ctrlProp72.xml"/><Relationship Id="rId5" Type="http://schemas.openxmlformats.org/officeDocument/2006/relationships/ctrlProp" Target="../ctrlProps/ctrlProp71.xml"/><Relationship Id="rId4" Type="http://schemas.openxmlformats.org/officeDocument/2006/relationships/ctrlProp" Target="../ctrlProps/ctrlProp7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Relationship Id="rId6" Type="http://schemas.openxmlformats.org/officeDocument/2006/relationships/ctrlProp" Target="../ctrlProps/ctrlProp75.xml"/><Relationship Id="rId5" Type="http://schemas.openxmlformats.org/officeDocument/2006/relationships/ctrlProp" Target="../ctrlProps/ctrlProp74.xml"/><Relationship Id="rId4" Type="http://schemas.openxmlformats.org/officeDocument/2006/relationships/ctrlProp" Target="../ctrlProps/ctrlProp73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Relationship Id="rId6" Type="http://schemas.openxmlformats.org/officeDocument/2006/relationships/ctrlProp" Target="../ctrlProps/ctrlProp78.xml"/><Relationship Id="rId5" Type="http://schemas.openxmlformats.org/officeDocument/2006/relationships/ctrlProp" Target="../ctrlProps/ctrlProp77.xml"/><Relationship Id="rId4" Type="http://schemas.openxmlformats.org/officeDocument/2006/relationships/ctrlProp" Target="../ctrlProps/ctrlProp7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Relationship Id="rId6" Type="http://schemas.openxmlformats.org/officeDocument/2006/relationships/ctrlProp" Target="../ctrlProps/ctrlProp81.xml"/><Relationship Id="rId5" Type="http://schemas.openxmlformats.org/officeDocument/2006/relationships/ctrlProp" Target="../ctrlProps/ctrlProp80.xml"/><Relationship Id="rId4" Type="http://schemas.openxmlformats.org/officeDocument/2006/relationships/ctrlProp" Target="../ctrlProps/ctrlProp79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Relationship Id="rId6" Type="http://schemas.openxmlformats.org/officeDocument/2006/relationships/ctrlProp" Target="../ctrlProps/ctrlProp84.xml"/><Relationship Id="rId5" Type="http://schemas.openxmlformats.org/officeDocument/2006/relationships/ctrlProp" Target="../ctrlProps/ctrlProp83.xml"/><Relationship Id="rId4" Type="http://schemas.openxmlformats.org/officeDocument/2006/relationships/ctrlProp" Target="../ctrlProps/ctrlProp82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Relationship Id="rId6" Type="http://schemas.openxmlformats.org/officeDocument/2006/relationships/ctrlProp" Target="../ctrlProps/ctrlProp87.xml"/><Relationship Id="rId5" Type="http://schemas.openxmlformats.org/officeDocument/2006/relationships/ctrlProp" Target="../ctrlProps/ctrlProp86.xml"/><Relationship Id="rId4" Type="http://schemas.openxmlformats.org/officeDocument/2006/relationships/ctrlProp" Target="../ctrlProps/ctrlProp85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Relationship Id="rId6" Type="http://schemas.openxmlformats.org/officeDocument/2006/relationships/ctrlProp" Target="../ctrlProps/ctrlProp90.xml"/><Relationship Id="rId5" Type="http://schemas.openxmlformats.org/officeDocument/2006/relationships/ctrlProp" Target="../ctrlProps/ctrlProp89.xml"/><Relationship Id="rId4" Type="http://schemas.openxmlformats.org/officeDocument/2006/relationships/ctrlProp" Target="../ctrlProps/ctrlProp88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Relationship Id="rId6" Type="http://schemas.openxmlformats.org/officeDocument/2006/relationships/ctrlProp" Target="../ctrlProps/ctrlProp93.xml"/><Relationship Id="rId5" Type="http://schemas.openxmlformats.org/officeDocument/2006/relationships/ctrlProp" Target="../ctrlProps/ctrlProp92.xml"/><Relationship Id="rId4" Type="http://schemas.openxmlformats.org/officeDocument/2006/relationships/ctrlProp" Target="../ctrlProps/ctrlProp9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Relationship Id="rId6" Type="http://schemas.openxmlformats.org/officeDocument/2006/relationships/ctrlProp" Target="../ctrlProps/ctrlProp96.xml"/><Relationship Id="rId5" Type="http://schemas.openxmlformats.org/officeDocument/2006/relationships/ctrlProp" Target="../ctrlProps/ctrlProp95.xml"/><Relationship Id="rId4" Type="http://schemas.openxmlformats.org/officeDocument/2006/relationships/ctrlProp" Target="../ctrlProps/ctrlProp94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Relationship Id="rId6" Type="http://schemas.openxmlformats.org/officeDocument/2006/relationships/ctrlProp" Target="../ctrlProps/ctrlProp99.xml"/><Relationship Id="rId5" Type="http://schemas.openxmlformats.org/officeDocument/2006/relationships/ctrlProp" Target="../ctrlProps/ctrlProp98.xml"/><Relationship Id="rId4" Type="http://schemas.openxmlformats.org/officeDocument/2006/relationships/ctrlProp" Target="../ctrlProps/ctrlProp97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Relationship Id="rId6" Type="http://schemas.openxmlformats.org/officeDocument/2006/relationships/ctrlProp" Target="../ctrlProps/ctrlProp102.xml"/><Relationship Id="rId5" Type="http://schemas.openxmlformats.org/officeDocument/2006/relationships/ctrlProp" Target="../ctrlProps/ctrlProp101.xml"/><Relationship Id="rId4" Type="http://schemas.openxmlformats.org/officeDocument/2006/relationships/ctrlProp" Target="../ctrlProps/ctrlProp100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Relationship Id="rId6" Type="http://schemas.openxmlformats.org/officeDocument/2006/relationships/ctrlProp" Target="../ctrlProps/ctrlProp105.xml"/><Relationship Id="rId5" Type="http://schemas.openxmlformats.org/officeDocument/2006/relationships/ctrlProp" Target="../ctrlProps/ctrlProp104.xml"/><Relationship Id="rId4" Type="http://schemas.openxmlformats.org/officeDocument/2006/relationships/ctrlProp" Target="../ctrlProps/ctrlProp103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Relationship Id="rId6" Type="http://schemas.openxmlformats.org/officeDocument/2006/relationships/ctrlProp" Target="../ctrlProps/ctrlProp108.xml"/><Relationship Id="rId5" Type="http://schemas.openxmlformats.org/officeDocument/2006/relationships/ctrlProp" Target="../ctrlProps/ctrlProp107.xml"/><Relationship Id="rId4" Type="http://schemas.openxmlformats.org/officeDocument/2006/relationships/ctrlProp" Target="../ctrlProps/ctrlProp10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Relationship Id="rId6" Type="http://schemas.openxmlformats.org/officeDocument/2006/relationships/ctrlProp" Target="../ctrlProps/ctrlProp111.xml"/><Relationship Id="rId5" Type="http://schemas.openxmlformats.org/officeDocument/2006/relationships/ctrlProp" Target="../ctrlProps/ctrlProp110.xml"/><Relationship Id="rId4" Type="http://schemas.openxmlformats.org/officeDocument/2006/relationships/ctrlProp" Target="../ctrlProps/ctrlProp109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Relationship Id="rId6" Type="http://schemas.openxmlformats.org/officeDocument/2006/relationships/ctrlProp" Target="../ctrlProps/ctrlProp114.xml"/><Relationship Id="rId5" Type="http://schemas.openxmlformats.org/officeDocument/2006/relationships/ctrlProp" Target="../ctrlProps/ctrlProp113.xml"/><Relationship Id="rId4" Type="http://schemas.openxmlformats.org/officeDocument/2006/relationships/ctrlProp" Target="../ctrlProps/ctrlProp112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Relationship Id="rId6" Type="http://schemas.openxmlformats.org/officeDocument/2006/relationships/ctrlProp" Target="../ctrlProps/ctrlProp117.xml"/><Relationship Id="rId5" Type="http://schemas.openxmlformats.org/officeDocument/2006/relationships/ctrlProp" Target="../ctrlProps/ctrlProp116.xml"/><Relationship Id="rId4" Type="http://schemas.openxmlformats.org/officeDocument/2006/relationships/ctrlProp" Target="../ctrlProps/ctrlProp115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Relationship Id="rId6" Type="http://schemas.openxmlformats.org/officeDocument/2006/relationships/ctrlProp" Target="../ctrlProps/ctrlProp120.xml"/><Relationship Id="rId5" Type="http://schemas.openxmlformats.org/officeDocument/2006/relationships/ctrlProp" Target="../ctrlProps/ctrlProp119.xml"/><Relationship Id="rId4" Type="http://schemas.openxmlformats.org/officeDocument/2006/relationships/ctrlProp" Target="../ctrlProps/ctrlProp118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Relationship Id="rId6" Type="http://schemas.openxmlformats.org/officeDocument/2006/relationships/ctrlProp" Target="../ctrlProps/ctrlProp123.xml"/><Relationship Id="rId5" Type="http://schemas.openxmlformats.org/officeDocument/2006/relationships/ctrlProp" Target="../ctrlProps/ctrlProp122.xml"/><Relationship Id="rId4" Type="http://schemas.openxmlformats.org/officeDocument/2006/relationships/ctrlProp" Target="../ctrlProps/ctrlProp121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Relationship Id="rId6" Type="http://schemas.openxmlformats.org/officeDocument/2006/relationships/ctrlProp" Target="../ctrlProps/ctrlProp126.xml"/><Relationship Id="rId5" Type="http://schemas.openxmlformats.org/officeDocument/2006/relationships/ctrlProp" Target="../ctrlProps/ctrlProp125.xml"/><Relationship Id="rId4" Type="http://schemas.openxmlformats.org/officeDocument/2006/relationships/ctrlProp" Target="../ctrlProps/ctrlProp124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Relationship Id="rId6" Type="http://schemas.openxmlformats.org/officeDocument/2006/relationships/ctrlProp" Target="../ctrlProps/ctrlProp129.xml"/><Relationship Id="rId5" Type="http://schemas.openxmlformats.org/officeDocument/2006/relationships/ctrlProp" Target="../ctrlProps/ctrlProp128.xml"/><Relationship Id="rId4" Type="http://schemas.openxmlformats.org/officeDocument/2006/relationships/ctrlProp" Target="../ctrlProps/ctrlProp127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Relationship Id="rId6" Type="http://schemas.openxmlformats.org/officeDocument/2006/relationships/ctrlProp" Target="../ctrlProps/ctrlProp132.xml"/><Relationship Id="rId5" Type="http://schemas.openxmlformats.org/officeDocument/2006/relationships/ctrlProp" Target="../ctrlProps/ctrlProp131.xml"/><Relationship Id="rId4" Type="http://schemas.openxmlformats.org/officeDocument/2006/relationships/ctrlProp" Target="../ctrlProps/ctrlProp130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Relationship Id="rId6" Type="http://schemas.openxmlformats.org/officeDocument/2006/relationships/ctrlProp" Target="../ctrlProps/ctrlProp135.xml"/><Relationship Id="rId5" Type="http://schemas.openxmlformats.org/officeDocument/2006/relationships/ctrlProp" Target="../ctrlProps/ctrlProp134.xml"/><Relationship Id="rId4" Type="http://schemas.openxmlformats.org/officeDocument/2006/relationships/ctrlProp" Target="../ctrlProps/ctrlProp133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Relationship Id="rId6" Type="http://schemas.openxmlformats.org/officeDocument/2006/relationships/ctrlProp" Target="../ctrlProps/ctrlProp138.xml"/><Relationship Id="rId5" Type="http://schemas.openxmlformats.org/officeDocument/2006/relationships/ctrlProp" Target="../ctrlProps/ctrlProp137.xml"/><Relationship Id="rId4" Type="http://schemas.openxmlformats.org/officeDocument/2006/relationships/ctrlProp" Target="../ctrlProps/ctrlProp136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Relationship Id="rId6" Type="http://schemas.openxmlformats.org/officeDocument/2006/relationships/ctrlProp" Target="../ctrlProps/ctrlProp141.xml"/><Relationship Id="rId5" Type="http://schemas.openxmlformats.org/officeDocument/2006/relationships/ctrlProp" Target="../ctrlProps/ctrlProp140.xml"/><Relationship Id="rId4" Type="http://schemas.openxmlformats.org/officeDocument/2006/relationships/ctrlProp" Target="../ctrlProps/ctrlProp139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Relationship Id="rId6" Type="http://schemas.openxmlformats.org/officeDocument/2006/relationships/ctrlProp" Target="../ctrlProps/ctrlProp144.xml"/><Relationship Id="rId5" Type="http://schemas.openxmlformats.org/officeDocument/2006/relationships/ctrlProp" Target="../ctrlProps/ctrlProp143.xml"/><Relationship Id="rId4" Type="http://schemas.openxmlformats.org/officeDocument/2006/relationships/ctrlProp" Target="../ctrlProps/ctrlProp142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Relationship Id="rId6" Type="http://schemas.openxmlformats.org/officeDocument/2006/relationships/ctrlProp" Target="../ctrlProps/ctrlProp147.xml"/><Relationship Id="rId5" Type="http://schemas.openxmlformats.org/officeDocument/2006/relationships/ctrlProp" Target="../ctrlProps/ctrlProp146.xml"/><Relationship Id="rId4" Type="http://schemas.openxmlformats.org/officeDocument/2006/relationships/ctrlProp" Target="../ctrlProps/ctrlProp145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Relationship Id="rId6" Type="http://schemas.openxmlformats.org/officeDocument/2006/relationships/ctrlProp" Target="../ctrlProps/ctrlProp150.xml"/><Relationship Id="rId5" Type="http://schemas.openxmlformats.org/officeDocument/2006/relationships/ctrlProp" Target="../ctrlProps/ctrlProp149.xml"/><Relationship Id="rId4" Type="http://schemas.openxmlformats.org/officeDocument/2006/relationships/ctrlProp" Target="../ctrlProps/ctrlProp148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Relationship Id="rId6" Type="http://schemas.openxmlformats.org/officeDocument/2006/relationships/ctrlProp" Target="../ctrlProps/ctrlProp153.xml"/><Relationship Id="rId5" Type="http://schemas.openxmlformats.org/officeDocument/2006/relationships/ctrlProp" Target="../ctrlProps/ctrlProp152.xml"/><Relationship Id="rId4" Type="http://schemas.openxmlformats.org/officeDocument/2006/relationships/ctrlProp" Target="../ctrlProps/ctrlProp151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Relationship Id="rId6" Type="http://schemas.openxmlformats.org/officeDocument/2006/relationships/ctrlProp" Target="../ctrlProps/ctrlProp156.xml"/><Relationship Id="rId5" Type="http://schemas.openxmlformats.org/officeDocument/2006/relationships/ctrlProp" Target="../ctrlProps/ctrlProp155.xml"/><Relationship Id="rId4" Type="http://schemas.openxmlformats.org/officeDocument/2006/relationships/ctrlProp" Target="../ctrlProps/ctrlProp154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Relationship Id="rId6" Type="http://schemas.openxmlformats.org/officeDocument/2006/relationships/ctrlProp" Target="../ctrlProps/ctrlProp159.xml"/><Relationship Id="rId5" Type="http://schemas.openxmlformats.org/officeDocument/2006/relationships/ctrlProp" Target="../ctrlProps/ctrlProp158.xml"/><Relationship Id="rId4" Type="http://schemas.openxmlformats.org/officeDocument/2006/relationships/ctrlProp" Target="../ctrlProps/ctrlProp157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5.bin"/><Relationship Id="rId6" Type="http://schemas.openxmlformats.org/officeDocument/2006/relationships/ctrlProp" Target="../ctrlProps/ctrlProp162.xml"/><Relationship Id="rId5" Type="http://schemas.openxmlformats.org/officeDocument/2006/relationships/ctrlProp" Target="../ctrlProps/ctrlProp161.xml"/><Relationship Id="rId4" Type="http://schemas.openxmlformats.org/officeDocument/2006/relationships/ctrlProp" Target="../ctrlProps/ctrlProp160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5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6.bin"/><Relationship Id="rId6" Type="http://schemas.openxmlformats.org/officeDocument/2006/relationships/ctrlProp" Target="../ctrlProps/ctrlProp165.xml"/><Relationship Id="rId5" Type="http://schemas.openxmlformats.org/officeDocument/2006/relationships/ctrlProp" Target="../ctrlProps/ctrlProp164.xml"/><Relationship Id="rId4" Type="http://schemas.openxmlformats.org/officeDocument/2006/relationships/ctrlProp" Target="../ctrlProps/ctrlProp163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7.bin"/><Relationship Id="rId6" Type="http://schemas.openxmlformats.org/officeDocument/2006/relationships/ctrlProp" Target="../ctrlProps/ctrlProp168.xml"/><Relationship Id="rId5" Type="http://schemas.openxmlformats.org/officeDocument/2006/relationships/ctrlProp" Target="../ctrlProps/ctrlProp167.xml"/><Relationship Id="rId4" Type="http://schemas.openxmlformats.org/officeDocument/2006/relationships/ctrlProp" Target="../ctrlProps/ctrlProp166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7.vml"/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8.bin"/><Relationship Id="rId6" Type="http://schemas.openxmlformats.org/officeDocument/2006/relationships/ctrlProp" Target="../ctrlProps/ctrlProp171.xml"/><Relationship Id="rId5" Type="http://schemas.openxmlformats.org/officeDocument/2006/relationships/ctrlProp" Target="../ctrlProps/ctrlProp170.xml"/><Relationship Id="rId4" Type="http://schemas.openxmlformats.org/officeDocument/2006/relationships/ctrlProp" Target="../ctrlProps/ctrlProp169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9.bin"/><Relationship Id="rId6" Type="http://schemas.openxmlformats.org/officeDocument/2006/relationships/ctrlProp" Target="../ctrlProps/ctrlProp174.xml"/><Relationship Id="rId5" Type="http://schemas.openxmlformats.org/officeDocument/2006/relationships/ctrlProp" Target="../ctrlProps/ctrlProp173.xml"/><Relationship Id="rId4" Type="http://schemas.openxmlformats.org/officeDocument/2006/relationships/ctrlProp" Target="../ctrlProps/ctrlProp172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9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0.bin"/><Relationship Id="rId6" Type="http://schemas.openxmlformats.org/officeDocument/2006/relationships/ctrlProp" Target="../ctrlProps/ctrlProp177.xml"/><Relationship Id="rId5" Type="http://schemas.openxmlformats.org/officeDocument/2006/relationships/ctrlProp" Target="../ctrlProps/ctrlProp176.xml"/><Relationship Id="rId4" Type="http://schemas.openxmlformats.org/officeDocument/2006/relationships/ctrlProp" Target="../ctrlProps/ctrlProp175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1.bin"/><Relationship Id="rId6" Type="http://schemas.openxmlformats.org/officeDocument/2006/relationships/ctrlProp" Target="../ctrlProps/ctrlProp180.xml"/><Relationship Id="rId5" Type="http://schemas.openxmlformats.org/officeDocument/2006/relationships/ctrlProp" Target="../ctrlProps/ctrlProp179.xml"/><Relationship Id="rId4" Type="http://schemas.openxmlformats.org/officeDocument/2006/relationships/ctrlProp" Target="../ctrlProps/ctrlProp178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2.bin"/><Relationship Id="rId6" Type="http://schemas.openxmlformats.org/officeDocument/2006/relationships/ctrlProp" Target="../ctrlProps/ctrlProp183.xml"/><Relationship Id="rId5" Type="http://schemas.openxmlformats.org/officeDocument/2006/relationships/ctrlProp" Target="../ctrlProps/ctrlProp182.xml"/><Relationship Id="rId4" Type="http://schemas.openxmlformats.org/officeDocument/2006/relationships/ctrlProp" Target="../ctrlProps/ctrlProp181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3.bin"/><Relationship Id="rId6" Type="http://schemas.openxmlformats.org/officeDocument/2006/relationships/ctrlProp" Target="../ctrlProps/ctrlProp186.xml"/><Relationship Id="rId5" Type="http://schemas.openxmlformats.org/officeDocument/2006/relationships/ctrlProp" Target="../ctrlProps/ctrlProp185.xml"/><Relationship Id="rId4" Type="http://schemas.openxmlformats.org/officeDocument/2006/relationships/ctrlProp" Target="../ctrlProps/ctrlProp184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3.vml"/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4.bin"/><Relationship Id="rId6" Type="http://schemas.openxmlformats.org/officeDocument/2006/relationships/ctrlProp" Target="../ctrlProps/ctrlProp189.xml"/><Relationship Id="rId5" Type="http://schemas.openxmlformats.org/officeDocument/2006/relationships/ctrlProp" Target="../ctrlProps/ctrlProp188.xml"/><Relationship Id="rId4" Type="http://schemas.openxmlformats.org/officeDocument/2006/relationships/ctrlProp" Target="../ctrlProps/ctrlProp187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4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5.bin"/><Relationship Id="rId6" Type="http://schemas.openxmlformats.org/officeDocument/2006/relationships/ctrlProp" Target="../ctrlProps/ctrlProp192.xml"/><Relationship Id="rId5" Type="http://schemas.openxmlformats.org/officeDocument/2006/relationships/ctrlProp" Target="../ctrlProps/ctrlProp191.xml"/><Relationship Id="rId4" Type="http://schemas.openxmlformats.org/officeDocument/2006/relationships/ctrlProp" Target="../ctrlProps/ctrlProp190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5.vml"/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6.bin"/><Relationship Id="rId6" Type="http://schemas.openxmlformats.org/officeDocument/2006/relationships/ctrlProp" Target="../ctrlProps/ctrlProp195.xml"/><Relationship Id="rId5" Type="http://schemas.openxmlformats.org/officeDocument/2006/relationships/ctrlProp" Target="../ctrlProps/ctrlProp194.xml"/><Relationship Id="rId4" Type="http://schemas.openxmlformats.org/officeDocument/2006/relationships/ctrlProp" Target="../ctrlProps/ctrlProp193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6.vml"/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7.bin"/><Relationship Id="rId6" Type="http://schemas.openxmlformats.org/officeDocument/2006/relationships/ctrlProp" Target="../ctrlProps/ctrlProp198.xml"/><Relationship Id="rId5" Type="http://schemas.openxmlformats.org/officeDocument/2006/relationships/ctrlProp" Target="../ctrlProps/ctrlProp197.xml"/><Relationship Id="rId4" Type="http://schemas.openxmlformats.org/officeDocument/2006/relationships/ctrlProp" Target="../ctrlProps/ctrlProp196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7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8.bin"/><Relationship Id="rId6" Type="http://schemas.openxmlformats.org/officeDocument/2006/relationships/ctrlProp" Target="../ctrlProps/ctrlProp201.xml"/><Relationship Id="rId5" Type="http://schemas.openxmlformats.org/officeDocument/2006/relationships/ctrlProp" Target="../ctrlProps/ctrlProp200.xml"/><Relationship Id="rId4" Type="http://schemas.openxmlformats.org/officeDocument/2006/relationships/ctrlProp" Target="../ctrlProps/ctrlProp199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8.vml"/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9.bin"/><Relationship Id="rId6" Type="http://schemas.openxmlformats.org/officeDocument/2006/relationships/ctrlProp" Target="../ctrlProps/ctrlProp204.xml"/><Relationship Id="rId5" Type="http://schemas.openxmlformats.org/officeDocument/2006/relationships/ctrlProp" Target="../ctrlProps/ctrlProp203.xml"/><Relationship Id="rId4" Type="http://schemas.openxmlformats.org/officeDocument/2006/relationships/ctrlProp" Target="../ctrlProps/ctrlProp202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9.vml"/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0.bin"/><Relationship Id="rId6" Type="http://schemas.openxmlformats.org/officeDocument/2006/relationships/ctrlProp" Target="../ctrlProps/ctrlProp207.xml"/><Relationship Id="rId5" Type="http://schemas.openxmlformats.org/officeDocument/2006/relationships/ctrlProp" Target="../ctrlProps/ctrlProp206.xml"/><Relationship Id="rId4" Type="http://schemas.openxmlformats.org/officeDocument/2006/relationships/ctrlProp" Target="../ctrlProps/ctrlProp205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0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1.bin"/><Relationship Id="rId6" Type="http://schemas.openxmlformats.org/officeDocument/2006/relationships/ctrlProp" Target="../ctrlProps/ctrlProp210.xml"/><Relationship Id="rId5" Type="http://schemas.openxmlformats.org/officeDocument/2006/relationships/ctrlProp" Target="../ctrlProps/ctrlProp209.xml"/><Relationship Id="rId4" Type="http://schemas.openxmlformats.org/officeDocument/2006/relationships/ctrlProp" Target="../ctrlProps/ctrlProp208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1.vml"/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2.bin"/><Relationship Id="rId6" Type="http://schemas.openxmlformats.org/officeDocument/2006/relationships/ctrlProp" Target="../ctrlProps/ctrlProp213.xml"/><Relationship Id="rId5" Type="http://schemas.openxmlformats.org/officeDocument/2006/relationships/ctrlProp" Target="../ctrlProps/ctrlProp212.xml"/><Relationship Id="rId4" Type="http://schemas.openxmlformats.org/officeDocument/2006/relationships/ctrlProp" Target="../ctrlProps/ctrlProp211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2.vml"/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3.bin"/><Relationship Id="rId6" Type="http://schemas.openxmlformats.org/officeDocument/2006/relationships/ctrlProp" Target="../ctrlProps/ctrlProp216.xml"/><Relationship Id="rId5" Type="http://schemas.openxmlformats.org/officeDocument/2006/relationships/ctrlProp" Target="../ctrlProps/ctrlProp215.xml"/><Relationship Id="rId4" Type="http://schemas.openxmlformats.org/officeDocument/2006/relationships/ctrlProp" Target="../ctrlProps/ctrlProp214.xm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3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4.bin"/><Relationship Id="rId6" Type="http://schemas.openxmlformats.org/officeDocument/2006/relationships/ctrlProp" Target="../ctrlProps/ctrlProp219.xml"/><Relationship Id="rId5" Type="http://schemas.openxmlformats.org/officeDocument/2006/relationships/ctrlProp" Target="../ctrlProps/ctrlProp218.xml"/><Relationship Id="rId4" Type="http://schemas.openxmlformats.org/officeDocument/2006/relationships/ctrlProp" Target="../ctrlProps/ctrlProp217.x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4.vml"/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5.bin"/><Relationship Id="rId6" Type="http://schemas.openxmlformats.org/officeDocument/2006/relationships/ctrlProp" Target="../ctrlProps/ctrlProp222.xml"/><Relationship Id="rId5" Type="http://schemas.openxmlformats.org/officeDocument/2006/relationships/ctrlProp" Target="../ctrlProps/ctrlProp221.xml"/><Relationship Id="rId4" Type="http://schemas.openxmlformats.org/officeDocument/2006/relationships/ctrlProp" Target="../ctrlProps/ctrlProp220.xm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5.vml"/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6.bin"/><Relationship Id="rId6" Type="http://schemas.openxmlformats.org/officeDocument/2006/relationships/ctrlProp" Target="../ctrlProps/ctrlProp225.xml"/><Relationship Id="rId5" Type="http://schemas.openxmlformats.org/officeDocument/2006/relationships/ctrlProp" Target="../ctrlProps/ctrlProp224.xml"/><Relationship Id="rId4" Type="http://schemas.openxmlformats.org/officeDocument/2006/relationships/ctrlProp" Target="../ctrlProps/ctrlProp223.xm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7.bin"/><Relationship Id="rId6" Type="http://schemas.openxmlformats.org/officeDocument/2006/relationships/ctrlProp" Target="../ctrlProps/ctrlProp228.xml"/><Relationship Id="rId5" Type="http://schemas.openxmlformats.org/officeDocument/2006/relationships/ctrlProp" Target="../ctrlProps/ctrlProp227.xml"/><Relationship Id="rId4" Type="http://schemas.openxmlformats.org/officeDocument/2006/relationships/ctrlProp" Target="../ctrlProps/ctrlProp226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7.vml"/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8.bin"/><Relationship Id="rId6" Type="http://schemas.openxmlformats.org/officeDocument/2006/relationships/ctrlProp" Target="../ctrlProps/ctrlProp231.xml"/><Relationship Id="rId5" Type="http://schemas.openxmlformats.org/officeDocument/2006/relationships/ctrlProp" Target="../ctrlProps/ctrlProp230.xml"/><Relationship Id="rId4" Type="http://schemas.openxmlformats.org/officeDocument/2006/relationships/ctrlProp" Target="../ctrlProps/ctrlProp229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8.vml"/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9.bin"/><Relationship Id="rId6" Type="http://schemas.openxmlformats.org/officeDocument/2006/relationships/ctrlProp" Target="../ctrlProps/ctrlProp234.xml"/><Relationship Id="rId5" Type="http://schemas.openxmlformats.org/officeDocument/2006/relationships/ctrlProp" Target="../ctrlProps/ctrlProp233.xml"/><Relationship Id="rId4" Type="http://schemas.openxmlformats.org/officeDocument/2006/relationships/ctrlProp" Target="../ctrlProps/ctrlProp232.xm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9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0.bin"/><Relationship Id="rId6" Type="http://schemas.openxmlformats.org/officeDocument/2006/relationships/ctrlProp" Target="../ctrlProps/ctrlProp237.xml"/><Relationship Id="rId5" Type="http://schemas.openxmlformats.org/officeDocument/2006/relationships/ctrlProp" Target="../ctrlProps/ctrlProp236.xml"/><Relationship Id="rId4" Type="http://schemas.openxmlformats.org/officeDocument/2006/relationships/ctrlProp" Target="../ctrlProps/ctrlProp235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0.vml"/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1.bin"/><Relationship Id="rId6" Type="http://schemas.openxmlformats.org/officeDocument/2006/relationships/ctrlProp" Target="../ctrlProps/ctrlProp240.xml"/><Relationship Id="rId5" Type="http://schemas.openxmlformats.org/officeDocument/2006/relationships/ctrlProp" Target="../ctrlProps/ctrlProp239.xml"/><Relationship Id="rId4" Type="http://schemas.openxmlformats.org/officeDocument/2006/relationships/ctrlProp" Target="../ctrlProps/ctrlProp238.xm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1.vml"/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2.bin"/><Relationship Id="rId6" Type="http://schemas.openxmlformats.org/officeDocument/2006/relationships/ctrlProp" Target="../ctrlProps/ctrlProp243.xml"/><Relationship Id="rId5" Type="http://schemas.openxmlformats.org/officeDocument/2006/relationships/ctrlProp" Target="../ctrlProps/ctrlProp242.xml"/><Relationship Id="rId4" Type="http://schemas.openxmlformats.org/officeDocument/2006/relationships/ctrlProp" Target="../ctrlProps/ctrlProp241.x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2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3.bin"/><Relationship Id="rId6" Type="http://schemas.openxmlformats.org/officeDocument/2006/relationships/ctrlProp" Target="../ctrlProps/ctrlProp246.xml"/><Relationship Id="rId5" Type="http://schemas.openxmlformats.org/officeDocument/2006/relationships/ctrlProp" Target="../ctrlProps/ctrlProp245.xml"/><Relationship Id="rId4" Type="http://schemas.openxmlformats.org/officeDocument/2006/relationships/ctrlProp" Target="../ctrlProps/ctrlProp244.xm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3.vml"/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4.bin"/><Relationship Id="rId6" Type="http://schemas.openxmlformats.org/officeDocument/2006/relationships/ctrlProp" Target="../ctrlProps/ctrlProp249.xml"/><Relationship Id="rId5" Type="http://schemas.openxmlformats.org/officeDocument/2006/relationships/ctrlProp" Target="../ctrlProps/ctrlProp248.xml"/><Relationship Id="rId4" Type="http://schemas.openxmlformats.org/officeDocument/2006/relationships/ctrlProp" Target="../ctrlProps/ctrlProp247.xm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4.vml"/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5.bin"/><Relationship Id="rId6" Type="http://schemas.openxmlformats.org/officeDocument/2006/relationships/ctrlProp" Target="../ctrlProps/ctrlProp252.xml"/><Relationship Id="rId5" Type="http://schemas.openxmlformats.org/officeDocument/2006/relationships/ctrlProp" Target="../ctrlProps/ctrlProp251.xml"/><Relationship Id="rId4" Type="http://schemas.openxmlformats.org/officeDocument/2006/relationships/ctrlProp" Target="../ctrlProps/ctrlProp250.xm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5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6.bin"/><Relationship Id="rId6" Type="http://schemas.openxmlformats.org/officeDocument/2006/relationships/ctrlProp" Target="../ctrlProps/ctrlProp255.xml"/><Relationship Id="rId5" Type="http://schemas.openxmlformats.org/officeDocument/2006/relationships/ctrlProp" Target="../ctrlProps/ctrlProp254.xml"/><Relationship Id="rId4" Type="http://schemas.openxmlformats.org/officeDocument/2006/relationships/ctrlProp" Target="../ctrlProps/ctrlProp253.xml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6.vml"/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7.bin"/><Relationship Id="rId6" Type="http://schemas.openxmlformats.org/officeDocument/2006/relationships/ctrlProp" Target="../ctrlProps/ctrlProp258.xml"/><Relationship Id="rId5" Type="http://schemas.openxmlformats.org/officeDocument/2006/relationships/ctrlProp" Target="../ctrlProps/ctrlProp257.xml"/><Relationship Id="rId4" Type="http://schemas.openxmlformats.org/officeDocument/2006/relationships/ctrlProp" Target="../ctrlProps/ctrlProp256.xm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7.vml"/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8.bin"/><Relationship Id="rId6" Type="http://schemas.openxmlformats.org/officeDocument/2006/relationships/ctrlProp" Target="../ctrlProps/ctrlProp261.xml"/><Relationship Id="rId5" Type="http://schemas.openxmlformats.org/officeDocument/2006/relationships/ctrlProp" Target="../ctrlProps/ctrlProp260.xml"/><Relationship Id="rId4" Type="http://schemas.openxmlformats.org/officeDocument/2006/relationships/ctrlProp" Target="../ctrlProps/ctrlProp259.xml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8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9.bin"/><Relationship Id="rId6" Type="http://schemas.openxmlformats.org/officeDocument/2006/relationships/ctrlProp" Target="../ctrlProps/ctrlProp264.xml"/><Relationship Id="rId5" Type="http://schemas.openxmlformats.org/officeDocument/2006/relationships/ctrlProp" Target="../ctrlProps/ctrlProp263.xml"/><Relationship Id="rId4" Type="http://schemas.openxmlformats.org/officeDocument/2006/relationships/ctrlProp" Target="../ctrlProps/ctrlProp262.xm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9.vml"/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90.bin"/><Relationship Id="rId6" Type="http://schemas.openxmlformats.org/officeDocument/2006/relationships/ctrlProp" Target="../ctrlProps/ctrlProp267.xml"/><Relationship Id="rId5" Type="http://schemas.openxmlformats.org/officeDocument/2006/relationships/ctrlProp" Target="../ctrlProps/ctrlProp266.xml"/><Relationship Id="rId4" Type="http://schemas.openxmlformats.org/officeDocument/2006/relationships/ctrlProp" Target="../ctrlProps/ctrlProp265.xm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0.vml"/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1.bin"/><Relationship Id="rId6" Type="http://schemas.openxmlformats.org/officeDocument/2006/relationships/ctrlProp" Target="../ctrlProps/ctrlProp270.xml"/><Relationship Id="rId5" Type="http://schemas.openxmlformats.org/officeDocument/2006/relationships/ctrlProp" Target="../ctrlProps/ctrlProp269.xml"/><Relationship Id="rId4" Type="http://schemas.openxmlformats.org/officeDocument/2006/relationships/ctrlProp" Target="../ctrlProps/ctrlProp268.xm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2.bin"/><Relationship Id="rId6" Type="http://schemas.openxmlformats.org/officeDocument/2006/relationships/ctrlProp" Target="../ctrlProps/ctrlProp273.xml"/><Relationship Id="rId5" Type="http://schemas.openxmlformats.org/officeDocument/2006/relationships/ctrlProp" Target="../ctrlProps/ctrlProp272.xml"/><Relationship Id="rId4" Type="http://schemas.openxmlformats.org/officeDocument/2006/relationships/ctrlProp" Target="../ctrlProps/ctrlProp271.xm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2.vml"/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3.bin"/><Relationship Id="rId6" Type="http://schemas.openxmlformats.org/officeDocument/2006/relationships/ctrlProp" Target="../ctrlProps/ctrlProp276.xml"/><Relationship Id="rId5" Type="http://schemas.openxmlformats.org/officeDocument/2006/relationships/ctrlProp" Target="../ctrlProps/ctrlProp275.xml"/><Relationship Id="rId4" Type="http://schemas.openxmlformats.org/officeDocument/2006/relationships/ctrlProp" Target="../ctrlProps/ctrlProp274.xm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3.vml"/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4.bin"/><Relationship Id="rId6" Type="http://schemas.openxmlformats.org/officeDocument/2006/relationships/ctrlProp" Target="../ctrlProps/ctrlProp279.xml"/><Relationship Id="rId5" Type="http://schemas.openxmlformats.org/officeDocument/2006/relationships/ctrlProp" Target="../ctrlProps/ctrlProp278.xml"/><Relationship Id="rId4" Type="http://schemas.openxmlformats.org/officeDocument/2006/relationships/ctrlProp" Target="../ctrlProps/ctrlProp277.xml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4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5.bin"/><Relationship Id="rId6" Type="http://schemas.openxmlformats.org/officeDocument/2006/relationships/ctrlProp" Target="../ctrlProps/ctrlProp282.xml"/><Relationship Id="rId5" Type="http://schemas.openxmlformats.org/officeDocument/2006/relationships/ctrlProp" Target="../ctrlProps/ctrlProp281.xml"/><Relationship Id="rId4" Type="http://schemas.openxmlformats.org/officeDocument/2006/relationships/ctrlProp" Target="../ctrlProps/ctrlProp280.xm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5.vml"/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6.bin"/><Relationship Id="rId6" Type="http://schemas.openxmlformats.org/officeDocument/2006/relationships/ctrlProp" Target="../ctrlProps/ctrlProp285.xml"/><Relationship Id="rId5" Type="http://schemas.openxmlformats.org/officeDocument/2006/relationships/ctrlProp" Target="../ctrlProps/ctrlProp284.xml"/><Relationship Id="rId4" Type="http://schemas.openxmlformats.org/officeDocument/2006/relationships/ctrlProp" Target="../ctrlProps/ctrlProp283.xm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6.vml"/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7.bin"/><Relationship Id="rId6" Type="http://schemas.openxmlformats.org/officeDocument/2006/relationships/ctrlProp" Target="../ctrlProps/ctrlProp288.xml"/><Relationship Id="rId5" Type="http://schemas.openxmlformats.org/officeDocument/2006/relationships/ctrlProp" Target="../ctrlProps/ctrlProp287.xml"/><Relationship Id="rId4" Type="http://schemas.openxmlformats.org/officeDocument/2006/relationships/ctrlProp" Target="../ctrlProps/ctrlProp286.xm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7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8.bin"/><Relationship Id="rId6" Type="http://schemas.openxmlformats.org/officeDocument/2006/relationships/ctrlProp" Target="../ctrlProps/ctrlProp291.xml"/><Relationship Id="rId5" Type="http://schemas.openxmlformats.org/officeDocument/2006/relationships/ctrlProp" Target="../ctrlProps/ctrlProp290.xml"/><Relationship Id="rId4" Type="http://schemas.openxmlformats.org/officeDocument/2006/relationships/ctrlProp" Target="../ctrlProps/ctrlProp289.xm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8.vml"/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9.bin"/><Relationship Id="rId6" Type="http://schemas.openxmlformats.org/officeDocument/2006/relationships/ctrlProp" Target="../ctrlProps/ctrlProp294.xml"/><Relationship Id="rId5" Type="http://schemas.openxmlformats.org/officeDocument/2006/relationships/ctrlProp" Target="../ctrlProps/ctrlProp293.xml"/><Relationship Id="rId4" Type="http://schemas.openxmlformats.org/officeDocument/2006/relationships/ctrlProp" Target="../ctrlProps/ctrlProp292.xm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9.vml"/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00.bin"/><Relationship Id="rId6" Type="http://schemas.openxmlformats.org/officeDocument/2006/relationships/ctrlProp" Target="../ctrlProps/ctrlProp297.xml"/><Relationship Id="rId5" Type="http://schemas.openxmlformats.org/officeDocument/2006/relationships/ctrlProp" Target="../ctrlProps/ctrlProp296.xml"/><Relationship Id="rId4" Type="http://schemas.openxmlformats.org/officeDocument/2006/relationships/ctrlProp" Target="../ctrlProps/ctrlProp295.xml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0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1.bin"/><Relationship Id="rId6" Type="http://schemas.openxmlformats.org/officeDocument/2006/relationships/ctrlProp" Target="../ctrlProps/ctrlProp300.xml"/><Relationship Id="rId5" Type="http://schemas.openxmlformats.org/officeDocument/2006/relationships/ctrlProp" Target="../ctrlProps/ctrlProp299.xml"/><Relationship Id="rId4" Type="http://schemas.openxmlformats.org/officeDocument/2006/relationships/ctrlProp" Target="../ctrlProps/ctrlProp298.xm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1.vml"/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2.bin"/><Relationship Id="rId6" Type="http://schemas.openxmlformats.org/officeDocument/2006/relationships/ctrlProp" Target="../ctrlProps/ctrlProp303.xml"/><Relationship Id="rId5" Type="http://schemas.openxmlformats.org/officeDocument/2006/relationships/ctrlProp" Target="../ctrlProps/ctrlProp302.xml"/><Relationship Id="rId4" Type="http://schemas.openxmlformats.org/officeDocument/2006/relationships/ctrlProp" Target="../ctrlProps/ctrlProp301.xm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2.vml"/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3.bin"/><Relationship Id="rId6" Type="http://schemas.openxmlformats.org/officeDocument/2006/relationships/ctrlProp" Target="../ctrlProps/ctrlProp306.xml"/><Relationship Id="rId5" Type="http://schemas.openxmlformats.org/officeDocument/2006/relationships/ctrlProp" Target="../ctrlProps/ctrlProp305.xml"/><Relationship Id="rId4" Type="http://schemas.openxmlformats.org/officeDocument/2006/relationships/ctrlProp" Target="../ctrlProps/ctrlProp304.xml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3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4.bin"/><Relationship Id="rId6" Type="http://schemas.openxmlformats.org/officeDocument/2006/relationships/ctrlProp" Target="../ctrlProps/ctrlProp309.xml"/><Relationship Id="rId5" Type="http://schemas.openxmlformats.org/officeDocument/2006/relationships/ctrlProp" Target="../ctrlProps/ctrlProp308.xml"/><Relationship Id="rId4" Type="http://schemas.openxmlformats.org/officeDocument/2006/relationships/ctrlProp" Target="../ctrlProps/ctrlProp307.xm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4.vml"/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5.bin"/><Relationship Id="rId6" Type="http://schemas.openxmlformats.org/officeDocument/2006/relationships/ctrlProp" Target="../ctrlProps/ctrlProp312.xml"/><Relationship Id="rId5" Type="http://schemas.openxmlformats.org/officeDocument/2006/relationships/ctrlProp" Target="../ctrlProps/ctrlProp311.xml"/><Relationship Id="rId4" Type="http://schemas.openxmlformats.org/officeDocument/2006/relationships/ctrlProp" Target="../ctrlProps/ctrlProp310.xm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5.vml"/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6.bin"/><Relationship Id="rId6" Type="http://schemas.openxmlformats.org/officeDocument/2006/relationships/ctrlProp" Target="../ctrlProps/ctrlProp315.xml"/><Relationship Id="rId5" Type="http://schemas.openxmlformats.org/officeDocument/2006/relationships/ctrlProp" Target="../ctrlProps/ctrlProp314.xml"/><Relationship Id="rId4" Type="http://schemas.openxmlformats.org/officeDocument/2006/relationships/ctrlProp" Target="../ctrlProps/ctrlProp313.xml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7.bin"/><Relationship Id="rId6" Type="http://schemas.openxmlformats.org/officeDocument/2006/relationships/ctrlProp" Target="../ctrlProps/ctrlProp318.xml"/><Relationship Id="rId5" Type="http://schemas.openxmlformats.org/officeDocument/2006/relationships/ctrlProp" Target="../ctrlProps/ctrlProp317.xml"/><Relationship Id="rId4" Type="http://schemas.openxmlformats.org/officeDocument/2006/relationships/ctrlProp" Target="../ctrlProps/ctrlProp316.xm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7.vml"/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8.bin"/><Relationship Id="rId6" Type="http://schemas.openxmlformats.org/officeDocument/2006/relationships/ctrlProp" Target="../ctrlProps/ctrlProp321.xml"/><Relationship Id="rId5" Type="http://schemas.openxmlformats.org/officeDocument/2006/relationships/ctrlProp" Target="../ctrlProps/ctrlProp320.xml"/><Relationship Id="rId4" Type="http://schemas.openxmlformats.org/officeDocument/2006/relationships/ctrlProp" Target="../ctrlProps/ctrlProp319.xm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8.vml"/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9.bin"/><Relationship Id="rId6" Type="http://schemas.openxmlformats.org/officeDocument/2006/relationships/ctrlProp" Target="../ctrlProps/ctrlProp324.xml"/><Relationship Id="rId5" Type="http://schemas.openxmlformats.org/officeDocument/2006/relationships/ctrlProp" Target="../ctrlProps/ctrlProp323.xml"/><Relationship Id="rId4" Type="http://schemas.openxmlformats.org/officeDocument/2006/relationships/ctrlProp" Target="../ctrlProps/ctrlProp322.xm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9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10.bin"/><Relationship Id="rId6" Type="http://schemas.openxmlformats.org/officeDocument/2006/relationships/ctrlProp" Target="../ctrlProps/ctrlProp327.xml"/><Relationship Id="rId5" Type="http://schemas.openxmlformats.org/officeDocument/2006/relationships/ctrlProp" Target="../ctrlProps/ctrlProp326.xml"/><Relationship Id="rId4" Type="http://schemas.openxmlformats.org/officeDocument/2006/relationships/ctrlProp" Target="../ctrlProps/ctrlProp325.xm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0.vml"/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1.bin"/><Relationship Id="rId6" Type="http://schemas.openxmlformats.org/officeDocument/2006/relationships/ctrlProp" Target="../ctrlProps/ctrlProp330.xml"/><Relationship Id="rId5" Type="http://schemas.openxmlformats.org/officeDocument/2006/relationships/ctrlProp" Target="../ctrlProps/ctrlProp329.xml"/><Relationship Id="rId4" Type="http://schemas.openxmlformats.org/officeDocument/2006/relationships/ctrlProp" Target="../ctrlProps/ctrlProp328.xml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1.vml"/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2.bin"/><Relationship Id="rId6" Type="http://schemas.openxmlformats.org/officeDocument/2006/relationships/ctrlProp" Target="../ctrlProps/ctrlProp333.xml"/><Relationship Id="rId5" Type="http://schemas.openxmlformats.org/officeDocument/2006/relationships/ctrlProp" Target="../ctrlProps/ctrlProp332.xml"/><Relationship Id="rId4" Type="http://schemas.openxmlformats.org/officeDocument/2006/relationships/ctrlProp" Target="../ctrlProps/ctrlProp331.xml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2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3.bin"/><Relationship Id="rId6" Type="http://schemas.openxmlformats.org/officeDocument/2006/relationships/ctrlProp" Target="../ctrlProps/ctrlProp336.xml"/><Relationship Id="rId5" Type="http://schemas.openxmlformats.org/officeDocument/2006/relationships/ctrlProp" Target="../ctrlProps/ctrlProp335.xml"/><Relationship Id="rId4" Type="http://schemas.openxmlformats.org/officeDocument/2006/relationships/ctrlProp" Target="../ctrlProps/ctrlProp334.xml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3.vml"/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4.bin"/><Relationship Id="rId6" Type="http://schemas.openxmlformats.org/officeDocument/2006/relationships/ctrlProp" Target="../ctrlProps/ctrlProp339.xml"/><Relationship Id="rId5" Type="http://schemas.openxmlformats.org/officeDocument/2006/relationships/ctrlProp" Target="../ctrlProps/ctrlProp338.xml"/><Relationship Id="rId4" Type="http://schemas.openxmlformats.org/officeDocument/2006/relationships/ctrlProp" Target="../ctrlProps/ctrlProp337.xml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4.vml"/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5.bin"/><Relationship Id="rId6" Type="http://schemas.openxmlformats.org/officeDocument/2006/relationships/ctrlProp" Target="../ctrlProps/ctrlProp342.xml"/><Relationship Id="rId5" Type="http://schemas.openxmlformats.org/officeDocument/2006/relationships/ctrlProp" Target="../ctrlProps/ctrlProp341.xml"/><Relationship Id="rId4" Type="http://schemas.openxmlformats.org/officeDocument/2006/relationships/ctrlProp" Target="../ctrlProps/ctrlProp340.xml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5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6.bin"/><Relationship Id="rId6" Type="http://schemas.openxmlformats.org/officeDocument/2006/relationships/ctrlProp" Target="../ctrlProps/ctrlProp345.xml"/><Relationship Id="rId5" Type="http://schemas.openxmlformats.org/officeDocument/2006/relationships/ctrlProp" Target="../ctrlProps/ctrlProp344.xml"/><Relationship Id="rId4" Type="http://schemas.openxmlformats.org/officeDocument/2006/relationships/ctrlProp" Target="../ctrlProps/ctrlProp343.xml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6.vml"/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7.bin"/><Relationship Id="rId6" Type="http://schemas.openxmlformats.org/officeDocument/2006/relationships/ctrlProp" Target="../ctrlProps/ctrlProp348.xml"/><Relationship Id="rId5" Type="http://schemas.openxmlformats.org/officeDocument/2006/relationships/ctrlProp" Target="../ctrlProps/ctrlProp347.xml"/><Relationship Id="rId4" Type="http://schemas.openxmlformats.org/officeDocument/2006/relationships/ctrlProp" Target="../ctrlProps/ctrlProp346.xml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7.vml"/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8.bin"/><Relationship Id="rId6" Type="http://schemas.openxmlformats.org/officeDocument/2006/relationships/ctrlProp" Target="../ctrlProps/ctrlProp351.xml"/><Relationship Id="rId5" Type="http://schemas.openxmlformats.org/officeDocument/2006/relationships/ctrlProp" Target="../ctrlProps/ctrlProp350.xml"/><Relationship Id="rId4" Type="http://schemas.openxmlformats.org/officeDocument/2006/relationships/ctrlProp" Target="../ctrlProps/ctrlProp349.xml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8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9.bin"/><Relationship Id="rId6" Type="http://schemas.openxmlformats.org/officeDocument/2006/relationships/ctrlProp" Target="../ctrlProps/ctrlProp354.xml"/><Relationship Id="rId5" Type="http://schemas.openxmlformats.org/officeDocument/2006/relationships/ctrlProp" Target="../ctrlProps/ctrlProp353.xml"/><Relationship Id="rId4" Type="http://schemas.openxmlformats.org/officeDocument/2006/relationships/ctrlProp" Target="../ctrlProps/ctrlProp352.xml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9.vml"/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20.bin"/><Relationship Id="rId6" Type="http://schemas.openxmlformats.org/officeDocument/2006/relationships/ctrlProp" Target="../ctrlProps/ctrlProp357.xml"/><Relationship Id="rId5" Type="http://schemas.openxmlformats.org/officeDocument/2006/relationships/ctrlProp" Target="../ctrlProps/ctrlProp356.xml"/><Relationship Id="rId4" Type="http://schemas.openxmlformats.org/officeDocument/2006/relationships/ctrlProp" Target="../ctrlProps/ctrlProp355.xml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0.vml"/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1.bin"/><Relationship Id="rId6" Type="http://schemas.openxmlformats.org/officeDocument/2006/relationships/ctrlProp" Target="../ctrlProps/ctrlProp360.xml"/><Relationship Id="rId5" Type="http://schemas.openxmlformats.org/officeDocument/2006/relationships/ctrlProp" Target="../ctrlProps/ctrlProp359.xml"/><Relationship Id="rId4" Type="http://schemas.openxmlformats.org/officeDocument/2006/relationships/ctrlProp" Target="../ctrlProps/ctrlProp358.xml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1.vml"/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2.bin"/><Relationship Id="rId6" Type="http://schemas.openxmlformats.org/officeDocument/2006/relationships/ctrlProp" Target="../ctrlProps/ctrlProp363.xml"/><Relationship Id="rId5" Type="http://schemas.openxmlformats.org/officeDocument/2006/relationships/ctrlProp" Target="../ctrlProps/ctrlProp362.xml"/><Relationship Id="rId4" Type="http://schemas.openxmlformats.org/officeDocument/2006/relationships/ctrlProp" Target="../ctrlProps/ctrlProp361.xm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2.vml"/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3.bin"/><Relationship Id="rId6" Type="http://schemas.openxmlformats.org/officeDocument/2006/relationships/ctrlProp" Target="../ctrlProps/ctrlProp366.xml"/><Relationship Id="rId5" Type="http://schemas.openxmlformats.org/officeDocument/2006/relationships/ctrlProp" Target="../ctrlProps/ctrlProp365.xml"/><Relationship Id="rId4" Type="http://schemas.openxmlformats.org/officeDocument/2006/relationships/ctrlProp" Target="../ctrlProps/ctrlProp364.xml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3.vml"/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4.bin"/><Relationship Id="rId6" Type="http://schemas.openxmlformats.org/officeDocument/2006/relationships/ctrlProp" Target="../ctrlProps/ctrlProp369.xml"/><Relationship Id="rId5" Type="http://schemas.openxmlformats.org/officeDocument/2006/relationships/ctrlProp" Target="../ctrlProps/ctrlProp368.xml"/><Relationship Id="rId4" Type="http://schemas.openxmlformats.org/officeDocument/2006/relationships/ctrlProp" Target="../ctrlProps/ctrlProp367.xml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4.vml"/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5.bin"/><Relationship Id="rId6" Type="http://schemas.openxmlformats.org/officeDocument/2006/relationships/ctrlProp" Target="../ctrlProps/ctrlProp372.xml"/><Relationship Id="rId5" Type="http://schemas.openxmlformats.org/officeDocument/2006/relationships/ctrlProp" Target="../ctrlProps/ctrlProp371.xml"/><Relationship Id="rId4" Type="http://schemas.openxmlformats.org/officeDocument/2006/relationships/ctrlProp" Target="../ctrlProps/ctrlProp370.xml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5.vml"/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6.bin"/><Relationship Id="rId6" Type="http://schemas.openxmlformats.org/officeDocument/2006/relationships/ctrlProp" Target="../ctrlProps/ctrlProp375.xml"/><Relationship Id="rId5" Type="http://schemas.openxmlformats.org/officeDocument/2006/relationships/ctrlProp" Target="../ctrlProps/ctrlProp374.xml"/><Relationship Id="rId4" Type="http://schemas.openxmlformats.org/officeDocument/2006/relationships/ctrlProp" Target="../ctrlProps/ctrlProp373.xml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6.vml"/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7.bin"/><Relationship Id="rId6" Type="http://schemas.openxmlformats.org/officeDocument/2006/relationships/ctrlProp" Target="../ctrlProps/ctrlProp378.xml"/><Relationship Id="rId5" Type="http://schemas.openxmlformats.org/officeDocument/2006/relationships/ctrlProp" Target="../ctrlProps/ctrlProp377.xml"/><Relationship Id="rId4" Type="http://schemas.openxmlformats.org/officeDocument/2006/relationships/ctrlProp" Target="../ctrlProps/ctrlProp376.xml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7.vml"/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8.bin"/><Relationship Id="rId6" Type="http://schemas.openxmlformats.org/officeDocument/2006/relationships/ctrlProp" Target="../ctrlProps/ctrlProp381.xml"/><Relationship Id="rId5" Type="http://schemas.openxmlformats.org/officeDocument/2006/relationships/ctrlProp" Target="../ctrlProps/ctrlProp380.xml"/><Relationship Id="rId4" Type="http://schemas.openxmlformats.org/officeDocument/2006/relationships/ctrlProp" Target="../ctrlProps/ctrlProp379.xml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8.vml"/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9.bin"/><Relationship Id="rId6" Type="http://schemas.openxmlformats.org/officeDocument/2006/relationships/ctrlProp" Target="../ctrlProps/ctrlProp384.xml"/><Relationship Id="rId5" Type="http://schemas.openxmlformats.org/officeDocument/2006/relationships/ctrlProp" Target="../ctrlProps/ctrlProp383.xml"/><Relationship Id="rId4" Type="http://schemas.openxmlformats.org/officeDocument/2006/relationships/ctrlProp" Target="../ctrlProps/ctrlProp382.xml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9.vml"/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30.bin"/><Relationship Id="rId6" Type="http://schemas.openxmlformats.org/officeDocument/2006/relationships/ctrlProp" Target="../ctrlProps/ctrlProp387.xml"/><Relationship Id="rId5" Type="http://schemas.openxmlformats.org/officeDocument/2006/relationships/ctrlProp" Target="../ctrlProps/ctrlProp386.xml"/><Relationship Id="rId4" Type="http://schemas.openxmlformats.org/officeDocument/2006/relationships/ctrlProp" Target="../ctrlProps/ctrlProp385.xml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0.vml"/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1.bin"/><Relationship Id="rId6" Type="http://schemas.openxmlformats.org/officeDocument/2006/relationships/ctrlProp" Target="../ctrlProps/ctrlProp390.xml"/><Relationship Id="rId5" Type="http://schemas.openxmlformats.org/officeDocument/2006/relationships/ctrlProp" Target="../ctrlProps/ctrlProp389.xml"/><Relationship Id="rId4" Type="http://schemas.openxmlformats.org/officeDocument/2006/relationships/ctrlProp" Target="../ctrlProps/ctrlProp388.xml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1.vml"/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2.bin"/><Relationship Id="rId6" Type="http://schemas.openxmlformats.org/officeDocument/2006/relationships/ctrlProp" Target="../ctrlProps/ctrlProp393.xml"/><Relationship Id="rId5" Type="http://schemas.openxmlformats.org/officeDocument/2006/relationships/ctrlProp" Target="../ctrlProps/ctrlProp392.xml"/><Relationship Id="rId4" Type="http://schemas.openxmlformats.org/officeDocument/2006/relationships/ctrlProp" Target="../ctrlProps/ctrlProp391.xml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2.vml"/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3.bin"/><Relationship Id="rId6" Type="http://schemas.openxmlformats.org/officeDocument/2006/relationships/ctrlProp" Target="../ctrlProps/ctrlProp396.xml"/><Relationship Id="rId5" Type="http://schemas.openxmlformats.org/officeDocument/2006/relationships/ctrlProp" Target="../ctrlProps/ctrlProp395.xml"/><Relationship Id="rId4" Type="http://schemas.openxmlformats.org/officeDocument/2006/relationships/ctrlProp" Target="../ctrlProps/ctrlProp394.xml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3.vml"/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4.bin"/><Relationship Id="rId6" Type="http://schemas.openxmlformats.org/officeDocument/2006/relationships/ctrlProp" Target="../ctrlProps/ctrlProp399.xml"/><Relationship Id="rId5" Type="http://schemas.openxmlformats.org/officeDocument/2006/relationships/ctrlProp" Target="../ctrlProps/ctrlProp398.xml"/><Relationship Id="rId4" Type="http://schemas.openxmlformats.org/officeDocument/2006/relationships/ctrlProp" Target="../ctrlProps/ctrlProp397.xml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4.vml"/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5.bin"/><Relationship Id="rId6" Type="http://schemas.openxmlformats.org/officeDocument/2006/relationships/ctrlProp" Target="../ctrlProps/ctrlProp402.xml"/><Relationship Id="rId5" Type="http://schemas.openxmlformats.org/officeDocument/2006/relationships/ctrlProp" Target="../ctrlProps/ctrlProp401.xml"/><Relationship Id="rId4" Type="http://schemas.openxmlformats.org/officeDocument/2006/relationships/ctrlProp" Target="../ctrlProps/ctrlProp400.xml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5.vml"/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6.bin"/><Relationship Id="rId6" Type="http://schemas.openxmlformats.org/officeDocument/2006/relationships/ctrlProp" Target="../ctrlProps/ctrlProp405.xml"/><Relationship Id="rId5" Type="http://schemas.openxmlformats.org/officeDocument/2006/relationships/ctrlProp" Target="../ctrlProps/ctrlProp404.xml"/><Relationship Id="rId4" Type="http://schemas.openxmlformats.org/officeDocument/2006/relationships/ctrlProp" Target="../ctrlProps/ctrlProp403.xml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6.vml"/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7.bin"/><Relationship Id="rId6" Type="http://schemas.openxmlformats.org/officeDocument/2006/relationships/ctrlProp" Target="../ctrlProps/ctrlProp408.xml"/><Relationship Id="rId5" Type="http://schemas.openxmlformats.org/officeDocument/2006/relationships/ctrlProp" Target="../ctrlProps/ctrlProp407.xml"/><Relationship Id="rId4" Type="http://schemas.openxmlformats.org/officeDocument/2006/relationships/ctrlProp" Target="../ctrlProps/ctrlProp406.xml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7.vml"/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8.bin"/><Relationship Id="rId6" Type="http://schemas.openxmlformats.org/officeDocument/2006/relationships/ctrlProp" Target="../ctrlProps/ctrlProp411.xml"/><Relationship Id="rId5" Type="http://schemas.openxmlformats.org/officeDocument/2006/relationships/ctrlProp" Target="../ctrlProps/ctrlProp410.xml"/><Relationship Id="rId4" Type="http://schemas.openxmlformats.org/officeDocument/2006/relationships/ctrlProp" Target="../ctrlProps/ctrlProp409.xml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8.vml"/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9.bin"/><Relationship Id="rId6" Type="http://schemas.openxmlformats.org/officeDocument/2006/relationships/ctrlProp" Target="../ctrlProps/ctrlProp414.xml"/><Relationship Id="rId5" Type="http://schemas.openxmlformats.org/officeDocument/2006/relationships/ctrlProp" Target="../ctrlProps/ctrlProp413.xml"/><Relationship Id="rId4" Type="http://schemas.openxmlformats.org/officeDocument/2006/relationships/ctrlProp" Target="../ctrlProps/ctrlProp412.xml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9.vml"/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40.bin"/><Relationship Id="rId6" Type="http://schemas.openxmlformats.org/officeDocument/2006/relationships/ctrlProp" Target="../ctrlProps/ctrlProp417.xml"/><Relationship Id="rId5" Type="http://schemas.openxmlformats.org/officeDocument/2006/relationships/ctrlProp" Target="../ctrlProps/ctrlProp416.xml"/><Relationship Id="rId4" Type="http://schemas.openxmlformats.org/officeDocument/2006/relationships/ctrlProp" Target="../ctrlProps/ctrlProp415.xml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0.vml"/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1.bin"/><Relationship Id="rId6" Type="http://schemas.openxmlformats.org/officeDocument/2006/relationships/ctrlProp" Target="../ctrlProps/ctrlProp420.xml"/><Relationship Id="rId5" Type="http://schemas.openxmlformats.org/officeDocument/2006/relationships/ctrlProp" Target="../ctrlProps/ctrlProp419.xml"/><Relationship Id="rId4" Type="http://schemas.openxmlformats.org/officeDocument/2006/relationships/ctrlProp" Target="../ctrlProps/ctrlProp418.xml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1.vml"/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2.bin"/><Relationship Id="rId6" Type="http://schemas.openxmlformats.org/officeDocument/2006/relationships/ctrlProp" Target="../ctrlProps/ctrlProp423.xml"/><Relationship Id="rId5" Type="http://schemas.openxmlformats.org/officeDocument/2006/relationships/ctrlProp" Target="../ctrlProps/ctrlProp422.xml"/><Relationship Id="rId4" Type="http://schemas.openxmlformats.org/officeDocument/2006/relationships/ctrlProp" Target="../ctrlProps/ctrlProp421.xml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2.vml"/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3.bin"/><Relationship Id="rId6" Type="http://schemas.openxmlformats.org/officeDocument/2006/relationships/ctrlProp" Target="../ctrlProps/ctrlProp426.xml"/><Relationship Id="rId5" Type="http://schemas.openxmlformats.org/officeDocument/2006/relationships/ctrlProp" Target="../ctrlProps/ctrlProp425.xml"/><Relationship Id="rId4" Type="http://schemas.openxmlformats.org/officeDocument/2006/relationships/ctrlProp" Target="../ctrlProps/ctrlProp424.xml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3.vml"/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4.bin"/><Relationship Id="rId6" Type="http://schemas.openxmlformats.org/officeDocument/2006/relationships/ctrlProp" Target="../ctrlProps/ctrlProp429.xml"/><Relationship Id="rId5" Type="http://schemas.openxmlformats.org/officeDocument/2006/relationships/ctrlProp" Target="../ctrlProps/ctrlProp428.xml"/><Relationship Id="rId4" Type="http://schemas.openxmlformats.org/officeDocument/2006/relationships/ctrlProp" Target="../ctrlProps/ctrlProp427.xml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4.vml"/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5.bin"/><Relationship Id="rId6" Type="http://schemas.openxmlformats.org/officeDocument/2006/relationships/ctrlProp" Target="../ctrlProps/ctrlProp432.xml"/><Relationship Id="rId5" Type="http://schemas.openxmlformats.org/officeDocument/2006/relationships/ctrlProp" Target="../ctrlProps/ctrlProp431.xml"/><Relationship Id="rId4" Type="http://schemas.openxmlformats.org/officeDocument/2006/relationships/ctrlProp" Target="../ctrlProps/ctrlProp430.xml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5.vml"/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6.bin"/><Relationship Id="rId6" Type="http://schemas.openxmlformats.org/officeDocument/2006/relationships/ctrlProp" Target="../ctrlProps/ctrlProp435.xml"/><Relationship Id="rId5" Type="http://schemas.openxmlformats.org/officeDocument/2006/relationships/ctrlProp" Target="../ctrlProps/ctrlProp434.xml"/><Relationship Id="rId4" Type="http://schemas.openxmlformats.org/officeDocument/2006/relationships/ctrlProp" Target="../ctrlProps/ctrlProp433.xml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6.vml"/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7.bin"/><Relationship Id="rId6" Type="http://schemas.openxmlformats.org/officeDocument/2006/relationships/ctrlProp" Target="../ctrlProps/ctrlProp438.xml"/><Relationship Id="rId5" Type="http://schemas.openxmlformats.org/officeDocument/2006/relationships/ctrlProp" Target="../ctrlProps/ctrlProp437.xml"/><Relationship Id="rId4" Type="http://schemas.openxmlformats.org/officeDocument/2006/relationships/ctrlProp" Target="../ctrlProps/ctrlProp436.xml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7.vml"/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8.bin"/><Relationship Id="rId6" Type="http://schemas.openxmlformats.org/officeDocument/2006/relationships/ctrlProp" Target="../ctrlProps/ctrlProp441.xml"/><Relationship Id="rId5" Type="http://schemas.openxmlformats.org/officeDocument/2006/relationships/ctrlProp" Target="../ctrlProps/ctrlProp440.xml"/><Relationship Id="rId4" Type="http://schemas.openxmlformats.org/officeDocument/2006/relationships/ctrlProp" Target="../ctrlProps/ctrlProp439.xml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8.vml"/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9.bin"/><Relationship Id="rId6" Type="http://schemas.openxmlformats.org/officeDocument/2006/relationships/ctrlProp" Target="../ctrlProps/ctrlProp444.xml"/><Relationship Id="rId5" Type="http://schemas.openxmlformats.org/officeDocument/2006/relationships/ctrlProp" Target="../ctrlProps/ctrlProp443.xml"/><Relationship Id="rId4" Type="http://schemas.openxmlformats.org/officeDocument/2006/relationships/ctrlProp" Target="../ctrlProps/ctrlProp442.xml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9.vml"/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50.bin"/><Relationship Id="rId6" Type="http://schemas.openxmlformats.org/officeDocument/2006/relationships/ctrlProp" Target="../ctrlProps/ctrlProp447.xml"/><Relationship Id="rId5" Type="http://schemas.openxmlformats.org/officeDocument/2006/relationships/ctrlProp" Target="../ctrlProps/ctrlProp446.xml"/><Relationship Id="rId4" Type="http://schemas.openxmlformats.org/officeDocument/2006/relationships/ctrlProp" Target="../ctrlProps/ctrlProp445.xml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0.vml"/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1.bin"/><Relationship Id="rId6" Type="http://schemas.openxmlformats.org/officeDocument/2006/relationships/ctrlProp" Target="../ctrlProps/ctrlProp450.xml"/><Relationship Id="rId5" Type="http://schemas.openxmlformats.org/officeDocument/2006/relationships/ctrlProp" Target="../ctrlProps/ctrlProp449.xml"/><Relationship Id="rId4" Type="http://schemas.openxmlformats.org/officeDocument/2006/relationships/ctrlProp" Target="../ctrlProps/ctrlProp448.xml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1.vml"/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2.bin"/><Relationship Id="rId6" Type="http://schemas.openxmlformats.org/officeDocument/2006/relationships/ctrlProp" Target="../ctrlProps/ctrlProp453.xml"/><Relationship Id="rId5" Type="http://schemas.openxmlformats.org/officeDocument/2006/relationships/ctrlProp" Target="../ctrlProps/ctrlProp452.xml"/><Relationship Id="rId4" Type="http://schemas.openxmlformats.org/officeDocument/2006/relationships/ctrlProp" Target="../ctrlProps/ctrlProp451.xml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2.vml"/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3.bin"/><Relationship Id="rId6" Type="http://schemas.openxmlformats.org/officeDocument/2006/relationships/ctrlProp" Target="../ctrlProps/ctrlProp456.xml"/><Relationship Id="rId5" Type="http://schemas.openxmlformats.org/officeDocument/2006/relationships/ctrlProp" Target="../ctrlProps/ctrlProp455.xml"/><Relationship Id="rId4" Type="http://schemas.openxmlformats.org/officeDocument/2006/relationships/ctrlProp" Target="../ctrlProps/ctrlProp454.xml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3.vml"/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4.bin"/><Relationship Id="rId6" Type="http://schemas.openxmlformats.org/officeDocument/2006/relationships/ctrlProp" Target="../ctrlProps/ctrlProp459.xml"/><Relationship Id="rId5" Type="http://schemas.openxmlformats.org/officeDocument/2006/relationships/ctrlProp" Target="../ctrlProps/ctrlProp458.xml"/><Relationship Id="rId4" Type="http://schemas.openxmlformats.org/officeDocument/2006/relationships/ctrlProp" Target="../ctrlProps/ctrlProp457.xml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4.vml"/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5.bin"/><Relationship Id="rId6" Type="http://schemas.openxmlformats.org/officeDocument/2006/relationships/ctrlProp" Target="../ctrlProps/ctrlProp462.xml"/><Relationship Id="rId5" Type="http://schemas.openxmlformats.org/officeDocument/2006/relationships/ctrlProp" Target="../ctrlProps/ctrlProp461.xml"/><Relationship Id="rId4" Type="http://schemas.openxmlformats.org/officeDocument/2006/relationships/ctrlProp" Target="../ctrlProps/ctrlProp460.xml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5.vml"/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6.bin"/><Relationship Id="rId6" Type="http://schemas.openxmlformats.org/officeDocument/2006/relationships/ctrlProp" Target="../ctrlProps/ctrlProp465.xml"/><Relationship Id="rId5" Type="http://schemas.openxmlformats.org/officeDocument/2006/relationships/ctrlProp" Target="../ctrlProps/ctrlProp464.xml"/><Relationship Id="rId4" Type="http://schemas.openxmlformats.org/officeDocument/2006/relationships/ctrlProp" Target="../ctrlProps/ctrlProp463.xml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6.vml"/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7.bin"/><Relationship Id="rId6" Type="http://schemas.openxmlformats.org/officeDocument/2006/relationships/ctrlProp" Target="../ctrlProps/ctrlProp468.xml"/><Relationship Id="rId5" Type="http://schemas.openxmlformats.org/officeDocument/2006/relationships/ctrlProp" Target="../ctrlProps/ctrlProp467.xml"/><Relationship Id="rId4" Type="http://schemas.openxmlformats.org/officeDocument/2006/relationships/ctrlProp" Target="../ctrlProps/ctrlProp466.xml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7.vml"/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8.bin"/><Relationship Id="rId6" Type="http://schemas.openxmlformats.org/officeDocument/2006/relationships/ctrlProp" Target="../ctrlProps/ctrlProp471.xml"/><Relationship Id="rId5" Type="http://schemas.openxmlformats.org/officeDocument/2006/relationships/ctrlProp" Target="../ctrlProps/ctrlProp470.xml"/><Relationship Id="rId4" Type="http://schemas.openxmlformats.org/officeDocument/2006/relationships/ctrlProp" Target="../ctrlProps/ctrlProp469.xml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8.vml"/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9.bin"/><Relationship Id="rId6" Type="http://schemas.openxmlformats.org/officeDocument/2006/relationships/ctrlProp" Target="../ctrlProps/ctrlProp474.xml"/><Relationship Id="rId5" Type="http://schemas.openxmlformats.org/officeDocument/2006/relationships/ctrlProp" Target="../ctrlProps/ctrlProp473.xml"/><Relationship Id="rId4" Type="http://schemas.openxmlformats.org/officeDocument/2006/relationships/ctrlProp" Target="../ctrlProps/ctrlProp472.xml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9.vml"/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60.bin"/><Relationship Id="rId6" Type="http://schemas.openxmlformats.org/officeDocument/2006/relationships/ctrlProp" Target="../ctrlProps/ctrlProp477.xml"/><Relationship Id="rId5" Type="http://schemas.openxmlformats.org/officeDocument/2006/relationships/ctrlProp" Target="../ctrlProps/ctrlProp476.xml"/><Relationship Id="rId4" Type="http://schemas.openxmlformats.org/officeDocument/2006/relationships/ctrlProp" Target="../ctrlProps/ctrlProp475.xml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0.vml"/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1.bin"/><Relationship Id="rId6" Type="http://schemas.openxmlformats.org/officeDocument/2006/relationships/ctrlProp" Target="../ctrlProps/ctrlProp480.xml"/><Relationship Id="rId5" Type="http://schemas.openxmlformats.org/officeDocument/2006/relationships/ctrlProp" Target="../ctrlProps/ctrlProp479.xml"/><Relationship Id="rId4" Type="http://schemas.openxmlformats.org/officeDocument/2006/relationships/ctrlProp" Target="../ctrlProps/ctrlProp47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0"/>
  <sheetViews>
    <sheetView tabSelected="1" zoomScale="85" zoomScaleNormal="85" workbookViewId="0">
      <selection activeCell="U28" sqref="U28"/>
    </sheetView>
  </sheetViews>
  <sheetFormatPr defaultRowHeight="12.75" x14ac:dyDescent="0.2"/>
  <cols>
    <col min="1" max="1" width="11.28515625" style="532" customWidth="1"/>
    <col min="2" max="16384" width="9.140625" style="532"/>
  </cols>
  <sheetData>
    <row r="1" spans="1:20" ht="48.75" customHeight="1" x14ac:dyDescent="0.2">
      <c r="A1" s="558" t="s">
        <v>4227</v>
      </c>
    </row>
    <row r="2" spans="1:20" ht="60" customHeight="1" x14ac:dyDescent="0.2">
      <c r="A2" s="555" t="s">
        <v>4121</v>
      </c>
      <c r="B2" s="555"/>
      <c r="C2" s="555"/>
      <c r="D2" s="555"/>
      <c r="E2" s="555"/>
      <c r="F2" s="555"/>
      <c r="G2" s="555"/>
      <c r="H2" s="555"/>
      <c r="I2" s="555"/>
      <c r="J2" s="555"/>
      <c r="K2" s="555"/>
      <c r="L2" s="555"/>
      <c r="M2" s="555"/>
      <c r="N2" s="555"/>
      <c r="O2" s="555"/>
      <c r="P2" s="555"/>
      <c r="Q2" s="555"/>
      <c r="R2" s="555"/>
      <c r="S2" s="555"/>
      <c r="T2" s="555"/>
    </row>
    <row r="3" spans="1:20" x14ac:dyDescent="0.2">
      <c r="A3" s="541"/>
    </row>
    <row r="4" spans="1:20" s="533" customFormat="1" ht="22.5" customHeight="1" x14ac:dyDescent="0.2">
      <c r="A4" s="539" t="s">
        <v>4226</v>
      </c>
    </row>
    <row r="6" spans="1:20" s="540" customFormat="1" ht="14.25" x14ac:dyDescent="0.2"/>
    <row r="7" spans="1:20" s="540" customFormat="1" ht="14.25" x14ac:dyDescent="0.2">
      <c r="A7" s="540" t="s">
        <v>4122</v>
      </c>
      <c r="B7" s="538"/>
      <c r="C7" s="538"/>
      <c r="D7" s="538"/>
      <c r="E7" s="538"/>
      <c r="F7" s="538"/>
      <c r="G7" s="538"/>
      <c r="H7" s="538"/>
      <c r="I7" s="538"/>
      <c r="J7" s="538"/>
      <c r="K7" s="538"/>
      <c r="L7" s="538"/>
      <c r="M7" s="538"/>
      <c r="N7" s="538"/>
      <c r="O7" s="538"/>
      <c r="P7" s="538"/>
      <c r="Q7" s="538"/>
      <c r="R7" s="538"/>
      <c r="S7" s="538"/>
      <c r="T7" s="538"/>
    </row>
    <row r="8" spans="1:20" s="540" customFormat="1" ht="15" x14ac:dyDescent="0.25">
      <c r="A8" s="542"/>
    </row>
    <row r="9" spans="1:20" s="540" customFormat="1" ht="14.25" x14ac:dyDescent="0.2">
      <c r="A9" s="540" t="s">
        <v>4216</v>
      </c>
    </row>
    <row r="10" spans="1:20" s="540" customFormat="1" ht="14.25" x14ac:dyDescent="0.2"/>
    <row r="11" spans="1:20" s="540" customFormat="1" ht="14.25" x14ac:dyDescent="0.2">
      <c r="A11" s="540" t="s">
        <v>4123</v>
      </c>
      <c r="B11" s="538"/>
      <c r="C11" s="538"/>
      <c r="D11" s="538"/>
      <c r="E11" s="538"/>
      <c r="F11" s="538"/>
      <c r="G11" s="538"/>
      <c r="H11" s="538"/>
      <c r="I11" s="538"/>
      <c r="J11" s="538"/>
      <c r="K11" s="538"/>
      <c r="L11" s="538"/>
      <c r="M11" s="538"/>
      <c r="N11" s="538"/>
      <c r="O11" s="538"/>
      <c r="P11" s="538"/>
      <c r="Q11" s="538"/>
      <c r="R11" s="538"/>
      <c r="S11" s="538"/>
      <c r="T11" s="538"/>
    </row>
    <row r="12" spans="1:20" s="540" customFormat="1" ht="14.25" x14ac:dyDescent="0.2">
      <c r="B12" s="538"/>
      <c r="C12" s="538"/>
      <c r="D12" s="538"/>
      <c r="E12" s="538"/>
      <c r="F12" s="538"/>
      <c r="G12" s="538"/>
      <c r="H12" s="538"/>
      <c r="I12" s="538"/>
      <c r="J12" s="538"/>
      <c r="K12" s="538"/>
      <c r="L12" s="538"/>
      <c r="M12" s="538"/>
      <c r="N12" s="538"/>
      <c r="O12" s="538"/>
      <c r="P12" s="538"/>
      <c r="Q12" s="538"/>
      <c r="R12" s="538"/>
      <c r="S12" s="538"/>
      <c r="T12" s="538"/>
    </row>
    <row r="13" spans="1:20" s="540" customFormat="1" ht="14.25" x14ac:dyDescent="0.2">
      <c r="A13" s="540" t="s">
        <v>4124</v>
      </c>
      <c r="B13" s="538"/>
      <c r="C13" s="538"/>
      <c r="D13" s="538"/>
      <c r="E13" s="538"/>
      <c r="F13" s="538"/>
      <c r="G13" s="538"/>
      <c r="H13" s="538"/>
      <c r="I13" s="538"/>
      <c r="J13" s="538"/>
      <c r="K13" s="538"/>
      <c r="L13" s="538"/>
      <c r="M13" s="538"/>
      <c r="N13" s="538"/>
      <c r="O13" s="538"/>
      <c r="P13" s="538"/>
      <c r="Q13" s="538"/>
      <c r="R13" s="538"/>
      <c r="S13" s="538"/>
      <c r="T13" s="538"/>
    </row>
    <row r="14" spans="1:20" s="540" customFormat="1" ht="14.25" x14ac:dyDescent="0.2">
      <c r="B14" s="538"/>
      <c r="C14" s="538"/>
      <c r="D14" s="538"/>
      <c r="E14" s="538"/>
      <c r="F14" s="538"/>
      <c r="G14" s="538"/>
      <c r="H14" s="538"/>
      <c r="I14" s="538"/>
      <c r="J14" s="538"/>
      <c r="K14" s="538"/>
      <c r="L14" s="538"/>
      <c r="M14" s="538"/>
      <c r="N14" s="538"/>
      <c r="O14" s="538"/>
      <c r="P14" s="538"/>
      <c r="Q14" s="538"/>
      <c r="R14" s="538"/>
      <c r="S14" s="538"/>
      <c r="T14" s="538"/>
    </row>
    <row r="15" spans="1:20" s="540" customFormat="1" ht="14.25" x14ac:dyDescent="0.2">
      <c r="A15" s="540" t="s">
        <v>4125</v>
      </c>
      <c r="B15" s="538"/>
      <c r="C15" s="538"/>
      <c r="D15" s="538"/>
      <c r="E15" s="538"/>
      <c r="F15" s="538"/>
      <c r="G15" s="538"/>
      <c r="H15" s="538"/>
      <c r="I15" s="538"/>
      <c r="J15" s="538"/>
      <c r="K15" s="538"/>
      <c r="L15" s="538"/>
      <c r="M15" s="538"/>
      <c r="N15" s="538"/>
      <c r="O15" s="538"/>
      <c r="P15" s="538"/>
      <c r="Q15" s="538"/>
      <c r="R15" s="538"/>
      <c r="S15" s="538"/>
      <c r="T15" s="538"/>
    </row>
    <row r="16" spans="1:20" s="540" customFormat="1" ht="14.25" x14ac:dyDescent="0.2">
      <c r="B16" s="538"/>
      <c r="C16" s="538"/>
      <c r="D16" s="538"/>
      <c r="E16" s="538"/>
      <c r="F16" s="538"/>
      <c r="G16" s="538"/>
      <c r="H16" s="538"/>
      <c r="I16" s="538"/>
      <c r="J16" s="538"/>
      <c r="K16" s="538"/>
      <c r="L16" s="538"/>
      <c r="M16" s="538"/>
      <c r="N16" s="538"/>
      <c r="O16" s="538"/>
      <c r="P16" s="538"/>
      <c r="Q16" s="538"/>
      <c r="R16" s="538"/>
      <c r="S16" s="538"/>
      <c r="T16" s="538"/>
    </row>
    <row r="17" spans="1:20" s="540" customFormat="1" ht="14.25" x14ac:dyDescent="0.2">
      <c r="A17" s="540" t="s">
        <v>4217</v>
      </c>
      <c r="B17" s="538"/>
      <c r="C17" s="538"/>
      <c r="D17" s="538"/>
      <c r="E17" s="538"/>
      <c r="F17" s="538"/>
      <c r="G17" s="538"/>
      <c r="H17" s="538"/>
      <c r="I17" s="538"/>
      <c r="J17" s="538"/>
      <c r="K17" s="538"/>
      <c r="L17" s="538"/>
      <c r="M17" s="538"/>
      <c r="N17" s="538"/>
      <c r="O17" s="538"/>
      <c r="P17" s="538"/>
      <c r="Q17" s="538"/>
      <c r="R17" s="538"/>
      <c r="S17" s="538"/>
      <c r="T17" s="538"/>
    </row>
    <row r="18" spans="1:20" s="540" customFormat="1" ht="14.25" x14ac:dyDescent="0.2">
      <c r="B18" s="538"/>
      <c r="C18" s="538"/>
      <c r="D18" s="538"/>
      <c r="E18" s="538"/>
      <c r="F18" s="538"/>
      <c r="G18" s="538"/>
      <c r="H18" s="538"/>
      <c r="I18" s="538"/>
      <c r="J18" s="538"/>
      <c r="K18" s="538"/>
      <c r="L18" s="538"/>
      <c r="M18" s="538"/>
      <c r="N18" s="538"/>
      <c r="O18" s="538"/>
      <c r="P18" s="538"/>
      <c r="Q18" s="538"/>
      <c r="R18" s="538"/>
      <c r="S18" s="538"/>
    </row>
    <row r="19" spans="1:20" s="540" customFormat="1" ht="15.75" x14ac:dyDescent="0.2">
      <c r="A19" s="540" t="s">
        <v>4218</v>
      </c>
      <c r="B19" s="538"/>
      <c r="C19" s="538"/>
      <c r="D19" s="538"/>
      <c r="E19" s="538"/>
      <c r="F19" s="538"/>
      <c r="G19" s="538"/>
      <c r="H19" s="538"/>
      <c r="I19" s="538"/>
      <c r="J19" s="538"/>
      <c r="K19" s="538"/>
      <c r="L19" s="538"/>
      <c r="M19" s="538"/>
      <c r="N19" s="538"/>
      <c r="O19" s="538"/>
      <c r="P19" s="538"/>
      <c r="Q19" s="538"/>
      <c r="R19" s="538"/>
      <c r="S19" s="538"/>
      <c r="T19" s="538"/>
    </row>
    <row r="20" spans="1:20" s="540" customFormat="1" ht="14.25" x14ac:dyDescent="0.2">
      <c r="A20" s="538"/>
      <c r="B20" s="538"/>
      <c r="C20" s="538"/>
      <c r="D20" s="538"/>
      <c r="E20" s="538"/>
      <c r="F20" s="538"/>
      <c r="G20" s="538"/>
      <c r="H20" s="538"/>
      <c r="I20" s="538"/>
      <c r="J20" s="538"/>
      <c r="K20" s="538"/>
      <c r="L20" s="538"/>
      <c r="M20" s="538"/>
      <c r="N20" s="538"/>
      <c r="O20" s="538"/>
      <c r="P20" s="538"/>
      <c r="Q20" s="538"/>
      <c r="R20" s="538"/>
      <c r="S20" s="538"/>
      <c r="T20" s="538"/>
    </row>
    <row r="21" spans="1:20" s="540" customFormat="1" ht="15" x14ac:dyDescent="0.2">
      <c r="A21" s="549" t="s">
        <v>4223</v>
      </c>
      <c r="B21" s="551"/>
      <c r="C21" s="551"/>
      <c r="D21" s="551"/>
      <c r="E21" s="551"/>
      <c r="F21" s="551"/>
      <c r="G21" s="551"/>
      <c r="H21" s="551"/>
      <c r="I21" s="544"/>
      <c r="J21" s="544"/>
      <c r="K21" s="544"/>
      <c r="L21" s="536"/>
      <c r="M21" s="536"/>
      <c r="N21" s="536"/>
      <c r="O21" s="536"/>
      <c r="P21" s="536"/>
      <c r="Q21" s="536"/>
      <c r="R21" s="536"/>
      <c r="S21" s="536"/>
      <c r="T21" s="536"/>
    </row>
    <row r="22" spans="1:20" s="540" customFormat="1" ht="15" x14ac:dyDescent="0.25">
      <c r="A22" s="542"/>
    </row>
    <row r="23" spans="1:20" s="540" customFormat="1" ht="15.75" x14ac:dyDescent="0.2">
      <c r="A23" s="540" t="s">
        <v>4215</v>
      </c>
      <c r="B23" s="538"/>
      <c r="C23" s="538"/>
      <c r="D23" s="538"/>
      <c r="E23" s="538"/>
      <c r="F23" s="538"/>
      <c r="G23" s="538"/>
      <c r="H23" s="538"/>
      <c r="I23" s="538"/>
      <c r="J23" s="538"/>
      <c r="K23" s="538"/>
      <c r="L23" s="538"/>
      <c r="M23" s="538"/>
      <c r="N23" s="538"/>
      <c r="O23" s="538"/>
      <c r="P23" s="538"/>
      <c r="Q23" s="538"/>
      <c r="R23" s="538"/>
      <c r="S23" s="538"/>
      <c r="T23" s="538"/>
    </row>
    <row r="24" spans="1:20" s="540" customFormat="1" ht="14.25" x14ac:dyDescent="0.2"/>
    <row r="25" spans="1:20" s="540" customFormat="1" ht="14.25" x14ac:dyDescent="0.2">
      <c r="A25" s="538"/>
      <c r="B25" s="538"/>
      <c r="C25" s="538"/>
      <c r="D25" s="538"/>
      <c r="E25" s="538"/>
      <c r="F25" s="538"/>
      <c r="G25" s="538"/>
      <c r="H25" s="538"/>
      <c r="I25" s="538"/>
      <c r="J25" s="538"/>
      <c r="K25" s="538"/>
      <c r="L25" s="538"/>
      <c r="M25" s="538"/>
      <c r="N25" s="538"/>
      <c r="O25" s="538"/>
      <c r="P25" s="538"/>
      <c r="Q25" s="538"/>
      <c r="R25" s="538"/>
      <c r="S25" s="538"/>
      <c r="T25" s="538"/>
    </row>
    <row r="26" spans="1:20" s="540" customFormat="1" ht="15" x14ac:dyDescent="0.2">
      <c r="A26" s="549" t="s">
        <v>4222</v>
      </c>
      <c r="B26" s="550"/>
      <c r="C26" s="550"/>
      <c r="D26" s="550"/>
      <c r="E26" s="550"/>
      <c r="F26" s="550"/>
      <c r="G26" s="550"/>
      <c r="H26" s="550"/>
      <c r="I26" s="550"/>
      <c r="J26" s="550"/>
      <c r="K26" s="550"/>
      <c r="L26" s="550"/>
      <c r="M26" s="550"/>
      <c r="N26" s="548"/>
      <c r="O26" s="548"/>
      <c r="P26" s="538"/>
      <c r="Q26" s="538"/>
      <c r="R26" s="538"/>
      <c r="S26" s="538"/>
      <c r="T26" s="538"/>
    </row>
    <row r="27" spans="1:20" s="540" customFormat="1" ht="14.25" x14ac:dyDescent="0.2">
      <c r="A27" s="538"/>
      <c r="B27" s="538"/>
      <c r="C27" s="538"/>
      <c r="D27" s="538"/>
      <c r="E27" s="538"/>
      <c r="F27" s="538"/>
      <c r="G27" s="538"/>
      <c r="H27" s="538"/>
      <c r="I27" s="538"/>
      <c r="J27" s="538"/>
      <c r="K27" s="538"/>
      <c r="L27" s="538"/>
      <c r="M27" s="538"/>
      <c r="N27" s="538"/>
      <c r="O27" s="538"/>
      <c r="P27" s="538"/>
      <c r="Q27" s="538"/>
      <c r="R27" s="538"/>
      <c r="S27" s="538"/>
      <c r="T27" s="538"/>
    </row>
    <row r="28" spans="1:20" s="540" customFormat="1" ht="30" x14ac:dyDescent="0.4">
      <c r="A28" s="557" t="s">
        <v>4221</v>
      </c>
      <c r="B28" s="557"/>
      <c r="C28" s="557"/>
      <c r="D28" s="557"/>
      <c r="E28" s="557"/>
      <c r="F28" s="557"/>
      <c r="G28" s="557"/>
      <c r="H28" s="557"/>
      <c r="I28" s="557"/>
      <c r="J28" s="557"/>
      <c r="K28" s="557"/>
      <c r="L28" s="557"/>
      <c r="M28" s="538"/>
      <c r="N28" s="538"/>
      <c r="O28" s="538"/>
      <c r="P28" s="538"/>
      <c r="Q28" s="538"/>
      <c r="R28" s="538"/>
      <c r="S28" s="538"/>
      <c r="T28" s="538"/>
    </row>
    <row r="29" spans="1:20" s="540" customFormat="1" ht="14.25" x14ac:dyDescent="0.2">
      <c r="A29" s="538"/>
      <c r="B29" s="538"/>
      <c r="C29" s="538"/>
      <c r="D29" s="538"/>
      <c r="E29" s="538"/>
      <c r="F29" s="538"/>
      <c r="G29" s="538"/>
      <c r="H29" s="538"/>
      <c r="I29" s="538"/>
      <c r="J29" s="538"/>
      <c r="K29" s="538"/>
      <c r="L29" s="538"/>
      <c r="M29" s="538"/>
      <c r="N29" s="538"/>
      <c r="O29" s="538"/>
      <c r="P29" s="538"/>
      <c r="Q29" s="538"/>
      <c r="R29" s="538"/>
      <c r="S29" s="538"/>
      <c r="T29" s="538"/>
    </row>
    <row r="30" spans="1:20" s="540" customFormat="1" ht="14.25" x14ac:dyDescent="0.2">
      <c r="A30" s="538"/>
      <c r="B30" s="538"/>
      <c r="C30" s="538"/>
      <c r="D30" s="538"/>
      <c r="E30" s="538"/>
      <c r="F30" s="538"/>
      <c r="G30" s="538"/>
      <c r="H30" s="538"/>
      <c r="I30" s="538"/>
      <c r="J30" s="538"/>
      <c r="K30" s="538"/>
      <c r="L30" s="538"/>
      <c r="M30" s="538"/>
      <c r="N30" s="538"/>
      <c r="O30" s="538"/>
      <c r="P30" s="538"/>
      <c r="Q30" s="538"/>
      <c r="R30" s="538"/>
      <c r="S30" s="538"/>
      <c r="T30" s="538"/>
    </row>
    <row r="31" spans="1:20" s="540" customFormat="1" ht="14.25" x14ac:dyDescent="0.2">
      <c r="A31" s="538"/>
      <c r="B31" s="538"/>
      <c r="C31" s="538"/>
      <c r="D31" s="538"/>
      <c r="E31" s="538"/>
      <c r="F31" s="538"/>
      <c r="G31" s="538"/>
      <c r="H31" s="538"/>
      <c r="I31" s="538"/>
      <c r="J31" s="538"/>
      <c r="K31" s="538"/>
      <c r="L31" s="538"/>
      <c r="M31" s="538"/>
      <c r="N31" s="538"/>
      <c r="O31" s="538"/>
      <c r="P31" s="538"/>
      <c r="Q31" s="538"/>
      <c r="R31" s="538"/>
      <c r="S31" s="538"/>
      <c r="T31" s="538"/>
    </row>
    <row r="32" spans="1:20" s="540" customFormat="1" ht="15" x14ac:dyDescent="0.2">
      <c r="A32" s="533" t="s">
        <v>4126</v>
      </c>
    </row>
    <row r="33" spans="1:1" s="540" customFormat="1" ht="15" x14ac:dyDescent="0.2">
      <c r="A33" s="533"/>
    </row>
    <row r="34" spans="1:1" s="540" customFormat="1" ht="15" x14ac:dyDescent="0.2">
      <c r="A34" s="533" t="s">
        <v>4127</v>
      </c>
    </row>
    <row r="35" spans="1:1" s="540" customFormat="1" ht="15" x14ac:dyDescent="0.2">
      <c r="A35" s="533"/>
    </row>
    <row r="36" spans="1:1" s="540" customFormat="1" ht="14.25" x14ac:dyDescent="0.2">
      <c r="A36" s="543" t="s">
        <v>4147</v>
      </c>
    </row>
    <row r="37" spans="1:1" s="540" customFormat="1" ht="14.25" x14ac:dyDescent="0.2">
      <c r="A37" s="543" t="s">
        <v>4148</v>
      </c>
    </row>
    <row r="38" spans="1:1" s="540" customFormat="1" ht="14.25" x14ac:dyDescent="0.2">
      <c r="A38" s="543" t="s">
        <v>4149</v>
      </c>
    </row>
    <row r="39" spans="1:1" s="540" customFormat="1" ht="14.25" x14ac:dyDescent="0.2">
      <c r="A39" s="543" t="s">
        <v>4150</v>
      </c>
    </row>
    <row r="40" spans="1:1" s="540" customFormat="1" ht="15" x14ac:dyDescent="0.2">
      <c r="A40" s="533"/>
    </row>
    <row r="41" spans="1:1" s="540" customFormat="1" ht="15" x14ac:dyDescent="0.2">
      <c r="A41" s="533"/>
    </row>
    <row r="42" spans="1:1" s="540" customFormat="1" ht="15" x14ac:dyDescent="0.2">
      <c r="A42" s="533" t="s">
        <v>4128</v>
      </c>
    </row>
    <row r="43" spans="1:1" s="540" customFormat="1" ht="15" x14ac:dyDescent="0.2">
      <c r="A43" s="533"/>
    </row>
    <row r="44" spans="1:1" s="540" customFormat="1" ht="14.25" x14ac:dyDescent="0.2">
      <c r="A44" s="543" t="s">
        <v>4151</v>
      </c>
    </row>
    <row r="45" spans="1:1" s="540" customFormat="1" ht="14.25" x14ac:dyDescent="0.2">
      <c r="A45" s="543" t="s">
        <v>4152</v>
      </c>
    </row>
    <row r="46" spans="1:1" s="540" customFormat="1" ht="14.25" x14ac:dyDescent="0.2">
      <c r="A46" s="543" t="s">
        <v>4153</v>
      </c>
    </row>
    <row r="47" spans="1:1" s="540" customFormat="1" ht="14.25" x14ac:dyDescent="0.2">
      <c r="A47" s="543" t="s">
        <v>4154</v>
      </c>
    </row>
    <row r="48" spans="1:1" s="540" customFormat="1" ht="14.25" x14ac:dyDescent="0.2">
      <c r="A48" s="543" t="s">
        <v>4155</v>
      </c>
    </row>
    <row r="49" spans="1:1" s="540" customFormat="1" ht="14.25" x14ac:dyDescent="0.2">
      <c r="A49" s="543" t="s">
        <v>4156</v>
      </c>
    </row>
    <row r="50" spans="1:1" s="540" customFormat="1" ht="14.25" x14ac:dyDescent="0.2">
      <c r="A50" s="543" t="s">
        <v>4157</v>
      </c>
    </row>
    <row r="51" spans="1:1" s="540" customFormat="1" ht="14.25" x14ac:dyDescent="0.2">
      <c r="A51" s="543" t="s">
        <v>4158</v>
      </c>
    </row>
    <row r="52" spans="1:1" s="540" customFormat="1" ht="14.25" x14ac:dyDescent="0.2">
      <c r="A52" s="543" t="s">
        <v>4159</v>
      </c>
    </row>
    <row r="53" spans="1:1" s="540" customFormat="1" ht="14.25" x14ac:dyDescent="0.2">
      <c r="A53" s="543" t="s">
        <v>4160</v>
      </c>
    </row>
    <row r="54" spans="1:1" s="540" customFormat="1" ht="14.25" x14ac:dyDescent="0.2">
      <c r="A54" s="543" t="s">
        <v>4161</v>
      </c>
    </row>
    <row r="55" spans="1:1" s="540" customFormat="1" ht="14.25" x14ac:dyDescent="0.2">
      <c r="A55" s="543" t="s">
        <v>4162</v>
      </c>
    </row>
    <row r="56" spans="1:1" s="540" customFormat="1" ht="14.25" x14ac:dyDescent="0.2">
      <c r="A56" s="543" t="s">
        <v>4163</v>
      </c>
    </row>
    <row r="57" spans="1:1" s="540" customFormat="1" ht="14.25" x14ac:dyDescent="0.2">
      <c r="A57" s="543" t="s">
        <v>4164</v>
      </c>
    </row>
    <row r="58" spans="1:1" s="540" customFormat="1" ht="14.25" x14ac:dyDescent="0.2">
      <c r="A58" s="543" t="s">
        <v>4165</v>
      </c>
    </row>
    <row r="59" spans="1:1" s="540" customFormat="1" ht="15" x14ac:dyDescent="0.2">
      <c r="A59" s="533"/>
    </row>
    <row r="60" spans="1:1" s="540" customFormat="1" ht="15" x14ac:dyDescent="0.2">
      <c r="A60" s="533"/>
    </row>
    <row r="61" spans="1:1" s="540" customFormat="1" ht="15" x14ac:dyDescent="0.2">
      <c r="A61" s="533" t="s">
        <v>4129</v>
      </c>
    </row>
    <row r="62" spans="1:1" s="540" customFormat="1" ht="15" x14ac:dyDescent="0.2">
      <c r="A62" s="533"/>
    </row>
    <row r="63" spans="1:1" s="540" customFormat="1" ht="14.25" x14ac:dyDescent="0.2">
      <c r="A63" s="543" t="s">
        <v>4166</v>
      </c>
    </row>
    <row r="64" spans="1:1" s="540" customFormat="1" ht="14.25" x14ac:dyDescent="0.2">
      <c r="A64" s="543" t="s">
        <v>4167</v>
      </c>
    </row>
    <row r="65" spans="1:1" s="540" customFormat="1" ht="14.25" x14ac:dyDescent="0.2">
      <c r="A65" s="543" t="s">
        <v>4168</v>
      </c>
    </row>
    <row r="66" spans="1:1" s="540" customFormat="1" ht="14.25" x14ac:dyDescent="0.2">
      <c r="A66" s="543" t="s">
        <v>4169</v>
      </c>
    </row>
    <row r="67" spans="1:1" s="540" customFormat="1" ht="14.25" x14ac:dyDescent="0.2">
      <c r="A67" s="543" t="s">
        <v>4170</v>
      </c>
    </row>
    <row r="68" spans="1:1" s="540" customFormat="1" ht="14.25" x14ac:dyDescent="0.2">
      <c r="A68" s="543" t="s">
        <v>4171</v>
      </c>
    </row>
    <row r="69" spans="1:1" s="540" customFormat="1" ht="14.25" x14ac:dyDescent="0.2">
      <c r="A69" s="543" t="s">
        <v>4172</v>
      </c>
    </row>
    <row r="70" spans="1:1" s="540" customFormat="1" ht="15" x14ac:dyDescent="0.2">
      <c r="A70" s="533"/>
    </row>
    <row r="71" spans="1:1" s="540" customFormat="1" ht="15" x14ac:dyDescent="0.2">
      <c r="A71" s="533" t="s">
        <v>4130</v>
      </c>
    </row>
    <row r="72" spans="1:1" s="540" customFormat="1" ht="15" x14ac:dyDescent="0.2">
      <c r="A72" s="533"/>
    </row>
    <row r="73" spans="1:1" s="540" customFormat="1" ht="14.25" x14ac:dyDescent="0.2">
      <c r="A73" s="543" t="s">
        <v>4173</v>
      </c>
    </row>
    <row r="74" spans="1:1" s="540" customFormat="1" ht="14.25" x14ac:dyDescent="0.2">
      <c r="A74" s="543" t="s">
        <v>4174</v>
      </c>
    </row>
    <row r="75" spans="1:1" s="540" customFormat="1" ht="14.25" x14ac:dyDescent="0.2">
      <c r="A75" s="543" t="s">
        <v>4175</v>
      </c>
    </row>
    <row r="76" spans="1:1" s="540" customFormat="1" ht="15" x14ac:dyDescent="0.2">
      <c r="A76" s="533"/>
    </row>
    <row r="77" spans="1:1" s="540" customFormat="1" ht="15" x14ac:dyDescent="0.2">
      <c r="A77" s="533"/>
    </row>
    <row r="78" spans="1:1" s="540" customFormat="1" ht="15" x14ac:dyDescent="0.2">
      <c r="A78" s="533" t="s">
        <v>4131</v>
      </c>
    </row>
    <row r="79" spans="1:1" s="540" customFormat="1" ht="15" x14ac:dyDescent="0.25">
      <c r="A79" s="542"/>
    </row>
    <row r="80" spans="1:1" s="540" customFormat="1" ht="14.25" x14ac:dyDescent="0.2">
      <c r="A80" s="543" t="s">
        <v>4176</v>
      </c>
    </row>
    <row r="81" spans="1:1" s="540" customFormat="1" ht="14.25" x14ac:dyDescent="0.2">
      <c r="A81" s="543" t="s">
        <v>4177</v>
      </c>
    </row>
    <row r="82" spans="1:1" s="540" customFormat="1" ht="14.25" x14ac:dyDescent="0.2">
      <c r="A82" s="543" t="s">
        <v>4178</v>
      </c>
    </row>
    <row r="83" spans="1:1" s="540" customFormat="1" ht="14.25" x14ac:dyDescent="0.2">
      <c r="A83" s="543" t="s">
        <v>4179</v>
      </c>
    </row>
    <row r="84" spans="1:1" s="540" customFormat="1" ht="14.25" x14ac:dyDescent="0.2">
      <c r="A84" s="543" t="s">
        <v>4180</v>
      </c>
    </row>
    <row r="85" spans="1:1" s="540" customFormat="1" ht="14.25" x14ac:dyDescent="0.2"/>
    <row r="86" spans="1:1" s="540" customFormat="1" ht="14.25" x14ac:dyDescent="0.2"/>
    <row r="87" spans="1:1" s="540" customFormat="1" ht="15" x14ac:dyDescent="0.2">
      <c r="A87" s="533" t="s">
        <v>4132</v>
      </c>
    </row>
    <row r="88" spans="1:1" s="540" customFormat="1" ht="14.25" x14ac:dyDescent="0.2"/>
    <row r="89" spans="1:1" s="540" customFormat="1" ht="14.25" x14ac:dyDescent="0.2">
      <c r="A89" s="543" t="s">
        <v>4181</v>
      </c>
    </row>
    <row r="90" spans="1:1" s="540" customFormat="1" ht="14.25" x14ac:dyDescent="0.2">
      <c r="A90" s="543" t="s">
        <v>4182</v>
      </c>
    </row>
    <row r="91" spans="1:1" s="540" customFormat="1" ht="14.25" x14ac:dyDescent="0.2">
      <c r="A91" s="543" t="s">
        <v>4183</v>
      </c>
    </row>
    <row r="92" spans="1:1" s="540" customFormat="1" ht="14.25" x14ac:dyDescent="0.2"/>
    <row r="93" spans="1:1" s="540" customFormat="1" ht="14.25" x14ac:dyDescent="0.2"/>
    <row r="94" spans="1:1" s="540" customFormat="1" ht="15" x14ac:dyDescent="0.2">
      <c r="A94" s="533" t="s">
        <v>4133</v>
      </c>
    </row>
    <row r="95" spans="1:1" s="540" customFormat="1" ht="14.25" x14ac:dyDescent="0.2"/>
    <row r="96" spans="1:1" s="540" customFormat="1" ht="14.25" x14ac:dyDescent="0.2">
      <c r="A96" s="543" t="s">
        <v>4184</v>
      </c>
    </row>
    <row r="97" spans="1:1" s="540" customFormat="1" ht="14.25" x14ac:dyDescent="0.2">
      <c r="A97" s="543" t="s">
        <v>4185</v>
      </c>
    </row>
    <row r="98" spans="1:1" s="540" customFormat="1" ht="14.25" x14ac:dyDescent="0.2">
      <c r="A98" s="543" t="s">
        <v>4186</v>
      </c>
    </row>
    <row r="99" spans="1:1" s="540" customFormat="1" ht="14.25" x14ac:dyDescent="0.2">
      <c r="A99" s="543" t="s">
        <v>4187</v>
      </c>
    </row>
    <row r="100" spans="1:1" s="540" customFormat="1" ht="14.25" x14ac:dyDescent="0.2"/>
    <row r="101" spans="1:1" s="540" customFormat="1" ht="14.25" x14ac:dyDescent="0.2"/>
    <row r="102" spans="1:1" s="540" customFormat="1" ht="15" x14ac:dyDescent="0.2">
      <c r="A102" s="533" t="s">
        <v>4134</v>
      </c>
    </row>
    <row r="103" spans="1:1" s="540" customFormat="1" ht="14.25" x14ac:dyDescent="0.2"/>
    <row r="104" spans="1:1" s="540" customFormat="1" ht="14.25" x14ac:dyDescent="0.2">
      <c r="A104" s="543" t="s">
        <v>4188</v>
      </c>
    </row>
    <row r="105" spans="1:1" s="540" customFormat="1" ht="14.25" x14ac:dyDescent="0.2">
      <c r="A105" s="543" t="s">
        <v>4189</v>
      </c>
    </row>
    <row r="106" spans="1:1" s="540" customFormat="1" ht="14.25" x14ac:dyDescent="0.2">
      <c r="A106" s="543" t="s">
        <v>4190</v>
      </c>
    </row>
    <row r="107" spans="1:1" s="540" customFormat="1" ht="14.25" x14ac:dyDescent="0.2"/>
    <row r="108" spans="1:1" s="540" customFormat="1" ht="14.25" x14ac:dyDescent="0.2"/>
    <row r="109" spans="1:1" s="540" customFormat="1" ht="15" x14ac:dyDescent="0.2">
      <c r="A109" s="533" t="s">
        <v>4135</v>
      </c>
    </row>
    <row r="110" spans="1:1" s="540" customFormat="1" ht="14.25" x14ac:dyDescent="0.2"/>
    <row r="111" spans="1:1" s="540" customFormat="1" ht="14.25" x14ac:dyDescent="0.2">
      <c r="A111" s="543" t="s">
        <v>4191</v>
      </c>
    </row>
    <row r="112" spans="1:1" s="540" customFormat="1" ht="14.25" x14ac:dyDescent="0.2">
      <c r="A112" s="543" t="s">
        <v>4192</v>
      </c>
    </row>
    <row r="113" spans="1:1" s="540" customFormat="1" ht="14.25" x14ac:dyDescent="0.2">
      <c r="A113" s="543" t="s">
        <v>4193</v>
      </c>
    </row>
    <row r="114" spans="1:1" s="540" customFormat="1" ht="14.25" x14ac:dyDescent="0.2">
      <c r="A114" s="543" t="s">
        <v>4194</v>
      </c>
    </row>
    <row r="115" spans="1:1" s="540" customFormat="1" ht="14.25" x14ac:dyDescent="0.2">
      <c r="A115" s="543" t="s">
        <v>4195</v>
      </c>
    </row>
    <row r="116" spans="1:1" s="540" customFormat="1" ht="14.25" x14ac:dyDescent="0.2"/>
    <row r="117" spans="1:1" s="540" customFormat="1" ht="14.25" x14ac:dyDescent="0.2"/>
    <row r="118" spans="1:1" s="540" customFormat="1" ht="15" x14ac:dyDescent="0.2">
      <c r="A118" s="533" t="s">
        <v>4136</v>
      </c>
    </row>
    <row r="119" spans="1:1" s="540" customFormat="1" ht="14.25" x14ac:dyDescent="0.2"/>
    <row r="120" spans="1:1" s="540" customFormat="1" ht="14.25" x14ac:dyDescent="0.2">
      <c r="A120" s="543" t="s">
        <v>4196</v>
      </c>
    </row>
    <row r="121" spans="1:1" s="540" customFormat="1" ht="14.25" x14ac:dyDescent="0.2">
      <c r="A121" s="543" t="s">
        <v>4197</v>
      </c>
    </row>
    <row r="122" spans="1:1" s="540" customFormat="1" ht="14.25" x14ac:dyDescent="0.2">
      <c r="A122" s="543" t="s">
        <v>4198</v>
      </c>
    </row>
    <row r="123" spans="1:1" s="540" customFormat="1" ht="14.25" x14ac:dyDescent="0.2">
      <c r="A123" s="543" t="s">
        <v>4199</v>
      </c>
    </row>
    <row r="124" spans="1:1" s="540" customFormat="1" ht="14.25" x14ac:dyDescent="0.2">
      <c r="A124" s="543" t="s">
        <v>4200</v>
      </c>
    </row>
    <row r="125" spans="1:1" s="540" customFormat="1" ht="14.25" x14ac:dyDescent="0.2">
      <c r="A125" s="543" t="s">
        <v>4201</v>
      </c>
    </row>
    <row r="126" spans="1:1" s="540" customFormat="1" ht="14.25" x14ac:dyDescent="0.2">
      <c r="A126" s="543" t="s">
        <v>4202</v>
      </c>
    </row>
    <row r="127" spans="1:1" s="540" customFormat="1" ht="14.25" x14ac:dyDescent="0.2">
      <c r="A127" s="543" t="s">
        <v>4203</v>
      </c>
    </row>
    <row r="128" spans="1:1" s="540" customFormat="1" ht="14.25" x14ac:dyDescent="0.2">
      <c r="A128" s="543" t="s">
        <v>4204</v>
      </c>
    </row>
    <row r="129" spans="1:1" s="540" customFormat="1" ht="14.25" x14ac:dyDescent="0.2">
      <c r="A129" s="543" t="s">
        <v>4205</v>
      </c>
    </row>
    <row r="130" spans="1:1" s="540" customFormat="1" ht="14.25" x14ac:dyDescent="0.2">
      <c r="A130" s="543" t="s">
        <v>4206</v>
      </c>
    </row>
    <row r="131" spans="1:1" s="540" customFormat="1" ht="14.25" x14ac:dyDescent="0.2">
      <c r="A131" s="543" t="s">
        <v>4207</v>
      </c>
    </row>
    <row r="132" spans="1:1" s="540" customFormat="1" ht="14.25" x14ac:dyDescent="0.2">
      <c r="A132" s="543" t="s">
        <v>4208</v>
      </c>
    </row>
    <row r="133" spans="1:1" s="540" customFormat="1" ht="14.25" x14ac:dyDescent="0.2"/>
    <row r="134" spans="1:1" s="540" customFormat="1" ht="14.25" x14ac:dyDescent="0.2"/>
    <row r="135" spans="1:1" s="540" customFormat="1" ht="14.25" x14ac:dyDescent="0.2"/>
    <row r="136" spans="1:1" s="540" customFormat="1" ht="15" x14ac:dyDescent="0.2">
      <c r="A136" s="533" t="s">
        <v>4137</v>
      </c>
    </row>
    <row r="137" spans="1:1" s="540" customFormat="1" ht="14.25" x14ac:dyDescent="0.2"/>
    <row r="138" spans="1:1" s="540" customFormat="1" ht="14.25" x14ac:dyDescent="0.2">
      <c r="A138" s="543" t="s">
        <v>4209</v>
      </c>
    </row>
    <row r="139" spans="1:1" s="540" customFormat="1" ht="14.25" x14ac:dyDescent="0.2">
      <c r="A139" s="543" t="s">
        <v>4210</v>
      </c>
    </row>
    <row r="140" spans="1:1" s="540" customFormat="1" ht="14.25" x14ac:dyDescent="0.2">
      <c r="A140" s="543" t="s">
        <v>4211</v>
      </c>
    </row>
    <row r="141" spans="1:1" s="540" customFormat="1" ht="14.25" x14ac:dyDescent="0.2">
      <c r="A141" s="543" t="s">
        <v>4212</v>
      </c>
    </row>
    <row r="142" spans="1:1" s="540" customFormat="1" ht="14.25" x14ac:dyDescent="0.2">
      <c r="A142" s="543" t="s">
        <v>4213</v>
      </c>
    </row>
    <row r="143" spans="1:1" s="540" customFormat="1" ht="14.25" x14ac:dyDescent="0.2">
      <c r="A143" s="543" t="s">
        <v>4214</v>
      </c>
    </row>
    <row r="144" spans="1:1" s="540" customFormat="1" ht="14.25" x14ac:dyDescent="0.2"/>
    <row r="145" spans="1:1" s="540" customFormat="1" ht="14.25" x14ac:dyDescent="0.2"/>
    <row r="146" spans="1:1" s="540" customFormat="1" ht="15" x14ac:dyDescent="0.2">
      <c r="A146" s="533" t="s">
        <v>4138</v>
      </c>
    </row>
    <row r="147" spans="1:1" s="540" customFormat="1" ht="14.25" x14ac:dyDescent="0.2">
      <c r="A147" s="540" t="s">
        <v>4139</v>
      </c>
    </row>
    <row r="148" spans="1:1" s="540" customFormat="1" ht="14.25" x14ac:dyDescent="0.2"/>
    <row r="149" spans="1:1" s="540" customFormat="1" ht="15" x14ac:dyDescent="0.2">
      <c r="A149" s="533" t="s">
        <v>4140</v>
      </c>
    </row>
    <row r="150" spans="1:1" s="540" customFormat="1" ht="14.25" x14ac:dyDescent="0.2"/>
    <row r="151" spans="1:1" s="540" customFormat="1" ht="14.25" x14ac:dyDescent="0.2"/>
    <row r="152" spans="1:1" s="540" customFormat="1" ht="15" x14ac:dyDescent="0.2">
      <c r="A152" s="533" t="s">
        <v>4141</v>
      </c>
    </row>
    <row r="153" spans="1:1" s="540" customFormat="1" ht="14.25" x14ac:dyDescent="0.2"/>
    <row r="154" spans="1:1" s="540" customFormat="1" ht="14.25" x14ac:dyDescent="0.2">
      <c r="A154" s="540" t="s">
        <v>4142</v>
      </c>
    </row>
    <row r="155" spans="1:1" s="540" customFormat="1" ht="14.25" x14ac:dyDescent="0.2">
      <c r="A155" s="540" t="s">
        <v>4143</v>
      </c>
    </row>
    <row r="156" spans="1:1" s="540" customFormat="1" ht="14.25" x14ac:dyDescent="0.2"/>
    <row r="157" spans="1:1" s="540" customFormat="1" ht="14.25" x14ac:dyDescent="0.2"/>
    <row r="158" spans="1:1" s="540" customFormat="1" ht="15" x14ac:dyDescent="0.2">
      <c r="A158" s="533" t="s">
        <v>4144</v>
      </c>
    </row>
    <row r="159" spans="1:1" s="540" customFormat="1" ht="14.25" x14ac:dyDescent="0.2"/>
    <row r="160" spans="1:1" s="540" customFormat="1" ht="14.25" x14ac:dyDescent="0.2"/>
    <row r="161" spans="1:18" s="540" customFormat="1" ht="15" x14ac:dyDescent="0.2">
      <c r="A161" s="533"/>
    </row>
    <row r="162" spans="1:18" s="540" customFormat="1" ht="15" x14ac:dyDescent="0.2">
      <c r="A162" s="533" t="s">
        <v>4145</v>
      </c>
    </row>
    <row r="163" spans="1:18" s="540" customFormat="1" ht="15" x14ac:dyDescent="0.2">
      <c r="A163" s="533" t="s">
        <v>4229</v>
      </c>
    </row>
    <row r="164" spans="1:18" s="540" customFormat="1" ht="15" x14ac:dyDescent="0.2">
      <c r="A164" s="533" t="s">
        <v>4146</v>
      </c>
    </row>
    <row r="165" spans="1:18" s="540" customFormat="1" ht="15" x14ac:dyDescent="0.2">
      <c r="A165" s="533"/>
    </row>
    <row r="166" spans="1:18" s="540" customFormat="1" ht="23.25" x14ac:dyDescent="0.2">
      <c r="A166" s="546" t="s">
        <v>4219</v>
      </c>
      <c r="B166" s="546"/>
      <c r="C166" s="546"/>
      <c r="D166" s="546"/>
      <c r="E166" s="546"/>
      <c r="F166" s="546"/>
      <c r="G166" s="546"/>
      <c r="H166" s="546"/>
      <c r="I166" s="546"/>
      <c r="J166" s="546"/>
      <c r="K166" s="546"/>
      <c r="L166" s="545"/>
      <c r="M166" s="545"/>
      <c r="N166" s="545"/>
      <c r="O166" s="545"/>
      <c r="P166" s="545"/>
      <c r="Q166" s="545"/>
      <c r="R166" s="545"/>
    </row>
    <row r="167" spans="1:18" s="540" customFormat="1" ht="15" x14ac:dyDescent="0.2">
      <c r="A167" s="533"/>
    </row>
    <row r="168" spans="1:18" s="540" customFormat="1" ht="23.25" x14ac:dyDescent="0.2">
      <c r="A168" s="552" t="s">
        <v>4225</v>
      </c>
      <c r="B168" s="553"/>
      <c r="C168" s="553"/>
      <c r="D168" s="547"/>
      <c r="E168" s="547"/>
    </row>
    <row r="169" spans="1:18" s="540" customFormat="1" ht="15" x14ac:dyDescent="0.2">
      <c r="A169" s="533"/>
    </row>
    <row r="170" spans="1:18" ht="20.25" x14ac:dyDescent="0.2">
      <c r="A170" s="559" t="s">
        <v>4228</v>
      </c>
      <c r="B170" s="559"/>
      <c r="C170" s="559"/>
      <c r="D170" s="559"/>
      <c r="E170" s="559"/>
      <c r="F170" s="559"/>
      <c r="G170" s="559"/>
      <c r="H170" s="559"/>
    </row>
    <row r="171" spans="1:18" x14ac:dyDescent="0.2">
      <c r="A171" s="541"/>
    </row>
    <row r="172" spans="1:18" x14ac:dyDescent="0.2">
      <c r="A172" s="541"/>
    </row>
    <row r="173" spans="1:18" x14ac:dyDescent="0.2">
      <c r="A173" s="541"/>
    </row>
    <row r="174" spans="1:18" x14ac:dyDescent="0.2">
      <c r="A174" s="541"/>
    </row>
    <row r="175" spans="1:18" x14ac:dyDescent="0.2">
      <c r="A175" s="541"/>
    </row>
    <row r="177" spans="1:20" x14ac:dyDescent="0.2">
      <c r="A177" s="537"/>
      <c r="B177" s="537"/>
      <c r="C177" s="537"/>
      <c r="D177" s="537"/>
      <c r="E177" s="537"/>
      <c r="F177" s="537"/>
      <c r="G177" s="537"/>
      <c r="H177" s="537"/>
      <c r="I177" s="537"/>
      <c r="J177" s="537"/>
      <c r="K177" s="537"/>
      <c r="L177" s="537"/>
      <c r="M177" s="537"/>
      <c r="N177" s="537"/>
      <c r="O177" s="537"/>
      <c r="P177" s="537"/>
      <c r="Q177" s="537"/>
      <c r="R177" s="537"/>
      <c r="S177" s="537"/>
      <c r="T177" s="537"/>
    </row>
    <row r="178" spans="1:20" x14ac:dyDescent="0.2">
      <c r="A178" s="537"/>
      <c r="B178" s="537"/>
      <c r="C178" s="537"/>
      <c r="D178" s="537"/>
      <c r="E178" s="537"/>
      <c r="F178" s="537"/>
      <c r="G178" s="537"/>
      <c r="H178" s="537"/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</row>
    <row r="179" spans="1:20" ht="42" customHeight="1" x14ac:dyDescent="0.2">
      <c r="A179" s="556" t="s">
        <v>4220</v>
      </c>
      <c r="B179" s="556"/>
      <c r="C179" s="556"/>
      <c r="D179" s="556"/>
      <c r="E179" s="556"/>
      <c r="F179" s="556"/>
      <c r="G179" s="556"/>
      <c r="H179" s="556"/>
      <c r="I179" s="556"/>
      <c r="J179" s="556"/>
      <c r="K179" s="556"/>
      <c r="L179" s="556"/>
      <c r="M179" s="556"/>
      <c r="N179" s="556"/>
      <c r="O179" s="556"/>
      <c r="P179" s="556"/>
      <c r="Q179" s="556"/>
      <c r="R179" s="556"/>
      <c r="S179" s="556"/>
      <c r="T179" s="556"/>
    </row>
    <row r="180" spans="1:20" ht="315" customHeight="1" x14ac:dyDescent="0.2">
      <c r="A180" s="554" t="s">
        <v>4224</v>
      </c>
      <c r="B180" s="554"/>
      <c r="C180" s="554"/>
      <c r="D180" s="554"/>
      <c r="E180" s="554"/>
      <c r="F180" s="554"/>
      <c r="G180" s="554"/>
      <c r="H180" s="554"/>
      <c r="I180" s="554"/>
      <c r="J180" s="554"/>
      <c r="K180" s="554"/>
      <c r="L180" s="554"/>
      <c r="M180" s="554"/>
      <c r="N180" s="554"/>
      <c r="O180" s="554"/>
      <c r="P180" s="554"/>
      <c r="Q180" s="554"/>
      <c r="R180" s="554"/>
      <c r="S180" s="554"/>
      <c r="T180" s="554"/>
    </row>
  </sheetData>
  <mergeCells count="5">
    <mergeCell ref="A180:T180"/>
    <mergeCell ref="A2:T2"/>
    <mergeCell ref="A179:T179"/>
    <mergeCell ref="A170:H170"/>
    <mergeCell ref="A28:L28"/>
  </mergeCells>
  <hyperlinks>
    <hyperlink ref="A180" r:id="rId1" display="https://www.facebook.com/groups/JCKSB/" xr:uid="{00000000-0004-0000-0000-000007000000}"/>
    <hyperlink ref="A28" r:id="rId2" xr:uid="{2FC846A2-30CC-475F-841A-5D0CFED64D0F}"/>
    <hyperlink ref="A170" r:id="rId3" xr:uid="{042951DD-9637-405E-9CBE-232C29395F0E}"/>
  </hyperlinks>
  <pageMargins left="0.7" right="0.7" top="0.75" bottom="0.75" header="0.3" footer="0.3"/>
  <pageSetup orientation="portrait" verticalDpi="0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105">
    <tabColor rgb="FF00B050"/>
    <pageSetUpPr fitToPage="1"/>
  </sheetPr>
  <dimension ref="A1:H19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B18" sqref="B18:B19"/>
    </sheetView>
  </sheetViews>
  <sheetFormatPr defaultRowHeight="12.75" x14ac:dyDescent="0.2"/>
  <cols>
    <col min="1" max="1" width="2.7109375" customWidth="1"/>
    <col min="3" max="3" width="11.5703125" customWidth="1"/>
    <col min="4" max="4" width="13.5703125" customWidth="1"/>
    <col min="5" max="5" width="11.85546875" customWidth="1"/>
    <col min="6" max="6" width="11.7109375" customWidth="1"/>
    <col min="7" max="7" width="10.42578125" customWidth="1"/>
  </cols>
  <sheetData>
    <row r="1" spans="1:8" ht="18.75" thickBot="1" x14ac:dyDescent="0.3">
      <c r="A1" s="1" t="s">
        <v>0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B3" t="s">
        <v>1</v>
      </c>
    </row>
    <row r="4" spans="1:8" x14ac:dyDescent="0.2">
      <c r="B4" t="s">
        <v>2</v>
      </c>
    </row>
    <row r="6" spans="1:8" x14ac:dyDescent="0.2">
      <c r="B6" t="s">
        <v>3</v>
      </c>
    </row>
    <row r="7" spans="1:8" x14ac:dyDescent="0.2">
      <c r="B7" t="s">
        <v>4</v>
      </c>
    </row>
    <row r="9" spans="1:8" x14ac:dyDescent="0.2">
      <c r="B9" s="2">
        <v>10</v>
      </c>
      <c r="C9" s="2">
        <v>20</v>
      </c>
      <c r="D9" s="3"/>
    </row>
    <row r="10" spans="1:8" x14ac:dyDescent="0.2">
      <c r="B10" s="2">
        <v>30</v>
      </c>
      <c r="C10" s="2">
        <v>40</v>
      </c>
      <c r="D10" s="3">
        <f>SUM(B10:C10)</f>
        <v>70</v>
      </c>
    </row>
    <row r="11" spans="1:8" x14ac:dyDescent="0.2">
      <c r="B11" s="2">
        <v>50</v>
      </c>
      <c r="C11" s="2">
        <v>60</v>
      </c>
      <c r="D11" s="3">
        <f>MAX(B11:C11)</f>
        <v>60</v>
      </c>
    </row>
    <row r="12" spans="1:8" x14ac:dyDescent="0.2">
      <c r="B12" s="2">
        <v>70</v>
      </c>
      <c r="C12" s="2">
        <v>80</v>
      </c>
      <c r="D12" s="3">
        <f>IF(B12&gt;C12,B9,B10)</f>
        <v>30</v>
      </c>
    </row>
    <row r="18" spans="2:4" x14ac:dyDescent="0.2">
      <c r="B18" s="535" t="s">
        <v>4120</v>
      </c>
      <c r="C18" s="532"/>
      <c r="D18" s="532"/>
    </row>
    <row r="19" spans="2:4" ht="15" x14ac:dyDescent="0.2">
      <c r="B19" s="534" t="s">
        <v>4119</v>
      </c>
      <c r="C19" s="533"/>
      <c r="D19" s="533"/>
    </row>
  </sheetData>
  <hyperlinks>
    <hyperlink ref="B19" r:id="rId1" xr:uid="{00000000-0004-0000-0100-000000000000}"/>
  </hyperlinks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2"/>
  <headerFooter alignWithMargins="0">
    <oddHeader>&amp;LExcel Function Dictionary
© 1998 - 2000 Peter Noneley&amp;R&amp;A
Page &amp;P of &amp;N</oddHead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Line="0" autoPict="0">
                <anchor>
                  <from>
                    <xdr:col>7</xdr:col>
                    <xdr:colOff>114300</xdr:colOff>
                    <xdr:row>0</xdr:row>
                    <xdr:rowOff>38100</xdr:rowOff>
                  </from>
                  <to>
                    <xdr:col>7</xdr:col>
                    <xdr:colOff>590550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6" name="Button 2">
              <controlPr defaultSize="0" print="0" autoFill="0" autoLine="0" autoPict="0">
                <anchor>
                  <from>
                    <xdr:col>8</xdr:col>
                    <xdr:colOff>47625</xdr:colOff>
                    <xdr:row>0</xdr:row>
                    <xdr:rowOff>38100</xdr:rowOff>
                  </from>
                  <to>
                    <xdr:col>8</xdr:col>
                    <xdr:colOff>247650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7" name="Button 3">
              <controlPr defaultSize="0" print="0" autoFill="0" autoLine="0" autoPict="0">
                <anchor>
                  <from>
                    <xdr:col>6</xdr:col>
                    <xdr:colOff>533400</xdr:colOff>
                    <xdr:row>0</xdr:row>
                    <xdr:rowOff>38100</xdr:rowOff>
                  </from>
                  <to>
                    <xdr:col>7</xdr:col>
                    <xdr:colOff>47625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10">
    <tabColor rgb="FF00B050"/>
    <pageSetUpPr fitToPage="1"/>
  </sheetPr>
  <dimension ref="A1:H25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B24" sqref="B24:B25"/>
    </sheetView>
  </sheetViews>
  <sheetFormatPr defaultRowHeight="12.75" x14ac:dyDescent="0.2"/>
  <cols>
    <col min="1" max="1" width="2.7109375" customWidth="1"/>
    <col min="3" max="3" width="11.5703125" customWidth="1"/>
    <col min="4" max="4" width="13.5703125" customWidth="1"/>
    <col min="5" max="5" width="11.85546875" customWidth="1"/>
    <col min="6" max="6" width="11.7109375" customWidth="1"/>
    <col min="7" max="7" width="10.42578125" customWidth="1"/>
  </cols>
  <sheetData>
    <row r="1" spans="1:8" ht="18.75" thickBot="1" x14ac:dyDescent="0.3">
      <c r="A1" s="1" t="s">
        <v>5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B3" t="s">
        <v>6</v>
      </c>
    </row>
    <row r="4" spans="1:8" x14ac:dyDescent="0.2">
      <c r="B4" t="s">
        <v>7</v>
      </c>
    </row>
    <row r="6" spans="1:8" x14ac:dyDescent="0.2">
      <c r="B6" t="s">
        <v>8</v>
      </c>
    </row>
    <row r="7" spans="1:8" x14ac:dyDescent="0.2">
      <c r="B7" t="s">
        <v>9</v>
      </c>
    </row>
    <row r="8" spans="1:8" x14ac:dyDescent="0.2">
      <c r="B8" t="s">
        <v>10</v>
      </c>
    </row>
    <row r="9" spans="1:8" x14ac:dyDescent="0.2">
      <c r="B9" t="s">
        <v>11</v>
      </c>
    </row>
    <row r="11" spans="1:8" x14ac:dyDescent="0.2">
      <c r="C11" s="4"/>
      <c r="D11" s="5" t="s">
        <v>12</v>
      </c>
      <c r="E11" s="5" t="s">
        <v>13</v>
      </c>
      <c r="F11" s="5" t="s">
        <v>14</v>
      </c>
      <c r="G11" s="5" t="s">
        <v>15</v>
      </c>
    </row>
    <row r="12" spans="1:8" x14ac:dyDescent="0.2">
      <c r="C12" s="6" t="s">
        <v>16</v>
      </c>
      <c r="D12" s="2">
        <v>10</v>
      </c>
      <c r="E12" s="2">
        <v>50</v>
      </c>
      <c r="F12" s="2">
        <v>90</v>
      </c>
      <c r="G12" s="3"/>
    </row>
    <row r="13" spans="1:8" x14ac:dyDescent="0.2">
      <c r="C13" s="6" t="s">
        <v>17</v>
      </c>
      <c r="D13" s="2">
        <v>20</v>
      </c>
      <c r="E13" s="2">
        <v>60</v>
      </c>
      <c r="F13" s="2">
        <v>100</v>
      </c>
      <c r="G13" s="3"/>
    </row>
    <row r="14" spans="1:8" x14ac:dyDescent="0.2">
      <c r="C14" s="6" t="s">
        <v>18</v>
      </c>
      <c r="D14" s="2">
        <v>30</v>
      </c>
      <c r="E14" s="2">
        <v>70</v>
      </c>
      <c r="F14" s="2">
        <v>200</v>
      </c>
      <c r="G14" s="3"/>
    </row>
    <row r="15" spans="1:8" x14ac:dyDescent="0.2">
      <c r="C15" s="6" t="s">
        <v>19</v>
      </c>
      <c r="D15" s="2">
        <v>40</v>
      </c>
      <c r="E15" s="2">
        <v>80</v>
      </c>
      <c r="F15" s="2">
        <v>300</v>
      </c>
      <c r="G15" s="3"/>
    </row>
    <row r="16" spans="1:8" x14ac:dyDescent="0.2">
      <c r="C16" s="6" t="s">
        <v>15</v>
      </c>
      <c r="D16" s="3"/>
      <c r="E16" s="3"/>
      <c r="F16" s="3"/>
      <c r="G16" s="3"/>
    </row>
    <row r="24" spans="2:2" x14ac:dyDescent="0.2">
      <c r="B24" s="535" t="s">
        <v>4120</v>
      </c>
    </row>
    <row r="25" spans="2:2" ht="15" x14ac:dyDescent="0.2">
      <c r="B25" s="534" t="s">
        <v>4119</v>
      </c>
    </row>
  </sheetData>
  <hyperlinks>
    <hyperlink ref="B25" r:id="rId1" xr:uid="{00000000-0004-0000-0200-000000000000}"/>
  </hyperlinks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2"/>
  <headerFooter alignWithMargins="0">
    <oddHeader>&amp;LExcel Function Dictionary
© 1998 - 2000 Peter Noneley&amp;R&amp;A
Page &amp;P of &amp;N</oddHead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5" name="Button 1">
              <controlPr defaultSize="0" print="0" autoFill="0" autoLine="0" autoPict="0">
                <anchor>
                  <from>
                    <xdr:col>7</xdr:col>
                    <xdr:colOff>114300</xdr:colOff>
                    <xdr:row>0</xdr:row>
                    <xdr:rowOff>38100</xdr:rowOff>
                  </from>
                  <to>
                    <xdr:col>7</xdr:col>
                    <xdr:colOff>590550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6" name="Button 2">
              <controlPr defaultSize="0" print="0" autoFill="0" autoLine="0" autoPict="0">
                <anchor>
                  <from>
                    <xdr:col>8</xdr:col>
                    <xdr:colOff>47625</xdr:colOff>
                    <xdr:row>0</xdr:row>
                    <xdr:rowOff>38100</xdr:rowOff>
                  </from>
                  <to>
                    <xdr:col>8</xdr:col>
                    <xdr:colOff>247650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7" name="Button 3">
              <controlPr defaultSize="0" print="0" autoFill="0" autoLine="0" autoPict="0">
                <anchor>
                  <from>
                    <xdr:col>6</xdr:col>
                    <xdr:colOff>533400</xdr:colOff>
                    <xdr:row>0</xdr:row>
                    <xdr:rowOff>38100</xdr:rowOff>
                  </from>
                  <to>
                    <xdr:col>7</xdr:col>
                    <xdr:colOff>47625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3">
    <tabColor rgb="FF00B050"/>
    <pageSetUpPr fitToPage="1"/>
  </sheetPr>
  <dimension ref="A1:N46"/>
  <sheetViews>
    <sheetView showGridLines="0" workbookViewId="0">
      <pane ySplit="1" topLeftCell="A26" activePane="bottomLeft" state="frozen"/>
      <selection activeCell="F30" activeCellId="4" sqref="F16 K30 G30 P30 F30"/>
      <selection pane="bottomLeft" activeCell="B45" sqref="B45:B46"/>
    </sheetView>
  </sheetViews>
  <sheetFormatPr defaultRowHeight="12.75" x14ac:dyDescent="0.2"/>
  <cols>
    <col min="1" max="1" width="2.7109375" customWidth="1"/>
    <col min="2" max="2" width="3.85546875" customWidth="1"/>
    <col min="3" max="3" width="5.5703125" customWidth="1"/>
    <col min="4" max="4" width="4.5703125" customWidth="1"/>
    <col min="5" max="5" width="8.42578125" customWidth="1"/>
    <col min="6" max="6" width="4.85546875" customWidth="1"/>
    <col min="7" max="7" width="4" customWidth="1"/>
    <col min="8" max="8" width="3.140625" customWidth="1"/>
    <col min="9" max="9" width="3.85546875" customWidth="1"/>
    <col min="10" max="10" width="4.28515625" customWidth="1"/>
    <col min="11" max="11" width="7.5703125" customWidth="1"/>
    <col min="13" max="13" width="13.28515625" customWidth="1"/>
  </cols>
  <sheetData>
    <row r="1" spans="1:14" ht="18.75" thickBot="1" x14ac:dyDescent="0.3">
      <c r="A1" s="1" t="s">
        <v>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3.5" thickTop="1" x14ac:dyDescent="0.2"/>
    <row r="3" spans="1:14" x14ac:dyDescent="0.2">
      <c r="D3" s="5" t="s">
        <v>21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</row>
    <row r="4" spans="1:14" x14ac:dyDescent="0.2">
      <c r="C4" s="7" t="s">
        <v>29</v>
      </c>
      <c r="D4" s="2">
        <v>30</v>
      </c>
      <c r="E4" s="2">
        <v>31</v>
      </c>
      <c r="F4" s="2">
        <v>32</v>
      </c>
      <c r="G4" s="2">
        <v>29</v>
      </c>
      <c r="H4" s="2">
        <v>26</v>
      </c>
      <c r="I4" s="2">
        <v>28</v>
      </c>
      <c r="J4" s="2">
        <v>27</v>
      </c>
      <c r="K4" s="3">
        <f>AVERAGE(D4:J4)</f>
        <v>29</v>
      </c>
      <c r="L4" s="8" t="s">
        <v>30</v>
      </c>
    </row>
    <row r="5" spans="1:14" x14ac:dyDescent="0.2">
      <c r="C5" s="7" t="s">
        <v>31</v>
      </c>
      <c r="D5" s="2">
        <v>0</v>
      </c>
      <c r="E5" s="2">
        <v>0</v>
      </c>
      <c r="F5" s="2">
        <v>0</v>
      </c>
      <c r="G5" s="2">
        <v>4</v>
      </c>
      <c r="H5" s="2">
        <v>6</v>
      </c>
      <c r="I5" s="2">
        <v>3</v>
      </c>
      <c r="J5" s="2">
        <v>1</v>
      </c>
      <c r="K5" s="3">
        <f>AVERAGE(D5:J5)</f>
        <v>2</v>
      </c>
      <c r="L5" s="8" t="s">
        <v>32</v>
      </c>
    </row>
    <row r="7" spans="1:14" x14ac:dyDescent="0.2">
      <c r="D7" s="5" t="s">
        <v>21</v>
      </c>
      <c r="E7" s="5" t="s">
        <v>22</v>
      </c>
      <c r="F7" s="5" t="s">
        <v>23</v>
      </c>
      <c r="G7" s="5" t="s">
        <v>24</v>
      </c>
      <c r="H7" s="5" t="s">
        <v>25</v>
      </c>
      <c r="I7" s="5" t="s">
        <v>26</v>
      </c>
      <c r="J7" s="5" t="s">
        <v>27</v>
      </c>
      <c r="K7" s="5" t="s">
        <v>28</v>
      </c>
    </row>
    <row r="8" spans="1:14" x14ac:dyDescent="0.2">
      <c r="C8" s="7" t="s">
        <v>29</v>
      </c>
      <c r="D8" s="2">
        <v>30</v>
      </c>
      <c r="E8" s="2"/>
      <c r="F8" s="2">
        <v>32</v>
      </c>
      <c r="G8" s="2">
        <v>29</v>
      </c>
      <c r="H8" s="2">
        <v>26</v>
      </c>
      <c r="I8" s="2">
        <v>28</v>
      </c>
      <c r="J8" s="2">
        <v>27</v>
      </c>
      <c r="K8" s="3">
        <f>AVERAGE(D8:J8)</f>
        <v>28.666666666666668</v>
      </c>
      <c r="L8" s="8" t="s">
        <v>33</v>
      </c>
    </row>
    <row r="9" spans="1:14" x14ac:dyDescent="0.2">
      <c r="C9" s="7" t="s">
        <v>31</v>
      </c>
      <c r="D9" s="2">
        <v>0</v>
      </c>
      <c r="E9" s="2"/>
      <c r="F9" s="2">
        <v>0</v>
      </c>
      <c r="G9" s="2">
        <v>4</v>
      </c>
      <c r="H9" s="2">
        <v>6</v>
      </c>
      <c r="I9" s="2">
        <v>3</v>
      </c>
      <c r="J9" s="2">
        <v>1</v>
      </c>
      <c r="K9" s="3">
        <f>AVERAGE(D9:J9)</f>
        <v>2.3333333333333335</v>
      </c>
      <c r="L9" s="8" t="s">
        <v>34</v>
      </c>
    </row>
    <row r="11" spans="1:14" x14ac:dyDescent="0.2">
      <c r="D11" s="5" t="s">
        <v>21</v>
      </c>
      <c r="E11" s="5" t="s">
        <v>22</v>
      </c>
      <c r="F11" s="5" t="s">
        <v>23</v>
      </c>
      <c r="G11" s="5" t="s">
        <v>24</v>
      </c>
      <c r="H11" s="5" t="s">
        <v>25</v>
      </c>
      <c r="I11" s="5" t="s">
        <v>26</v>
      </c>
      <c r="J11" s="5" t="s">
        <v>27</v>
      </c>
      <c r="K11" s="5" t="s">
        <v>28</v>
      </c>
    </row>
    <row r="12" spans="1:14" x14ac:dyDescent="0.2">
      <c r="C12" s="7" t="s">
        <v>29</v>
      </c>
      <c r="D12" s="2">
        <v>30</v>
      </c>
      <c r="E12" s="2" t="s">
        <v>35</v>
      </c>
      <c r="F12" s="2">
        <v>32</v>
      </c>
      <c r="G12" s="2">
        <v>29</v>
      </c>
      <c r="H12" s="2">
        <v>26</v>
      </c>
      <c r="I12" s="2">
        <v>28</v>
      </c>
      <c r="J12" s="2">
        <v>27</v>
      </c>
      <c r="K12" s="3">
        <f>AVERAGE(D12:J12)</f>
        <v>28.666666666666668</v>
      </c>
      <c r="L12" s="8" t="s">
        <v>36</v>
      </c>
    </row>
    <row r="13" spans="1:14" x14ac:dyDescent="0.2">
      <c r="C13" s="7" t="s">
        <v>31</v>
      </c>
      <c r="D13" s="2">
        <v>0</v>
      </c>
      <c r="E13" s="2" t="s">
        <v>37</v>
      </c>
      <c r="F13" s="2">
        <v>0</v>
      </c>
      <c r="G13" s="2">
        <v>4</v>
      </c>
      <c r="H13" s="2">
        <v>6</v>
      </c>
      <c r="I13" s="2">
        <v>3</v>
      </c>
      <c r="J13" s="2">
        <v>1</v>
      </c>
      <c r="K13" s="3">
        <f>AVERAGE(D13:J13)</f>
        <v>2.3333333333333335</v>
      </c>
      <c r="L13" s="8" t="s">
        <v>38</v>
      </c>
    </row>
    <row r="15" spans="1:14" ht="13.5" thickBot="1" x14ac:dyDescent="0.25">
      <c r="B15" s="9" t="s">
        <v>39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</row>
    <row r="16" spans="1:14" x14ac:dyDescent="0.2">
      <c r="B16" t="s">
        <v>40</v>
      </c>
    </row>
    <row r="17" spans="2:14" x14ac:dyDescent="0.2">
      <c r="B17" t="s">
        <v>41</v>
      </c>
    </row>
    <row r="18" spans="2:14" x14ac:dyDescent="0.2">
      <c r="B18" t="s">
        <v>42</v>
      </c>
    </row>
    <row r="20" spans="2:14" ht="13.5" thickBot="1" x14ac:dyDescent="0.25">
      <c r="B20" s="9" t="s">
        <v>43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</row>
    <row r="21" spans="2:14" x14ac:dyDescent="0.2">
      <c r="B21" s="10" t="s">
        <v>44</v>
      </c>
    </row>
    <row r="23" spans="2:14" ht="13.5" thickBot="1" x14ac:dyDescent="0.25">
      <c r="B23" s="9" t="s">
        <v>45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</row>
    <row r="24" spans="2:14" x14ac:dyDescent="0.2">
      <c r="B24" t="s">
        <v>46</v>
      </c>
    </row>
    <row r="26" spans="2:14" ht="13.5" thickBot="1" x14ac:dyDescent="0.25">
      <c r="B26" s="9" t="s">
        <v>47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</row>
    <row r="27" spans="2:14" x14ac:dyDescent="0.2">
      <c r="B27" t="s">
        <v>48</v>
      </c>
    </row>
    <row r="28" spans="2:14" x14ac:dyDescent="0.2">
      <c r="B28" t="s">
        <v>49</v>
      </c>
    </row>
    <row r="30" spans="2:14" x14ac:dyDescent="0.2">
      <c r="D30" s="5" t="s">
        <v>21</v>
      </c>
      <c r="E30" s="5" t="s">
        <v>22</v>
      </c>
      <c r="F30" s="5" t="s">
        <v>23</v>
      </c>
      <c r="G30" s="5" t="s">
        <v>24</v>
      </c>
      <c r="H30" s="5" t="s">
        <v>25</v>
      </c>
      <c r="I30" s="5" t="s">
        <v>26</v>
      </c>
      <c r="J30" s="5" t="s">
        <v>27</v>
      </c>
      <c r="K30" s="5" t="s">
        <v>28</v>
      </c>
    </row>
    <row r="31" spans="2:14" x14ac:dyDescent="0.2">
      <c r="C31" s="7" t="s">
        <v>29</v>
      </c>
      <c r="D31" s="2">
        <v>30</v>
      </c>
      <c r="E31" s="2" t="s">
        <v>35</v>
      </c>
      <c r="F31" s="2">
        <v>32</v>
      </c>
      <c r="G31" s="2">
        <v>29</v>
      </c>
      <c r="H31" s="2">
        <v>26</v>
      </c>
      <c r="I31" s="2">
        <v>28</v>
      </c>
      <c r="J31" s="2">
        <v>27</v>
      </c>
      <c r="K31" s="3">
        <f>SUM(D31:J31)/COUNTA(D31:J31)</f>
        <v>24.571428571428573</v>
      </c>
      <c r="L31" s="8" t="s">
        <v>50</v>
      </c>
    </row>
    <row r="32" spans="2:14" x14ac:dyDescent="0.2">
      <c r="C32" s="7" t="s">
        <v>31</v>
      </c>
      <c r="D32" s="2">
        <v>0</v>
      </c>
      <c r="E32" s="2" t="s">
        <v>37</v>
      </c>
      <c r="F32" s="2">
        <v>0</v>
      </c>
      <c r="G32" s="2">
        <v>4</v>
      </c>
      <c r="H32" s="2">
        <v>6</v>
      </c>
      <c r="I32" s="2">
        <v>3</v>
      </c>
      <c r="J32" s="2">
        <v>1</v>
      </c>
      <c r="K32" s="3">
        <f>SUM(D32:J32)/COUNTA(D32:J32)</f>
        <v>2</v>
      </c>
      <c r="L32" s="8" t="s">
        <v>51</v>
      </c>
    </row>
    <row r="34" spans="2:12" x14ac:dyDescent="0.2">
      <c r="D34" s="5" t="s">
        <v>21</v>
      </c>
      <c r="E34" s="5" t="s">
        <v>22</v>
      </c>
      <c r="F34" s="5" t="s">
        <v>23</v>
      </c>
      <c r="G34" s="5" t="s">
        <v>24</v>
      </c>
      <c r="H34" s="5" t="s">
        <v>25</v>
      </c>
      <c r="I34" s="5" t="s">
        <v>26</v>
      </c>
      <c r="J34" s="5" t="s">
        <v>27</v>
      </c>
      <c r="K34" s="5" t="s">
        <v>28</v>
      </c>
    </row>
    <row r="35" spans="2:12" x14ac:dyDescent="0.2">
      <c r="C35" s="7" t="s">
        <v>29</v>
      </c>
      <c r="D35" s="2">
        <v>30</v>
      </c>
      <c r="E35" s="2"/>
      <c r="F35" s="2">
        <v>32</v>
      </c>
      <c r="G35" s="2">
        <v>29</v>
      </c>
      <c r="H35" s="2">
        <v>26</v>
      </c>
      <c r="I35" s="2">
        <v>28</v>
      </c>
      <c r="J35" s="2">
        <v>27</v>
      </c>
      <c r="K35" s="3">
        <f>SUM(D35:J35)/COUNTA(D35:J35)</f>
        <v>28.666666666666668</v>
      </c>
      <c r="L35" s="8" t="s">
        <v>52</v>
      </c>
    </row>
    <row r="36" spans="2:12" x14ac:dyDescent="0.2">
      <c r="C36" s="7" t="s">
        <v>31</v>
      </c>
      <c r="D36" s="2">
        <v>0</v>
      </c>
      <c r="E36" s="2"/>
      <c r="F36" s="2">
        <v>0</v>
      </c>
      <c r="G36" s="2">
        <v>4</v>
      </c>
      <c r="H36" s="2">
        <v>6</v>
      </c>
      <c r="I36" s="2">
        <v>3</v>
      </c>
      <c r="J36" s="2">
        <v>1</v>
      </c>
      <c r="K36" s="3">
        <f>SUM(D36:J36)/COUNTA(D36:J36)</f>
        <v>2.3333333333333335</v>
      </c>
      <c r="L36" s="8" t="s">
        <v>53</v>
      </c>
    </row>
    <row r="39" spans="2:12" x14ac:dyDescent="0.2">
      <c r="B39" t="s">
        <v>54</v>
      </c>
    </row>
    <row r="45" spans="2:12" x14ac:dyDescent="0.2">
      <c r="B45" s="535" t="s">
        <v>4120</v>
      </c>
    </row>
    <row r="46" spans="2:12" ht="15" x14ac:dyDescent="0.2">
      <c r="B46" s="534" t="s">
        <v>4119</v>
      </c>
    </row>
  </sheetData>
  <hyperlinks>
    <hyperlink ref="B46" r:id="rId1" xr:uid="{00000000-0004-0000-0300-000000000000}"/>
  </hyperlinks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2"/>
  <headerFooter alignWithMargins="0">
    <oddHeader>&amp;LExcel Function Dictionary
© 1998 - 2000 Peter Noneley&amp;R&amp;A
Page &amp;P of &amp;N</oddHead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5" name="Button 1">
              <controlPr defaultSize="0" print="0" autoFill="0" autoLine="0" autoPict="0">
                <anchor>
                  <from>
                    <xdr:col>12</xdr:col>
                    <xdr:colOff>590550</xdr:colOff>
                    <xdr:row>0</xdr:row>
                    <xdr:rowOff>38100</xdr:rowOff>
                  </from>
                  <to>
                    <xdr:col>13</xdr:col>
                    <xdr:colOff>171450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6" name="Button 2">
              <controlPr defaultSize="0" print="0" autoFill="0" autoLine="0" autoPict="0">
                <anchor>
                  <from>
                    <xdr:col>13</xdr:col>
                    <xdr:colOff>247650</xdr:colOff>
                    <xdr:row>0</xdr:row>
                    <xdr:rowOff>38100</xdr:rowOff>
                  </from>
                  <to>
                    <xdr:col>13</xdr:col>
                    <xdr:colOff>457200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7" name="Button 3">
              <controlPr defaultSize="0" print="0" autoFill="0" autoLine="0" autoPict="0">
                <anchor>
                  <from>
                    <xdr:col>12</xdr:col>
                    <xdr:colOff>323850</xdr:colOff>
                    <xdr:row>0</xdr:row>
                    <xdr:rowOff>38100</xdr:rowOff>
                  </from>
                  <to>
                    <xdr:col>12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9">
    <tabColor rgb="FF00B050"/>
    <pageSetUpPr fitToPage="1"/>
  </sheetPr>
  <dimension ref="A1:I24"/>
  <sheetViews>
    <sheetView showGridLines="0" workbookViewId="0">
      <pane ySplit="1" topLeftCell="A5" activePane="bottomLeft" state="frozen"/>
      <selection activeCell="F30" activeCellId="4" sqref="F16 K30 G30 P30 F30"/>
      <selection pane="bottomLeft" activeCell="B23" sqref="B23:B24"/>
    </sheetView>
  </sheetViews>
  <sheetFormatPr defaultRowHeight="12.75" x14ac:dyDescent="0.2"/>
  <cols>
    <col min="1" max="1" width="2.7109375" customWidth="1"/>
    <col min="3" max="3" width="10.140625" customWidth="1"/>
    <col min="4" max="4" width="10.5703125" customWidth="1"/>
    <col min="9" max="9" width="14.5703125" customWidth="1"/>
  </cols>
  <sheetData>
    <row r="1" spans="1:9" ht="18.75" thickBot="1" x14ac:dyDescent="0.3">
      <c r="A1" s="1" t="s">
        <v>55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5" t="s">
        <v>56</v>
      </c>
      <c r="D3" s="5" t="s">
        <v>57</v>
      </c>
    </row>
    <row r="4" spans="1:9" x14ac:dyDescent="0.2">
      <c r="C4" s="11" t="s">
        <v>58</v>
      </c>
      <c r="D4" s="3" t="str">
        <f>CLEAN(C4)</f>
        <v>Hello</v>
      </c>
      <c r="E4" s="8" t="s">
        <v>59</v>
      </c>
    </row>
    <row r="5" spans="1:9" x14ac:dyDescent="0.2">
      <c r="C5" s="11" t="s">
        <v>60</v>
      </c>
      <c r="D5" s="3" t="str">
        <f>CLEAN(C5)</f>
        <v>Hello</v>
      </c>
      <c r="E5" s="8" t="s">
        <v>61</v>
      </c>
    </row>
    <row r="6" spans="1:9" x14ac:dyDescent="0.2">
      <c r="C6" s="11" t="s">
        <v>62</v>
      </c>
      <c r="D6" s="3" t="str">
        <f>CLEAN(C6)</f>
        <v>Hello</v>
      </c>
      <c r="E6" s="8" t="s">
        <v>63</v>
      </c>
    </row>
    <row r="8" spans="1:9" ht="13.5" thickBot="1" x14ac:dyDescent="0.25">
      <c r="B8" s="9" t="s">
        <v>64</v>
      </c>
      <c r="C8" s="9"/>
      <c r="D8" s="9"/>
      <c r="E8" s="9"/>
      <c r="F8" s="9"/>
      <c r="G8" s="9"/>
      <c r="H8" s="9"/>
      <c r="I8" s="9"/>
    </row>
    <row r="9" spans="1:9" x14ac:dyDescent="0.2">
      <c r="B9" t="s">
        <v>65</v>
      </c>
    </row>
    <row r="10" spans="1:9" x14ac:dyDescent="0.2">
      <c r="B10" t="s">
        <v>66</v>
      </c>
    </row>
    <row r="11" spans="1:9" x14ac:dyDescent="0.2">
      <c r="B11" t="s">
        <v>67</v>
      </c>
    </row>
    <row r="13" spans="1:9" ht="13.5" thickBot="1" x14ac:dyDescent="0.25">
      <c r="B13" s="9" t="s">
        <v>43</v>
      </c>
      <c r="C13" s="9"/>
      <c r="D13" s="9"/>
      <c r="E13" s="9"/>
      <c r="F13" s="9"/>
      <c r="G13" s="9"/>
      <c r="H13" s="9"/>
      <c r="I13" s="9"/>
    </row>
    <row r="14" spans="1:9" x14ac:dyDescent="0.2">
      <c r="B14" s="12" t="s">
        <v>68</v>
      </c>
    </row>
    <row r="16" spans="1:9" ht="13.5" thickBot="1" x14ac:dyDescent="0.25">
      <c r="B16" s="9" t="s">
        <v>45</v>
      </c>
      <c r="C16" s="9"/>
      <c r="D16" s="9"/>
      <c r="E16" s="9"/>
      <c r="F16" s="9"/>
      <c r="G16" s="9"/>
      <c r="H16" s="9"/>
      <c r="I16" s="9"/>
    </row>
    <row r="17" spans="2:2" x14ac:dyDescent="0.2">
      <c r="B17" t="s">
        <v>69</v>
      </c>
    </row>
    <row r="23" spans="2:2" x14ac:dyDescent="0.2">
      <c r="B23" s="535" t="s">
        <v>4120</v>
      </c>
    </row>
    <row r="24" spans="2:2" ht="15" x14ac:dyDescent="0.2">
      <c r="B24" s="534" t="s">
        <v>4119</v>
      </c>
    </row>
  </sheetData>
  <hyperlinks>
    <hyperlink ref="B24" r:id="rId1" xr:uid="{00000000-0004-0000-0400-000000000000}"/>
  </hyperlinks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2"/>
  <headerFooter alignWithMargins="0">
    <oddHeader>&amp;LExcel Function Dictionary
© 1998 - 2000 Peter Noneley&amp;R&amp;A
Page &amp;P of &amp;N</oddHead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5" name="Button 1">
              <controlPr defaultSize="0" print="0" autoFill="0" autoLine="0" autoPict="0">
                <anchor>
                  <from>
                    <xdr:col>8</xdr:col>
                    <xdr:colOff>190500</xdr:colOff>
                    <xdr:row>0</xdr:row>
                    <xdr:rowOff>38100</xdr:rowOff>
                  </from>
                  <to>
                    <xdr:col>8</xdr:col>
                    <xdr:colOff>657225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6" name="Button 2">
              <controlPr defaultSize="0" print="0" autoFill="0" autoLine="0" autoPict="0">
                <anchor>
                  <from>
                    <xdr:col>8</xdr:col>
                    <xdr:colOff>723900</xdr:colOff>
                    <xdr:row>0</xdr:row>
                    <xdr:rowOff>38100</xdr:rowOff>
                  </from>
                  <to>
                    <xdr:col>8</xdr:col>
                    <xdr:colOff>923925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" name="Button 3">
              <controlPr defaultSize="0" print="0" autoFill="0" autoLine="0" autoPict="0">
                <anchor>
                  <from>
                    <xdr:col>7</xdr:col>
                    <xdr:colOff>533400</xdr:colOff>
                    <xdr:row>0</xdr:row>
                    <xdr:rowOff>38100</xdr:rowOff>
                  </from>
                  <to>
                    <xdr:col>8</xdr:col>
                    <xdr:colOff>123825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>
    <tabColor rgb="FF00B050"/>
    <pageSetUpPr fitToPage="1"/>
  </sheetPr>
  <dimension ref="A1:J39"/>
  <sheetViews>
    <sheetView showGridLines="0" workbookViewId="0">
      <pane ySplit="1" topLeftCell="A17" activePane="bottomLeft" state="frozen"/>
      <selection activeCell="F30" activeCellId="4" sqref="F16 K30 G30 P30 F30"/>
      <selection pane="bottomLeft" activeCell="B38" sqref="B38:B39"/>
    </sheetView>
  </sheetViews>
  <sheetFormatPr defaultRowHeight="12.75" x14ac:dyDescent="0.2"/>
  <cols>
    <col min="1" max="1" width="2.7109375" customWidth="1"/>
    <col min="10" max="10" width="8.85546875" customWidth="1"/>
  </cols>
  <sheetData>
    <row r="1" spans="1:10" ht="18.75" thickBot="1" x14ac:dyDescent="0.3">
      <c r="A1" s="1" t="s">
        <v>70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x14ac:dyDescent="0.2">
      <c r="C3" s="13" t="s">
        <v>71</v>
      </c>
      <c r="D3" s="14"/>
      <c r="E3" s="15"/>
      <c r="F3" s="5" t="s">
        <v>72</v>
      </c>
    </row>
    <row r="4" spans="1:10" x14ac:dyDescent="0.2">
      <c r="C4" s="2">
        <v>10</v>
      </c>
      <c r="D4" s="2">
        <v>20</v>
      </c>
      <c r="E4" s="2">
        <v>30</v>
      </c>
      <c r="F4" s="3">
        <f>COUNT(C4:E4)</f>
        <v>3</v>
      </c>
      <c r="G4" s="8" t="s">
        <v>73</v>
      </c>
    </row>
    <row r="5" spans="1:10" x14ac:dyDescent="0.2">
      <c r="C5" s="2">
        <v>10</v>
      </c>
      <c r="D5" s="2">
        <v>0</v>
      </c>
      <c r="E5" s="2">
        <v>30</v>
      </c>
      <c r="F5" s="3">
        <f>COUNT(C5:E5)</f>
        <v>3</v>
      </c>
      <c r="G5" s="8" t="s">
        <v>74</v>
      </c>
    </row>
    <row r="6" spans="1:10" x14ac:dyDescent="0.2">
      <c r="C6" s="2">
        <v>10</v>
      </c>
      <c r="D6" s="2">
        <v>-20</v>
      </c>
      <c r="E6" s="2">
        <v>30</v>
      </c>
      <c r="F6" s="3">
        <f>COUNT(C6:E6)</f>
        <v>3</v>
      </c>
      <c r="G6" s="8" t="s">
        <v>75</v>
      </c>
    </row>
    <row r="7" spans="1:10" x14ac:dyDescent="0.2">
      <c r="C7" s="2">
        <v>10</v>
      </c>
      <c r="D7" s="16">
        <v>32143</v>
      </c>
      <c r="E7" s="2">
        <v>30</v>
      </c>
      <c r="F7" s="3">
        <f t="shared" ref="F7:F12" si="0">COUNT(C7:E7)</f>
        <v>3</v>
      </c>
      <c r="G7" s="8" t="s">
        <v>76</v>
      </c>
    </row>
    <row r="8" spans="1:10" x14ac:dyDescent="0.2">
      <c r="C8" s="2">
        <v>10</v>
      </c>
      <c r="D8" s="17">
        <v>0.89583333333333337</v>
      </c>
      <c r="E8" s="2">
        <v>30</v>
      </c>
      <c r="F8" s="3">
        <f t="shared" si="0"/>
        <v>3</v>
      </c>
      <c r="G8" s="8" t="s">
        <v>77</v>
      </c>
    </row>
    <row r="9" spans="1:10" x14ac:dyDescent="0.2">
      <c r="C9" s="2">
        <v>10</v>
      </c>
      <c r="D9" s="2">
        <f ca="1">RAND()</f>
        <v>0.97676255322782979</v>
      </c>
      <c r="E9" s="2">
        <v>30</v>
      </c>
      <c r="F9" s="3">
        <f t="shared" ca="1" si="0"/>
        <v>3</v>
      </c>
      <c r="G9" s="8" t="s">
        <v>78</v>
      </c>
    </row>
    <row r="10" spans="1:10" x14ac:dyDescent="0.2">
      <c r="C10" s="2">
        <v>10</v>
      </c>
      <c r="D10" s="2"/>
      <c r="E10" s="2">
        <v>30</v>
      </c>
      <c r="F10" s="3">
        <f t="shared" si="0"/>
        <v>2</v>
      </c>
      <c r="G10" s="8" t="s">
        <v>79</v>
      </c>
    </row>
    <row r="11" spans="1:10" x14ac:dyDescent="0.2">
      <c r="C11" s="2">
        <v>10</v>
      </c>
      <c r="D11" s="2" t="s">
        <v>58</v>
      </c>
      <c r="E11" s="2">
        <v>30</v>
      </c>
      <c r="F11" s="3">
        <f t="shared" si="0"/>
        <v>2</v>
      </c>
      <c r="G11" s="8" t="s">
        <v>80</v>
      </c>
    </row>
    <row r="12" spans="1:10" x14ac:dyDescent="0.2">
      <c r="C12" s="2">
        <v>10</v>
      </c>
      <c r="D12" s="2" t="e">
        <f>0/0</f>
        <v>#DIV/0!</v>
      </c>
      <c r="E12" s="2">
        <v>30</v>
      </c>
      <c r="F12" s="3">
        <f t="shared" si="0"/>
        <v>2</v>
      </c>
      <c r="G12" s="8" t="s">
        <v>81</v>
      </c>
    </row>
    <row r="14" spans="1:10" ht="13.5" thickBot="1" x14ac:dyDescent="0.25">
      <c r="B14" s="9" t="s">
        <v>39</v>
      </c>
      <c r="C14" s="9"/>
      <c r="D14" s="9"/>
      <c r="E14" s="9"/>
      <c r="F14" s="9"/>
      <c r="G14" s="9"/>
      <c r="H14" s="9"/>
      <c r="I14" s="9"/>
      <c r="J14" s="9"/>
    </row>
    <row r="15" spans="1:10" x14ac:dyDescent="0.2">
      <c r="B15" t="s">
        <v>82</v>
      </c>
    </row>
    <row r="16" spans="1:10" x14ac:dyDescent="0.2">
      <c r="B16" t="s">
        <v>83</v>
      </c>
    </row>
    <row r="18" spans="2:10" ht="13.5" thickBot="1" x14ac:dyDescent="0.25">
      <c r="B18" s="9" t="s">
        <v>43</v>
      </c>
      <c r="C18" s="9"/>
      <c r="D18" s="9"/>
      <c r="E18" s="9"/>
      <c r="F18" s="9"/>
      <c r="G18" s="9"/>
      <c r="H18" s="9"/>
      <c r="I18" s="9"/>
      <c r="J18" s="9"/>
    </row>
    <row r="19" spans="2:10" x14ac:dyDescent="0.2">
      <c r="B19" s="10" t="s">
        <v>84</v>
      </c>
    </row>
    <row r="21" spans="2:10" ht="13.5" thickBot="1" x14ac:dyDescent="0.25">
      <c r="B21" s="9" t="s">
        <v>45</v>
      </c>
      <c r="C21" s="9"/>
      <c r="D21" s="9"/>
      <c r="E21" s="9"/>
      <c r="F21" s="9"/>
      <c r="G21" s="9"/>
      <c r="H21" s="9"/>
      <c r="I21" s="9"/>
      <c r="J21" s="9"/>
    </row>
    <row r="22" spans="2:10" x14ac:dyDescent="0.2">
      <c r="B22" t="s">
        <v>46</v>
      </c>
    </row>
    <row r="24" spans="2:10" ht="13.5" thickBot="1" x14ac:dyDescent="0.25">
      <c r="B24" s="9" t="s">
        <v>85</v>
      </c>
      <c r="C24" s="9"/>
      <c r="D24" s="9"/>
      <c r="E24" s="9"/>
      <c r="F24" s="9"/>
      <c r="G24" s="9"/>
      <c r="H24" s="9"/>
      <c r="I24" s="9"/>
      <c r="J24" s="9"/>
    </row>
    <row r="25" spans="2:10" x14ac:dyDescent="0.2">
      <c r="B25" t="s">
        <v>86</v>
      </c>
    </row>
    <row r="26" spans="2:10" x14ac:dyDescent="0.2">
      <c r="B26" t="s">
        <v>87</v>
      </c>
    </row>
    <row r="28" spans="2:10" x14ac:dyDescent="0.2">
      <c r="C28" s="5" t="s">
        <v>88</v>
      </c>
      <c r="D28" s="5" t="s">
        <v>12</v>
      </c>
      <c r="E28" s="5" t="s">
        <v>13</v>
      </c>
      <c r="F28" s="5" t="s">
        <v>14</v>
      </c>
    </row>
    <row r="29" spans="2:10" x14ac:dyDescent="0.2">
      <c r="C29" s="5" t="s">
        <v>89</v>
      </c>
      <c r="D29" s="18">
        <v>1000</v>
      </c>
      <c r="E29" s="18"/>
      <c r="F29" s="18"/>
    </row>
    <row r="30" spans="2:10" x14ac:dyDescent="0.2">
      <c r="C30" s="5" t="s">
        <v>90</v>
      </c>
      <c r="D30" s="18"/>
      <c r="E30" s="18">
        <v>5000</v>
      </c>
      <c r="F30" s="18"/>
    </row>
    <row r="31" spans="2:10" x14ac:dyDescent="0.2">
      <c r="C31" s="5" t="s">
        <v>91</v>
      </c>
      <c r="D31" s="18">
        <v>2000</v>
      </c>
      <c r="E31" s="18">
        <v>1000</v>
      </c>
      <c r="F31" s="18"/>
    </row>
    <row r="32" spans="2:10" x14ac:dyDescent="0.2">
      <c r="C32" s="5" t="s">
        <v>92</v>
      </c>
      <c r="D32" s="18">
        <v>1000</v>
      </c>
      <c r="E32" s="18"/>
      <c r="F32" s="18"/>
    </row>
    <row r="33" spans="2:6" x14ac:dyDescent="0.2">
      <c r="C33" s="5" t="s">
        <v>72</v>
      </c>
      <c r="D33" s="3">
        <f>COUNT(D29:D32)</f>
        <v>3</v>
      </c>
      <c r="E33" s="3">
        <f>COUNT(E29:E32)</f>
        <v>2</v>
      </c>
      <c r="F33" s="3">
        <f>COUNT(F29:F32)</f>
        <v>0</v>
      </c>
    </row>
    <row r="34" spans="2:6" x14ac:dyDescent="0.2">
      <c r="D34" s="19" t="s">
        <v>93</v>
      </c>
    </row>
    <row r="38" spans="2:6" x14ac:dyDescent="0.2">
      <c r="B38" s="535" t="s">
        <v>4120</v>
      </c>
    </row>
    <row r="39" spans="2:6" ht="15" x14ac:dyDescent="0.2">
      <c r="B39" s="534" t="s">
        <v>4119</v>
      </c>
    </row>
  </sheetData>
  <hyperlinks>
    <hyperlink ref="B39" r:id="rId1" xr:uid="{00000000-0004-0000-0500-000000000000}"/>
  </hyperlinks>
  <printOptions headings="1" gridLines="1"/>
  <pageMargins left="0.74803149606299213" right="0.74803149606299213" top="0.98425196850393704" bottom="0.98425196850393704" header="0.51181102362204722" footer="0.51181102362204722"/>
  <pageSetup paperSize="9" scale="98" fitToHeight="5" orientation="portrait" r:id="rId2"/>
  <headerFooter alignWithMargins="0">
    <oddHeader>&amp;LExcel Function Dictionary
© 1998 - 2000 Peter Noneley&amp;R&amp;A
Page &amp;P of &amp;N</oddHead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5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6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7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6">
    <tabColor rgb="FF00B050"/>
    <pageSetUpPr fitToPage="1"/>
  </sheetPr>
  <dimension ref="A1:J50"/>
  <sheetViews>
    <sheetView showGridLines="0" workbookViewId="0">
      <pane ySplit="1" topLeftCell="A29" activePane="bottomLeft" state="frozen"/>
      <selection activeCell="F30" activeCellId="4" sqref="F16 K30 G30 P30 F30"/>
      <selection pane="bottomLeft" activeCell="B49" sqref="B49:B50"/>
    </sheetView>
  </sheetViews>
  <sheetFormatPr defaultRowHeight="12.75" x14ac:dyDescent="0.2"/>
  <cols>
    <col min="1" max="1" width="2.7109375" customWidth="1"/>
    <col min="8" max="8" width="4.5703125" customWidth="1"/>
    <col min="9" max="9" width="13.42578125" customWidth="1"/>
    <col min="10" max="10" width="8.85546875" customWidth="1"/>
  </cols>
  <sheetData>
    <row r="1" spans="1:10" ht="18.75" thickBot="1" x14ac:dyDescent="0.3">
      <c r="A1" s="1" t="s">
        <v>94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x14ac:dyDescent="0.2">
      <c r="C3" s="13" t="s">
        <v>71</v>
      </c>
      <c r="D3" s="14"/>
      <c r="E3" s="15"/>
      <c r="F3" s="5" t="s">
        <v>72</v>
      </c>
    </row>
    <row r="4" spans="1:10" x14ac:dyDescent="0.2">
      <c r="C4" s="2">
        <v>10</v>
      </c>
      <c r="D4" s="2">
        <v>20</v>
      </c>
      <c r="E4" s="2">
        <v>30</v>
      </c>
      <c r="F4" s="3">
        <f t="shared" ref="F4:F12" si="0">COUNTA(C4:E4)</f>
        <v>3</v>
      </c>
      <c r="G4" s="8" t="s">
        <v>95</v>
      </c>
    </row>
    <row r="5" spans="1:10" x14ac:dyDescent="0.2">
      <c r="C5" s="2">
        <v>10</v>
      </c>
      <c r="D5" s="2">
        <v>0</v>
      </c>
      <c r="E5" s="2">
        <v>30</v>
      </c>
      <c r="F5" s="3">
        <f t="shared" si="0"/>
        <v>3</v>
      </c>
      <c r="G5" s="8" t="s">
        <v>96</v>
      </c>
    </row>
    <row r="6" spans="1:10" x14ac:dyDescent="0.2">
      <c r="C6" s="2">
        <v>10</v>
      </c>
      <c r="D6" s="2">
        <v>-20</v>
      </c>
      <c r="E6" s="2">
        <v>30</v>
      </c>
      <c r="F6" s="3">
        <f t="shared" si="0"/>
        <v>3</v>
      </c>
      <c r="G6" s="8" t="s">
        <v>97</v>
      </c>
    </row>
    <row r="7" spans="1:10" x14ac:dyDescent="0.2">
      <c r="C7" s="2">
        <v>10</v>
      </c>
      <c r="D7" s="16">
        <v>32143</v>
      </c>
      <c r="E7" s="2">
        <v>30</v>
      </c>
      <c r="F7" s="3">
        <f t="shared" si="0"/>
        <v>3</v>
      </c>
      <c r="G7" s="8" t="s">
        <v>98</v>
      </c>
    </row>
    <row r="8" spans="1:10" x14ac:dyDescent="0.2">
      <c r="C8" s="2">
        <v>10</v>
      </c>
      <c r="D8" s="17">
        <v>0.89583333333333337</v>
      </c>
      <c r="E8" s="2">
        <v>30</v>
      </c>
      <c r="F8" s="3">
        <f t="shared" si="0"/>
        <v>3</v>
      </c>
      <c r="G8" s="8" t="s">
        <v>99</v>
      </c>
    </row>
    <row r="9" spans="1:10" x14ac:dyDescent="0.2">
      <c r="C9" s="2">
        <v>10</v>
      </c>
      <c r="D9" s="2">
        <f ca="1">RAND()</f>
        <v>0.72855451821051853</v>
      </c>
      <c r="E9" s="2">
        <v>30</v>
      </c>
      <c r="F9" s="3">
        <f t="shared" ca="1" si="0"/>
        <v>3</v>
      </c>
      <c r="G9" s="8" t="s">
        <v>100</v>
      </c>
    </row>
    <row r="10" spans="1:10" x14ac:dyDescent="0.2">
      <c r="C10" s="2">
        <v>10</v>
      </c>
      <c r="D10" s="2"/>
      <c r="E10" s="2">
        <v>30</v>
      </c>
      <c r="F10" s="3">
        <f t="shared" si="0"/>
        <v>2</v>
      </c>
      <c r="G10" s="8" t="s">
        <v>101</v>
      </c>
    </row>
    <row r="11" spans="1:10" x14ac:dyDescent="0.2">
      <c r="C11" s="2">
        <v>10</v>
      </c>
      <c r="D11" s="2" t="s">
        <v>58</v>
      </c>
      <c r="E11" s="2">
        <v>30</v>
      </c>
      <c r="F11" s="3">
        <f t="shared" si="0"/>
        <v>3</v>
      </c>
      <c r="G11" s="8" t="s">
        <v>102</v>
      </c>
    </row>
    <row r="12" spans="1:10" x14ac:dyDescent="0.2">
      <c r="C12" s="2">
        <v>10</v>
      </c>
      <c r="D12" s="2" t="e">
        <f>0/0</f>
        <v>#DIV/0!</v>
      </c>
      <c r="E12" s="2">
        <v>30</v>
      </c>
      <c r="F12" s="3">
        <f t="shared" si="0"/>
        <v>3</v>
      </c>
      <c r="G12" s="8" t="s">
        <v>103</v>
      </c>
    </row>
    <row r="14" spans="1:10" ht="13.5" thickBot="1" x14ac:dyDescent="0.25">
      <c r="B14" s="9" t="s">
        <v>39</v>
      </c>
      <c r="C14" s="9"/>
      <c r="D14" s="9"/>
      <c r="E14" s="9"/>
      <c r="F14" s="9"/>
      <c r="G14" s="9"/>
      <c r="H14" s="9"/>
      <c r="I14" s="9"/>
      <c r="J14" s="9"/>
    </row>
    <row r="15" spans="1:10" x14ac:dyDescent="0.2">
      <c r="B15" t="s">
        <v>104</v>
      </c>
    </row>
    <row r="16" spans="1:10" x14ac:dyDescent="0.2">
      <c r="B16" t="s">
        <v>105</v>
      </c>
    </row>
    <row r="18" spans="2:10" ht="13.5" thickBot="1" x14ac:dyDescent="0.25">
      <c r="B18" s="9" t="s">
        <v>43</v>
      </c>
      <c r="C18" s="9"/>
      <c r="D18" s="9"/>
      <c r="E18" s="9"/>
      <c r="F18" s="9"/>
      <c r="G18" s="9"/>
      <c r="H18" s="9"/>
      <c r="I18" s="9"/>
      <c r="J18" s="9"/>
    </row>
    <row r="19" spans="2:10" x14ac:dyDescent="0.2">
      <c r="B19" s="10" t="s">
        <v>106</v>
      </c>
    </row>
    <row r="21" spans="2:10" ht="13.5" thickBot="1" x14ac:dyDescent="0.25">
      <c r="B21" s="9" t="s">
        <v>45</v>
      </c>
      <c r="C21" s="9"/>
      <c r="D21" s="9"/>
      <c r="E21" s="9"/>
      <c r="F21" s="9"/>
      <c r="G21" s="9"/>
      <c r="H21" s="9"/>
      <c r="I21" s="9"/>
      <c r="J21" s="9"/>
    </row>
    <row r="22" spans="2:10" x14ac:dyDescent="0.2">
      <c r="B22" t="s">
        <v>46</v>
      </c>
    </row>
    <row r="24" spans="2:10" ht="13.5" thickBot="1" x14ac:dyDescent="0.25">
      <c r="B24" s="9" t="s">
        <v>85</v>
      </c>
      <c r="C24" s="9"/>
      <c r="D24" s="9"/>
      <c r="E24" s="9"/>
      <c r="F24" s="9"/>
      <c r="G24" s="9"/>
      <c r="H24" s="9"/>
      <c r="I24" s="9"/>
      <c r="J24" s="9"/>
    </row>
    <row r="25" spans="2:10" x14ac:dyDescent="0.2">
      <c r="B25" t="s">
        <v>107</v>
      </c>
    </row>
    <row r="26" spans="2:10" x14ac:dyDescent="0.2">
      <c r="B26" t="s">
        <v>108</v>
      </c>
    </row>
    <row r="27" spans="2:10" x14ac:dyDescent="0.2">
      <c r="B27" t="s">
        <v>109</v>
      </c>
    </row>
    <row r="29" spans="2:10" x14ac:dyDescent="0.2">
      <c r="B29" t="s">
        <v>110</v>
      </c>
    </row>
    <row r="30" spans="2:10" x14ac:dyDescent="0.2">
      <c r="B30" t="s">
        <v>111</v>
      </c>
    </row>
    <row r="32" spans="2:10" x14ac:dyDescent="0.2">
      <c r="B32" t="s">
        <v>112</v>
      </c>
    </row>
    <row r="34" spans="3:9" ht="25.5" x14ac:dyDescent="0.2">
      <c r="D34" s="20" t="s">
        <v>113</v>
      </c>
      <c r="E34" s="20" t="s">
        <v>114</v>
      </c>
      <c r="F34" s="20" t="s">
        <v>115</v>
      </c>
      <c r="G34" s="20" t="s">
        <v>116</v>
      </c>
      <c r="I34" s="21" t="s">
        <v>117</v>
      </c>
    </row>
    <row r="35" spans="3:9" x14ac:dyDescent="0.2">
      <c r="C35" s="7" t="s">
        <v>118</v>
      </c>
      <c r="D35" s="2" t="s">
        <v>119</v>
      </c>
      <c r="E35" s="2"/>
      <c r="F35" s="2">
        <v>1</v>
      </c>
      <c r="G35" s="2"/>
      <c r="I35" s="3">
        <f>COUNTA(D35:G35)</f>
        <v>2</v>
      </c>
    </row>
    <row r="36" spans="3:9" x14ac:dyDescent="0.2">
      <c r="C36" s="7" t="s">
        <v>120</v>
      </c>
      <c r="D36" s="2">
        <v>2</v>
      </c>
      <c r="E36" s="2">
        <v>1</v>
      </c>
      <c r="F36" s="2">
        <v>3</v>
      </c>
      <c r="G36" s="2"/>
      <c r="I36" s="3">
        <f>COUNTA(D36:G36)</f>
        <v>3</v>
      </c>
    </row>
    <row r="37" spans="3:9" x14ac:dyDescent="0.2">
      <c r="C37" s="7" t="s">
        <v>121</v>
      </c>
      <c r="D37" s="2"/>
      <c r="E37" s="2">
        <v>1</v>
      </c>
      <c r="F37" s="2">
        <v>1</v>
      </c>
      <c r="G37" s="2">
        <v>1</v>
      </c>
      <c r="I37" s="3">
        <f>COUNTA(D37:G37)</f>
        <v>3</v>
      </c>
    </row>
    <row r="38" spans="3:9" x14ac:dyDescent="0.2">
      <c r="C38" s="7" t="s">
        <v>122</v>
      </c>
      <c r="D38" s="2" t="s">
        <v>119</v>
      </c>
      <c r="E38" s="2"/>
      <c r="F38" s="2" t="s">
        <v>119</v>
      </c>
      <c r="G38" s="2"/>
      <c r="I38" s="3">
        <f>COUNTA(D38:G38)</f>
        <v>2</v>
      </c>
    </row>
    <row r="39" spans="3:9" x14ac:dyDescent="0.2">
      <c r="C39" s="7" t="s">
        <v>123</v>
      </c>
      <c r="D39" s="2">
        <v>1</v>
      </c>
      <c r="E39" s="2">
        <v>3</v>
      </c>
      <c r="F39" s="2">
        <v>2</v>
      </c>
      <c r="G39" s="2" t="s">
        <v>119</v>
      </c>
      <c r="I39" s="3">
        <f>COUNTA(D39:G39)</f>
        <v>4</v>
      </c>
    </row>
    <row r="40" spans="3:9" x14ac:dyDescent="0.2">
      <c r="I40" s="8" t="s">
        <v>124</v>
      </c>
    </row>
    <row r="41" spans="3:9" x14ac:dyDescent="0.2">
      <c r="D41" s="13" t="s">
        <v>125</v>
      </c>
      <c r="E41" s="14"/>
      <c r="F41" s="14"/>
      <c r="G41" s="15"/>
    </row>
    <row r="42" spans="3:9" x14ac:dyDescent="0.2">
      <c r="D42" s="5" t="s">
        <v>113</v>
      </c>
      <c r="E42" s="5" t="s">
        <v>114</v>
      </c>
      <c r="F42" s="5" t="s">
        <v>115</v>
      </c>
      <c r="G42" s="5" t="s">
        <v>116</v>
      </c>
    </row>
    <row r="43" spans="3:9" x14ac:dyDescent="0.2">
      <c r="D43" s="3">
        <f>COUNTA(D35:D39)</f>
        <v>4</v>
      </c>
      <c r="E43" s="3">
        <f>COUNTA(E35:E39)</f>
        <v>3</v>
      </c>
      <c r="F43" s="3">
        <f>COUNTA(F35:F39)</f>
        <v>5</v>
      </c>
      <c r="G43" s="3">
        <f>COUNTA(G35:G39)</f>
        <v>2</v>
      </c>
    </row>
    <row r="44" spans="3:9" x14ac:dyDescent="0.2">
      <c r="D44" s="19" t="s">
        <v>126</v>
      </c>
    </row>
    <row r="49" spans="2:2" x14ac:dyDescent="0.2">
      <c r="B49" s="535" t="s">
        <v>4120</v>
      </c>
    </row>
    <row r="50" spans="2:2" ht="15" x14ac:dyDescent="0.2">
      <c r="B50" s="534" t="s">
        <v>4119</v>
      </c>
    </row>
  </sheetData>
  <hyperlinks>
    <hyperlink ref="B50" r:id="rId1" xr:uid="{00000000-0004-0000-0600-000000000000}"/>
  </hyperlinks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2"/>
  <headerFooter alignWithMargins="0">
    <oddHeader>&amp;LExcel Function Dictionary
© 1998 - 2000 Peter Noneley&amp;R&amp;A
Page &amp;P of &amp;N</oddHead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5" name="Button 1">
              <controlPr defaultSize="0" print="0" autoFill="0" autoLine="0" autoPict="0">
                <anchor>
                  <from>
                    <xdr:col>8</xdr:col>
                    <xdr:colOff>676275</xdr:colOff>
                    <xdr:row>0</xdr:row>
                    <xdr:rowOff>38100</xdr:rowOff>
                  </from>
                  <to>
                    <xdr:col>9</xdr:col>
                    <xdr:colOff>247650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6" name="Button 2">
              <controlPr defaultSize="0" print="0" autoFill="0" autoLine="0" autoPict="0">
                <anchor>
                  <from>
                    <xdr:col>9</xdr:col>
                    <xdr:colOff>314325</xdr:colOff>
                    <xdr:row>0</xdr:row>
                    <xdr:rowOff>38100</xdr:rowOff>
                  </from>
                  <to>
                    <xdr:col>9</xdr:col>
                    <xdr:colOff>514350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7" name="Button 3">
              <controlPr defaultSize="0" print="0" autoFill="0" autoLine="0" autoPict="0">
                <anchor>
                  <from>
                    <xdr:col>8</xdr:col>
                    <xdr:colOff>409575</xdr:colOff>
                    <xdr:row>0</xdr:row>
                    <xdr:rowOff>38100</xdr:rowOff>
                  </from>
                  <to>
                    <xdr:col>8</xdr:col>
                    <xdr:colOff>609600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7">
    <tabColor rgb="FF00B050"/>
    <pageSetUpPr fitToPage="1"/>
  </sheetPr>
  <dimension ref="A1:I54"/>
  <sheetViews>
    <sheetView showGridLines="0" workbookViewId="0">
      <pane ySplit="1" topLeftCell="A32" activePane="bottomLeft" state="frozen"/>
      <selection activeCell="F30" activeCellId="4" sqref="F16 K30 G30 P30 F30"/>
      <selection pane="bottomLeft" activeCell="B53" sqref="B53:B54"/>
    </sheetView>
  </sheetViews>
  <sheetFormatPr defaultRowHeight="12.75" x14ac:dyDescent="0.2"/>
  <cols>
    <col min="1" max="1" width="2.7109375" customWidth="1"/>
    <col min="3" max="3" width="13" customWidth="1"/>
    <col min="5" max="5" width="11.5703125" customWidth="1"/>
    <col min="9" max="9" width="10.7109375" customWidth="1"/>
  </cols>
  <sheetData>
    <row r="1" spans="1:9" ht="18.75" thickBot="1" x14ac:dyDescent="0.3">
      <c r="A1" s="1" t="s">
        <v>127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5" t="s">
        <v>128</v>
      </c>
      <c r="E3" s="5" t="s">
        <v>129</v>
      </c>
    </row>
    <row r="4" spans="1:9" x14ac:dyDescent="0.2">
      <c r="C4" s="2">
        <v>1</v>
      </c>
      <c r="E4" s="3">
        <f>COUNTBLANK(C4:C11)</f>
        <v>2</v>
      </c>
      <c r="F4" s="8" t="s">
        <v>130</v>
      </c>
    </row>
    <row r="5" spans="1:9" x14ac:dyDescent="0.2">
      <c r="C5" s="2" t="s">
        <v>58</v>
      </c>
    </row>
    <row r="6" spans="1:9" x14ac:dyDescent="0.2">
      <c r="C6" s="2">
        <v>3</v>
      </c>
    </row>
    <row r="7" spans="1:9" x14ac:dyDescent="0.2">
      <c r="C7" s="2">
        <v>0</v>
      </c>
    </row>
    <row r="8" spans="1:9" x14ac:dyDescent="0.2">
      <c r="C8" s="2"/>
    </row>
    <row r="9" spans="1:9" x14ac:dyDescent="0.2">
      <c r="C9" s="16">
        <v>35796</v>
      </c>
    </row>
    <row r="10" spans="1:9" x14ac:dyDescent="0.2">
      <c r="C10" s="2"/>
    </row>
    <row r="11" spans="1:9" x14ac:dyDescent="0.2">
      <c r="C11" s="2">
        <v>5</v>
      </c>
    </row>
    <row r="13" spans="1:9" ht="13.5" thickBot="1" x14ac:dyDescent="0.25">
      <c r="B13" s="9" t="s">
        <v>39</v>
      </c>
      <c r="C13" s="9"/>
      <c r="D13" s="9"/>
      <c r="E13" s="9"/>
      <c r="F13" s="9"/>
      <c r="G13" s="9"/>
      <c r="H13" s="9"/>
      <c r="I13" s="9"/>
    </row>
    <row r="14" spans="1:9" x14ac:dyDescent="0.2">
      <c r="B14" t="s">
        <v>131</v>
      </c>
    </row>
    <row r="16" spans="1:9" ht="13.5" thickBot="1" x14ac:dyDescent="0.25">
      <c r="B16" s="9" t="s">
        <v>43</v>
      </c>
      <c r="C16" s="9"/>
      <c r="D16" s="9"/>
      <c r="E16" s="9"/>
      <c r="F16" s="9"/>
      <c r="G16" s="9"/>
      <c r="H16" s="9"/>
      <c r="I16" s="9"/>
    </row>
    <row r="17" spans="2:9" x14ac:dyDescent="0.2">
      <c r="B17" s="10" t="s">
        <v>132</v>
      </c>
    </row>
    <row r="19" spans="2:9" ht="13.5" thickBot="1" x14ac:dyDescent="0.25">
      <c r="B19" s="9" t="s">
        <v>45</v>
      </c>
      <c r="C19" s="9"/>
      <c r="D19" s="9"/>
      <c r="E19" s="9"/>
      <c r="F19" s="9"/>
      <c r="G19" s="9"/>
      <c r="H19" s="9"/>
      <c r="I19" s="9"/>
    </row>
    <row r="20" spans="2:9" x14ac:dyDescent="0.2">
      <c r="B20" t="s">
        <v>46</v>
      </c>
    </row>
    <row r="22" spans="2:9" ht="13.5" thickBot="1" x14ac:dyDescent="0.25">
      <c r="B22" s="9" t="s">
        <v>85</v>
      </c>
      <c r="C22" s="9"/>
      <c r="D22" s="9"/>
      <c r="E22" s="9"/>
      <c r="F22" s="9"/>
      <c r="G22" s="9"/>
      <c r="H22" s="9"/>
      <c r="I22" s="9"/>
    </row>
    <row r="23" spans="2:9" x14ac:dyDescent="0.2">
      <c r="B23" t="s">
        <v>133</v>
      </c>
    </row>
    <row r="24" spans="2:9" x14ac:dyDescent="0.2">
      <c r="B24" t="s">
        <v>134</v>
      </c>
    </row>
    <row r="25" spans="2:9" x14ac:dyDescent="0.2">
      <c r="B25" t="s">
        <v>135</v>
      </c>
    </row>
    <row r="26" spans="2:9" x14ac:dyDescent="0.2">
      <c r="B26" t="s">
        <v>136</v>
      </c>
    </row>
    <row r="27" spans="2:9" x14ac:dyDescent="0.2">
      <c r="B27" t="s">
        <v>137</v>
      </c>
    </row>
    <row r="28" spans="2:9" x14ac:dyDescent="0.2">
      <c r="B28" t="s">
        <v>138</v>
      </c>
    </row>
    <row r="29" spans="2:9" x14ac:dyDescent="0.2">
      <c r="B29" t="s">
        <v>139</v>
      </c>
    </row>
    <row r="31" spans="2:9" x14ac:dyDescent="0.2">
      <c r="C31" s="5" t="s">
        <v>140</v>
      </c>
      <c r="D31" s="5" t="s">
        <v>141</v>
      </c>
      <c r="E31" s="5" t="s">
        <v>142</v>
      </c>
      <c r="F31" s="5" t="s">
        <v>143</v>
      </c>
    </row>
    <row r="32" spans="2:9" x14ac:dyDescent="0.2">
      <c r="B32" s="5" t="s">
        <v>144</v>
      </c>
      <c r="C32" s="2" t="s">
        <v>145</v>
      </c>
      <c r="D32" s="2" t="s">
        <v>146</v>
      </c>
      <c r="E32" s="2"/>
      <c r="F32" s="2"/>
    </row>
    <row r="33" spans="2:6" x14ac:dyDescent="0.2">
      <c r="B33" s="5" t="s">
        <v>147</v>
      </c>
      <c r="C33" s="2"/>
      <c r="D33" s="2" t="s">
        <v>145</v>
      </c>
      <c r="E33" s="2" t="s">
        <v>145</v>
      </c>
      <c r="F33" s="2" t="s">
        <v>146</v>
      </c>
    </row>
    <row r="34" spans="2:6" x14ac:dyDescent="0.2">
      <c r="B34" s="5" t="s">
        <v>148</v>
      </c>
      <c r="C34" s="2"/>
      <c r="D34" s="2"/>
      <c r="E34" s="2"/>
      <c r="F34" s="2"/>
    </row>
    <row r="35" spans="2:6" x14ac:dyDescent="0.2">
      <c r="B35" s="5" t="s">
        <v>149</v>
      </c>
      <c r="C35" s="2" t="s">
        <v>146</v>
      </c>
      <c r="D35" s="2"/>
      <c r="E35" s="2" t="s">
        <v>146</v>
      </c>
      <c r="F35" s="2" t="s">
        <v>146</v>
      </c>
    </row>
    <row r="36" spans="2:6" x14ac:dyDescent="0.2">
      <c r="B36" s="5" t="s">
        <v>150</v>
      </c>
      <c r="C36" s="2" t="s">
        <v>145</v>
      </c>
      <c r="D36" s="2"/>
      <c r="E36" s="2" t="s">
        <v>145</v>
      </c>
      <c r="F36" s="2"/>
    </row>
    <row r="37" spans="2:6" x14ac:dyDescent="0.2">
      <c r="B37" s="5" t="s">
        <v>151</v>
      </c>
      <c r="C37" s="2" t="s">
        <v>145</v>
      </c>
      <c r="D37" s="2" t="s">
        <v>145</v>
      </c>
      <c r="E37" s="2" t="s">
        <v>145</v>
      </c>
      <c r="F37" s="2" t="s">
        <v>146</v>
      </c>
    </row>
    <row r="38" spans="2:6" x14ac:dyDescent="0.2">
      <c r="B38" s="5" t="s">
        <v>152</v>
      </c>
      <c r="C38" s="2"/>
      <c r="D38" s="2" t="s">
        <v>146</v>
      </c>
      <c r="E38" s="2" t="s">
        <v>145</v>
      </c>
      <c r="F38" s="2"/>
    </row>
    <row r="39" spans="2:6" x14ac:dyDescent="0.2">
      <c r="B39" s="5" t="s">
        <v>153</v>
      </c>
      <c r="C39" s="2" t="s">
        <v>146</v>
      </c>
      <c r="D39" s="2" t="s">
        <v>146</v>
      </c>
      <c r="E39" s="2" t="s">
        <v>145</v>
      </c>
      <c r="F39" s="2" t="s">
        <v>145</v>
      </c>
    </row>
    <row r="40" spans="2:6" x14ac:dyDescent="0.2">
      <c r="B40" s="5" t="s">
        <v>154</v>
      </c>
      <c r="C40" s="2"/>
      <c r="D40" s="2"/>
      <c r="E40" s="2" t="s">
        <v>145</v>
      </c>
      <c r="F40" s="2"/>
    </row>
    <row r="41" spans="2:6" x14ac:dyDescent="0.2">
      <c r="B41" s="5" t="s">
        <v>155</v>
      </c>
      <c r="C41" s="2" t="s">
        <v>145</v>
      </c>
      <c r="D41" s="2" t="s">
        <v>146</v>
      </c>
      <c r="E41" s="2"/>
      <c r="F41" s="2" t="s">
        <v>145</v>
      </c>
    </row>
    <row r="43" spans="2:6" x14ac:dyDescent="0.2">
      <c r="C43" s="22"/>
      <c r="D43" s="23" t="s">
        <v>156</v>
      </c>
      <c r="E43" s="3">
        <f>COUNTBLANK(C32:F41)</f>
        <v>16</v>
      </c>
      <c r="F43" s="8" t="s">
        <v>157</v>
      </c>
    </row>
    <row r="45" spans="2:6" x14ac:dyDescent="0.2">
      <c r="C45" s="22"/>
      <c r="D45" s="23" t="s">
        <v>158</v>
      </c>
      <c r="E45" s="3">
        <f>COUNTIF(C32:F41,"Y")</f>
        <v>14</v>
      </c>
      <c r="F45" s="8" t="s">
        <v>159</v>
      </c>
    </row>
    <row r="47" spans="2:6" x14ac:dyDescent="0.2">
      <c r="C47" s="22"/>
      <c r="D47" s="23" t="s">
        <v>160</v>
      </c>
      <c r="E47" s="3">
        <f>COUNTIF(C32:F41,"N")</f>
        <v>10</v>
      </c>
      <c r="F47" s="8" t="s">
        <v>161</v>
      </c>
    </row>
    <row r="53" spans="2:2" x14ac:dyDescent="0.2">
      <c r="B53" s="535" t="s">
        <v>4120</v>
      </c>
    </row>
    <row r="54" spans="2:2" ht="15" x14ac:dyDescent="0.2">
      <c r="B54" s="534" t="s">
        <v>4119</v>
      </c>
    </row>
  </sheetData>
  <hyperlinks>
    <hyperlink ref="B54" r:id="rId1" xr:uid="{00000000-0004-0000-0700-000000000000}"/>
  </hyperlinks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2"/>
  <headerFooter alignWithMargins="0">
    <oddHeader>&amp;LExcel Function Dictionary
© 1998 - 2000 Peter Noneley&amp;R&amp;A
Page &amp;P of &amp;N</oddHead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5" name="Button 1">
              <controlPr defaultSize="0" print="0" autoFill="0" autoLine="0" autoPict="0">
                <anchor>
                  <from>
                    <xdr:col>7</xdr:col>
                    <xdr:colOff>542925</xdr:colOff>
                    <xdr:row>0</xdr:row>
                    <xdr:rowOff>38100</xdr:rowOff>
                  </from>
                  <to>
                    <xdr:col>8</xdr:col>
                    <xdr:colOff>400050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6" name="Button 2">
              <controlPr defaultSize="0" print="0" autoFill="0" autoLine="0" autoPict="0">
                <anchor>
                  <from>
                    <xdr:col>8</xdr:col>
                    <xdr:colOff>466725</xdr:colOff>
                    <xdr:row>0</xdr:row>
                    <xdr:rowOff>38100</xdr:rowOff>
                  </from>
                  <to>
                    <xdr:col>8</xdr:col>
                    <xdr:colOff>666750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7" name="Button 3">
              <controlPr defaultSize="0" print="0" autoFill="0" autoLine="0" autoPict="0">
                <anchor>
                  <from>
                    <xdr:col>7</xdr:col>
                    <xdr:colOff>266700</xdr:colOff>
                    <xdr:row>0</xdr:row>
                    <xdr:rowOff>38100</xdr:rowOff>
                  </from>
                  <to>
                    <xdr:col>7</xdr:col>
                    <xdr:colOff>476250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8">
    <tabColor rgb="FF00B050"/>
    <pageSetUpPr fitToPage="1"/>
  </sheetPr>
  <dimension ref="A1:G39"/>
  <sheetViews>
    <sheetView showGridLines="0" topLeftCell="A19" workbookViewId="0">
      <selection activeCell="B38" sqref="B38:B39"/>
    </sheetView>
  </sheetViews>
  <sheetFormatPr defaultRowHeight="12.75" x14ac:dyDescent="0.2"/>
  <cols>
    <col min="1" max="1" width="2.7109375" customWidth="1"/>
    <col min="3" max="3" width="12.42578125" customWidth="1"/>
    <col min="4" max="4" width="11.28515625" customWidth="1"/>
    <col min="7" max="7" width="30.42578125" customWidth="1"/>
  </cols>
  <sheetData>
    <row r="1" spans="1:7" ht="18.75" thickBot="1" x14ac:dyDescent="0.3">
      <c r="A1" s="1" t="s">
        <v>162</v>
      </c>
      <c r="B1" s="1"/>
      <c r="C1" s="1"/>
      <c r="D1" s="1"/>
      <c r="E1" s="1"/>
      <c r="F1" s="1"/>
      <c r="G1" s="1"/>
    </row>
    <row r="2" spans="1:7" ht="13.5" thickTop="1" x14ac:dyDescent="0.2"/>
    <row r="3" spans="1:7" x14ac:dyDescent="0.2">
      <c r="C3" s="5" t="s">
        <v>88</v>
      </c>
      <c r="D3" s="5" t="s">
        <v>163</v>
      </c>
      <c r="E3" s="5" t="s">
        <v>164</v>
      </c>
    </row>
    <row r="4" spans="1:7" x14ac:dyDescent="0.2">
      <c r="C4" s="2" t="s">
        <v>165</v>
      </c>
      <c r="D4" s="16">
        <v>35796</v>
      </c>
      <c r="E4" s="2">
        <v>80</v>
      </c>
    </row>
    <row r="5" spans="1:7" x14ac:dyDescent="0.2">
      <c r="C5" s="2" t="s">
        <v>166</v>
      </c>
      <c r="D5" s="16">
        <v>35925</v>
      </c>
      <c r="E5" s="2">
        <v>25</v>
      </c>
    </row>
    <row r="6" spans="1:7" x14ac:dyDescent="0.2">
      <c r="C6" s="2" t="s">
        <v>165</v>
      </c>
      <c r="D6" s="16">
        <v>35827</v>
      </c>
      <c r="E6" s="2">
        <v>80</v>
      </c>
    </row>
    <row r="7" spans="1:7" x14ac:dyDescent="0.2">
      <c r="C7" s="2" t="s">
        <v>167</v>
      </c>
      <c r="D7" s="16">
        <v>35855</v>
      </c>
      <c r="E7" s="2">
        <v>150</v>
      </c>
    </row>
    <row r="8" spans="1:7" x14ac:dyDescent="0.2">
      <c r="C8" s="2" t="s">
        <v>167</v>
      </c>
      <c r="D8" s="16">
        <v>35800</v>
      </c>
      <c r="E8" s="2">
        <v>300</v>
      </c>
    </row>
    <row r="9" spans="1:7" x14ac:dyDescent="0.2">
      <c r="C9" s="2" t="s">
        <v>168</v>
      </c>
      <c r="D9" s="16">
        <v>35947</v>
      </c>
      <c r="E9" s="2">
        <v>50</v>
      </c>
    </row>
    <row r="10" spans="1:7" x14ac:dyDescent="0.2">
      <c r="C10" s="2" t="s">
        <v>166</v>
      </c>
      <c r="D10" s="16">
        <v>35886</v>
      </c>
      <c r="E10" s="2">
        <v>200</v>
      </c>
    </row>
    <row r="11" spans="1:7" x14ac:dyDescent="0.2">
      <c r="C11" s="2" t="s">
        <v>166</v>
      </c>
      <c r="D11" s="16">
        <v>35855</v>
      </c>
      <c r="E11" s="2">
        <v>100</v>
      </c>
    </row>
    <row r="12" spans="1:7" x14ac:dyDescent="0.2">
      <c r="C12" s="2" t="s">
        <v>169</v>
      </c>
      <c r="D12" s="16">
        <v>35916</v>
      </c>
      <c r="E12" s="2">
        <v>250</v>
      </c>
    </row>
    <row r="14" spans="1:7" x14ac:dyDescent="0.2">
      <c r="B14" s="22" t="s">
        <v>170</v>
      </c>
      <c r="C14" s="24"/>
      <c r="D14" s="24"/>
      <c r="E14" s="25"/>
      <c r="F14" s="3">
        <f>COUNTIF(C4:C12,"Brakes")</f>
        <v>2</v>
      </c>
      <c r="G14" s="26" t="s">
        <v>171</v>
      </c>
    </row>
    <row r="15" spans="1:7" x14ac:dyDescent="0.2">
      <c r="B15" s="22" t="s">
        <v>172</v>
      </c>
      <c r="C15" s="24"/>
      <c r="D15" s="24"/>
      <c r="E15" s="25"/>
      <c r="F15" s="3">
        <f>COUNTIF(C4:C12,"Tyres")</f>
        <v>3</v>
      </c>
      <c r="G15" s="26" t="s">
        <v>173</v>
      </c>
    </row>
    <row r="16" spans="1:7" x14ac:dyDescent="0.2">
      <c r="B16" s="22" t="s">
        <v>174</v>
      </c>
      <c r="C16" s="24"/>
      <c r="D16" s="24"/>
      <c r="E16" s="25"/>
      <c r="F16" s="3">
        <f>COUNTIF(E4:E12,"&gt;=100")</f>
        <v>5</v>
      </c>
      <c r="G16" s="26" t="s">
        <v>175</v>
      </c>
    </row>
    <row r="18" spans="2:7" x14ac:dyDescent="0.2">
      <c r="B18" s="22" t="s">
        <v>176</v>
      </c>
      <c r="C18" s="24"/>
      <c r="D18" s="24"/>
      <c r="E18" s="2" t="s">
        <v>177</v>
      </c>
      <c r="F18" s="3">
        <f>COUNTIF(C4:C12,E18)</f>
        <v>2</v>
      </c>
      <c r="G18" s="26" t="s">
        <v>178</v>
      </c>
    </row>
    <row r="21" spans="2:7" ht="13.5" thickBot="1" x14ac:dyDescent="0.25">
      <c r="B21" s="9" t="s">
        <v>39</v>
      </c>
      <c r="C21" s="9"/>
      <c r="D21" s="9"/>
      <c r="E21" s="9"/>
      <c r="F21" s="9"/>
      <c r="G21" s="9"/>
    </row>
    <row r="22" spans="2:7" x14ac:dyDescent="0.2">
      <c r="B22" t="s">
        <v>179</v>
      </c>
    </row>
    <row r="24" spans="2:7" ht="13.5" thickBot="1" x14ac:dyDescent="0.25">
      <c r="B24" s="9" t="s">
        <v>43</v>
      </c>
      <c r="C24" s="9"/>
      <c r="D24" s="9"/>
      <c r="E24" s="9"/>
      <c r="F24" s="9"/>
      <c r="G24" s="9"/>
    </row>
    <row r="25" spans="2:7" x14ac:dyDescent="0.2">
      <c r="B25" s="12" t="s">
        <v>180</v>
      </c>
    </row>
    <row r="26" spans="2:7" x14ac:dyDescent="0.2">
      <c r="B26" t="s">
        <v>181</v>
      </c>
    </row>
    <row r="27" spans="2:7" x14ac:dyDescent="0.2">
      <c r="B27" t="s">
        <v>182</v>
      </c>
    </row>
    <row r="28" spans="2:7" x14ac:dyDescent="0.2">
      <c r="B28" t="s">
        <v>183</v>
      </c>
    </row>
    <row r="29" spans="2:7" x14ac:dyDescent="0.2">
      <c r="B29" t="s">
        <v>184</v>
      </c>
    </row>
    <row r="31" spans="2:7" ht="13.5" thickBot="1" x14ac:dyDescent="0.25">
      <c r="B31" s="9" t="s">
        <v>45</v>
      </c>
      <c r="C31" s="9"/>
      <c r="D31" s="9"/>
      <c r="E31" s="9"/>
      <c r="F31" s="9"/>
      <c r="G31" s="9"/>
    </row>
    <row r="32" spans="2:7" x14ac:dyDescent="0.2">
      <c r="B32" t="s">
        <v>46</v>
      </c>
    </row>
    <row r="38" spans="2:2" x14ac:dyDescent="0.2">
      <c r="B38" s="535" t="s">
        <v>4120</v>
      </c>
    </row>
    <row r="39" spans="2:2" ht="15" x14ac:dyDescent="0.2">
      <c r="B39" s="534" t="s">
        <v>4119</v>
      </c>
    </row>
  </sheetData>
  <hyperlinks>
    <hyperlink ref="B39" r:id="rId1" xr:uid="{00000000-0004-0000-0800-000000000000}"/>
  </hyperlinks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2"/>
  <headerFooter alignWithMargins="0">
    <oddHeader>&amp;LExcel Function Dictionary
© 1998 - 2000 Peter Noneley&amp;R&amp;A
Page &amp;P of &amp;N</oddHead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5" name="Button 1">
              <controlPr defaultSize="0" print="0" autoFill="0" autoLine="0" autoPict="0">
                <anchor>
                  <from>
                    <xdr:col>6</xdr:col>
                    <xdr:colOff>1171575</xdr:colOff>
                    <xdr:row>0</xdr:row>
                    <xdr:rowOff>38100</xdr:rowOff>
                  </from>
                  <to>
                    <xdr:col>6</xdr:col>
                    <xdr:colOff>1638300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6" name="Button 2">
              <controlPr defaultSize="0" print="0" autoFill="0" autoLine="0" autoPict="0">
                <anchor>
                  <from>
                    <xdr:col>6</xdr:col>
                    <xdr:colOff>1704975</xdr:colOff>
                    <xdr:row>0</xdr:row>
                    <xdr:rowOff>38100</xdr:rowOff>
                  </from>
                  <to>
                    <xdr:col>6</xdr:col>
                    <xdr:colOff>1905000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7" name="Button 3">
              <controlPr defaultSize="0" print="0" autoFill="0" autoLine="0" autoPict="0">
                <anchor>
                  <from>
                    <xdr:col>6</xdr:col>
                    <xdr:colOff>904875</xdr:colOff>
                    <xdr:row>0</xdr:row>
                    <xdr:rowOff>38100</xdr:rowOff>
                  </from>
                  <to>
                    <xdr:col>6</xdr:col>
                    <xdr:colOff>1104900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2">
    <tabColor rgb="FF00B050"/>
    <pageSetUpPr fitToPage="1"/>
  </sheetPr>
  <dimension ref="A1:G29"/>
  <sheetViews>
    <sheetView showGridLines="0" workbookViewId="0">
      <pane ySplit="1" topLeftCell="A8" activePane="bottomLeft" state="frozen"/>
      <selection activeCell="F30" activeCellId="4" sqref="F16 K30 G30 P30 F30"/>
      <selection pane="bottomLeft" activeCell="B28" sqref="B28:B29"/>
    </sheetView>
  </sheetViews>
  <sheetFormatPr defaultRowHeight="12.75" x14ac:dyDescent="0.2"/>
  <cols>
    <col min="1" max="1" width="2.7109375" customWidth="1"/>
    <col min="2" max="2" width="4.7109375" customWidth="1"/>
    <col min="3" max="3" width="14.7109375" customWidth="1"/>
    <col min="4" max="4" width="14" customWidth="1"/>
    <col min="5" max="5" width="14.140625" customWidth="1"/>
    <col min="6" max="6" width="16.7109375" customWidth="1"/>
    <col min="7" max="7" width="10.5703125" customWidth="1"/>
  </cols>
  <sheetData>
    <row r="1" spans="1:7" ht="18.75" thickBot="1" x14ac:dyDescent="0.3">
      <c r="A1" s="1" t="s">
        <v>185</v>
      </c>
      <c r="B1" s="1"/>
      <c r="C1" s="1"/>
      <c r="D1" s="1"/>
      <c r="E1" s="1"/>
      <c r="F1" s="1"/>
      <c r="G1" s="1"/>
    </row>
    <row r="2" spans="1:7" ht="13.5" thickTop="1" x14ac:dyDescent="0.2"/>
    <row r="3" spans="1:7" x14ac:dyDescent="0.2">
      <c r="C3" s="5" t="s">
        <v>186</v>
      </c>
      <c r="D3" s="5" t="s">
        <v>187</v>
      </c>
    </row>
    <row r="4" spans="1:7" x14ac:dyDescent="0.2">
      <c r="C4" s="27">
        <v>36154</v>
      </c>
      <c r="D4" s="3">
        <f>DAY(C4)</f>
        <v>25</v>
      </c>
      <c r="E4" s="26" t="s">
        <v>188</v>
      </c>
    </row>
    <row r="5" spans="1:7" x14ac:dyDescent="0.2">
      <c r="C5" s="27">
        <f ca="1">TODAY()</f>
        <v>44452</v>
      </c>
      <c r="D5" s="28">
        <f ca="1">DAY(C5)</f>
        <v>13</v>
      </c>
      <c r="E5" s="26" t="s">
        <v>189</v>
      </c>
    </row>
    <row r="6" spans="1:7" x14ac:dyDescent="0.2">
      <c r="C6" s="27">
        <f ca="1">TODAY()</f>
        <v>44452</v>
      </c>
      <c r="D6" s="3">
        <f ca="1">DAY(C6)</f>
        <v>13</v>
      </c>
      <c r="E6" s="26" t="s">
        <v>190</v>
      </c>
    </row>
    <row r="8" spans="1:7" ht="13.5" thickBot="1" x14ac:dyDescent="0.25">
      <c r="B8" s="9" t="s">
        <v>64</v>
      </c>
      <c r="C8" s="9"/>
      <c r="D8" s="9"/>
      <c r="E8" s="9"/>
      <c r="F8" s="9"/>
      <c r="G8" s="9"/>
    </row>
    <row r="9" spans="1:7" x14ac:dyDescent="0.2">
      <c r="B9" t="s">
        <v>191</v>
      </c>
    </row>
    <row r="11" spans="1:7" ht="13.5" thickBot="1" x14ac:dyDescent="0.25">
      <c r="B11" s="9" t="s">
        <v>43</v>
      </c>
      <c r="C11" s="9"/>
      <c r="D11" s="9"/>
      <c r="E11" s="9"/>
      <c r="F11" s="9"/>
      <c r="G11" s="9"/>
    </row>
    <row r="12" spans="1:7" x14ac:dyDescent="0.2">
      <c r="B12" t="s">
        <v>192</v>
      </c>
    </row>
    <row r="14" spans="1:7" ht="13.5" thickBot="1" x14ac:dyDescent="0.25">
      <c r="B14" s="9" t="s">
        <v>45</v>
      </c>
      <c r="C14" s="9"/>
      <c r="D14" s="9"/>
      <c r="E14" s="9"/>
      <c r="F14" s="9"/>
      <c r="G14" s="9"/>
    </row>
    <row r="15" spans="1:7" x14ac:dyDescent="0.2">
      <c r="B15" t="s">
        <v>193</v>
      </c>
    </row>
    <row r="16" spans="1:7" x14ac:dyDescent="0.2">
      <c r="B16" t="s">
        <v>194</v>
      </c>
    </row>
    <row r="18" spans="2:7" ht="13.5" thickBot="1" x14ac:dyDescent="0.25">
      <c r="B18" s="9" t="s">
        <v>85</v>
      </c>
      <c r="C18" s="9"/>
      <c r="D18" s="9"/>
      <c r="E18" s="9"/>
      <c r="F18" s="9"/>
      <c r="G18" s="9"/>
    </row>
    <row r="19" spans="2:7" x14ac:dyDescent="0.2">
      <c r="B19" t="s">
        <v>195</v>
      </c>
    </row>
    <row r="21" spans="2:7" x14ac:dyDescent="0.2">
      <c r="B21" s="22"/>
      <c r="C21" s="24"/>
      <c r="D21" s="24"/>
      <c r="E21" s="23" t="s">
        <v>196</v>
      </c>
      <c r="F21" s="29">
        <v>22730</v>
      </c>
    </row>
    <row r="22" spans="2:7" x14ac:dyDescent="0.2">
      <c r="B22" s="22"/>
      <c r="C22" s="24"/>
      <c r="D22" s="24"/>
      <c r="E22" s="23" t="s">
        <v>197</v>
      </c>
      <c r="F22" s="30">
        <f>DAY(F21)</f>
        <v>25</v>
      </c>
      <c r="G22" s="8" t="s">
        <v>198</v>
      </c>
    </row>
    <row r="28" spans="2:7" x14ac:dyDescent="0.2">
      <c r="B28" s="535" t="s">
        <v>4120</v>
      </c>
    </row>
    <row r="29" spans="2:7" ht="15" x14ac:dyDescent="0.2">
      <c r="B29" s="534" t="s">
        <v>4119</v>
      </c>
    </row>
  </sheetData>
  <hyperlinks>
    <hyperlink ref="B29" r:id="rId1" xr:uid="{00000000-0004-0000-0900-000000000000}"/>
  </hyperlinks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2"/>
  <headerFooter alignWithMargins="0">
    <oddHeader>&amp;LExcel Function Dictionary
© 1998 - 2000 Peter Noneley&amp;R&amp;A
Page &amp;P of &amp;N</oddHead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5" name="Button 1">
              <controlPr defaultSize="0" print="0" autoFill="0" autoLine="0" autoPict="0">
                <anchor>
                  <from>
                    <xdr:col>6</xdr:col>
                    <xdr:colOff>257175</xdr:colOff>
                    <xdr:row>0</xdr:row>
                    <xdr:rowOff>38100</xdr:rowOff>
                  </from>
                  <to>
                    <xdr:col>7</xdr:col>
                    <xdr:colOff>19050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6" name="Button 2">
              <controlPr defaultSize="0" print="0" autoFill="0" autoLine="0" autoPict="0">
                <anchor>
                  <from>
                    <xdr:col>7</xdr:col>
                    <xdr:colOff>95250</xdr:colOff>
                    <xdr:row>0</xdr:row>
                    <xdr:rowOff>38100</xdr:rowOff>
                  </from>
                  <to>
                    <xdr:col>7</xdr:col>
                    <xdr:colOff>304800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7" name="Button 3">
              <controlPr defaultSize="0" print="0" autoFill="0" autoLine="0" autoPict="0">
                <anchor>
                  <from>
                    <xdr:col>5</xdr:col>
                    <xdr:colOff>1104900</xdr:colOff>
                    <xdr:row>0</xdr:row>
                    <xdr:rowOff>38100</xdr:rowOff>
                  </from>
                  <to>
                    <xdr:col>6</xdr:col>
                    <xdr:colOff>190500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43">
    <tabColor rgb="FF00B050"/>
    <pageSetUpPr fitToPage="1"/>
  </sheetPr>
  <dimension ref="A1:I29"/>
  <sheetViews>
    <sheetView showGridLines="0" workbookViewId="0">
      <pane ySplit="1" topLeftCell="A14" activePane="bottomLeft" state="frozen"/>
      <selection activeCell="F30" activeCellId="4" sqref="F16 K30 G30 P30 F30"/>
      <selection pane="bottomLeft" activeCell="B28" sqref="B28:B29"/>
    </sheetView>
  </sheetViews>
  <sheetFormatPr defaultRowHeight="12.75" x14ac:dyDescent="0.2"/>
  <cols>
    <col min="1" max="1" width="4.140625" customWidth="1"/>
    <col min="3" max="3" width="10.85546875" customWidth="1"/>
    <col min="4" max="4" width="10.7109375" customWidth="1"/>
  </cols>
  <sheetData>
    <row r="1" spans="1:9" ht="18.75" thickBot="1" x14ac:dyDescent="0.3">
      <c r="A1" s="1" t="s">
        <v>199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ht="25.5" x14ac:dyDescent="0.2">
      <c r="B3" s="31"/>
      <c r="C3" s="21" t="s">
        <v>200</v>
      </c>
      <c r="D3" s="21" t="s">
        <v>201</v>
      </c>
      <c r="E3" s="31"/>
    </row>
    <row r="4" spans="1:9" x14ac:dyDescent="0.2">
      <c r="C4" s="2">
        <v>10</v>
      </c>
      <c r="D4" s="3" t="str">
        <f>DOLLAR(C4)</f>
        <v>$10.00</v>
      </c>
      <c r="E4" s="8" t="s">
        <v>202</v>
      </c>
    </row>
    <row r="5" spans="1:9" x14ac:dyDescent="0.2">
      <c r="C5" s="2">
        <v>10</v>
      </c>
      <c r="D5" s="3" t="str">
        <f>DOLLAR(C5,0)</f>
        <v>$10</v>
      </c>
      <c r="E5" s="8" t="s">
        <v>203</v>
      </c>
    </row>
    <row r="6" spans="1:9" x14ac:dyDescent="0.2">
      <c r="C6" s="2">
        <v>10</v>
      </c>
      <c r="D6" s="3" t="str">
        <f>DOLLAR(C6,1)</f>
        <v>$10.0</v>
      </c>
      <c r="E6" s="8" t="s">
        <v>204</v>
      </c>
    </row>
    <row r="7" spans="1:9" x14ac:dyDescent="0.2">
      <c r="C7" s="2">
        <v>10</v>
      </c>
      <c r="D7" s="3" t="str">
        <f>DOLLAR(C7,2)</f>
        <v>$10.00</v>
      </c>
      <c r="E7" s="8" t="s">
        <v>205</v>
      </c>
    </row>
    <row r="8" spans="1:9" x14ac:dyDescent="0.2">
      <c r="C8" s="2">
        <v>10.25</v>
      </c>
      <c r="D8" s="3" t="str">
        <f>DOLLAR(C8)</f>
        <v>$10.25</v>
      </c>
      <c r="E8" s="8" t="s">
        <v>206</v>
      </c>
    </row>
    <row r="9" spans="1:9" x14ac:dyDescent="0.2">
      <c r="C9" s="2">
        <v>10.25</v>
      </c>
      <c r="D9" s="3" t="str">
        <f>DOLLAR(C9,0)</f>
        <v>$10</v>
      </c>
      <c r="E9" s="8" t="s">
        <v>207</v>
      </c>
    </row>
    <row r="10" spans="1:9" x14ac:dyDescent="0.2">
      <c r="C10" s="2">
        <v>10.25</v>
      </c>
      <c r="D10" s="3" t="str">
        <f>DOLLAR(C10,1)</f>
        <v>$10.3</v>
      </c>
      <c r="E10" s="8" t="s">
        <v>208</v>
      </c>
    </row>
    <row r="11" spans="1:9" x14ac:dyDescent="0.2">
      <c r="C11" s="2">
        <v>10.25</v>
      </c>
      <c r="D11" s="3" t="str">
        <f>DOLLAR(C11,2)</f>
        <v>$10.25</v>
      </c>
      <c r="E11" s="8" t="s">
        <v>209</v>
      </c>
    </row>
    <row r="13" spans="1:9" ht="13.5" thickBot="1" x14ac:dyDescent="0.25">
      <c r="B13" s="9" t="s">
        <v>64</v>
      </c>
      <c r="C13" s="9"/>
      <c r="D13" s="9"/>
      <c r="E13" s="9"/>
      <c r="F13" s="9"/>
      <c r="G13" s="9"/>
      <c r="H13" s="9"/>
      <c r="I13" s="9"/>
    </row>
    <row r="14" spans="1:9" x14ac:dyDescent="0.2">
      <c r="B14" t="s">
        <v>210</v>
      </c>
    </row>
    <row r="16" spans="1:9" ht="13.5" thickBot="1" x14ac:dyDescent="0.25">
      <c r="B16" s="9" t="s">
        <v>43</v>
      </c>
      <c r="C16" s="9"/>
      <c r="D16" s="9"/>
      <c r="E16" s="9"/>
      <c r="F16" s="9"/>
      <c r="G16" s="9"/>
      <c r="H16" s="9"/>
      <c r="I16" s="9"/>
    </row>
    <row r="17" spans="2:9" x14ac:dyDescent="0.2">
      <c r="B17" t="s">
        <v>211</v>
      </c>
    </row>
    <row r="18" spans="2:9" x14ac:dyDescent="0.2">
      <c r="B18" t="s">
        <v>212</v>
      </c>
    </row>
    <row r="19" spans="2:9" x14ac:dyDescent="0.2">
      <c r="B19" t="s">
        <v>213</v>
      </c>
    </row>
    <row r="21" spans="2:9" ht="13.5" thickBot="1" x14ac:dyDescent="0.25">
      <c r="B21" s="9" t="s">
        <v>45</v>
      </c>
      <c r="C21" s="9"/>
      <c r="D21" s="9"/>
      <c r="E21" s="9"/>
      <c r="F21" s="9"/>
      <c r="G21" s="9"/>
      <c r="H21" s="9"/>
      <c r="I21" s="9"/>
    </row>
    <row r="22" spans="2:9" x14ac:dyDescent="0.2">
      <c r="B22" t="s">
        <v>46</v>
      </c>
    </row>
    <row r="23" spans="2:9" x14ac:dyDescent="0.2">
      <c r="B23" t="s">
        <v>214</v>
      </c>
    </row>
    <row r="28" spans="2:9" x14ac:dyDescent="0.2">
      <c r="B28" s="535" t="s">
        <v>4120</v>
      </c>
    </row>
    <row r="29" spans="2:9" ht="15" x14ac:dyDescent="0.2">
      <c r="B29" s="534" t="s">
        <v>4119</v>
      </c>
    </row>
  </sheetData>
  <hyperlinks>
    <hyperlink ref="B29" r:id="rId1" xr:uid="{00000000-0004-0000-0A00-000000000000}"/>
  </hyperlinks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2"/>
  <headerFooter alignWithMargins="0">
    <oddHeader>&amp;LExcel Function Dictionary
© 1998 - 2000 Peter Noneley&amp;R&amp;A
Page &amp;P of &amp;N</oddHead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5" name="Button 1">
              <controlPr defaultSize="0" print="0" autoFill="0" autoLine="0" autoPict="0">
                <anchor>
                  <from>
                    <xdr:col>8</xdr:col>
                    <xdr:colOff>38100</xdr:colOff>
                    <xdr:row>0</xdr:row>
                    <xdr:rowOff>38100</xdr:rowOff>
                  </from>
                  <to>
                    <xdr:col>8</xdr:col>
                    <xdr:colOff>514350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2" r:id="rId6" name="Button 2">
              <controlPr defaultSize="0" print="0" autoFill="0" autoLine="0" autoPict="0">
                <anchor>
                  <from>
                    <xdr:col>8</xdr:col>
                    <xdr:colOff>590550</xdr:colOff>
                    <xdr:row>0</xdr:row>
                    <xdr:rowOff>38100</xdr:rowOff>
                  </from>
                  <to>
                    <xdr:col>9</xdr:col>
                    <xdr:colOff>180975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3" r:id="rId7" name="Button 3">
              <controlPr defaultSize="0" print="0" autoFill="0" autoLine="0" autoPict="0">
                <anchor>
                  <from>
                    <xdr:col>7</xdr:col>
                    <xdr:colOff>371475</xdr:colOff>
                    <xdr:row>0</xdr:row>
                    <xdr:rowOff>38100</xdr:rowOff>
                  </from>
                  <to>
                    <xdr:col>7</xdr:col>
                    <xdr:colOff>581025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9">
    <tabColor rgb="FF00B050"/>
    <pageSetUpPr fitToPage="1"/>
  </sheetPr>
  <dimension ref="A1:H35"/>
  <sheetViews>
    <sheetView showGridLines="0" workbookViewId="0">
      <pane ySplit="1" topLeftCell="A20" activePane="bottomLeft" state="frozen"/>
      <selection activeCell="F30" activeCellId="4" sqref="F16 K30 G30 P30 F30"/>
      <selection pane="bottomLeft" activeCell="B34" sqref="B34:B35"/>
    </sheetView>
  </sheetViews>
  <sheetFormatPr defaultRowHeight="12.75" x14ac:dyDescent="0.2"/>
  <cols>
    <col min="1" max="1" width="2.7109375" customWidth="1"/>
    <col min="3" max="3" width="12.5703125" customWidth="1"/>
    <col min="4" max="4" width="16.7109375" customWidth="1"/>
    <col min="5" max="5" width="12.5703125" customWidth="1"/>
  </cols>
  <sheetData>
    <row r="1" spans="1:8" ht="18.75" thickBot="1" x14ac:dyDescent="0.3">
      <c r="A1" s="1" t="s">
        <v>215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C3" s="5" t="s">
        <v>216</v>
      </c>
      <c r="D3" s="5" t="s">
        <v>217</v>
      </c>
    </row>
    <row r="4" spans="1:8" x14ac:dyDescent="0.2">
      <c r="C4" s="2">
        <v>1</v>
      </c>
      <c r="D4" s="3">
        <f>EVEN(C4)</f>
        <v>2</v>
      </c>
      <c r="E4" s="32" t="s">
        <v>218</v>
      </c>
    </row>
    <row r="5" spans="1:8" x14ac:dyDescent="0.2">
      <c r="C5" s="2">
        <v>1.2</v>
      </c>
      <c r="D5" s="3">
        <f>EVEN(C5)</f>
        <v>2</v>
      </c>
      <c r="E5" s="32" t="s">
        <v>219</v>
      </c>
    </row>
    <row r="6" spans="1:8" x14ac:dyDescent="0.2">
      <c r="C6" s="2">
        <v>2.2999999999999998</v>
      </c>
      <c r="D6" s="3">
        <f>EVEN(C6)</f>
        <v>4</v>
      </c>
      <c r="E6" s="32" t="s">
        <v>220</v>
      </c>
    </row>
    <row r="7" spans="1:8" x14ac:dyDescent="0.2">
      <c r="C7" s="2">
        <v>25</v>
      </c>
      <c r="D7" s="3">
        <f>EVEN(C7)</f>
        <v>26</v>
      </c>
      <c r="E7" s="32" t="s">
        <v>221</v>
      </c>
    </row>
    <row r="9" spans="1:8" ht="13.5" thickBot="1" x14ac:dyDescent="0.25">
      <c r="B9" s="9" t="s">
        <v>39</v>
      </c>
      <c r="C9" s="9"/>
      <c r="D9" s="9"/>
      <c r="E9" s="9"/>
      <c r="F9" s="9"/>
      <c r="G9" s="9"/>
      <c r="H9" s="9"/>
    </row>
    <row r="10" spans="1:8" x14ac:dyDescent="0.2">
      <c r="B10" t="s">
        <v>222</v>
      </c>
    </row>
    <row r="12" spans="1:8" ht="13.5" thickBot="1" x14ac:dyDescent="0.25">
      <c r="B12" s="9" t="s">
        <v>43</v>
      </c>
      <c r="C12" s="9"/>
      <c r="D12" s="9"/>
      <c r="E12" s="9"/>
      <c r="F12" s="9"/>
      <c r="G12" s="9"/>
      <c r="H12" s="9"/>
    </row>
    <row r="13" spans="1:8" x14ac:dyDescent="0.2">
      <c r="B13" s="12" t="s">
        <v>223</v>
      </c>
    </row>
    <row r="15" spans="1:8" ht="13.5" thickBot="1" x14ac:dyDescent="0.25">
      <c r="B15" s="9" t="s">
        <v>45</v>
      </c>
      <c r="C15" s="9"/>
      <c r="D15" s="9"/>
      <c r="E15" s="9"/>
      <c r="F15" s="9"/>
      <c r="G15" s="9"/>
      <c r="H15" s="9"/>
    </row>
    <row r="16" spans="1:8" x14ac:dyDescent="0.2">
      <c r="B16" t="s">
        <v>46</v>
      </c>
    </row>
    <row r="18" spans="2:8" ht="13.5" thickBot="1" x14ac:dyDescent="0.25">
      <c r="B18" s="9" t="s">
        <v>85</v>
      </c>
      <c r="C18" s="9"/>
      <c r="D18" s="9"/>
      <c r="E18" s="9"/>
      <c r="F18" s="9"/>
      <c r="G18" s="9"/>
      <c r="H18" s="9"/>
    </row>
    <row r="19" spans="2:8" x14ac:dyDescent="0.2">
      <c r="B19" t="s">
        <v>224</v>
      </c>
    </row>
    <row r="20" spans="2:8" x14ac:dyDescent="0.2">
      <c r="B20" t="s">
        <v>225</v>
      </c>
    </row>
    <row r="21" spans="2:8" x14ac:dyDescent="0.2">
      <c r="B21" t="s">
        <v>226</v>
      </c>
    </row>
    <row r="23" spans="2:8" x14ac:dyDescent="0.2">
      <c r="B23" t="s">
        <v>227</v>
      </c>
    </row>
    <row r="24" spans="2:8" x14ac:dyDescent="0.2">
      <c r="B24" t="s">
        <v>228</v>
      </c>
    </row>
    <row r="26" spans="2:8" x14ac:dyDescent="0.2">
      <c r="C26" t="s">
        <v>229</v>
      </c>
    </row>
    <row r="27" spans="2:8" x14ac:dyDescent="0.2">
      <c r="C27" s="5" t="s">
        <v>230</v>
      </c>
      <c r="D27" s="5" t="s">
        <v>231</v>
      </c>
      <c r="E27" s="5" t="s">
        <v>232</v>
      </c>
    </row>
    <row r="28" spans="2:8" x14ac:dyDescent="0.2">
      <c r="C28" s="2" t="s">
        <v>233</v>
      </c>
      <c r="D28" s="2">
        <v>5</v>
      </c>
      <c r="E28" s="3">
        <f>EVEN(D28)/2</f>
        <v>3</v>
      </c>
      <c r="F28" s="8" t="s">
        <v>234</v>
      </c>
    </row>
    <row r="29" spans="2:8" x14ac:dyDescent="0.2">
      <c r="C29" s="2" t="s">
        <v>235</v>
      </c>
      <c r="D29" s="2">
        <v>9</v>
      </c>
      <c r="E29" s="3">
        <f>EVEN(D29)/2</f>
        <v>5</v>
      </c>
      <c r="F29" s="8" t="s">
        <v>236</v>
      </c>
    </row>
    <row r="30" spans="2:8" x14ac:dyDescent="0.2">
      <c r="C30" s="2" t="s">
        <v>237</v>
      </c>
      <c r="D30" s="2">
        <v>7</v>
      </c>
      <c r="E30" s="3">
        <f>EVEN(D30)/2</f>
        <v>4</v>
      </c>
      <c r="F30" s="8" t="s">
        <v>238</v>
      </c>
    </row>
    <row r="34" spans="2:2" x14ac:dyDescent="0.2">
      <c r="B34" s="535" t="s">
        <v>4120</v>
      </c>
    </row>
    <row r="35" spans="2:2" ht="15" x14ac:dyDescent="0.2">
      <c r="B35" s="534" t="s">
        <v>4119</v>
      </c>
    </row>
  </sheetData>
  <hyperlinks>
    <hyperlink ref="B35" r:id="rId1" xr:uid="{00000000-0004-0000-0B00-000000000000}"/>
  </hyperlinks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2"/>
  <headerFooter alignWithMargins="0">
    <oddHeader>&amp;LExcel Function Dictionary
© 1998 - 2000 Peter Noneley&amp;R&amp;A
Page &amp;P of &amp;N</oddHead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5" name="Button 1">
              <controlPr defaultSize="0" print="0" autoFill="0" autoLine="0" autoPict="0">
                <anchor>
                  <from>
                    <xdr:col>6</xdr:col>
                    <xdr:colOff>581025</xdr:colOff>
                    <xdr:row>0</xdr:row>
                    <xdr:rowOff>38100</xdr:rowOff>
                  </from>
                  <to>
                    <xdr:col>7</xdr:col>
                    <xdr:colOff>447675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6" name="Button 2">
              <controlPr defaultSize="0" print="0" autoFill="0" autoLine="0" autoPict="0">
                <anchor>
                  <from>
                    <xdr:col>7</xdr:col>
                    <xdr:colOff>514350</xdr:colOff>
                    <xdr:row>0</xdr:row>
                    <xdr:rowOff>38100</xdr:rowOff>
                  </from>
                  <to>
                    <xdr:col>8</xdr:col>
                    <xdr:colOff>114300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7" r:id="rId7" name="Button 3">
              <controlPr defaultSize="0" print="0" autoFill="0" autoLine="0" autoPict="0">
                <anchor>
                  <from>
                    <xdr:col>6</xdr:col>
                    <xdr:colOff>304800</xdr:colOff>
                    <xdr:row>0</xdr:row>
                    <xdr:rowOff>38100</xdr:rowOff>
                  </from>
                  <to>
                    <xdr:col>6</xdr:col>
                    <xdr:colOff>514350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2">
    <tabColor rgb="FF00B050"/>
    <pageSetUpPr fitToPage="1"/>
  </sheetPr>
  <dimension ref="A1:G32"/>
  <sheetViews>
    <sheetView showGridLines="0" workbookViewId="0">
      <pane ySplit="1" topLeftCell="A14" activePane="bottomLeft" state="frozen"/>
      <selection activeCell="F30" activeCellId="4" sqref="F16 K30 G30 P30 F30"/>
      <selection pane="bottomLeft" activeCell="B31" sqref="B31:B32"/>
    </sheetView>
  </sheetViews>
  <sheetFormatPr defaultRowHeight="12.75" x14ac:dyDescent="0.2"/>
  <cols>
    <col min="1" max="1" width="2.7109375" customWidth="1"/>
    <col min="3" max="3" width="13.42578125" customWidth="1"/>
    <col min="4" max="4" width="13.85546875" customWidth="1"/>
    <col min="5" max="5" width="16.7109375" customWidth="1"/>
    <col min="6" max="6" width="14.7109375" customWidth="1"/>
    <col min="7" max="7" width="11.85546875" customWidth="1"/>
  </cols>
  <sheetData>
    <row r="1" spans="1:7" ht="18.75" thickBot="1" x14ac:dyDescent="0.3">
      <c r="A1" s="1" t="s">
        <v>239</v>
      </c>
      <c r="B1" s="1"/>
      <c r="C1" s="1"/>
      <c r="D1" s="1"/>
      <c r="E1" s="1"/>
      <c r="F1" s="1"/>
      <c r="G1" s="1"/>
    </row>
    <row r="2" spans="1:7" ht="13.5" thickTop="1" x14ac:dyDescent="0.2"/>
    <row r="3" spans="1:7" x14ac:dyDescent="0.2">
      <c r="C3" s="5" t="s">
        <v>240</v>
      </c>
      <c r="D3" s="5" t="s">
        <v>241</v>
      </c>
      <c r="E3" s="5" t="s">
        <v>242</v>
      </c>
    </row>
    <row r="4" spans="1:7" x14ac:dyDescent="0.2">
      <c r="C4" s="2" t="s">
        <v>58</v>
      </c>
      <c r="D4" s="2" t="s">
        <v>243</v>
      </c>
      <c r="E4" s="3">
        <f>FIND(D4,C4)</f>
        <v>2</v>
      </c>
      <c r="F4" s="26" t="s">
        <v>244</v>
      </c>
    </row>
    <row r="5" spans="1:7" x14ac:dyDescent="0.2">
      <c r="C5" s="2" t="s">
        <v>58</v>
      </c>
      <c r="D5" s="2" t="s">
        <v>245</v>
      </c>
      <c r="E5" s="3">
        <f>FIND(D5,C5)</f>
        <v>1</v>
      </c>
      <c r="F5" s="26" t="s">
        <v>246</v>
      </c>
    </row>
    <row r="6" spans="1:7" x14ac:dyDescent="0.2">
      <c r="C6" s="2" t="s">
        <v>58</v>
      </c>
      <c r="D6" s="2" t="s">
        <v>247</v>
      </c>
      <c r="E6" s="3">
        <f>FIND(D6,C6)</f>
        <v>5</v>
      </c>
      <c r="F6" s="26" t="s">
        <v>248</v>
      </c>
    </row>
    <row r="7" spans="1:7" x14ac:dyDescent="0.2">
      <c r="C7" s="2" t="s">
        <v>249</v>
      </c>
      <c r="D7" s="2" t="s">
        <v>250</v>
      </c>
      <c r="E7" s="3">
        <f>FIND(D7,C7)</f>
        <v>3</v>
      </c>
      <c r="F7" s="26" t="s">
        <v>251</v>
      </c>
    </row>
    <row r="8" spans="1:7" x14ac:dyDescent="0.2">
      <c r="C8" s="2" t="s">
        <v>249</v>
      </c>
      <c r="D8" s="2" t="s">
        <v>250</v>
      </c>
      <c r="E8" s="3">
        <f>FIND(D8,C8,6)</f>
        <v>11</v>
      </c>
      <c r="F8" s="26" t="s">
        <v>252</v>
      </c>
    </row>
    <row r="9" spans="1:7" x14ac:dyDescent="0.2">
      <c r="C9" s="2" t="s">
        <v>249</v>
      </c>
      <c r="D9" s="2" t="s">
        <v>253</v>
      </c>
      <c r="E9" s="3" t="e">
        <f>FIND(D9,C9)</f>
        <v>#VALUE!</v>
      </c>
      <c r="F9" s="26" t="s">
        <v>254</v>
      </c>
    </row>
    <row r="11" spans="1:7" ht="13.5" thickBot="1" x14ac:dyDescent="0.25">
      <c r="B11" s="9" t="s">
        <v>64</v>
      </c>
      <c r="C11" s="9"/>
      <c r="D11" s="9"/>
      <c r="E11" s="9"/>
      <c r="F11" s="9"/>
      <c r="G11" s="9"/>
    </row>
    <row r="12" spans="1:7" x14ac:dyDescent="0.2">
      <c r="B12" t="s">
        <v>255</v>
      </c>
    </row>
    <row r="13" spans="1:7" x14ac:dyDescent="0.2">
      <c r="B13" t="s">
        <v>256</v>
      </c>
    </row>
    <row r="14" spans="1:7" x14ac:dyDescent="0.2">
      <c r="B14" t="s">
        <v>257</v>
      </c>
    </row>
    <row r="15" spans="1:7" x14ac:dyDescent="0.2">
      <c r="B15" t="s">
        <v>258</v>
      </c>
    </row>
    <row r="16" spans="1:7" x14ac:dyDescent="0.2">
      <c r="B16" t="s">
        <v>259</v>
      </c>
    </row>
    <row r="17" spans="2:7" x14ac:dyDescent="0.2">
      <c r="B17" t="s">
        <v>260</v>
      </c>
    </row>
    <row r="19" spans="2:7" ht="13.5" thickBot="1" x14ac:dyDescent="0.25">
      <c r="B19" s="9" t="s">
        <v>43</v>
      </c>
      <c r="C19" s="9"/>
      <c r="D19" s="9"/>
      <c r="E19" s="9"/>
      <c r="F19" s="9"/>
      <c r="G19" s="9"/>
    </row>
    <row r="20" spans="2:7" x14ac:dyDescent="0.2">
      <c r="B20" t="s">
        <v>261</v>
      </c>
    </row>
    <row r="21" spans="2:7" x14ac:dyDescent="0.2">
      <c r="B21" t="s">
        <v>262</v>
      </c>
    </row>
    <row r="22" spans="2:7" x14ac:dyDescent="0.2">
      <c r="B22" t="s">
        <v>263</v>
      </c>
    </row>
    <row r="23" spans="2:7" x14ac:dyDescent="0.2">
      <c r="B23" t="s">
        <v>264</v>
      </c>
    </row>
    <row r="25" spans="2:7" ht="13.5" thickBot="1" x14ac:dyDescent="0.25">
      <c r="B25" s="9" t="s">
        <v>45</v>
      </c>
      <c r="C25" s="9"/>
      <c r="D25" s="9"/>
      <c r="E25" s="9"/>
      <c r="F25" s="9"/>
      <c r="G25" s="9"/>
    </row>
    <row r="26" spans="2:7" x14ac:dyDescent="0.2">
      <c r="B26" t="s">
        <v>265</v>
      </c>
    </row>
    <row r="31" spans="2:7" x14ac:dyDescent="0.2">
      <c r="B31" s="535" t="s">
        <v>4120</v>
      </c>
    </row>
    <row r="32" spans="2:7" ht="15" x14ac:dyDescent="0.2">
      <c r="B32" s="534" t="s">
        <v>4119</v>
      </c>
    </row>
  </sheetData>
  <hyperlinks>
    <hyperlink ref="B32" r:id="rId1" xr:uid="{00000000-0004-0000-0C00-000000000000}"/>
  </hyperlinks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2"/>
  <headerFooter alignWithMargins="0">
    <oddHeader>&amp;LExcel Function Dictionary
© 1998 - 2000 Peter Noneley&amp;R&amp;A
Page &amp;P of &amp;N</oddHead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9" r:id="rId5" name="Button 1">
              <controlPr defaultSize="0" print="0" autoFill="0" autoLine="0" autoPict="0">
                <anchor>
                  <from>
                    <xdr:col>6</xdr:col>
                    <xdr:colOff>28575</xdr:colOff>
                    <xdr:row>0</xdr:row>
                    <xdr:rowOff>38100</xdr:rowOff>
                  </from>
                  <to>
                    <xdr:col>6</xdr:col>
                    <xdr:colOff>495300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0" r:id="rId6" name="Button 2">
              <controlPr defaultSize="0" print="0" autoFill="0" autoLine="0" autoPict="0">
                <anchor>
                  <from>
                    <xdr:col>6</xdr:col>
                    <xdr:colOff>561975</xdr:colOff>
                    <xdr:row>0</xdr:row>
                    <xdr:rowOff>38100</xdr:rowOff>
                  </from>
                  <to>
                    <xdr:col>6</xdr:col>
                    <xdr:colOff>762000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1" r:id="rId7" name="Button 3">
              <controlPr defaultSize="0" print="0" autoFill="0" autoLine="0" autoPict="0">
                <anchor>
                  <from>
                    <xdr:col>5</xdr:col>
                    <xdr:colOff>742950</xdr:colOff>
                    <xdr:row>0</xdr:row>
                    <xdr:rowOff>38100</xdr:rowOff>
                  </from>
                  <to>
                    <xdr:col>5</xdr:col>
                    <xdr:colOff>942975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62">
    <tabColor rgb="FF00B050"/>
    <pageSetUpPr fitToPage="1"/>
  </sheetPr>
  <dimension ref="A1:L131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L12" sqref="L12"/>
    </sheetView>
  </sheetViews>
  <sheetFormatPr defaultRowHeight="12.75" x14ac:dyDescent="0.2"/>
  <cols>
    <col min="1" max="1" width="2.7109375" customWidth="1"/>
    <col min="10" max="10" width="8.85546875" customWidth="1"/>
  </cols>
  <sheetData>
    <row r="1" spans="1:12" ht="18.75" thickBot="1" x14ac:dyDescent="0.3">
      <c r="A1" s="1" t="s">
        <v>266</v>
      </c>
      <c r="B1" s="1"/>
      <c r="C1" s="1"/>
      <c r="D1" s="1"/>
      <c r="E1" s="1"/>
      <c r="F1" s="1"/>
      <c r="G1" s="1"/>
      <c r="H1" s="1"/>
      <c r="I1" s="1"/>
      <c r="J1" s="1"/>
    </row>
    <row r="2" spans="1:12" ht="13.5" thickTop="1" x14ac:dyDescent="0.2"/>
    <row r="3" spans="1:12" x14ac:dyDescent="0.2">
      <c r="D3" s="5" t="s">
        <v>12</v>
      </c>
      <c r="E3" s="5" t="s">
        <v>13</v>
      </c>
      <c r="F3" s="5" t="s">
        <v>14</v>
      </c>
      <c r="G3" s="33" t="s">
        <v>267</v>
      </c>
      <c r="H3" s="34" t="s">
        <v>268</v>
      </c>
    </row>
    <row r="4" spans="1:12" x14ac:dyDescent="0.2">
      <c r="D4" s="2">
        <v>10</v>
      </c>
      <c r="E4" s="2">
        <v>80</v>
      </c>
      <c r="F4" s="2">
        <v>97</v>
      </c>
      <c r="G4" s="33" t="s">
        <v>269</v>
      </c>
      <c r="H4" s="34" t="s">
        <v>270</v>
      </c>
    </row>
    <row r="5" spans="1:12" x14ac:dyDescent="0.2">
      <c r="D5" s="2">
        <v>20</v>
      </c>
      <c r="E5" s="2">
        <v>90</v>
      </c>
      <c r="F5" s="2">
        <v>69</v>
      </c>
      <c r="G5" s="33" t="s">
        <v>271</v>
      </c>
      <c r="L5" s="535" t="s">
        <v>4120</v>
      </c>
    </row>
    <row r="6" spans="1:12" ht="15" x14ac:dyDescent="0.2">
      <c r="D6" s="2">
        <v>30</v>
      </c>
      <c r="E6" s="2">
        <v>100</v>
      </c>
      <c r="F6" s="2">
        <v>45</v>
      </c>
      <c r="G6" s="33" t="s">
        <v>272</v>
      </c>
      <c r="L6" s="534" t="s">
        <v>4119</v>
      </c>
    </row>
    <row r="7" spans="1:12" x14ac:dyDescent="0.2">
      <c r="D7" s="2">
        <v>40</v>
      </c>
      <c r="E7" s="2">
        <v>110</v>
      </c>
      <c r="F7" s="2">
        <v>51</v>
      </c>
      <c r="G7" s="33" t="s">
        <v>273</v>
      </c>
    </row>
    <row r="8" spans="1:12" x14ac:dyDescent="0.2">
      <c r="D8" s="2">
        <v>50</v>
      </c>
      <c r="E8" s="2">
        <v>120</v>
      </c>
      <c r="F8" s="2">
        <v>77</v>
      </c>
      <c r="G8" s="33" t="s">
        <v>274</v>
      </c>
    </row>
    <row r="10" spans="1:12" x14ac:dyDescent="0.2">
      <c r="B10" s="22"/>
      <c r="C10" s="24"/>
      <c r="D10" s="24"/>
      <c r="E10" s="35" t="s">
        <v>275</v>
      </c>
      <c r="F10" s="2" t="s">
        <v>13</v>
      </c>
    </row>
    <row r="11" spans="1:12" x14ac:dyDescent="0.2">
      <c r="B11" s="22"/>
      <c r="C11" s="24"/>
      <c r="D11" s="24"/>
      <c r="E11" s="35" t="s">
        <v>276</v>
      </c>
      <c r="F11" s="2">
        <v>4</v>
      </c>
    </row>
    <row r="13" spans="1:12" x14ac:dyDescent="0.2">
      <c r="D13" s="22"/>
      <c r="E13" s="35" t="s">
        <v>277</v>
      </c>
      <c r="F13" s="3">
        <f>HLOOKUP(F10,D3:F10,F11,FALSE)</f>
        <v>100</v>
      </c>
      <c r="G13" s="8" t="s">
        <v>278</v>
      </c>
    </row>
    <row r="15" spans="1:12" ht="13.5" thickBot="1" x14ac:dyDescent="0.25">
      <c r="B15" s="9" t="s">
        <v>39</v>
      </c>
      <c r="C15" s="9"/>
      <c r="D15" s="9"/>
      <c r="E15" s="9"/>
      <c r="F15" s="9"/>
      <c r="G15" s="9"/>
      <c r="H15" s="9"/>
      <c r="I15" s="9"/>
      <c r="J15" s="9"/>
    </row>
    <row r="16" spans="1:12" x14ac:dyDescent="0.2">
      <c r="B16" t="s">
        <v>279</v>
      </c>
    </row>
    <row r="17" spans="2:10" x14ac:dyDescent="0.2">
      <c r="B17" t="s">
        <v>280</v>
      </c>
    </row>
    <row r="19" spans="2:10" ht="13.5" thickBot="1" x14ac:dyDescent="0.25">
      <c r="B19" s="9" t="s">
        <v>43</v>
      </c>
      <c r="C19" s="9"/>
      <c r="D19" s="9"/>
      <c r="E19" s="9"/>
      <c r="F19" s="9"/>
      <c r="G19" s="9"/>
      <c r="H19" s="9"/>
      <c r="I19" s="9"/>
      <c r="J19" s="9"/>
    </row>
    <row r="20" spans="2:10" x14ac:dyDescent="0.2">
      <c r="B20" s="10" t="s">
        <v>281</v>
      </c>
    </row>
    <row r="21" spans="2:10" x14ac:dyDescent="0.2">
      <c r="B21" t="s">
        <v>282</v>
      </c>
    </row>
    <row r="22" spans="2:10" x14ac:dyDescent="0.2">
      <c r="B22" t="s">
        <v>283</v>
      </c>
    </row>
    <row r="23" spans="2:10" x14ac:dyDescent="0.2">
      <c r="B23" t="s">
        <v>284</v>
      </c>
    </row>
    <row r="24" spans="2:10" x14ac:dyDescent="0.2">
      <c r="B24" t="s">
        <v>285</v>
      </c>
    </row>
    <row r="26" spans="2:10" ht="13.5" thickBot="1" x14ac:dyDescent="0.25">
      <c r="B26" s="9" t="s">
        <v>45</v>
      </c>
      <c r="C26" s="9"/>
      <c r="D26" s="9"/>
      <c r="E26" s="9"/>
      <c r="F26" s="9"/>
      <c r="G26" s="9"/>
      <c r="H26" s="9"/>
      <c r="I26" s="9"/>
      <c r="J26" s="9"/>
    </row>
    <row r="27" spans="2:10" x14ac:dyDescent="0.2">
      <c r="B27" t="s">
        <v>46</v>
      </c>
    </row>
    <row r="29" spans="2:10" ht="13.5" thickBot="1" x14ac:dyDescent="0.25">
      <c r="B29" s="9" t="s">
        <v>286</v>
      </c>
      <c r="C29" s="9"/>
      <c r="D29" s="9"/>
      <c r="E29" s="9"/>
      <c r="F29" s="9"/>
      <c r="G29" s="9"/>
      <c r="H29" s="9"/>
      <c r="I29" s="9"/>
      <c r="J29" s="9"/>
    </row>
    <row r="30" spans="2:10" x14ac:dyDescent="0.2">
      <c r="B30" t="s">
        <v>287</v>
      </c>
    </row>
    <row r="31" spans="2:10" x14ac:dyDescent="0.2">
      <c r="B31" t="s">
        <v>288</v>
      </c>
    </row>
    <row r="32" spans="2:10" x14ac:dyDescent="0.2">
      <c r="B32" t="s">
        <v>289</v>
      </c>
    </row>
    <row r="33" spans="2:6" x14ac:dyDescent="0.2">
      <c r="B33" t="s">
        <v>290</v>
      </c>
    </row>
    <row r="35" spans="2:6" x14ac:dyDescent="0.2">
      <c r="B35" t="s">
        <v>291</v>
      </c>
    </row>
    <row r="36" spans="2:6" x14ac:dyDescent="0.2">
      <c r="B36" t="s">
        <v>292</v>
      </c>
    </row>
    <row r="37" spans="2:6" x14ac:dyDescent="0.2">
      <c r="B37" t="s">
        <v>293</v>
      </c>
    </row>
    <row r="38" spans="2:6" x14ac:dyDescent="0.2">
      <c r="B38" t="s">
        <v>294</v>
      </c>
    </row>
    <row r="40" spans="2:6" x14ac:dyDescent="0.2">
      <c r="B40" t="s">
        <v>295</v>
      </c>
    </row>
    <row r="41" spans="2:6" x14ac:dyDescent="0.2">
      <c r="B41" t="s">
        <v>296</v>
      </c>
    </row>
    <row r="43" spans="2:6" x14ac:dyDescent="0.2">
      <c r="B43" t="s">
        <v>297</v>
      </c>
    </row>
    <row r="44" spans="2:6" x14ac:dyDescent="0.2">
      <c r="B44" t="s">
        <v>298</v>
      </c>
    </row>
    <row r="45" spans="2:6" x14ac:dyDescent="0.2">
      <c r="B45" t="s">
        <v>299</v>
      </c>
    </row>
    <row r="47" spans="2:6" x14ac:dyDescent="0.2">
      <c r="D47" s="5" t="s">
        <v>12</v>
      </c>
      <c r="E47" s="5" t="s">
        <v>13</v>
      </c>
      <c r="F47" s="5" t="s">
        <v>14</v>
      </c>
    </row>
    <row r="48" spans="2:6" x14ac:dyDescent="0.2">
      <c r="C48" s="5" t="s">
        <v>120</v>
      </c>
      <c r="D48" s="2">
        <v>10</v>
      </c>
      <c r="E48" s="2">
        <v>80</v>
      </c>
      <c r="F48" s="2">
        <v>97</v>
      </c>
    </row>
    <row r="49" spans="2:10" x14ac:dyDescent="0.2">
      <c r="C49" s="5" t="s">
        <v>300</v>
      </c>
      <c r="D49" s="2">
        <v>20</v>
      </c>
      <c r="E49" s="2">
        <v>90</v>
      </c>
      <c r="F49" s="2">
        <v>69</v>
      </c>
    </row>
    <row r="50" spans="2:10" x14ac:dyDescent="0.2">
      <c r="C50" s="5" t="s">
        <v>118</v>
      </c>
      <c r="D50" s="2">
        <v>30</v>
      </c>
      <c r="E50" s="2">
        <v>100</v>
      </c>
      <c r="F50" s="2">
        <v>45</v>
      </c>
    </row>
    <row r="51" spans="2:10" x14ac:dyDescent="0.2">
      <c r="C51" s="5" t="s">
        <v>121</v>
      </c>
      <c r="D51" s="2">
        <v>40</v>
      </c>
      <c r="E51" s="2">
        <v>110</v>
      </c>
      <c r="F51" s="2">
        <v>51</v>
      </c>
    </row>
    <row r="52" spans="2:10" x14ac:dyDescent="0.2">
      <c r="C52" s="5" t="s">
        <v>122</v>
      </c>
      <c r="D52" s="2">
        <v>50</v>
      </c>
      <c r="E52" s="2">
        <v>120</v>
      </c>
      <c r="F52" s="2">
        <v>77</v>
      </c>
    </row>
    <row r="54" spans="2:10" x14ac:dyDescent="0.2">
      <c r="B54" s="22"/>
      <c r="C54" s="24"/>
      <c r="D54" s="24"/>
      <c r="E54" s="35" t="s">
        <v>275</v>
      </c>
      <c r="F54" s="2" t="s">
        <v>301</v>
      </c>
    </row>
    <row r="55" spans="2:10" x14ac:dyDescent="0.2">
      <c r="B55" s="22"/>
      <c r="C55" s="24"/>
      <c r="D55" s="24"/>
      <c r="E55" s="35" t="s">
        <v>302</v>
      </c>
      <c r="F55" s="2" t="s">
        <v>303</v>
      </c>
    </row>
    <row r="57" spans="2:10" x14ac:dyDescent="0.2">
      <c r="D57" s="22"/>
      <c r="E57" s="35" t="s">
        <v>277</v>
      </c>
      <c r="F57" s="3">
        <f>HLOOKUP(F54,D47:F54,MATCH(F55,C48:C52,0)+1,FALSE)</f>
        <v>100</v>
      </c>
    </row>
    <row r="58" spans="2:10" x14ac:dyDescent="0.2">
      <c r="E58" s="8" t="s">
        <v>304</v>
      </c>
    </row>
    <row r="60" spans="2:10" ht="13.5" thickBot="1" x14ac:dyDescent="0.25">
      <c r="B60" s="9" t="s">
        <v>305</v>
      </c>
      <c r="C60" s="9"/>
      <c r="D60" s="9"/>
      <c r="E60" s="9"/>
      <c r="F60" s="9"/>
      <c r="G60" s="9"/>
      <c r="H60" s="9"/>
      <c r="I60" s="9"/>
      <c r="J60" s="9"/>
    </row>
    <row r="61" spans="2:10" x14ac:dyDescent="0.2">
      <c r="B61" t="s">
        <v>306</v>
      </c>
    </row>
    <row r="62" spans="2:10" x14ac:dyDescent="0.2">
      <c r="B62" t="s">
        <v>307</v>
      </c>
    </row>
    <row r="63" spans="2:10" x14ac:dyDescent="0.2">
      <c r="B63" t="s">
        <v>308</v>
      </c>
    </row>
    <row r="64" spans="2:10" x14ac:dyDescent="0.2">
      <c r="B64" t="s">
        <v>309</v>
      </c>
    </row>
    <row r="65" spans="2:9" x14ac:dyDescent="0.2">
      <c r="B65" t="s">
        <v>310</v>
      </c>
    </row>
    <row r="67" spans="2:9" x14ac:dyDescent="0.2">
      <c r="B67" t="s">
        <v>311</v>
      </c>
    </row>
    <row r="68" spans="2:9" x14ac:dyDescent="0.2">
      <c r="B68" t="s">
        <v>312</v>
      </c>
    </row>
    <row r="69" spans="2:9" x14ac:dyDescent="0.2">
      <c r="B69" t="s">
        <v>313</v>
      </c>
    </row>
    <row r="71" spans="2:9" ht="13.5" thickBot="1" x14ac:dyDescent="0.25">
      <c r="B71" s="36" t="s">
        <v>314</v>
      </c>
      <c r="C71" s="36" t="s">
        <v>315</v>
      </c>
      <c r="D71" s="36" t="s">
        <v>164</v>
      </c>
    </row>
    <row r="72" spans="2:9" ht="14.25" thickTop="1" thickBot="1" x14ac:dyDescent="0.25">
      <c r="B72" s="37" t="s">
        <v>233</v>
      </c>
      <c r="C72" s="38" t="s">
        <v>316</v>
      </c>
      <c r="D72" s="39">
        <f>HLOOKUP(B72,$G$72:$I$77,MATCH(C72,$F$73:$F$77,0)+1,FALSE)</f>
        <v>50</v>
      </c>
      <c r="G72" s="40" t="s">
        <v>233</v>
      </c>
      <c r="H72" s="41" t="s">
        <v>235</v>
      </c>
      <c r="I72" s="42" t="s">
        <v>317</v>
      </c>
    </row>
    <row r="73" spans="2:9" ht="13.5" thickTop="1" x14ac:dyDescent="0.2">
      <c r="B73" s="37" t="s">
        <v>317</v>
      </c>
      <c r="C73" s="38" t="s">
        <v>318</v>
      </c>
      <c r="D73" s="39">
        <f t="shared" ref="D73:D79" si="0">HLOOKUP(B73,$G$72:$I$77,MATCH(C73,$F$73:$F$77,0)+1,FALSE)</f>
        <v>600</v>
      </c>
      <c r="F73" s="43" t="s">
        <v>318</v>
      </c>
      <c r="G73" s="44">
        <v>500</v>
      </c>
      <c r="H73" s="2">
        <v>450</v>
      </c>
      <c r="I73" s="45">
        <v>600</v>
      </c>
    </row>
    <row r="74" spans="2:9" x14ac:dyDescent="0.2">
      <c r="B74" s="37" t="s">
        <v>235</v>
      </c>
      <c r="C74" s="38" t="s">
        <v>319</v>
      </c>
      <c r="D74" s="39">
        <f t="shared" si="0"/>
        <v>1200</v>
      </c>
      <c r="F74" s="46" t="s">
        <v>319</v>
      </c>
      <c r="G74" s="44">
        <v>1000</v>
      </c>
      <c r="H74" s="2">
        <v>1200</v>
      </c>
      <c r="I74" s="45">
        <v>800</v>
      </c>
    </row>
    <row r="75" spans="2:9" x14ac:dyDescent="0.2">
      <c r="B75" s="37" t="s">
        <v>317</v>
      </c>
      <c r="C75" s="38" t="s">
        <v>320</v>
      </c>
      <c r="D75" s="39">
        <f t="shared" si="0"/>
        <v>275</v>
      </c>
      <c r="F75" s="46" t="s">
        <v>320</v>
      </c>
      <c r="G75" s="44">
        <v>250</v>
      </c>
      <c r="H75" s="2">
        <v>350</v>
      </c>
      <c r="I75" s="45">
        <v>275</v>
      </c>
    </row>
    <row r="76" spans="2:9" x14ac:dyDescent="0.2">
      <c r="B76" s="37" t="s">
        <v>235</v>
      </c>
      <c r="C76" s="38" t="s">
        <v>316</v>
      </c>
      <c r="D76" s="39">
        <f t="shared" si="0"/>
        <v>70</v>
      </c>
      <c r="F76" s="46" t="s">
        <v>316</v>
      </c>
      <c r="G76" s="44">
        <v>50</v>
      </c>
      <c r="H76" s="2">
        <v>70</v>
      </c>
      <c r="I76" s="45">
        <v>45</v>
      </c>
    </row>
    <row r="77" spans="2:9" ht="13.5" thickBot="1" x14ac:dyDescent="0.25">
      <c r="B77" s="37" t="s">
        <v>235</v>
      </c>
      <c r="C77" s="38" t="s">
        <v>321</v>
      </c>
      <c r="D77" s="39">
        <f t="shared" si="0"/>
        <v>290</v>
      </c>
      <c r="F77" s="47" t="s">
        <v>321</v>
      </c>
      <c r="G77" s="48">
        <v>300</v>
      </c>
      <c r="H77" s="49">
        <v>290</v>
      </c>
      <c r="I77" s="50">
        <v>310</v>
      </c>
    </row>
    <row r="78" spans="2:9" ht="13.5" thickTop="1" x14ac:dyDescent="0.2">
      <c r="B78" s="37" t="s">
        <v>233</v>
      </c>
      <c r="C78" s="38" t="s">
        <v>318</v>
      </c>
      <c r="D78" s="39">
        <f t="shared" si="0"/>
        <v>500</v>
      </c>
    </row>
    <row r="79" spans="2:9" x14ac:dyDescent="0.2">
      <c r="B79" s="37" t="s">
        <v>235</v>
      </c>
      <c r="C79" s="38" t="s">
        <v>319</v>
      </c>
      <c r="D79" s="39">
        <f t="shared" si="0"/>
        <v>1200</v>
      </c>
    </row>
    <row r="80" spans="2:9" x14ac:dyDescent="0.2">
      <c r="D80" s="8" t="s">
        <v>322</v>
      </c>
    </row>
    <row r="83" spans="2:10" ht="13.5" thickBot="1" x14ac:dyDescent="0.25">
      <c r="B83" s="9" t="s">
        <v>323</v>
      </c>
      <c r="C83" s="9"/>
      <c r="D83" s="9"/>
      <c r="E83" s="9"/>
      <c r="F83" s="9"/>
      <c r="G83" s="9"/>
      <c r="H83" s="9"/>
      <c r="I83" s="9"/>
      <c r="J83" s="9"/>
    </row>
    <row r="84" spans="2:10" x14ac:dyDescent="0.2">
      <c r="B84" t="s">
        <v>324</v>
      </c>
    </row>
    <row r="85" spans="2:10" x14ac:dyDescent="0.2">
      <c r="B85" t="s">
        <v>325</v>
      </c>
    </row>
    <row r="86" spans="2:10" x14ac:dyDescent="0.2">
      <c r="B86" t="s">
        <v>326</v>
      </c>
    </row>
    <row r="87" spans="2:10" x14ac:dyDescent="0.2">
      <c r="B87" t="s">
        <v>327</v>
      </c>
    </row>
    <row r="89" spans="2:10" x14ac:dyDescent="0.2">
      <c r="B89" t="s">
        <v>328</v>
      </c>
    </row>
    <row r="90" spans="2:10" x14ac:dyDescent="0.2">
      <c r="B90" t="s">
        <v>329</v>
      </c>
    </row>
    <row r="92" spans="2:10" x14ac:dyDescent="0.2">
      <c r="B92" t="s">
        <v>330</v>
      </c>
    </row>
    <row r="93" spans="2:10" x14ac:dyDescent="0.2">
      <c r="B93" t="s">
        <v>331</v>
      </c>
    </row>
    <row r="94" spans="2:10" x14ac:dyDescent="0.2">
      <c r="B94" t="s">
        <v>332</v>
      </c>
    </row>
    <row r="95" spans="2:10" x14ac:dyDescent="0.2">
      <c r="B95" t="s">
        <v>333</v>
      </c>
    </row>
    <row r="96" spans="2:10" x14ac:dyDescent="0.2">
      <c r="B96" t="s">
        <v>334</v>
      </c>
    </row>
    <row r="97" spans="2:7" x14ac:dyDescent="0.2">
      <c r="B97" t="s">
        <v>335</v>
      </c>
    </row>
    <row r="99" spans="2:7" x14ac:dyDescent="0.2">
      <c r="B99" t="s">
        <v>336</v>
      </c>
    </row>
    <row r="100" spans="2:7" x14ac:dyDescent="0.2">
      <c r="B100" t="s">
        <v>337</v>
      </c>
    </row>
    <row r="101" spans="2:7" x14ac:dyDescent="0.2">
      <c r="B101" t="s">
        <v>338</v>
      </c>
    </row>
    <row r="102" spans="2:7" x14ac:dyDescent="0.2">
      <c r="B102" t="s">
        <v>339</v>
      </c>
    </row>
    <row r="103" spans="2:7" x14ac:dyDescent="0.2">
      <c r="B103" t="s">
        <v>340</v>
      </c>
    </row>
    <row r="104" spans="2:7" x14ac:dyDescent="0.2">
      <c r="B104" t="s">
        <v>341</v>
      </c>
    </row>
    <row r="105" spans="2:7" x14ac:dyDescent="0.2">
      <c r="B105" t="s">
        <v>342</v>
      </c>
    </row>
    <row r="106" spans="2:7" x14ac:dyDescent="0.2">
      <c r="B106" t="s">
        <v>343</v>
      </c>
    </row>
    <row r="107" spans="2:7" x14ac:dyDescent="0.2">
      <c r="B107" t="s">
        <v>344</v>
      </c>
    </row>
    <row r="108" spans="2:7" x14ac:dyDescent="0.2">
      <c r="B108" t="s">
        <v>345</v>
      </c>
    </row>
    <row r="110" spans="2:7" x14ac:dyDescent="0.2">
      <c r="E110" s="51" t="s">
        <v>346</v>
      </c>
      <c r="F110" s="51"/>
      <c r="G110" s="51"/>
    </row>
    <row r="111" spans="2:7" x14ac:dyDescent="0.2">
      <c r="E111" s="52" t="s">
        <v>347</v>
      </c>
      <c r="F111" s="52" t="s">
        <v>90</v>
      </c>
      <c r="G111" s="52" t="s">
        <v>91</v>
      </c>
    </row>
    <row r="112" spans="2:7" x14ac:dyDescent="0.2">
      <c r="E112" s="18">
        <v>2</v>
      </c>
      <c r="F112" s="18">
        <v>1</v>
      </c>
      <c r="G112" s="18">
        <v>3</v>
      </c>
    </row>
    <row r="114" spans="3:7" x14ac:dyDescent="0.2">
      <c r="E114" s="51" t="s">
        <v>348</v>
      </c>
      <c r="F114" s="51"/>
      <c r="G114" s="51"/>
    </row>
    <row r="115" spans="3:7" x14ac:dyDescent="0.2">
      <c r="E115" s="53">
        <v>1</v>
      </c>
      <c r="F115" s="53">
        <v>100</v>
      </c>
      <c r="G115" s="53">
        <v>300</v>
      </c>
    </row>
    <row r="116" spans="3:7" x14ac:dyDescent="0.2">
      <c r="D116" s="53" t="s">
        <v>347</v>
      </c>
      <c r="E116" s="54">
        <v>0</v>
      </c>
      <c r="F116" s="54">
        <v>0.06</v>
      </c>
      <c r="G116" s="54">
        <v>0.08</v>
      </c>
    </row>
    <row r="117" spans="3:7" x14ac:dyDescent="0.2">
      <c r="D117" s="53" t="s">
        <v>90</v>
      </c>
      <c r="E117" s="54">
        <v>0</v>
      </c>
      <c r="F117" s="54">
        <v>0.03</v>
      </c>
      <c r="G117" s="54">
        <v>0.05</v>
      </c>
    </row>
    <row r="118" spans="3:7" x14ac:dyDescent="0.2">
      <c r="D118" s="53" t="s">
        <v>91</v>
      </c>
      <c r="E118" s="54">
        <v>0</v>
      </c>
      <c r="F118" s="54">
        <v>0.12</v>
      </c>
      <c r="G118" s="54">
        <v>0.15</v>
      </c>
    </row>
    <row r="120" spans="3:7" x14ac:dyDescent="0.2">
      <c r="C120" s="51" t="s">
        <v>349</v>
      </c>
      <c r="D120" s="51"/>
      <c r="E120" s="51"/>
      <c r="F120" s="51"/>
      <c r="G120" s="51"/>
    </row>
    <row r="121" spans="3:7" x14ac:dyDescent="0.2">
      <c r="C121" s="5" t="s">
        <v>88</v>
      </c>
      <c r="D121" s="5" t="s">
        <v>350</v>
      </c>
      <c r="E121" s="5" t="s">
        <v>351</v>
      </c>
      <c r="F121" s="5" t="s">
        <v>352</v>
      </c>
      <c r="G121" s="5" t="s">
        <v>15</v>
      </c>
    </row>
    <row r="122" spans="3:7" x14ac:dyDescent="0.2">
      <c r="C122" s="2" t="s">
        <v>347</v>
      </c>
      <c r="D122" s="2">
        <v>100</v>
      </c>
      <c r="E122" s="55">
        <f t="shared" ref="E122:E127" si="1">HLOOKUP(C122,$E$111:$G$112,2,FALSE)</f>
        <v>2</v>
      </c>
      <c r="F122" s="56">
        <f t="shared" ref="F122:F127" si="2">HLOOKUP(D122,$E$115:$G$118,MATCH(C122,$D$116:$D$118,0)+1,TRUE)</f>
        <v>0.06</v>
      </c>
      <c r="G122" s="55">
        <f t="shared" ref="G122:G127" si="3">(D122*E122)-(D122*E122*F122)</f>
        <v>188</v>
      </c>
    </row>
    <row r="123" spans="3:7" x14ac:dyDescent="0.2">
      <c r="C123" s="2" t="s">
        <v>90</v>
      </c>
      <c r="D123" s="2">
        <v>200</v>
      </c>
      <c r="E123" s="55">
        <f t="shared" si="1"/>
        <v>1</v>
      </c>
      <c r="F123" s="56">
        <f t="shared" si="2"/>
        <v>0.03</v>
      </c>
      <c r="G123" s="55">
        <f t="shared" si="3"/>
        <v>194</v>
      </c>
    </row>
    <row r="124" spans="3:7" x14ac:dyDescent="0.2">
      <c r="C124" s="2" t="s">
        <v>91</v>
      </c>
      <c r="D124" s="2">
        <v>150</v>
      </c>
      <c r="E124" s="55">
        <f t="shared" si="1"/>
        <v>3</v>
      </c>
      <c r="F124" s="56">
        <f t="shared" si="2"/>
        <v>0.12</v>
      </c>
      <c r="G124" s="55">
        <f t="shared" si="3"/>
        <v>396</v>
      </c>
    </row>
    <row r="125" spans="3:7" x14ac:dyDescent="0.2">
      <c r="C125" s="2" t="s">
        <v>347</v>
      </c>
      <c r="D125" s="2">
        <v>225</v>
      </c>
      <c r="E125" s="55">
        <f t="shared" si="1"/>
        <v>2</v>
      </c>
      <c r="F125" s="56">
        <f t="shared" si="2"/>
        <v>0.06</v>
      </c>
      <c r="G125" s="55">
        <f t="shared" si="3"/>
        <v>423</v>
      </c>
    </row>
    <row r="126" spans="3:7" x14ac:dyDescent="0.2">
      <c r="C126" s="2" t="s">
        <v>90</v>
      </c>
      <c r="D126" s="2">
        <v>50</v>
      </c>
      <c r="E126" s="55">
        <f t="shared" si="1"/>
        <v>1</v>
      </c>
      <c r="F126" s="56">
        <f t="shared" si="2"/>
        <v>0</v>
      </c>
      <c r="G126" s="55">
        <f t="shared" si="3"/>
        <v>50</v>
      </c>
    </row>
    <row r="127" spans="3:7" x14ac:dyDescent="0.2">
      <c r="C127" s="2" t="s">
        <v>91</v>
      </c>
      <c r="D127" s="2">
        <v>500</v>
      </c>
      <c r="E127" s="55">
        <f t="shared" si="1"/>
        <v>3</v>
      </c>
      <c r="F127" s="56">
        <f t="shared" si="2"/>
        <v>0.15</v>
      </c>
      <c r="G127" s="55">
        <f t="shared" si="3"/>
        <v>1275</v>
      </c>
    </row>
    <row r="129" spans="3:4" x14ac:dyDescent="0.2">
      <c r="C129" t="s">
        <v>351</v>
      </c>
      <c r="D129" s="26" t="s">
        <v>353</v>
      </c>
    </row>
    <row r="131" spans="3:4" x14ac:dyDescent="0.2">
      <c r="C131" t="s">
        <v>352</v>
      </c>
      <c r="D131" s="26" t="s">
        <v>354</v>
      </c>
    </row>
  </sheetData>
  <hyperlinks>
    <hyperlink ref="L6" r:id="rId1" xr:uid="{00000000-0004-0000-0D00-000000000000}"/>
  </hyperlinks>
  <printOptions headings="1" gridLines="1"/>
  <pageMargins left="0.74803149606299213" right="0.74803149606299213" top="0.98425196850393704" bottom="0.98425196850393704" header="0.51181102362204722" footer="0.51181102362204722"/>
  <pageSetup paperSize="9" scale="98" fitToHeight="5" orientation="portrait" r:id="rId2"/>
  <headerFooter alignWithMargins="0">
    <oddHeader>&amp;LExcel Function Dictionary
© 1998 - 2000 Peter Noneley&amp;R&amp;A
Page &amp;P of &amp;N</oddHeader>
  </headerFooter>
  <rowBreaks count="3" manualBreakCount="3">
    <brk id="28" max="65535" man="1"/>
    <brk id="59" max="65535" man="1"/>
    <brk id="82" max="65535" man="1"/>
  </rowBreaks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3" r:id="rId5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4" r:id="rId6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5" r:id="rId7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80">
    <tabColor rgb="FF00B050"/>
    <pageSetUpPr fitToPage="1"/>
  </sheetPr>
  <dimension ref="A1:K38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K5" sqref="K5:K6"/>
    </sheetView>
  </sheetViews>
  <sheetFormatPr defaultRowHeight="12.75" x14ac:dyDescent="0.2"/>
  <cols>
    <col min="1" max="1" width="2.7109375" customWidth="1"/>
    <col min="5" max="5" width="16.140625" customWidth="1"/>
  </cols>
  <sheetData>
    <row r="1" spans="1:11" ht="18.75" thickBot="1" x14ac:dyDescent="0.3">
      <c r="A1" s="1" t="s">
        <v>355</v>
      </c>
      <c r="B1" s="1"/>
      <c r="C1" s="1"/>
      <c r="D1" s="1"/>
      <c r="E1" s="1"/>
      <c r="F1" s="1"/>
      <c r="G1" s="1"/>
      <c r="H1" s="1"/>
      <c r="I1" s="1"/>
    </row>
    <row r="2" spans="1:11" ht="13.5" thickTop="1" x14ac:dyDescent="0.2"/>
    <row r="3" spans="1:11" x14ac:dyDescent="0.2">
      <c r="C3" s="5" t="s">
        <v>356</v>
      </c>
      <c r="E3" s="57" t="s">
        <v>357</v>
      </c>
      <c r="F3" s="3">
        <f>LARGE(C4:C8,1)</f>
        <v>800</v>
      </c>
      <c r="G3" s="8" t="s">
        <v>358</v>
      </c>
    </row>
    <row r="4" spans="1:11" x14ac:dyDescent="0.2">
      <c r="C4" s="2">
        <v>120</v>
      </c>
      <c r="E4" s="57" t="s">
        <v>359</v>
      </c>
      <c r="F4" s="3">
        <f>LARGE(C4:C8,2)</f>
        <v>250</v>
      </c>
      <c r="G4" s="8" t="s">
        <v>360</v>
      </c>
    </row>
    <row r="5" spans="1:11" x14ac:dyDescent="0.2">
      <c r="C5" s="2">
        <v>800</v>
      </c>
      <c r="E5" s="57" t="s">
        <v>361</v>
      </c>
      <c r="F5" s="3">
        <f>LARGE(C4:C8,3)</f>
        <v>120</v>
      </c>
      <c r="G5" s="8" t="s">
        <v>362</v>
      </c>
      <c r="K5" s="535" t="s">
        <v>4120</v>
      </c>
    </row>
    <row r="6" spans="1:11" ht="15" x14ac:dyDescent="0.2">
      <c r="C6" s="2">
        <v>100</v>
      </c>
      <c r="E6" s="57" t="s">
        <v>363</v>
      </c>
      <c r="F6" s="3">
        <f>LARGE(C4:C8,4)</f>
        <v>120</v>
      </c>
      <c r="G6" s="8" t="s">
        <v>364</v>
      </c>
      <c r="K6" s="534" t="s">
        <v>4119</v>
      </c>
    </row>
    <row r="7" spans="1:11" x14ac:dyDescent="0.2">
      <c r="C7" s="2">
        <v>120</v>
      </c>
      <c r="E7" s="57" t="s">
        <v>365</v>
      </c>
      <c r="F7" s="3">
        <f>LARGE(C4:C8,5)</f>
        <v>100</v>
      </c>
      <c r="G7" s="8" t="s">
        <v>366</v>
      </c>
    </row>
    <row r="8" spans="1:11" x14ac:dyDescent="0.2">
      <c r="C8" s="2">
        <v>250</v>
      </c>
    </row>
    <row r="10" spans="1:11" ht="13.5" thickBot="1" x14ac:dyDescent="0.25">
      <c r="B10" s="9" t="s">
        <v>39</v>
      </c>
      <c r="C10" s="9"/>
      <c r="D10" s="9"/>
      <c r="E10" s="9"/>
      <c r="F10" s="9"/>
      <c r="G10" s="9"/>
      <c r="H10" s="9"/>
      <c r="I10" s="9"/>
    </row>
    <row r="11" spans="1:11" x14ac:dyDescent="0.2">
      <c r="B11" t="s">
        <v>367</v>
      </c>
    </row>
    <row r="12" spans="1:11" x14ac:dyDescent="0.2">
      <c r="B12" t="s">
        <v>368</v>
      </c>
    </row>
    <row r="14" spans="1:11" ht="13.5" thickBot="1" x14ac:dyDescent="0.25">
      <c r="B14" s="9" t="s">
        <v>43</v>
      </c>
      <c r="C14" s="9"/>
      <c r="D14" s="9"/>
      <c r="E14" s="9"/>
      <c r="F14" s="9"/>
      <c r="G14" s="9"/>
      <c r="H14" s="9"/>
      <c r="I14" s="9"/>
    </row>
    <row r="15" spans="1:11" x14ac:dyDescent="0.2">
      <c r="B15" s="10" t="s">
        <v>369</v>
      </c>
    </row>
    <row r="17" spans="2:9" ht="13.5" thickBot="1" x14ac:dyDescent="0.25">
      <c r="B17" s="9" t="s">
        <v>45</v>
      </c>
      <c r="C17" s="9"/>
      <c r="D17" s="9"/>
      <c r="E17" s="9"/>
      <c r="F17" s="9"/>
      <c r="G17" s="9"/>
      <c r="H17" s="9"/>
      <c r="I17" s="9"/>
    </row>
    <row r="18" spans="2:9" x14ac:dyDescent="0.2">
      <c r="B18" t="s">
        <v>46</v>
      </c>
    </row>
    <row r="20" spans="2:9" ht="13.5" thickBot="1" x14ac:dyDescent="0.25">
      <c r="B20" s="9" t="s">
        <v>85</v>
      </c>
      <c r="C20" s="9"/>
      <c r="D20" s="9"/>
      <c r="E20" s="9"/>
      <c r="F20" s="9"/>
      <c r="G20" s="9"/>
      <c r="H20" s="9"/>
      <c r="I20" s="9"/>
    </row>
    <row r="21" spans="2:9" x14ac:dyDescent="0.2">
      <c r="B21" t="s">
        <v>370</v>
      </c>
    </row>
    <row r="23" spans="2:9" x14ac:dyDescent="0.2">
      <c r="C23" s="5" t="s">
        <v>371</v>
      </c>
      <c r="D23" s="5" t="s">
        <v>12</v>
      </c>
      <c r="E23" s="5" t="s">
        <v>13</v>
      </c>
      <c r="F23" s="5" t="s">
        <v>14</v>
      </c>
    </row>
    <row r="24" spans="2:9" x14ac:dyDescent="0.2">
      <c r="C24" s="5" t="s">
        <v>16</v>
      </c>
      <c r="D24" s="18">
        <v>5000</v>
      </c>
      <c r="E24" s="18">
        <v>6000</v>
      </c>
      <c r="F24" s="18">
        <v>4500</v>
      </c>
    </row>
    <row r="25" spans="2:9" x14ac:dyDescent="0.2">
      <c r="C25" s="5" t="s">
        <v>17</v>
      </c>
      <c r="D25" s="18">
        <v>5800</v>
      </c>
      <c r="E25" s="18">
        <v>7000</v>
      </c>
      <c r="F25" s="18">
        <v>3000</v>
      </c>
    </row>
    <row r="26" spans="2:9" x14ac:dyDescent="0.2">
      <c r="C26" s="5" t="s">
        <v>18</v>
      </c>
      <c r="D26" s="18">
        <v>3500</v>
      </c>
      <c r="E26" s="18">
        <v>2000</v>
      </c>
      <c r="F26" s="18">
        <v>10000</v>
      </c>
    </row>
    <row r="27" spans="2:9" x14ac:dyDescent="0.2">
      <c r="C27" s="5" t="s">
        <v>19</v>
      </c>
      <c r="D27" s="18">
        <v>12000</v>
      </c>
      <c r="E27" s="18">
        <v>4000</v>
      </c>
      <c r="F27" s="18">
        <v>6000</v>
      </c>
    </row>
    <row r="29" spans="2:9" x14ac:dyDescent="0.2">
      <c r="C29" s="22"/>
      <c r="D29" s="23" t="s">
        <v>357</v>
      </c>
      <c r="E29" s="55">
        <f>LARGE(D24:F27,1)</f>
        <v>12000</v>
      </c>
      <c r="F29" s="8" t="s">
        <v>372</v>
      </c>
    </row>
    <row r="30" spans="2:9" x14ac:dyDescent="0.2">
      <c r="C30" s="22"/>
      <c r="D30" s="23" t="s">
        <v>359</v>
      </c>
      <c r="E30" s="55">
        <f>LARGE(D24:F27,2)</f>
        <v>10000</v>
      </c>
      <c r="F30" s="8" t="s">
        <v>373</v>
      </c>
    </row>
    <row r="31" spans="2:9" x14ac:dyDescent="0.2">
      <c r="C31" s="22"/>
      <c r="D31" s="23" t="s">
        <v>361</v>
      </c>
      <c r="E31" s="55">
        <f>LARGE(D24:F27,3)</f>
        <v>7000</v>
      </c>
      <c r="F31" s="8" t="s">
        <v>374</v>
      </c>
    </row>
    <row r="33" spans="2:9" ht="13.5" thickBot="1" x14ac:dyDescent="0.25">
      <c r="B33" s="9" t="s">
        <v>47</v>
      </c>
      <c r="C33" s="9"/>
      <c r="D33" s="9"/>
      <c r="E33" s="9"/>
      <c r="F33" s="9"/>
      <c r="G33" s="9"/>
      <c r="H33" s="9"/>
      <c r="I33" s="9"/>
    </row>
    <row r="34" spans="2:9" x14ac:dyDescent="0.2">
      <c r="B34" t="s">
        <v>375</v>
      </c>
    </row>
    <row r="35" spans="2:9" x14ac:dyDescent="0.2">
      <c r="B35" t="s">
        <v>376</v>
      </c>
    </row>
    <row r="37" spans="2:9" x14ac:dyDescent="0.2">
      <c r="D37" s="5" t="s">
        <v>377</v>
      </c>
      <c r="E37" s="55">
        <f>MAX(D24:F27)</f>
        <v>12000</v>
      </c>
      <c r="F37" s="8" t="s">
        <v>378</v>
      </c>
    </row>
    <row r="38" spans="2:9" x14ac:dyDescent="0.2">
      <c r="D38" s="5" t="s">
        <v>379</v>
      </c>
      <c r="E38" s="55">
        <f>MIN(D24:F27)</f>
        <v>2000</v>
      </c>
      <c r="F38" s="8" t="s">
        <v>380</v>
      </c>
    </row>
  </sheetData>
  <hyperlinks>
    <hyperlink ref="K6" r:id="rId1" xr:uid="{00000000-0004-0000-0E00-000000000000}"/>
  </hyperlinks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2"/>
  <headerFooter alignWithMargins="0">
    <oddHeader>&amp;LExcel Function Dictionary
© 1998 - 2000 Peter Noneley&amp;R&amp;A
Page &amp;P of &amp;N</oddHead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37" r:id="rId5" name="Button 1">
              <controlPr defaultSize="0" print="0" autoFill="0" autoLine="0" autoPict="0">
                <anchor>
                  <from>
                    <xdr:col>7</xdr:col>
                    <xdr:colOff>514350</xdr:colOff>
                    <xdr:row>0</xdr:row>
                    <xdr:rowOff>38100</xdr:rowOff>
                  </from>
                  <to>
                    <xdr:col>8</xdr:col>
                    <xdr:colOff>381000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8" r:id="rId6" name="Button 2">
              <controlPr defaultSize="0" print="0" autoFill="0" autoLine="0" autoPict="0">
                <anchor>
                  <from>
                    <xdr:col>8</xdr:col>
                    <xdr:colOff>447675</xdr:colOff>
                    <xdr:row>0</xdr:row>
                    <xdr:rowOff>38100</xdr:rowOff>
                  </from>
                  <to>
                    <xdr:col>9</xdr:col>
                    <xdr:colOff>47625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9" r:id="rId7" name="Button 3">
              <controlPr defaultSize="0" print="0" autoFill="0" autoLine="0" autoPict="0">
                <anchor>
                  <from>
                    <xdr:col>7</xdr:col>
                    <xdr:colOff>238125</xdr:colOff>
                    <xdr:row>0</xdr:row>
                    <xdr:rowOff>38100</xdr:rowOff>
                  </from>
                  <to>
                    <xdr:col>7</xdr:col>
                    <xdr:colOff>447675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82">
    <tabColor rgb="FF00B050"/>
    <pageSetUpPr fitToPage="1"/>
  </sheetPr>
  <dimension ref="A1:K29"/>
  <sheetViews>
    <sheetView showGridLines="0" workbookViewId="0">
      <pane ySplit="1" topLeftCell="A11" activePane="bottomLeft" state="frozen"/>
      <selection activeCell="F30" activeCellId="4" sqref="F16 K30 G30 P30 F30"/>
      <selection pane="bottomLeft" activeCell="K14" sqref="K14:K15"/>
    </sheetView>
  </sheetViews>
  <sheetFormatPr defaultRowHeight="12.75" x14ac:dyDescent="0.2"/>
  <cols>
    <col min="1" max="1" width="2.5703125" customWidth="1"/>
    <col min="3" max="3" width="13" customWidth="1"/>
    <col min="4" max="4" width="11" customWidth="1"/>
    <col min="9" max="9" width="12" customWidth="1"/>
  </cols>
  <sheetData>
    <row r="1" spans="1:11" ht="18.75" thickBot="1" x14ac:dyDescent="0.3">
      <c r="A1" s="1" t="s">
        <v>381</v>
      </c>
      <c r="B1" s="1"/>
      <c r="C1" s="1"/>
      <c r="D1" s="1"/>
      <c r="E1" s="1"/>
      <c r="F1" s="58"/>
      <c r="G1" s="1"/>
      <c r="H1" s="1"/>
      <c r="I1" s="1"/>
    </row>
    <row r="2" spans="1:11" ht="13.5" thickTop="1" x14ac:dyDescent="0.2"/>
    <row r="3" spans="1:11" ht="38.25" x14ac:dyDescent="0.2">
      <c r="C3" s="59" t="s">
        <v>240</v>
      </c>
      <c r="D3" s="60" t="s">
        <v>382</v>
      </c>
      <c r="E3" s="59" t="s">
        <v>383</v>
      </c>
    </row>
    <row r="4" spans="1:11" x14ac:dyDescent="0.2">
      <c r="C4" s="2" t="s">
        <v>384</v>
      </c>
      <c r="D4" s="2">
        <v>1</v>
      </c>
      <c r="E4" s="3" t="str">
        <f>LEFT(C4,D4)</f>
        <v>A</v>
      </c>
      <c r="F4" s="8" t="s">
        <v>385</v>
      </c>
    </row>
    <row r="5" spans="1:11" x14ac:dyDescent="0.2">
      <c r="C5" s="2" t="s">
        <v>384</v>
      </c>
      <c r="D5" s="2">
        <v>2</v>
      </c>
      <c r="E5" s="3" t="str">
        <f>LEFT(C5,D5)</f>
        <v>Al</v>
      </c>
      <c r="F5" s="8" t="s">
        <v>386</v>
      </c>
    </row>
    <row r="6" spans="1:11" x14ac:dyDescent="0.2">
      <c r="C6" s="2" t="s">
        <v>384</v>
      </c>
      <c r="D6" s="2">
        <v>3</v>
      </c>
      <c r="E6" s="3" t="str">
        <f>LEFT(C6,D6)</f>
        <v>Ala</v>
      </c>
      <c r="F6" s="8" t="s">
        <v>387</v>
      </c>
    </row>
    <row r="7" spans="1:11" x14ac:dyDescent="0.2">
      <c r="C7" s="2" t="s">
        <v>388</v>
      </c>
      <c r="D7" s="2">
        <v>6</v>
      </c>
      <c r="E7" s="3" t="str">
        <f>LEFT(C7,D7)</f>
        <v>Cardif</v>
      </c>
      <c r="F7" s="8" t="s">
        <v>389</v>
      </c>
    </row>
    <row r="8" spans="1:11" x14ac:dyDescent="0.2">
      <c r="C8" s="2" t="s">
        <v>390</v>
      </c>
      <c r="D8" s="2">
        <v>4</v>
      </c>
      <c r="E8" s="3" t="str">
        <f>LEFT(C8,D8)</f>
        <v>ABC1</v>
      </c>
      <c r="F8" s="8" t="s">
        <v>391</v>
      </c>
    </row>
    <row r="10" spans="1:11" ht="13.5" thickBot="1" x14ac:dyDescent="0.25">
      <c r="B10" s="9" t="s">
        <v>39</v>
      </c>
      <c r="C10" s="9"/>
      <c r="D10" s="9"/>
      <c r="E10" s="9"/>
      <c r="F10" s="9"/>
      <c r="G10" s="9"/>
      <c r="H10" s="9"/>
      <c r="I10" s="9"/>
    </row>
    <row r="11" spans="1:11" x14ac:dyDescent="0.2">
      <c r="B11" t="s">
        <v>392</v>
      </c>
    </row>
    <row r="12" spans="1:11" x14ac:dyDescent="0.2">
      <c r="B12" t="s">
        <v>393</v>
      </c>
    </row>
    <row r="14" spans="1:11" ht="13.5" thickBot="1" x14ac:dyDescent="0.25">
      <c r="B14" s="9" t="s">
        <v>43</v>
      </c>
      <c r="C14" s="9"/>
      <c r="D14" s="9"/>
      <c r="E14" s="9"/>
      <c r="F14" s="9"/>
      <c r="G14" s="9"/>
      <c r="H14" s="9"/>
      <c r="I14" s="9"/>
      <c r="K14" s="535" t="s">
        <v>4120</v>
      </c>
    </row>
    <row r="15" spans="1:11" ht="15" x14ac:dyDescent="0.2">
      <c r="B15" s="10" t="s">
        <v>394</v>
      </c>
      <c r="K15" s="534" t="s">
        <v>4119</v>
      </c>
    </row>
    <row r="17" spans="2:9" ht="13.5" thickBot="1" x14ac:dyDescent="0.25">
      <c r="B17" s="9" t="s">
        <v>45</v>
      </c>
      <c r="C17" s="9"/>
      <c r="D17" s="9"/>
      <c r="E17" s="9"/>
      <c r="F17" s="9"/>
      <c r="G17" s="9"/>
      <c r="H17" s="9"/>
      <c r="I17" s="9"/>
    </row>
    <row r="18" spans="2:9" x14ac:dyDescent="0.2">
      <c r="B18" t="s">
        <v>46</v>
      </c>
    </row>
    <row r="20" spans="2:9" ht="13.5" thickBot="1" x14ac:dyDescent="0.25">
      <c r="B20" s="9" t="s">
        <v>85</v>
      </c>
      <c r="C20" s="9"/>
      <c r="D20" s="9"/>
      <c r="E20" s="9"/>
      <c r="F20" s="9"/>
      <c r="G20" s="9"/>
      <c r="H20" s="9"/>
      <c r="I20" s="9"/>
    </row>
    <row r="21" spans="2:9" x14ac:dyDescent="0.2">
      <c r="B21" t="s">
        <v>395</v>
      </c>
    </row>
    <row r="22" spans="2:9" x14ac:dyDescent="0.2">
      <c r="B22" t="s">
        <v>396</v>
      </c>
    </row>
    <row r="23" spans="2:9" x14ac:dyDescent="0.2">
      <c r="B23" t="s">
        <v>397</v>
      </c>
    </row>
    <row r="24" spans="2:9" x14ac:dyDescent="0.2">
      <c r="B24" t="s">
        <v>398</v>
      </c>
    </row>
    <row r="26" spans="2:9" x14ac:dyDescent="0.2">
      <c r="C26" s="59" t="s">
        <v>399</v>
      </c>
      <c r="D26" s="59" t="s">
        <v>400</v>
      </c>
    </row>
    <row r="27" spans="2:9" x14ac:dyDescent="0.2">
      <c r="C27" s="2" t="s">
        <v>384</v>
      </c>
      <c r="D27" s="3" t="str">
        <f>LEFT(C27,FIND(" ",C27)-1)</f>
        <v>Alan</v>
      </c>
      <c r="E27" s="8" t="s">
        <v>401</v>
      </c>
    </row>
    <row r="28" spans="2:9" x14ac:dyDescent="0.2">
      <c r="C28" s="2" t="s">
        <v>402</v>
      </c>
      <c r="D28" s="3" t="str">
        <f>LEFT(C28,FIND(" ",C28)-1)</f>
        <v>Bob</v>
      </c>
      <c r="E28" s="8" t="s">
        <v>403</v>
      </c>
    </row>
    <row r="29" spans="2:9" x14ac:dyDescent="0.2">
      <c r="C29" s="2" t="s">
        <v>404</v>
      </c>
      <c r="D29" s="3" t="str">
        <f>LEFT(C29,FIND(" ",C29)-1)</f>
        <v>Carol</v>
      </c>
      <c r="E29" s="8" t="s">
        <v>405</v>
      </c>
    </row>
  </sheetData>
  <hyperlinks>
    <hyperlink ref="K15" r:id="rId1" xr:uid="{00000000-0004-0000-0F00-000000000000}"/>
  </hyperlinks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2"/>
  <headerFooter alignWithMargins="0">
    <oddHeader>&amp;LExcel Function Dictionary
© 1998 - 2000 Peter Noneley&amp;R&amp;A
Page &amp;P of &amp;N</oddHead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1" r:id="rId5" name="Button 1">
              <controlPr defaultSize="0" print="0" autoFill="0" autoLine="0" autoPict="0">
                <anchor>
                  <from>
                    <xdr:col>8</xdr:col>
                    <xdr:colOff>19050</xdr:colOff>
                    <xdr:row>0</xdr:row>
                    <xdr:rowOff>38100</xdr:rowOff>
                  </from>
                  <to>
                    <xdr:col>8</xdr:col>
                    <xdr:colOff>485775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2" r:id="rId6" name="Button 2">
              <controlPr defaultSize="0" print="0" autoFill="0" autoLine="0" autoPict="0">
                <anchor>
                  <from>
                    <xdr:col>8</xdr:col>
                    <xdr:colOff>552450</xdr:colOff>
                    <xdr:row>0</xdr:row>
                    <xdr:rowOff>38100</xdr:rowOff>
                  </from>
                  <to>
                    <xdr:col>8</xdr:col>
                    <xdr:colOff>752475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3" r:id="rId7" name="Button 3">
              <controlPr defaultSize="0" print="0" autoFill="0" autoLine="0" autoPict="0">
                <anchor>
                  <from>
                    <xdr:col>7</xdr:col>
                    <xdr:colOff>361950</xdr:colOff>
                    <xdr:row>0</xdr:row>
                    <xdr:rowOff>38100</xdr:rowOff>
                  </from>
                  <to>
                    <xdr:col>7</xdr:col>
                    <xdr:colOff>561975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86">
    <tabColor rgb="FF00B050"/>
    <pageSetUpPr fitToPage="1"/>
  </sheetPr>
  <dimension ref="A1:H23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B22" sqref="B22:B23"/>
    </sheetView>
  </sheetViews>
  <sheetFormatPr defaultRowHeight="12.75" x14ac:dyDescent="0.2"/>
  <cols>
    <col min="1" max="1" width="2.7109375" customWidth="1"/>
    <col min="3" max="3" width="16.7109375" customWidth="1"/>
    <col min="4" max="4" width="13.85546875" customWidth="1"/>
    <col min="8" max="8" width="14.42578125" customWidth="1"/>
  </cols>
  <sheetData>
    <row r="1" spans="1:8" ht="18.75" thickBot="1" x14ac:dyDescent="0.3">
      <c r="A1" s="1" t="s">
        <v>406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C3" s="5" t="s">
        <v>407</v>
      </c>
      <c r="D3" s="5" t="s">
        <v>408</v>
      </c>
    </row>
    <row r="4" spans="1:8" x14ac:dyDescent="0.2">
      <c r="C4" s="2" t="s">
        <v>409</v>
      </c>
      <c r="D4" s="3" t="str">
        <f>LOWER(C4)</f>
        <v>alan jones</v>
      </c>
      <c r="E4" s="8" t="s">
        <v>410</v>
      </c>
    </row>
    <row r="5" spans="1:8" x14ac:dyDescent="0.2">
      <c r="C5" s="2" t="s">
        <v>411</v>
      </c>
      <c r="D5" s="3" t="str">
        <f>LOWER(C5)</f>
        <v>bob smith</v>
      </c>
      <c r="E5" s="8" t="s">
        <v>412</v>
      </c>
    </row>
    <row r="6" spans="1:8" x14ac:dyDescent="0.2">
      <c r="C6" s="2" t="s">
        <v>413</v>
      </c>
      <c r="D6" s="3" t="str">
        <f>LOWER(C6)</f>
        <v>carol williams</v>
      </c>
      <c r="E6" s="8" t="s">
        <v>414</v>
      </c>
    </row>
    <row r="7" spans="1:8" x14ac:dyDescent="0.2">
      <c r="C7" s="2" t="s">
        <v>415</v>
      </c>
      <c r="D7" s="3" t="str">
        <f>LOWER(C7)</f>
        <v>cardiff</v>
      </c>
      <c r="E7" s="8" t="s">
        <v>416</v>
      </c>
    </row>
    <row r="8" spans="1:8" x14ac:dyDescent="0.2">
      <c r="C8" s="2" t="s">
        <v>390</v>
      </c>
      <c r="D8" s="3" t="str">
        <f>LOWER(C8)</f>
        <v>abc123</v>
      </c>
      <c r="E8" s="8" t="s">
        <v>417</v>
      </c>
    </row>
    <row r="10" spans="1:8" ht="13.5" thickBot="1" x14ac:dyDescent="0.25">
      <c r="B10" s="9" t="s">
        <v>39</v>
      </c>
      <c r="C10" s="9"/>
      <c r="D10" s="9"/>
      <c r="E10" s="9"/>
      <c r="F10" s="9"/>
      <c r="G10" s="9"/>
      <c r="H10" s="9"/>
    </row>
    <row r="11" spans="1:8" x14ac:dyDescent="0.2">
      <c r="B11" t="s">
        <v>418</v>
      </c>
    </row>
    <row r="13" spans="1:8" ht="13.5" thickBot="1" x14ac:dyDescent="0.25">
      <c r="B13" s="9" t="s">
        <v>43</v>
      </c>
      <c r="C13" s="9"/>
      <c r="D13" s="9"/>
      <c r="E13" s="9"/>
      <c r="F13" s="9"/>
      <c r="G13" s="9"/>
      <c r="H13" s="9"/>
    </row>
    <row r="14" spans="1:8" x14ac:dyDescent="0.2">
      <c r="B14" s="10" t="s">
        <v>419</v>
      </c>
    </row>
    <row r="16" spans="1:8" ht="13.5" thickBot="1" x14ac:dyDescent="0.25">
      <c r="B16" s="9" t="s">
        <v>45</v>
      </c>
      <c r="C16" s="9"/>
      <c r="D16" s="9"/>
      <c r="E16" s="9"/>
      <c r="F16" s="9"/>
      <c r="G16" s="9"/>
      <c r="H16" s="9"/>
    </row>
    <row r="17" spans="2:2" x14ac:dyDescent="0.2">
      <c r="B17" t="s">
        <v>46</v>
      </c>
    </row>
    <row r="22" spans="2:2" x14ac:dyDescent="0.2">
      <c r="B22" s="535" t="s">
        <v>4120</v>
      </c>
    </row>
    <row r="23" spans="2:2" ht="15" x14ac:dyDescent="0.2">
      <c r="B23" s="534" t="s">
        <v>4119</v>
      </c>
    </row>
  </sheetData>
  <hyperlinks>
    <hyperlink ref="B23" r:id="rId1" xr:uid="{00000000-0004-0000-1000-000000000000}"/>
  </hyperlinks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2"/>
  <headerFooter alignWithMargins="0">
    <oddHeader>&amp;LExcel Function Dictionary
© 1998 - 2000 Peter Noneley&amp;R&amp;A
Page &amp;P of &amp;N</oddHead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5" name="Button 1">
              <controlPr defaultSize="0" print="0" autoFill="0" autoLine="0" autoPict="0">
                <anchor>
                  <from>
                    <xdr:col>7</xdr:col>
                    <xdr:colOff>123825</xdr:colOff>
                    <xdr:row>0</xdr:row>
                    <xdr:rowOff>38100</xdr:rowOff>
                  </from>
                  <to>
                    <xdr:col>7</xdr:col>
                    <xdr:colOff>590550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6" r:id="rId6" name="Button 2">
              <controlPr defaultSize="0" print="0" autoFill="0" autoLine="0" autoPict="0">
                <anchor>
                  <from>
                    <xdr:col>7</xdr:col>
                    <xdr:colOff>657225</xdr:colOff>
                    <xdr:row>0</xdr:row>
                    <xdr:rowOff>38100</xdr:rowOff>
                  </from>
                  <to>
                    <xdr:col>7</xdr:col>
                    <xdr:colOff>857250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7" r:id="rId7" name="Button 3">
              <controlPr defaultSize="0" print="0" autoFill="0" autoLine="0" autoPict="0">
                <anchor>
                  <from>
                    <xdr:col>6</xdr:col>
                    <xdr:colOff>466725</xdr:colOff>
                    <xdr:row>0</xdr:row>
                    <xdr:rowOff>38100</xdr:rowOff>
                  </from>
                  <to>
                    <xdr:col>7</xdr:col>
                    <xdr:colOff>57150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88">
    <tabColor rgb="FF00B050"/>
    <pageSetUpPr fitToPage="1"/>
  </sheetPr>
  <dimension ref="A1:I37"/>
  <sheetViews>
    <sheetView showGridLines="0" workbookViewId="0">
      <pane ySplit="1" topLeftCell="A23" activePane="bottomLeft" state="frozen"/>
      <selection activeCell="F30" activeCellId="4" sqref="F16 K30 G30 P30 F30"/>
      <selection pane="bottomLeft" activeCell="B36" sqref="B36:B37"/>
    </sheetView>
  </sheetViews>
  <sheetFormatPr defaultRowHeight="12.75" x14ac:dyDescent="0.2"/>
  <cols>
    <col min="1" max="1" width="2.7109375" customWidth="1"/>
    <col min="2" max="2" width="10.140625" customWidth="1"/>
    <col min="3" max="6" width="9.28515625" customWidth="1"/>
    <col min="7" max="7" width="10.85546875" customWidth="1"/>
    <col min="8" max="8" width="10.5703125" customWidth="1"/>
    <col min="9" max="9" width="12.85546875" customWidth="1"/>
    <col min="10" max="10" width="6.5703125" customWidth="1"/>
  </cols>
  <sheetData>
    <row r="1" spans="1:9" ht="18.75" thickBot="1" x14ac:dyDescent="0.3">
      <c r="A1" s="1" t="s">
        <v>420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5" t="s">
        <v>356</v>
      </c>
      <c r="H3" s="5" t="s">
        <v>421</v>
      </c>
    </row>
    <row r="4" spans="1:9" x14ac:dyDescent="0.2">
      <c r="C4" s="2">
        <v>120</v>
      </c>
      <c r="D4" s="2">
        <v>800</v>
      </c>
      <c r="E4" s="2">
        <v>100</v>
      </c>
      <c r="F4" s="2">
        <v>120</v>
      </c>
      <c r="G4" s="2">
        <v>250</v>
      </c>
      <c r="H4" s="3">
        <f>MAX(C4:G4)</f>
        <v>800</v>
      </c>
      <c r="I4" s="8" t="s">
        <v>422</v>
      </c>
    </row>
    <row r="6" spans="1:9" x14ac:dyDescent="0.2">
      <c r="C6" s="5" t="s">
        <v>423</v>
      </c>
      <c r="H6" s="5" t="s">
        <v>421</v>
      </c>
    </row>
    <row r="7" spans="1:9" x14ac:dyDescent="0.2">
      <c r="C7" s="16">
        <v>35796</v>
      </c>
      <c r="D7" s="16">
        <v>36154</v>
      </c>
      <c r="E7" s="16">
        <v>35885</v>
      </c>
      <c r="F7" s="16">
        <v>36156</v>
      </c>
      <c r="G7" s="16">
        <v>35980</v>
      </c>
      <c r="H7" s="61">
        <f>MAX(C7:G7)</f>
        <v>36156</v>
      </c>
      <c r="I7" s="8" t="s">
        <v>424</v>
      </c>
    </row>
    <row r="9" spans="1:9" ht="13.5" thickBot="1" x14ac:dyDescent="0.25">
      <c r="B9" s="9" t="s">
        <v>39</v>
      </c>
      <c r="C9" s="9"/>
      <c r="D9" s="9"/>
      <c r="E9" s="9"/>
      <c r="F9" s="9"/>
      <c r="G9" s="9"/>
      <c r="H9" s="9"/>
      <c r="I9" s="9"/>
    </row>
    <row r="10" spans="1:9" x14ac:dyDescent="0.2">
      <c r="B10" t="s">
        <v>425</v>
      </c>
    </row>
    <row r="12" spans="1:9" ht="13.5" thickBot="1" x14ac:dyDescent="0.25">
      <c r="B12" s="9" t="s">
        <v>43</v>
      </c>
      <c r="C12" s="9"/>
      <c r="D12" s="9"/>
      <c r="E12" s="9"/>
      <c r="F12" s="9"/>
      <c r="G12" s="9"/>
      <c r="H12" s="9"/>
      <c r="I12" s="9"/>
    </row>
    <row r="13" spans="1:9" x14ac:dyDescent="0.2">
      <c r="B13" s="10" t="s">
        <v>426</v>
      </c>
    </row>
    <row r="15" spans="1:9" ht="13.5" thickBot="1" x14ac:dyDescent="0.25">
      <c r="B15" s="9" t="s">
        <v>45</v>
      </c>
      <c r="C15" s="9"/>
      <c r="D15" s="9"/>
      <c r="E15" s="9"/>
      <c r="F15" s="9"/>
      <c r="G15" s="9"/>
      <c r="H15" s="9"/>
      <c r="I15" s="9"/>
    </row>
    <row r="16" spans="1:9" x14ac:dyDescent="0.2">
      <c r="B16" t="s">
        <v>46</v>
      </c>
    </row>
    <row r="18" spans="2:9" ht="13.5" thickBot="1" x14ac:dyDescent="0.25">
      <c r="B18" s="9" t="s">
        <v>85</v>
      </c>
      <c r="C18" s="9"/>
      <c r="D18" s="9"/>
      <c r="E18" s="9"/>
      <c r="F18" s="9"/>
      <c r="G18" s="9"/>
      <c r="H18" s="9"/>
      <c r="I18" s="9"/>
    </row>
    <row r="19" spans="2:9" x14ac:dyDescent="0.2">
      <c r="B19" t="s">
        <v>427</v>
      </c>
    </row>
    <row r="20" spans="2:9" x14ac:dyDescent="0.2">
      <c r="B20" t="s">
        <v>428</v>
      </c>
    </row>
    <row r="22" spans="2:9" x14ac:dyDescent="0.2">
      <c r="B22" s="5" t="s">
        <v>371</v>
      </c>
      <c r="C22" s="5" t="s">
        <v>12</v>
      </c>
      <c r="D22" s="5" t="s">
        <v>13</v>
      </c>
      <c r="E22" s="5" t="s">
        <v>14</v>
      </c>
      <c r="G22" s="5" t="s">
        <v>429</v>
      </c>
    </row>
    <row r="23" spans="2:9" x14ac:dyDescent="0.2">
      <c r="B23" s="5" t="s">
        <v>16</v>
      </c>
      <c r="C23" s="18">
        <v>5000</v>
      </c>
      <c r="D23" s="18">
        <v>6000</v>
      </c>
      <c r="E23" s="18">
        <v>4500</v>
      </c>
      <c r="G23" s="55">
        <f>MAX(C23:E23)</f>
        <v>6000</v>
      </c>
      <c r="H23" s="8" t="s">
        <v>430</v>
      </c>
    </row>
    <row r="24" spans="2:9" x14ac:dyDescent="0.2">
      <c r="B24" s="5" t="s">
        <v>17</v>
      </c>
      <c r="C24" s="18">
        <v>5800</v>
      </c>
      <c r="D24" s="18">
        <v>7000</v>
      </c>
      <c r="E24" s="18">
        <v>3000</v>
      </c>
      <c r="G24" s="55">
        <f>MAX(C24:E24)</f>
        <v>7000</v>
      </c>
    </row>
    <row r="25" spans="2:9" x14ac:dyDescent="0.2">
      <c r="B25" s="5" t="s">
        <v>18</v>
      </c>
      <c r="C25" s="18">
        <v>3500</v>
      </c>
      <c r="D25" s="18">
        <v>2000</v>
      </c>
      <c r="E25" s="18">
        <v>10000</v>
      </c>
      <c r="G25" s="55">
        <f>MAX(C25:E25)</f>
        <v>10000</v>
      </c>
    </row>
    <row r="26" spans="2:9" x14ac:dyDescent="0.2">
      <c r="B26" s="5" t="s">
        <v>19</v>
      </c>
      <c r="C26" s="18">
        <v>12000</v>
      </c>
      <c r="D26" s="18">
        <v>4000</v>
      </c>
      <c r="E26" s="18">
        <v>6000</v>
      </c>
      <c r="G26" s="55">
        <f>MAX(C26:E26)</f>
        <v>12000</v>
      </c>
    </row>
    <row r="28" spans="2:9" x14ac:dyDescent="0.2">
      <c r="B28" s="7" t="s">
        <v>431</v>
      </c>
      <c r="C28" s="55">
        <f>MAX(C23:C26)</f>
        <v>12000</v>
      </c>
      <c r="D28" s="55">
        <f>MAX(D23:D26)</f>
        <v>7000</v>
      </c>
      <c r="E28" s="55">
        <f>MAX(E23:E26)</f>
        <v>10000</v>
      </c>
    </row>
    <row r="29" spans="2:9" x14ac:dyDescent="0.2">
      <c r="E29" s="19" t="s">
        <v>432</v>
      </c>
    </row>
    <row r="30" spans="2:9" x14ac:dyDescent="0.2">
      <c r="B30" s="7" t="s">
        <v>433</v>
      </c>
      <c r="C30" s="55">
        <f>MAX(C23:E26)</f>
        <v>12000</v>
      </c>
    </row>
    <row r="31" spans="2:9" x14ac:dyDescent="0.2">
      <c r="C31" s="19" t="s">
        <v>434</v>
      </c>
    </row>
    <row r="36" spans="2:2" x14ac:dyDescent="0.2">
      <c r="B36" s="535" t="s">
        <v>4120</v>
      </c>
    </row>
    <row r="37" spans="2:2" ht="15" x14ac:dyDescent="0.2">
      <c r="B37" s="534" t="s">
        <v>4119</v>
      </c>
    </row>
  </sheetData>
  <hyperlinks>
    <hyperlink ref="B37" r:id="rId1" xr:uid="{00000000-0004-0000-1100-000000000000}"/>
  </hyperlinks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2"/>
  <headerFooter alignWithMargins="0">
    <oddHeader>&amp;LExcel Function Dictionary
© 1998 - 2000 Peter Noneley&amp;R&amp;A
Page &amp;P of &amp;N</oddHead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9" r:id="rId5" name="Button 1">
              <controlPr defaultSize="0" print="0" autoFill="0" autoLine="0" autoPict="0">
                <anchor>
                  <from>
                    <xdr:col>7</xdr:col>
                    <xdr:colOff>647700</xdr:colOff>
                    <xdr:row>0</xdr:row>
                    <xdr:rowOff>38100</xdr:rowOff>
                  </from>
                  <to>
                    <xdr:col>8</xdr:col>
                    <xdr:colOff>409575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0" r:id="rId6" name="Button 2">
              <controlPr defaultSize="0" print="0" autoFill="0" autoLine="0" autoPict="0">
                <anchor>
                  <from>
                    <xdr:col>8</xdr:col>
                    <xdr:colOff>476250</xdr:colOff>
                    <xdr:row>0</xdr:row>
                    <xdr:rowOff>38100</xdr:rowOff>
                  </from>
                  <to>
                    <xdr:col>8</xdr:col>
                    <xdr:colOff>676275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1" r:id="rId7" name="Button 3">
              <controlPr defaultSize="0" print="0" autoFill="0" autoLine="0" autoPict="0">
                <anchor>
                  <from>
                    <xdr:col>7</xdr:col>
                    <xdr:colOff>381000</xdr:colOff>
                    <xdr:row>0</xdr:row>
                    <xdr:rowOff>38100</xdr:rowOff>
                  </from>
                  <to>
                    <xdr:col>7</xdr:col>
                    <xdr:colOff>581025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89">
    <tabColor rgb="FF00B050"/>
    <pageSetUpPr fitToPage="1"/>
  </sheetPr>
  <dimension ref="A1:J33"/>
  <sheetViews>
    <sheetView showGridLines="0" workbookViewId="0">
      <pane ySplit="1" topLeftCell="A20" activePane="bottomLeft" state="frozen"/>
      <selection activeCell="F30" activeCellId="4" sqref="F16 K30 G30 P30 F30"/>
      <selection pane="bottomLeft" activeCell="B32" sqref="B32:B33"/>
    </sheetView>
  </sheetViews>
  <sheetFormatPr defaultRowHeight="12.75" x14ac:dyDescent="0.2"/>
  <cols>
    <col min="1" max="1" width="2.7109375" customWidth="1"/>
    <col min="3" max="7" width="7.7109375" customWidth="1"/>
    <col min="10" max="10" width="15.42578125" customWidth="1"/>
  </cols>
  <sheetData>
    <row r="1" spans="1:10" ht="18.75" thickBot="1" x14ac:dyDescent="0.3">
      <c r="A1" s="1" t="s">
        <v>435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>
      <c r="C2" s="62"/>
    </row>
    <row r="3" spans="1:10" x14ac:dyDescent="0.2">
      <c r="C3" s="5" t="s">
        <v>436</v>
      </c>
      <c r="D3" s="5" t="s">
        <v>437</v>
      </c>
      <c r="E3" s="5" t="s">
        <v>438</v>
      </c>
      <c r="F3" s="5" t="s">
        <v>439</v>
      </c>
      <c r="G3" s="5" t="s">
        <v>440</v>
      </c>
      <c r="H3" s="5" t="s">
        <v>441</v>
      </c>
    </row>
    <row r="4" spans="1:10" x14ac:dyDescent="0.2">
      <c r="C4" s="2">
        <v>20</v>
      </c>
      <c r="D4" s="2">
        <v>50</v>
      </c>
      <c r="E4" s="2">
        <v>10</v>
      </c>
      <c r="F4" s="2">
        <v>30</v>
      </c>
      <c r="G4" s="2">
        <v>40</v>
      </c>
      <c r="H4" s="3">
        <f>MEDIAN(C4:G4)</f>
        <v>30</v>
      </c>
      <c r="I4" s="8" t="s">
        <v>442</v>
      </c>
    </row>
    <row r="6" spans="1:10" x14ac:dyDescent="0.2">
      <c r="C6" s="2">
        <v>2000</v>
      </c>
      <c r="D6" s="2">
        <v>1000</v>
      </c>
      <c r="E6" s="2">
        <v>10</v>
      </c>
      <c r="F6" s="2">
        <v>20</v>
      </c>
      <c r="G6" s="2">
        <v>8000</v>
      </c>
      <c r="H6" s="3">
        <f>MEDIAN(C6:G6)</f>
        <v>1000</v>
      </c>
      <c r="I6" s="8" t="s">
        <v>443</v>
      </c>
    </row>
    <row r="8" spans="1:10" x14ac:dyDescent="0.2">
      <c r="C8" s="2">
        <v>10</v>
      </c>
      <c r="D8" s="2">
        <v>20</v>
      </c>
      <c r="E8" s="2">
        <v>40</v>
      </c>
      <c r="F8" s="2">
        <v>40</v>
      </c>
      <c r="G8" s="2">
        <v>40</v>
      </c>
      <c r="H8" s="3">
        <f>MEDIAN(C8:G8)</f>
        <v>40</v>
      </c>
      <c r="I8" s="8" t="s">
        <v>444</v>
      </c>
    </row>
    <row r="10" spans="1:10" x14ac:dyDescent="0.2">
      <c r="C10" s="5" t="s">
        <v>436</v>
      </c>
      <c r="D10" s="5" t="s">
        <v>437</v>
      </c>
      <c r="E10" s="5" t="s">
        <v>438</v>
      </c>
      <c r="F10" s="5" t="s">
        <v>439</v>
      </c>
      <c r="H10" s="5" t="s">
        <v>441</v>
      </c>
    </row>
    <row r="11" spans="1:10" x14ac:dyDescent="0.2">
      <c r="C11" s="2">
        <v>20</v>
      </c>
      <c r="D11" s="2">
        <v>40</v>
      </c>
      <c r="E11" s="2">
        <v>30</v>
      </c>
      <c r="F11" s="2">
        <v>10</v>
      </c>
      <c r="H11" s="3">
        <f>MEDIAN(C11:F11)</f>
        <v>25</v>
      </c>
      <c r="I11" s="8" t="s">
        <v>445</v>
      </c>
    </row>
    <row r="13" spans="1:10" x14ac:dyDescent="0.2">
      <c r="C13" s="2">
        <v>20</v>
      </c>
      <c r="D13" s="2">
        <v>20</v>
      </c>
      <c r="E13" s="2">
        <v>40</v>
      </c>
      <c r="F13" s="2">
        <v>20</v>
      </c>
      <c r="H13" s="3">
        <f>MEDIAN(C13:F13)</f>
        <v>20</v>
      </c>
      <c r="I13" s="8" t="s">
        <v>446</v>
      </c>
    </row>
    <row r="15" spans="1:10" ht="13.5" thickBot="1" x14ac:dyDescent="0.25">
      <c r="B15" s="9" t="s">
        <v>39</v>
      </c>
      <c r="C15" s="9"/>
      <c r="D15" s="9"/>
      <c r="E15" s="9"/>
      <c r="F15" s="9"/>
      <c r="G15" s="9"/>
      <c r="H15" s="9"/>
      <c r="I15" s="9"/>
      <c r="J15" s="9"/>
    </row>
    <row r="16" spans="1:10" x14ac:dyDescent="0.2">
      <c r="B16" t="s">
        <v>447</v>
      </c>
    </row>
    <row r="17" spans="2:10" x14ac:dyDescent="0.2">
      <c r="B17" t="s">
        <v>448</v>
      </c>
    </row>
    <row r="18" spans="2:10" x14ac:dyDescent="0.2">
      <c r="B18" t="s">
        <v>449</v>
      </c>
    </row>
    <row r="19" spans="2:10" x14ac:dyDescent="0.2">
      <c r="B19" t="s">
        <v>450</v>
      </c>
    </row>
    <row r="20" spans="2:10" x14ac:dyDescent="0.2">
      <c r="B20" t="s">
        <v>451</v>
      </c>
    </row>
    <row r="22" spans="2:10" ht="13.5" thickBot="1" x14ac:dyDescent="0.25">
      <c r="B22" s="9" t="s">
        <v>43</v>
      </c>
      <c r="C22" s="9"/>
      <c r="D22" s="9"/>
      <c r="E22" s="9"/>
      <c r="F22" s="9"/>
      <c r="G22" s="9"/>
      <c r="H22" s="9"/>
      <c r="I22" s="9"/>
      <c r="J22" s="9"/>
    </row>
    <row r="23" spans="2:10" x14ac:dyDescent="0.2">
      <c r="B23" s="10" t="s">
        <v>452</v>
      </c>
    </row>
    <row r="25" spans="2:10" ht="13.5" thickBot="1" x14ac:dyDescent="0.25">
      <c r="B25" s="9" t="s">
        <v>45</v>
      </c>
      <c r="C25" s="9"/>
      <c r="D25" s="9"/>
      <c r="E25" s="9"/>
      <c r="F25" s="9"/>
      <c r="G25" s="9"/>
      <c r="H25" s="9"/>
      <c r="I25" s="9"/>
      <c r="J25" s="9"/>
    </row>
    <row r="26" spans="2:10" x14ac:dyDescent="0.2">
      <c r="B26" t="s">
        <v>46</v>
      </c>
    </row>
    <row r="32" spans="2:10" x14ac:dyDescent="0.2">
      <c r="B32" s="535" t="s">
        <v>4120</v>
      </c>
    </row>
    <row r="33" spans="2:2" ht="15" x14ac:dyDescent="0.2">
      <c r="B33" s="534" t="s">
        <v>4119</v>
      </c>
    </row>
  </sheetData>
  <hyperlinks>
    <hyperlink ref="B33" r:id="rId1" xr:uid="{00000000-0004-0000-1200-000000000000}"/>
  </hyperlinks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2"/>
  <headerFooter alignWithMargins="0">
    <oddHeader>&amp;LExcel Function Dictionary
© 1998 - 2000 Peter Noneley&amp;R&amp;A
Page &amp;P of &amp;N</oddHead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3" r:id="rId5" name="Button 1">
              <controlPr defaultSize="0" print="0" autoFill="0" autoLine="0" autoPict="0">
                <anchor>
                  <from>
                    <xdr:col>9</xdr:col>
                    <xdr:colOff>200025</xdr:colOff>
                    <xdr:row>0</xdr:row>
                    <xdr:rowOff>38100</xdr:rowOff>
                  </from>
                  <to>
                    <xdr:col>9</xdr:col>
                    <xdr:colOff>666750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4" r:id="rId6" name="Button 2">
              <controlPr defaultSize="0" print="0" autoFill="0" autoLine="0" autoPict="0">
                <anchor>
                  <from>
                    <xdr:col>9</xdr:col>
                    <xdr:colOff>733425</xdr:colOff>
                    <xdr:row>0</xdr:row>
                    <xdr:rowOff>38100</xdr:rowOff>
                  </from>
                  <to>
                    <xdr:col>9</xdr:col>
                    <xdr:colOff>933450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5" r:id="rId7" name="Button 3">
              <controlPr defaultSize="0" print="0" autoFill="0" autoLine="0" autoPict="0">
                <anchor>
                  <from>
                    <xdr:col>8</xdr:col>
                    <xdr:colOff>542925</xdr:colOff>
                    <xdr:row>0</xdr:row>
                    <xdr:rowOff>38100</xdr:rowOff>
                  </from>
                  <to>
                    <xdr:col>9</xdr:col>
                    <xdr:colOff>133350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91">
    <tabColor rgb="FF00B050"/>
    <pageSetUpPr fitToPage="1"/>
  </sheetPr>
  <dimension ref="A1:I39"/>
  <sheetViews>
    <sheetView showGridLines="0" workbookViewId="0">
      <pane ySplit="1" topLeftCell="A17" activePane="bottomLeft" state="frozen"/>
      <selection activeCell="F30" activeCellId="4" sqref="F16 K30 G30 P30 F30"/>
      <selection pane="bottomLeft" activeCell="C47" sqref="C47"/>
    </sheetView>
  </sheetViews>
  <sheetFormatPr defaultRowHeight="12.75" x14ac:dyDescent="0.2"/>
  <cols>
    <col min="1" max="1" width="2.7109375" customWidth="1"/>
    <col min="2" max="2" width="10.140625" customWidth="1"/>
    <col min="3" max="6" width="9.28515625" customWidth="1"/>
    <col min="7" max="7" width="10.85546875" customWidth="1"/>
    <col min="8" max="8" width="10.5703125" customWidth="1"/>
    <col min="9" max="9" width="12.85546875" customWidth="1"/>
    <col min="10" max="10" width="6.5703125" customWidth="1"/>
  </cols>
  <sheetData>
    <row r="1" spans="1:9" ht="18.75" thickBot="1" x14ac:dyDescent="0.3">
      <c r="A1" s="1" t="s">
        <v>453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5" t="s">
        <v>356</v>
      </c>
      <c r="H3" s="5" t="s">
        <v>454</v>
      </c>
    </row>
    <row r="4" spans="1:9" x14ac:dyDescent="0.2">
      <c r="C4" s="2">
        <v>120</v>
      </c>
      <c r="D4" s="2">
        <v>800</v>
      </c>
      <c r="E4" s="2">
        <v>100</v>
      </c>
      <c r="F4" s="2">
        <v>120</v>
      </c>
      <c r="G4" s="2">
        <v>250</v>
      </c>
      <c r="H4" s="3">
        <f>MIN(C4:G4)</f>
        <v>100</v>
      </c>
      <c r="I4" s="8" t="s">
        <v>455</v>
      </c>
    </row>
    <row r="6" spans="1:9" x14ac:dyDescent="0.2">
      <c r="C6" s="5" t="s">
        <v>423</v>
      </c>
      <c r="H6" s="5" t="s">
        <v>421</v>
      </c>
    </row>
    <row r="7" spans="1:9" x14ac:dyDescent="0.2">
      <c r="C7" s="16">
        <v>35796</v>
      </c>
      <c r="D7" s="16">
        <v>36154</v>
      </c>
      <c r="E7" s="16">
        <v>35885</v>
      </c>
      <c r="F7" s="16">
        <v>36156</v>
      </c>
      <c r="G7" s="16">
        <v>35980</v>
      </c>
      <c r="H7" s="61">
        <f>MIN(C7:G7)</f>
        <v>35796</v>
      </c>
      <c r="I7" s="8" t="s">
        <v>456</v>
      </c>
    </row>
    <row r="9" spans="1:9" ht="13.5" thickBot="1" x14ac:dyDescent="0.25">
      <c r="B9" s="9" t="s">
        <v>39</v>
      </c>
      <c r="C9" s="9"/>
      <c r="D9" s="9"/>
      <c r="E9" s="9"/>
      <c r="F9" s="9"/>
      <c r="G9" s="9"/>
      <c r="H9" s="9"/>
      <c r="I9" s="9"/>
    </row>
    <row r="10" spans="1:9" x14ac:dyDescent="0.2">
      <c r="B10" t="s">
        <v>457</v>
      </c>
    </row>
    <row r="12" spans="1:9" ht="13.5" thickBot="1" x14ac:dyDescent="0.25">
      <c r="B12" s="9" t="s">
        <v>43</v>
      </c>
      <c r="C12" s="9"/>
      <c r="D12" s="9"/>
      <c r="E12" s="9"/>
      <c r="F12" s="9"/>
      <c r="G12" s="9"/>
      <c r="H12" s="9"/>
      <c r="I12" s="9"/>
    </row>
    <row r="13" spans="1:9" x14ac:dyDescent="0.2">
      <c r="B13" s="10" t="s">
        <v>458</v>
      </c>
    </row>
    <row r="15" spans="1:9" ht="13.5" thickBot="1" x14ac:dyDescent="0.25">
      <c r="B15" s="9" t="s">
        <v>45</v>
      </c>
      <c r="C15" s="9"/>
      <c r="D15" s="9"/>
      <c r="E15" s="9"/>
      <c r="F15" s="9"/>
      <c r="G15" s="9"/>
      <c r="H15" s="9"/>
      <c r="I15" s="9"/>
    </row>
    <row r="16" spans="1:9" x14ac:dyDescent="0.2">
      <c r="B16" t="s">
        <v>46</v>
      </c>
    </row>
    <row r="18" spans="2:9" ht="13.5" thickBot="1" x14ac:dyDescent="0.25">
      <c r="B18" s="9" t="s">
        <v>85</v>
      </c>
      <c r="C18" s="9"/>
      <c r="D18" s="9"/>
      <c r="E18" s="9"/>
      <c r="F18" s="9"/>
      <c r="G18" s="9"/>
      <c r="H18" s="9"/>
      <c r="I18" s="9"/>
    </row>
    <row r="19" spans="2:9" x14ac:dyDescent="0.2">
      <c r="B19" t="s">
        <v>459</v>
      </c>
    </row>
    <row r="20" spans="2:9" x14ac:dyDescent="0.2">
      <c r="B20" t="s">
        <v>428</v>
      </c>
    </row>
    <row r="22" spans="2:9" x14ac:dyDescent="0.2">
      <c r="B22" s="5" t="s">
        <v>371</v>
      </c>
      <c r="C22" s="5" t="s">
        <v>12</v>
      </c>
      <c r="D22" s="5" t="s">
        <v>13</v>
      </c>
      <c r="E22" s="5" t="s">
        <v>14</v>
      </c>
      <c r="G22" s="5" t="s">
        <v>460</v>
      </c>
    </row>
    <row r="23" spans="2:9" x14ac:dyDescent="0.2">
      <c r="B23" s="5" t="s">
        <v>16</v>
      </c>
      <c r="C23" s="18">
        <v>5000</v>
      </c>
      <c r="D23" s="18">
        <v>6000</v>
      </c>
      <c r="E23" s="18">
        <v>4500</v>
      </c>
      <c r="G23" s="55">
        <f>MIN(C23:E23)</f>
        <v>4500</v>
      </c>
      <c r="H23" s="8" t="s">
        <v>461</v>
      </c>
    </row>
    <row r="24" spans="2:9" x14ac:dyDescent="0.2">
      <c r="B24" s="5" t="s">
        <v>17</v>
      </c>
      <c r="C24" s="18">
        <v>5800</v>
      </c>
      <c r="D24" s="18">
        <v>7000</v>
      </c>
      <c r="E24" s="18">
        <v>3000</v>
      </c>
      <c r="G24" s="55">
        <f>MIN(C24:E24)</f>
        <v>3000</v>
      </c>
    </row>
    <row r="25" spans="2:9" x14ac:dyDescent="0.2">
      <c r="B25" s="5" t="s">
        <v>18</v>
      </c>
      <c r="C25" s="18">
        <v>3500</v>
      </c>
      <c r="D25" s="18">
        <v>2000</v>
      </c>
      <c r="E25" s="18">
        <v>10000</v>
      </c>
      <c r="G25" s="55">
        <f>MIN(C25:E25)</f>
        <v>2000</v>
      </c>
    </row>
    <row r="26" spans="2:9" x14ac:dyDescent="0.2">
      <c r="B26" s="5" t="s">
        <v>19</v>
      </c>
      <c r="C26" s="18">
        <v>12000</v>
      </c>
      <c r="D26" s="18">
        <v>4000</v>
      </c>
      <c r="E26" s="18">
        <v>6000</v>
      </c>
      <c r="G26" s="55">
        <f>MIN(C26:E26)</f>
        <v>4000</v>
      </c>
    </row>
    <row r="28" spans="2:9" x14ac:dyDescent="0.2">
      <c r="B28" s="7" t="s">
        <v>462</v>
      </c>
      <c r="C28" s="55">
        <f>MIN(C23:C26)</f>
        <v>3500</v>
      </c>
      <c r="D28" s="55">
        <f>MIN(D23:D26)</f>
        <v>2000</v>
      </c>
      <c r="E28" s="55">
        <f>MIN(E23:E26)</f>
        <v>3000</v>
      </c>
    </row>
    <row r="29" spans="2:9" x14ac:dyDescent="0.2">
      <c r="E29" s="19" t="s">
        <v>463</v>
      </c>
    </row>
    <row r="30" spans="2:9" x14ac:dyDescent="0.2">
      <c r="B30" s="7" t="s">
        <v>464</v>
      </c>
      <c r="C30" s="55">
        <f>MIN(C23:E26)</f>
        <v>2000</v>
      </c>
    </row>
    <row r="31" spans="2:9" x14ac:dyDescent="0.2">
      <c r="C31" s="19" t="s">
        <v>465</v>
      </c>
    </row>
    <row r="38" spans="2:2" x14ac:dyDescent="0.2">
      <c r="B38" s="535" t="s">
        <v>4120</v>
      </c>
    </row>
    <row r="39" spans="2:2" ht="15" x14ac:dyDescent="0.2">
      <c r="B39" s="534" t="s">
        <v>4119</v>
      </c>
    </row>
  </sheetData>
  <hyperlinks>
    <hyperlink ref="B39" r:id="rId1" xr:uid="{00000000-0004-0000-1300-000000000000}"/>
  </hyperlinks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2"/>
  <headerFooter alignWithMargins="0">
    <oddHeader>&amp;LExcel Function Dictionary
© 1998 - 2000 Peter Noneley&amp;R&amp;A
Page &amp;P of &amp;N</oddHead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7" r:id="rId5" name="Button 1">
              <controlPr defaultSize="0" print="0" autoFill="0" autoLine="0" autoPict="0">
                <anchor>
                  <from>
                    <xdr:col>7</xdr:col>
                    <xdr:colOff>647700</xdr:colOff>
                    <xdr:row>0</xdr:row>
                    <xdr:rowOff>38100</xdr:rowOff>
                  </from>
                  <to>
                    <xdr:col>8</xdr:col>
                    <xdr:colOff>409575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8" r:id="rId6" name="Button 2">
              <controlPr defaultSize="0" print="0" autoFill="0" autoLine="0" autoPict="0">
                <anchor>
                  <from>
                    <xdr:col>8</xdr:col>
                    <xdr:colOff>476250</xdr:colOff>
                    <xdr:row>0</xdr:row>
                    <xdr:rowOff>38100</xdr:rowOff>
                  </from>
                  <to>
                    <xdr:col>8</xdr:col>
                    <xdr:colOff>676275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9" r:id="rId7" name="Button 3">
              <controlPr defaultSize="0" print="0" autoFill="0" autoLine="0" autoPict="0">
                <anchor>
                  <from>
                    <xdr:col>7</xdr:col>
                    <xdr:colOff>381000</xdr:colOff>
                    <xdr:row>0</xdr:row>
                    <xdr:rowOff>38100</xdr:rowOff>
                  </from>
                  <to>
                    <xdr:col>7</xdr:col>
                    <xdr:colOff>581025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98">
    <tabColor rgb="FF00B050"/>
    <pageSetUpPr fitToPage="1"/>
  </sheetPr>
  <dimension ref="A1:J17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10" max="10" width="8.5703125" customWidth="1"/>
  </cols>
  <sheetData>
    <row r="1" spans="1:10" ht="18.75" thickBot="1" x14ac:dyDescent="0.3">
      <c r="A1" s="1" t="s">
        <v>466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ht="25.5" x14ac:dyDescent="0.2">
      <c r="C3" s="5" t="s">
        <v>467</v>
      </c>
      <c r="D3" s="5" t="s">
        <v>468</v>
      </c>
      <c r="E3" s="21" t="s">
        <v>469</v>
      </c>
    </row>
    <row r="4" spans="1:10" x14ac:dyDescent="0.2">
      <c r="C4" s="2">
        <v>110</v>
      </c>
      <c r="D4" s="2">
        <v>50</v>
      </c>
      <c r="E4" s="3">
        <f>MROUND(C4,D4)</f>
        <v>100</v>
      </c>
      <c r="F4" s="8" t="s">
        <v>470</v>
      </c>
    </row>
    <row r="5" spans="1:10" x14ac:dyDescent="0.2">
      <c r="C5" s="2">
        <v>120</v>
      </c>
      <c r="D5" s="2">
        <v>50</v>
      </c>
      <c r="E5" s="3">
        <f>MROUND(C5,D5)</f>
        <v>100</v>
      </c>
      <c r="F5" s="8" t="s">
        <v>471</v>
      </c>
    </row>
    <row r="6" spans="1:10" x14ac:dyDescent="0.2">
      <c r="C6" s="2">
        <v>150</v>
      </c>
      <c r="D6" s="2">
        <v>50</v>
      </c>
      <c r="E6" s="3">
        <f>MROUND(C6,D6)</f>
        <v>150</v>
      </c>
      <c r="F6" s="8" t="s">
        <v>472</v>
      </c>
    </row>
    <row r="7" spans="1:10" x14ac:dyDescent="0.2">
      <c r="C7" s="2">
        <v>160</v>
      </c>
      <c r="D7" s="2">
        <v>50</v>
      </c>
      <c r="E7" s="3">
        <f>MROUND(C7,D7)</f>
        <v>150</v>
      </c>
      <c r="F7" s="8" t="s">
        <v>473</v>
      </c>
    </row>
    <row r="8" spans="1:10" x14ac:dyDescent="0.2">
      <c r="C8" s="2">
        <v>170</v>
      </c>
      <c r="D8" s="2">
        <v>50</v>
      </c>
      <c r="E8" s="3">
        <f>MROUND(C8,D8)</f>
        <v>150</v>
      </c>
      <c r="F8" s="8" t="s">
        <v>474</v>
      </c>
    </row>
    <row r="10" spans="1:10" ht="13.5" thickBot="1" x14ac:dyDescent="0.25">
      <c r="B10" s="9" t="s">
        <v>39</v>
      </c>
      <c r="C10" s="9"/>
      <c r="D10" s="9"/>
      <c r="E10" s="9"/>
      <c r="F10" s="9"/>
      <c r="G10" s="9"/>
      <c r="H10" s="9"/>
      <c r="I10" s="9"/>
      <c r="J10" s="9"/>
    </row>
    <row r="11" spans="1:10" x14ac:dyDescent="0.2">
      <c r="B11" t="s">
        <v>475</v>
      </c>
    </row>
    <row r="13" spans="1:10" ht="13.5" thickBot="1" x14ac:dyDescent="0.25">
      <c r="B13" s="9" t="s">
        <v>43</v>
      </c>
      <c r="C13" s="9"/>
      <c r="D13" s="9"/>
      <c r="E13" s="9"/>
      <c r="F13" s="9"/>
      <c r="G13" s="9"/>
      <c r="H13" s="9"/>
      <c r="I13" s="9"/>
      <c r="J13" s="9"/>
    </row>
    <row r="14" spans="1:10" x14ac:dyDescent="0.2">
      <c r="B14" s="10" t="s">
        <v>476</v>
      </c>
    </row>
    <row r="16" spans="1:10" ht="13.5" thickBot="1" x14ac:dyDescent="0.25">
      <c r="B16" s="9" t="s">
        <v>45</v>
      </c>
      <c r="C16" s="9"/>
      <c r="D16" s="9"/>
      <c r="E16" s="9"/>
      <c r="F16" s="9"/>
      <c r="G16" s="9"/>
      <c r="H16" s="9"/>
      <c r="I16" s="9"/>
      <c r="J16" s="9"/>
    </row>
    <row r="17" spans="2:2" x14ac:dyDescent="0.2">
      <c r="B17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81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2" r:id="rId5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3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13">
    <tabColor rgb="FF00B050"/>
    <pageSetUpPr fitToPage="1"/>
  </sheetPr>
  <dimension ref="A1:I18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6.7109375" customWidth="1"/>
    <col min="4" max="4" width="13" customWidth="1"/>
    <col min="9" max="9" width="6" customWidth="1"/>
  </cols>
  <sheetData>
    <row r="1" spans="1:9" ht="18.75" thickBot="1" x14ac:dyDescent="0.3">
      <c r="A1" s="1" t="s">
        <v>477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5" t="s">
        <v>478</v>
      </c>
      <c r="D3" s="5" t="s">
        <v>479</v>
      </c>
    </row>
    <row r="4" spans="1:9" x14ac:dyDescent="0.2">
      <c r="C4" s="2" t="s">
        <v>480</v>
      </c>
      <c r="D4" s="3" t="str">
        <f>PROPER(C4)</f>
        <v>Alan Jones</v>
      </c>
      <c r="E4" s="8" t="s">
        <v>481</v>
      </c>
    </row>
    <row r="5" spans="1:9" x14ac:dyDescent="0.2">
      <c r="C5" s="2" t="s">
        <v>482</v>
      </c>
      <c r="D5" s="3" t="str">
        <f>PROPER(C5)</f>
        <v>Bob Smith</v>
      </c>
      <c r="E5" s="8" t="s">
        <v>483</v>
      </c>
    </row>
    <row r="6" spans="1:9" x14ac:dyDescent="0.2">
      <c r="C6" s="2" t="s">
        <v>484</v>
      </c>
      <c r="D6" s="3" t="str">
        <f>PROPER(C6)</f>
        <v>Carol Williams</v>
      </c>
      <c r="E6" s="8" t="s">
        <v>485</v>
      </c>
    </row>
    <row r="7" spans="1:9" x14ac:dyDescent="0.2">
      <c r="C7" s="2" t="s">
        <v>486</v>
      </c>
      <c r="D7" s="3" t="str">
        <f>PROPER(C7)</f>
        <v>Cardiff</v>
      </c>
      <c r="E7" s="8" t="s">
        <v>487</v>
      </c>
    </row>
    <row r="8" spans="1:9" x14ac:dyDescent="0.2">
      <c r="C8" s="2" t="s">
        <v>390</v>
      </c>
      <c r="D8" s="3" t="str">
        <f>PROPER(C8)</f>
        <v>Abc123</v>
      </c>
      <c r="E8" s="8" t="s">
        <v>488</v>
      </c>
    </row>
    <row r="10" spans="1:9" ht="13.5" thickBot="1" x14ac:dyDescent="0.25">
      <c r="B10" s="9" t="s">
        <v>39</v>
      </c>
      <c r="C10" s="9"/>
      <c r="D10" s="9"/>
      <c r="E10" s="9"/>
      <c r="F10" s="9"/>
      <c r="G10" s="9"/>
      <c r="H10" s="9"/>
      <c r="I10" s="9"/>
    </row>
    <row r="11" spans="1:9" x14ac:dyDescent="0.2">
      <c r="B11" t="s">
        <v>489</v>
      </c>
    </row>
    <row r="12" spans="1:9" x14ac:dyDescent="0.2">
      <c r="B12" t="s">
        <v>490</v>
      </c>
    </row>
    <row r="14" spans="1:9" ht="13.5" thickBot="1" x14ac:dyDescent="0.25">
      <c r="B14" s="9" t="s">
        <v>43</v>
      </c>
      <c r="C14" s="9"/>
      <c r="D14" s="9"/>
      <c r="E14" s="9"/>
      <c r="F14" s="9"/>
      <c r="G14" s="9"/>
      <c r="H14" s="9"/>
      <c r="I14" s="9"/>
    </row>
    <row r="15" spans="1:9" x14ac:dyDescent="0.2">
      <c r="B15" s="10" t="s">
        <v>491</v>
      </c>
    </row>
    <row r="17" spans="2:9" ht="13.5" thickBot="1" x14ac:dyDescent="0.25">
      <c r="B17" s="9" t="s">
        <v>45</v>
      </c>
      <c r="C17" s="9"/>
      <c r="D17" s="9"/>
      <c r="E17" s="9"/>
      <c r="F17" s="9"/>
      <c r="G17" s="9"/>
      <c r="H17" s="9"/>
      <c r="I17" s="9"/>
    </row>
    <row r="18" spans="2:9" x14ac:dyDescent="0.2">
      <c r="B18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5" r:id="rId4" name="Button 1">
              <controlPr defaultSize="0" print="0" autoFill="0" autoLine="0" autoPict="0">
                <anchor>
                  <from>
                    <xdr:col>7</xdr:col>
                    <xdr:colOff>190500</xdr:colOff>
                    <xdr:row>0</xdr:row>
                    <xdr:rowOff>38100</xdr:rowOff>
                  </from>
                  <to>
                    <xdr:col>8</xdr:col>
                    <xdr:colOff>57150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6" r:id="rId5" name="Button 2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323850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7" r:id="rId6" name="Button 3">
              <controlPr defaultSize="0" print="0" autoFill="0" autoLine="0" autoPict="0">
                <anchor>
                  <from>
                    <xdr:col>6</xdr:col>
                    <xdr:colOff>523875</xdr:colOff>
                    <xdr:row>0</xdr:row>
                    <xdr:rowOff>38100</xdr:rowOff>
                  </from>
                  <to>
                    <xdr:col>7</xdr:col>
                    <xdr:colOff>123825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19">
    <tabColor rgb="FF00B050"/>
    <pageSetUpPr fitToPage="1"/>
  </sheetPr>
  <dimension ref="A1:I18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6.42578125" customWidth="1"/>
    <col min="3" max="3" width="12.28515625" customWidth="1"/>
    <col min="4" max="4" width="7.7109375" customWidth="1"/>
    <col min="5" max="5" width="10" customWidth="1"/>
    <col min="6" max="6" width="9" customWidth="1"/>
    <col min="7" max="7" width="13.28515625" customWidth="1"/>
    <col min="9" max="9" width="14.140625" customWidth="1"/>
  </cols>
  <sheetData>
    <row r="1" spans="1:9" ht="18.75" thickBot="1" x14ac:dyDescent="0.3">
      <c r="A1" s="1" t="s">
        <v>492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ht="38.25" x14ac:dyDescent="0.2">
      <c r="C3" s="5" t="s">
        <v>478</v>
      </c>
      <c r="D3" s="21" t="s">
        <v>493</v>
      </c>
      <c r="E3" s="21" t="s">
        <v>494</v>
      </c>
      <c r="F3" s="21" t="s">
        <v>495</v>
      </c>
      <c r="G3" s="21" t="s">
        <v>496</v>
      </c>
    </row>
    <row r="4" spans="1:9" x14ac:dyDescent="0.2">
      <c r="C4" s="2" t="s">
        <v>497</v>
      </c>
      <c r="D4" s="2">
        <v>2</v>
      </c>
      <c r="E4" s="2">
        <v>1</v>
      </c>
      <c r="F4" s="2" t="s">
        <v>498</v>
      </c>
      <c r="G4" s="3" t="str">
        <f>REPLACE(C4,D4,E4,F4)</f>
        <v>AxCDEFGH</v>
      </c>
      <c r="H4" s="8" t="s">
        <v>499</v>
      </c>
    </row>
    <row r="5" spans="1:9" x14ac:dyDescent="0.2">
      <c r="C5" s="2" t="s">
        <v>497</v>
      </c>
      <c r="D5" s="2">
        <v>2</v>
      </c>
      <c r="E5" s="2">
        <v>5</v>
      </c>
      <c r="F5" s="2" t="s">
        <v>498</v>
      </c>
      <c r="G5" s="3" t="str">
        <f>REPLACE(C5,D5,E5,F5)</f>
        <v>AxGH</v>
      </c>
      <c r="H5" s="8" t="s">
        <v>500</v>
      </c>
    </row>
    <row r="6" spans="1:9" x14ac:dyDescent="0.2">
      <c r="C6" s="2" t="s">
        <v>497</v>
      </c>
      <c r="D6" s="2">
        <v>2</v>
      </c>
      <c r="E6" s="2">
        <v>1</v>
      </c>
      <c r="F6" s="2" t="s">
        <v>501</v>
      </c>
      <c r="G6" s="3" t="str">
        <f>REPLACE(C6,D6,E6,F6)</f>
        <v>AhelloCDEFGH</v>
      </c>
      <c r="H6" s="8" t="s">
        <v>502</v>
      </c>
    </row>
    <row r="7" spans="1:9" x14ac:dyDescent="0.2">
      <c r="C7" s="2" t="s">
        <v>497</v>
      </c>
      <c r="D7" s="2">
        <v>2</v>
      </c>
      <c r="E7" s="2">
        <v>5</v>
      </c>
      <c r="F7" s="2" t="s">
        <v>501</v>
      </c>
      <c r="G7" s="3" t="str">
        <f>REPLACE(C7,D7,E7,F7)</f>
        <v>AhelloGH</v>
      </c>
      <c r="H7" s="8" t="s">
        <v>503</v>
      </c>
    </row>
    <row r="9" spans="1:9" ht="13.5" thickBot="1" x14ac:dyDescent="0.25">
      <c r="B9" s="9" t="s">
        <v>39</v>
      </c>
      <c r="C9" s="9"/>
      <c r="D9" s="9"/>
      <c r="E9" s="9"/>
      <c r="F9" s="9"/>
      <c r="G9" s="9"/>
      <c r="H9" s="9"/>
      <c r="I9" s="9"/>
    </row>
    <row r="10" spans="1:9" x14ac:dyDescent="0.2">
      <c r="B10" t="s">
        <v>504</v>
      </c>
    </row>
    <row r="11" spans="1:9" x14ac:dyDescent="0.2">
      <c r="B11" t="s">
        <v>505</v>
      </c>
    </row>
    <row r="12" spans="1:9" x14ac:dyDescent="0.2">
      <c r="B12" t="s">
        <v>506</v>
      </c>
    </row>
    <row r="14" spans="1:9" ht="13.5" thickBot="1" x14ac:dyDescent="0.25">
      <c r="B14" s="9" t="s">
        <v>43</v>
      </c>
      <c r="C14" s="9"/>
      <c r="D14" s="9"/>
      <c r="E14" s="9"/>
      <c r="F14" s="9"/>
      <c r="G14" s="9"/>
      <c r="H14" s="9"/>
      <c r="I14" s="9"/>
    </row>
    <row r="15" spans="1:9" x14ac:dyDescent="0.2">
      <c r="B15" s="10" t="s">
        <v>507</v>
      </c>
    </row>
    <row r="17" spans="2:9" ht="13.5" thickBot="1" x14ac:dyDescent="0.25">
      <c r="B17" s="9" t="s">
        <v>45</v>
      </c>
      <c r="C17" s="9"/>
      <c r="D17" s="9"/>
      <c r="E17" s="9"/>
      <c r="F17" s="9"/>
      <c r="G17" s="9"/>
      <c r="H17" s="9"/>
      <c r="I17" s="9"/>
    </row>
    <row r="18" spans="2:9" x14ac:dyDescent="0.2">
      <c r="B18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529" r:id="rId4" name="Button 1">
              <controlPr defaultSize="0" print="0" autoFill="0" autoLine="0" autoPict="0">
                <anchor>
                  <from>
                    <xdr:col>8</xdr:col>
                    <xdr:colOff>19050</xdr:colOff>
                    <xdr:row>0</xdr:row>
                    <xdr:rowOff>38100</xdr:rowOff>
                  </from>
                  <to>
                    <xdr:col>8</xdr:col>
                    <xdr:colOff>485775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0" r:id="rId5" name="Button 2">
              <controlPr defaultSize="0" print="0" autoFill="0" autoLine="0" autoPict="0">
                <anchor>
                  <from>
                    <xdr:col>8</xdr:col>
                    <xdr:colOff>552450</xdr:colOff>
                    <xdr:row>0</xdr:row>
                    <xdr:rowOff>38100</xdr:rowOff>
                  </from>
                  <to>
                    <xdr:col>8</xdr:col>
                    <xdr:colOff>752475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1" r:id="rId6" name="Button 3">
              <controlPr defaultSize="0" print="0" autoFill="0" autoLine="0" autoPict="0">
                <anchor>
                  <from>
                    <xdr:col>7</xdr:col>
                    <xdr:colOff>361950</xdr:colOff>
                    <xdr:row>0</xdr:row>
                    <xdr:rowOff>38100</xdr:rowOff>
                  </from>
                  <to>
                    <xdr:col>7</xdr:col>
                    <xdr:colOff>571500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29">
    <tabColor rgb="FF00B050"/>
    <pageSetUpPr fitToPage="1"/>
  </sheetPr>
  <dimension ref="A1:I38"/>
  <sheetViews>
    <sheetView showGridLines="0" workbookViewId="0">
      <pane ySplit="1" topLeftCell="A8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5" max="5" width="16.140625" customWidth="1"/>
  </cols>
  <sheetData>
    <row r="1" spans="1:9" ht="18.75" thickBot="1" x14ac:dyDescent="0.3">
      <c r="A1" s="1" t="s">
        <v>508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5" t="s">
        <v>356</v>
      </c>
      <c r="E3" s="57" t="s">
        <v>509</v>
      </c>
      <c r="F3" s="3">
        <f>SMALL(C4:C8,1)</f>
        <v>100</v>
      </c>
      <c r="G3" s="8" t="s">
        <v>510</v>
      </c>
    </row>
    <row r="4" spans="1:9" x14ac:dyDescent="0.2">
      <c r="C4" s="2">
        <v>120</v>
      </c>
      <c r="E4" s="57" t="s">
        <v>511</v>
      </c>
      <c r="F4" s="3">
        <f>SMALL(C4:C8,2)</f>
        <v>120</v>
      </c>
      <c r="G4" s="8" t="s">
        <v>512</v>
      </c>
    </row>
    <row r="5" spans="1:9" x14ac:dyDescent="0.2">
      <c r="C5" s="2">
        <v>800</v>
      </c>
      <c r="E5" s="57" t="s">
        <v>513</v>
      </c>
      <c r="F5" s="3">
        <f>SMALL(C4:C8,3)</f>
        <v>120</v>
      </c>
      <c r="G5" s="8" t="s">
        <v>514</v>
      </c>
    </row>
    <row r="6" spans="1:9" x14ac:dyDescent="0.2">
      <c r="C6" s="2">
        <v>100</v>
      </c>
      <c r="E6" s="57" t="s">
        <v>515</v>
      </c>
      <c r="F6" s="3">
        <f>SMALL(C4:C8,4)</f>
        <v>250</v>
      </c>
      <c r="G6" s="8" t="s">
        <v>516</v>
      </c>
    </row>
    <row r="7" spans="1:9" x14ac:dyDescent="0.2">
      <c r="C7" s="2">
        <v>120</v>
      </c>
      <c r="E7" s="57" t="s">
        <v>517</v>
      </c>
      <c r="F7" s="3">
        <f>SMALL(C4:C8,5)</f>
        <v>800</v>
      </c>
      <c r="G7" s="8" t="s">
        <v>518</v>
      </c>
    </row>
    <row r="8" spans="1:9" x14ac:dyDescent="0.2">
      <c r="C8" s="2">
        <v>250</v>
      </c>
    </row>
    <row r="10" spans="1:9" ht="13.5" thickBot="1" x14ac:dyDescent="0.25">
      <c r="B10" s="9" t="s">
        <v>39</v>
      </c>
      <c r="C10" s="9"/>
      <c r="D10" s="9"/>
      <c r="E10" s="9"/>
      <c r="F10" s="9"/>
      <c r="G10" s="9"/>
      <c r="H10" s="9"/>
      <c r="I10" s="9"/>
    </row>
    <row r="11" spans="1:9" x14ac:dyDescent="0.2">
      <c r="B11" t="s">
        <v>367</v>
      </c>
    </row>
    <row r="12" spans="1:9" x14ac:dyDescent="0.2">
      <c r="B12" t="s">
        <v>368</v>
      </c>
    </row>
    <row r="14" spans="1:9" ht="13.5" thickBot="1" x14ac:dyDescent="0.25">
      <c r="B14" s="9" t="s">
        <v>43</v>
      </c>
      <c r="C14" s="9"/>
      <c r="D14" s="9"/>
      <c r="E14" s="9"/>
      <c r="F14" s="9"/>
      <c r="G14" s="9"/>
      <c r="H14" s="9"/>
      <c r="I14" s="9"/>
    </row>
    <row r="15" spans="1:9" x14ac:dyDescent="0.2">
      <c r="B15" s="10" t="s">
        <v>519</v>
      </c>
    </row>
    <row r="17" spans="2:9" ht="13.5" thickBot="1" x14ac:dyDescent="0.25">
      <c r="B17" s="9" t="s">
        <v>45</v>
      </c>
      <c r="C17" s="9"/>
      <c r="D17" s="9"/>
      <c r="E17" s="9"/>
      <c r="F17" s="9"/>
      <c r="G17" s="9"/>
      <c r="H17" s="9"/>
      <c r="I17" s="9"/>
    </row>
    <row r="18" spans="2:9" x14ac:dyDescent="0.2">
      <c r="B18" t="s">
        <v>46</v>
      </c>
    </row>
    <row r="20" spans="2:9" ht="13.5" thickBot="1" x14ac:dyDescent="0.25">
      <c r="B20" s="9" t="s">
        <v>85</v>
      </c>
      <c r="C20" s="9"/>
      <c r="D20" s="9"/>
      <c r="E20" s="9"/>
      <c r="F20" s="9"/>
      <c r="G20" s="9"/>
      <c r="H20" s="9"/>
      <c r="I20" s="9"/>
    </row>
    <row r="21" spans="2:9" x14ac:dyDescent="0.2">
      <c r="B21" t="s">
        <v>520</v>
      </c>
    </row>
    <row r="23" spans="2:9" x14ac:dyDescent="0.2">
      <c r="C23" s="5" t="s">
        <v>371</v>
      </c>
      <c r="D23" s="5" t="s">
        <v>12</v>
      </c>
      <c r="E23" s="5" t="s">
        <v>13</v>
      </c>
      <c r="F23" s="5" t="s">
        <v>14</v>
      </c>
    </row>
    <row r="24" spans="2:9" x14ac:dyDescent="0.2">
      <c r="C24" s="5" t="s">
        <v>16</v>
      </c>
      <c r="D24" s="18">
        <v>5000</v>
      </c>
      <c r="E24" s="18">
        <v>6000</v>
      </c>
      <c r="F24" s="18">
        <v>4500</v>
      </c>
    </row>
    <row r="25" spans="2:9" x14ac:dyDescent="0.2">
      <c r="C25" s="5" t="s">
        <v>17</v>
      </c>
      <c r="D25" s="18">
        <v>5800</v>
      </c>
      <c r="E25" s="18">
        <v>7000</v>
      </c>
      <c r="F25" s="18">
        <v>3000</v>
      </c>
    </row>
    <row r="26" spans="2:9" x14ac:dyDescent="0.2">
      <c r="C26" s="5" t="s">
        <v>18</v>
      </c>
      <c r="D26" s="18">
        <v>3500</v>
      </c>
      <c r="E26" s="18">
        <v>2000</v>
      </c>
      <c r="F26" s="18">
        <v>10000</v>
      </c>
    </row>
    <row r="27" spans="2:9" x14ac:dyDescent="0.2">
      <c r="C27" s="5" t="s">
        <v>19</v>
      </c>
      <c r="D27" s="18">
        <v>12000</v>
      </c>
      <c r="E27" s="18">
        <v>4000</v>
      </c>
      <c r="F27" s="18">
        <v>6000</v>
      </c>
    </row>
    <row r="29" spans="2:9" x14ac:dyDescent="0.2">
      <c r="C29" s="22"/>
      <c r="D29" s="23" t="s">
        <v>509</v>
      </c>
      <c r="E29" s="55">
        <f>SMALL(D24:F27,1)</f>
        <v>2000</v>
      </c>
      <c r="F29" s="8" t="s">
        <v>521</v>
      </c>
    </row>
    <row r="30" spans="2:9" x14ac:dyDescent="0.2">
      <c r="C30" s="22"/>
      <c r="D30" s="23" t="s">
        <v>511</v>
      </c>
      <c r="E30" s="55">
        <f>SMALL(D24:F27,2)</f>
        <v>3000</v>
      </c>
      <c r="F30" s="8" t="s">
        <v>522</v>
      </c>
    </row>
    <row r="31" spans="2:9" x14ac:dyDescent="0.2">
      <c r="C31" s="22"/>
      <c r="D31" s="23" t="s">
        <v>513</v>
      </c>
      <c r="E31" s="55">
        <f>SMALL(D24:F27,3)</f>
        <v>3500</v>
      </c>
      <c r="F31" s="8" t="s">
        <v>523</v>
      </c>
    </row>
    <row r="33" spans="2:9" ht="13.5" thickBot="1" x14ac:dyDescent="0.25">
      <c r="B33" s="9" t="s">
        <v>47</v>
      </c>
      <c r="C33" s="9"/>
      <c r="D33" s="9"/>
      <c r="E33" s="9"/>
      <c r="F33" s="9"/>
      <c r="G33" s="9"/>
      <c r="H33" s="9"/>
      <c r="I33" s="9"/>
    </row>
    <row r="34" spans="2:9" x14ac:dyDescent="0.2">
      <c r="B34" t="s">
        <v>375</v>
      </c>
    </row>
    <row r="35" spans="2:9" x14ac:dyDescent="0.2">
      <c r="B35" t="s">
        <v>376</v>
      </c>
    </row>
    <row r="37" spans="2:9" x14ac:dyDescent="0.2">
      <c r="D37" s="5" t="s">
        <v>377</v>
      </c>
      <c r="E37" s="55">
        <f>MAX(D24:F27)</f>
        <v>12000</v>
      </c>
      <c r="F37" s="8" t="s">
        <v>378</v>
      </c>
    </row>
    <row r="38" spans="2:9" x14ac:dyDescent="0.2">
      <c r="D38" s="5" t="s">
        <v>379</v>
      </c>
      <c r="E38" s="55">
        <f>MIN(D24:F27)</f>
        <v>2000</v>
      </c>
      <c r="F38" s="8" t="s">
        <v>380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3" r:id="rId4" name="Button 1">
              <controlPr defaultSize="0" print="0" autoFill="0" autoLine="0" autoPict="0">
                <anchor>
                  <from>
                    <xdr:col>7</xdr:col>
                    <xdr:colOff>514350</xdr:colOff>
                    <xdr:row>0</xdr:row>
                    <xdr:rowOff>38100</xdr:rowOff>
                  </from>
                  <to>
                    <xdr:col>8</xdr:col>
                    <xdr:colOff>381000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4" r:id="rId5" name="Button 2">
              <controlPr defaultSize="0" print="0" autoFill="0" autoLine="0" autoPict="0">
                <anchor>
                  <from>
                    <xdr:col>8</xdr:col>
                    <xdr:colOff>447675</xdr:colOff>
                    <xdr:row>0</xdr:row>
                    <xdr:rowOff>38100</xdr:rowOff>
                  </from>
                  <to>
                    <xdr:col>9</xdr:col>
                    <xdr:colOff>47625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5" r:id="rId6" name="Button 3">
              <controlPr defaultSize="0" print="0" autoFill="0" autoLine="0" autoPict="0">
                <anchor>
                  <from>
                    <xdr:col>7</xdr:col>
                    <xdr:colOff>238125</xdr:colOff>
                    <xdr:row>0</xdr:row>
                    <xdr:rowOff>38100</xdr:rowOff>
                  </from>
                  <to>
                    <xdr:col>7</xdr:col>
                    <xdr:colOff>447675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36">
    <tabColor rgb="FF00B050"/>
    <pageSetUpPr fitToPage="1"/>
  </sheetPr>
  <dimension ref="A1:J53"/>
  <sheetViews>
    <sheetView showGridLines="0" workbookViewId="0">
      <pane ySplit="1" topLeftCell="A4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0.85546875" customWidth="1"/>
    <col min="10" max="10" width="6.7109375" customWidth="1"/>
  </cols>
  <sheetData>
    <row r="1" spans="1:10" ht="18.75" thickBot="1" x14ac:dyDescent="0.3">
      <c r="A1" s="1" t="s">
        <v>524</v>
      </c>
      <c r="B1" s="1"/>
      <c r="C1" s="1"/>
      <c r="D1" s="1"/>
      <c r="E1" s="1"/>
      <c r="F1" s="58"/>
      <c r="G1" s="1"/>
      <c r="H1" s="1"/>
      <c r="I1" s="1"/>
      <c r="J1" s="1"/>
    </row>
    <row r="2" spans="1:10" ht="13.5" thickTop="1" x14ac:dyDescent="0.2"/>
    <row r="3" spans="1:10" x14ac:dyDescent="0.2">
      <c r="C3" s="63" t="s">
        <v>525</v>
      </c>
    </row>
    <row r="4" spans="1:10" x14ac:dyDescent="0.2">
      <c r="C4" s="2">
        <v>100</v>
      </c>
      <c r="D4" s="2">
        <v>200</v>
      </c>
      <c r="E4" s="2">
        <v>300</v>
      </c>
      <c r="F4" s="3">
        <f>SUM(C4:E4)</f>
        <v>600</v>
      </c>
      <c r="G4" s="8" t="s">
        <v>526</v>
      </c>
    </row>
    <row r="6" spans="1:10" x14ac:dyDescent="0.2">
      <c r="C6" s="59" t="s">
        <v>527</v>
      </c>
    </row>
    <row r="7" spans="1:10" x14ac:dyDescent="0.2">
      <c r="C7" s="2">
        <v>100</v>
      </c>
    </row>
    <row r="8" spans="1:10" x14ac:dyDescent="0.2">
      <c r="C8" s="2">
        <v>200</v>
      </c>
    </row>
    <row r="9" spans="1:10" x14ac:dyDescent="0.2">
      <c r="C9" s="2">
        <v>300</v>
      </c>
    </row>
    <row r="10" spans="1:10" x14ac:dyDescent="0.2">
      <c r="C10" s="3">
        <f>SUM(C7:C9)</f>
        <v>600</v>
      </c>
      <c r="D10" s="8" t="s">
        <v>528</v>
      </c>
    </row>
    <row r="12" spans="1:10" x14ac:dyDescent="0.2">
      <c r="C12" s="64" t="s">
        <v>529</v>
      </c>
      <c r="D12" s="64"/>
      <c r="E12" s="64"/>
    </row>
    <row r="13" spans="1:10" x14ac:dyDescent="0.2">
      <c r="C13" s="2">
        <v>100</v>
      </c>
      <c r="E13" s="2">
        <v>300</v>
      </c>
      <c r="F13" s="3">
        <f>SUM(C13,D14,E13)</f>
        <v>600</v>
      </c>
      <c r="G13" s="8" t="s">
        <v>530</v>
      </c>
    </row>
    <row r="14" spans="1:10" x14ac:dyDescent="0.2">
      <c r="D14" s="2">
        <v>200</v>
      </c>
    </row>
    <row r="16" spans="1:10" x14ac:dyDescent="0.2">
      <c r="C16" s="64" t="s">
        <v>531</v>
      </c>
      <c r="D16" s="64"/>
      <c r="E16" s="64"/>
    </row>
    <row r="17" spans="2:10" x14ac:dyDescent="0.2">
      <c r="C17" s="2">
        <v>100</v>
      </c>
      <c r="E17" s="2">
        <v>400</v>
      </c>
    </row>
    <row r="18" spans="2:10" x14ac:dyDescent="0.2">
      <c r="C18" s="2">
        <v>200</v>
      </c>
      <c r="E18" s="2">
        <v>500</v>
      </c>
    </row>
    <row r="19" spans="2:10" x14ac:dyDescent="0.2">
      <c r="C19" s="2">
        <v>3000</v>
      </c>
      <c r="E19" s="2">
        <v>600</v>
      </c>
    </row>
    <row r="20" spans="2:10" x14ac:dyDescent="0.2">
      <c r="E20" s="3">
        <f>SUM(C17:C19,E17:E19)</f>
        <v>4800</v>
      </c>
      <c r="F20" s="8" t="s">
        <v>532</v>
      </c>
    </row>
    <row r="22" spans="2:10" x14ac:dyDescent="0.2">
      <c r="C22" s="64" t="s">
        <v>533</v>
      </c>
      <c r="D22" s="64"/>
      <c r="E22" s="64"/>
    </row>
    <row r="23" spans="2:10" x14ac:dyDescent="0.2">
      <c r="C23" s="2">
        <v>100</v>
      </c>
      <c r="E23" s="2">
        <v>400</v>
      </c>
    </row>
    <row r="24" spans="2:10" x14ac:dyDescent="0.2">
      <c r="C24" s="2">
        <v>200</v>
      </c>
      <c r="E24" s="2">
        <v>500</v>
      </c>
    </row>
    <row r="25" spans="2:10" x14ac:dyDescent="0.2">
      <c r="C25" s="2">
        <v>300</v>
      </c>
      <c r="E25" s="2">
        <v>600</v>
      </c>
    </row>
    <row r="26" spans="2:10" x14ac:dyDescent="0.2">
      <c r="E26" s="3">
        <f>SUM(AVERAGE(C23:C25),MAX(E23:E25))</f>
        <v>800</v>
      </c>
      <c r="F26" s="8" t="s">
        <v>534</v>
      </c>
    </row>
    <row r="28" spans="2:10" ht="13.5" thickBot="1" x14ac:dyDescent="0.25">
      <c r="B28" s="9" t="s">
        <v>39</v>
      </c>
      <c r="C28" s="9"/>
      <c r="D28" s="9"/>
      <c r="E28" s="9"/>
      <c r="F28" s="9"/>
      <c r="G28" s="9"/>
      <c r="H28" s="9"/>
      <c r="I28" s="9"/>
      <c r="J28" s="9"/>
    </row>
    <row r="29" spans="2:10" x14ac:dyDescent="0.2">
      <c r="B29" t="s">
        <v>535</v>
      </c>
    </row>
    <row r="30" spans="2:10" x14ac:dyDescent="0.2">
      <c r="B30" t="s">
        <v>536</v>
      </c>
    </row>
    <row r="31" spans="2:10" x14ac:dyDescent="0.2">
      <c r="B31" t="s">
        <v>537</v>
      </c>
    </row>
    <row r="33" spans="2:10" ht="13.5" thickBot="1" x14ac:dyDescent="0.25">
      <c r="B33" s="9" t="s">
        <v>43</v>
      </c>
      <c r="C33" s="9"/>
      <c r="D33" s="9"/>
      <c r="E33" s="9"/>
      <c r="F33" s="9"/>
      <c r="G33" s="9"/>
      <c r="H33" s="9"/>
      <c r="I33" s="9"/>
      <c r="J33" s="9"/>
    </row>
    <row r="34" spans="2:10" x14ac:dyDescent="0.2">
      <c r="B34" s="10" t="s">
        <v>538</v>
      </c>
    </row>
    <row r="36" spans="2:10" ht="13.5" thickBot="1" x14ac:dyDescent="0.25">
      <c r="B36" s="9" t="s">
        <v>45</v>
      </c>
      <c r="C36" s="9"/>
      <c r="D36" s="9"/>
      <c r="E36" s="9"/>
      <c r="F36" s="9"/>
      <c r="G36" s="9"/>
      <c r="H36" s="9"/>
      <c r="I36" s="9"/>
      <c r="J36" s="9"/>
    </row>
    <row r="37" spans="2:10" x14ac:dyDescent="0.2">
      <c r="B37" t="s">
        <v>46</v>
      </c>
    </row>
    <row r="41" spans="2:10" ht="13.5" thickBot="1" x14ac:dyDescent="0.25">
      <c r="B41" s="9" t="s">
        <v>47</v>
      </c>
      <c r="C41" s="9"/>
      <c r="D41" s="9"/>
      <c r="E41" s="9"/>
      <c r="F41" s="9"/>
      <c r="G41" s="9"/>
      <c r="H41" s="9"/>
      <c r="I41" s="9"/>
      <c r="J41" s="9"/>
    </row>
    <row r="42" spans="2:10" x14ac:dyDescent="0.2">
      <c r="B42" t="s">
        <v>539</v>
      </c>
    </row>
    <row r="44" spans="2:10" x14ac:dyDescent="0.2">
      <c r="B44" t="s">
        <v>540</v>
      </c>
    </row>
    <row r="45" spans="2:10" x14ac:dyDescent="0.2">
      <c r="B45" t="s">
        <v>541</v>
      </c>
    </row>
    <row r="46" spans="2:10" x14ac:dyDescent="0.2">
      <c r="B46" t="s">
        <v>542</v>
      </c>
    </row>
    <row r="48" spans="2:10" x14ac:dyDescent="0.2">
      <c r="C48" s="2">
        <v>100</v>
      </c>
    </row>
    <row r="49" spans="3:7" x14ac:dyDescent="0.2">
      <c r="C49" s="2">
        <v>200</v>
      </c>
    </row>
    <row r="50" spans="3:7" x14ac:dyDescent="0.2">
      <c r="C50" s="2">
        <v>300</v>
      </c>
    </row>
    <row r="51" spans="3:7" x14ac:dyDescent="0.2">
      <c r="C51" s="3">
        <f>SUM(C48+C49+C50)</f>
        <v>600</v>
      </c>
      <c r="D51" s="8" t="s">
        <v>543</v>
      </c>
      <c r="G51" s="65" t="s">
        <v>544</v>
      </c>
    </row>
    <row r="52" spans="3:7" x14ac:dyDescent="0.2">
      <c r="D52" s="8" t="s">
        <v>545</v>
      </c>
      <c r="G52" t="s">
        <v>546</v>
      </c>
    </row>
    <row r="53" spans="3:7" x14ac:dyDescent="0.2">
      <c r="D53" s="8" t="s">
        <v>547</v>
      </c>
      <c r="G53" t="s">
        <v>546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577" r:id="rId4" name="Button 1">
              <controlPr defaultSize="0" print="0" autoFill="0" autoLine="0" autoPict="0">
                <anchor>
                  <from>
                    <xdr:col>8</xdr:col>
                    <xdr:colOff>276225</xdr:colOff>
                    <xdr:row>0</xdr:row>
                    <xdr:rowOff>38100</xdr:rowOff>
                  </from>
                  <to>
                    <xdr:col>9</xdr:col>
                    <xdr:colOff>133350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8" r:id="rId5" name="Button 2">
              <controlPr defaultSize="0" print="0" autoFill="0" autoLine="0" autoPict="0">
                <anchor>
                  <from>
                    <xdr:col>9</xdr:col>
                    <xdr:colOff>200025</xdr:colOff>
                    <xdr:row>0</xdr:row>
                    <xdr:rowOff>38100</xdr:rowOff>
                  </from>
                  <to>
                    <xdr:col>9</xdr:col>
                    <xdr:colOff>400050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9" r:id="rId6" name="Button 3">
              <controlPr defaultSize="0" print="0" autoFill="0" autoLine="0" autoPict="0">
                <anchor>
                  <from>
                    <xdr:col>8</xdr:col>
                    <xdr:colOff>9525</xdr:colOff>
                    <xdr:row>0</xdr:row>
                    <xdr:rowOff>38100</xdr:rowOff>
                  </from>
                  <to>
                    <xdr:col>8</xdr:col>
                    <xdr:colOff>209550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42">
    <tabColor rgb="FF00B050"/>
    <pageSetUpPr fitToPage="1"/>
  </sheetPr>
  <dimension ref="A1:J20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4" max="4" width="10.85546875" customWidth="1"/>
    <col min="10" max="10" width="7" customWidth="1"/>
  </cols>
  <sheetData>
    <row r="1" spans="1:10" ht="18.75" thickBot="1" x14ac:dyDescent="0.3">
      <c r="A1" s="1" t="s">
        <v>253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x14ac:dyDescent="0.2">
      <c r="D3" s="5" t="s">
        <v>548</v>
      </c>
      <c r="E3" s="5" t="s">
        <v>549</v>
      </c>
    </row>
    <row r="4" spans="1:10" x14ac:dyDescent="0.2">
      <c r="D4" s="2" t="s">
        <v>58</v>
      </c>
      <c r="E4" s="3" t="str">
        <f>T(D4)</f>
        <v>Hello</v>
      </c>
      <c r="F4" s="8" t="s">
        <v>550</v>
      </c>
    </row>
    <row r="5" spans="1:10" x14ac:dyDescent="0.2">
      <c r="D5" s="2">
        <v>10</v>
      </c>
      <c r="E5" s="3" t="str">
        <f>T(D5)</f>
        <v/>
      </c>
      <c r="F5" s="8" t="s">
        <v>551</v>
      </c>
      <c r="G5" t="str">
        <f>T(D5)</f>
        <v/>
      </c>
    </row>
    <row r="6" spans="1:10" x14ac:dyDescent="0.2">
      <c r="D6" s="27">
        <v>35796</v>
      </c>
      <c r="E6" s="3" t="str">
        <f>T(D6)</f>
        <v/>
      </c>
      <c r="F6" s="8" t="s">
        <v>552</v>
      </c>
    </row>
    <row r="7" spans="1:10" x14ac:dyDescent="0.2">
      <c r="D7" s="27"/>
      <c r="E7" s="3" t="str">
        <f>T(D7)</f>
        <v/>
      </c>
      <c r="F7" s="8" t="s">
        <v>553</v>
      </c>
    </row>
    <row r="9" spans="1:10" ht="13.5" thickBot="1" x14ac:dyDescent="0.25">
      <c r="B9" s="9" t="s">
        <v>39</v>
      </c>
      <c r="C9" s="9"/>
      <c r="D9" s="9"/>
      <c r="E9" s="9"/>
      <c r="F9" s="9"/>
      <c r="G9" s="9"/>
      <c r="H9" s="9"/>
      <c r="I9" s="9"/>
      <c r="J9" s="9"/>
    </row>
    <row r="10" spans="1:10" x14ac:dyDescent="0.2">
      <c r="B10" t="s">
        <v>554</v>
      </c>
    </row>
    <row r="11" spans="1:10" x14ac:dyDescent="0.2">
      <c r="B11" t="s">
        <v>555</v>
      </c>
    </row>
    <row r="12" spans="1:10" x14ac:dyDescent="0.2">
      <c r="B12" t="s">
        <v>556</v>
      </c>
    </row>
    <row r="13" spans="1:10" x14ac:dyDescent="0.2">
      <c r="B13" t="s">
        <v>557</v>
      </c>
    </row>
    <row r="14" spans="1:10" x14ac:dyDescent="0.2">
      <c r="B14" t="s">
        <v>558</v>
      </c>
    </row>
    <row r="16" spans="1:10" ht="13.5" thickBot="1" x14ac:dyDescent="0.25">
      <c r="B16" s="9" t="s">
        <v>43</v>
      </c>
      <c r="C16" s="9"/>
      <c r="D16" s="9"/>
      <c r="E16" s="9"/>
      <c r="F16" s="9"/>
      <c r="G16" s="9"/>
      <c r="H16" s="9"/>
      <c r="I16" s="9"/>
      <c r="J16" s="9"/>
    </row>
    <row r="17" spans="2:10" x14ac:dyDescent="0.2">
      <c r="B17" s="10" t="s">
        <v>559</v>
      </c>
    </row>
    <row r="19" spans="2:10" ht="13.5" thickBot="1" x14ac:dyDescent="0.25">
      <c r="B19" s="9" t="s">
        <v>45</v>
      </c>
      <c r="C19" s="9"/>
      <c r="D19" s="9"/>
      <c r="E19" s="9"/>
      <c r="F19" s="9"/>
      <c r="G19" s="9"/>
      <c r="H19" s="9"/>
      <c r="I19" s="9"/>
      <c r="J19" s="9"/>
    </row>
    <row r="20" spans="2:10" x14ac:dyDescent="0.2">
      <c r="B20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1" r:id="rId4" name="Button 1">
              <controlPr defaultSize="0" print="0" autoFill="0" autoLine="0" autoPict="0">
                <anchor>
                  <from>
                    <xdr:col>8</xdr:col>
                    <xdr:colOff>257175</xdr:colOff>
                    <xdr:row>0</xdr:row>
                    <xdr:rowOff>38100</xdr:rowOff>
                  </from>
                  <to>
                    <xdr:col>9</xdr:col>
                    <xdr:colOff>123825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2" r:id="rId5" name="Button 2">
              <controlPr defaultSize="0" print="0" autoFill="0" autoLine="0" autoPict="0">
                <anchor>
                  <from>
                    <xdr:col>9</xdr:col>
                    <xdr:colOff>190500</xdr:colOff>
                    <xdr:row>0</xdr:row>
                    <xdr:rowOff>38100</xdr:rowOff>
                  </from>
                  <to>
                    <xdr:col>9</xdr:col>
                    <xdr:colOff>390525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3" r:id="rId6" name="Button 3">
              <controlPr defaultSize="0" print="0" autoFill="0" autoLine="0" autoPict="0">
                <anchor>
                  <from>
                    <xdr:col>7</xdr:col>
                    <xdr:colOff>590550</xdr:colOff>
                    <xdr:row>0</xdr:row>
                    <xdr:rowOff>38100</xdr:rowOff>
                  </from>
                  <to>
                    <xdr:col>8</xdr:col>
                    <xdr:colOff>190500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46">
    <tabColor rgb="FF00B050"/>
    <pageSetUpPr fitToPage="1"/>
  </sheetPr>
  <dimension ref="A1:H36"/>
  <sheetViews>
    <sheetView showGridLines="0" workbookViewId="0">
      <pane ySplit="1" topLeftCell="A23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9.5703125" customWidth="1"/>
    <col min="3" max="3" width="10.85546875" customWidth="1"/>
    <col min="4" max="4" width="11.85546875" customWidth="1"/>
    <col min="5" max="5" width="17.140625" customWidth="1"/>
    <col min="7" max="7" width="19.140625" customWidth="1"/>
    <col min="8" max="8" width="10.140625" bestFit="1" customWidth="1"/>
  </cols>
  <sheetData>
    <row r="1" spans="1:8" ht="18.75" thickBot="1" x14ac:dyDescent="0.3">
      <c r="A1" s="1" t="s">
        <v>560</v>
      </c>
      <c r="B1" s="1"/>
      <c r="C1" s="1"/>
      <c r="D1" s="1"/>
      <c r="E1" s="1"/>
      <c r="F1" s="1"/>
      <c r="G1" s="1"/>
    </row>
    <row r="2" spans="1:8" ht="13.5" thickTop="1" x14ac:dyDescent="0.2"/>
    <row r="3" spans="1:8" x14ac:dyDescent="0.2">
      <c r="C3" s="5" t="s">
        <v>561</v>
      </c>
    </row>
    <row r="4" spans="1:8" x14ac:dyDescent="0.2">
      <c r="C4" s="61">
        <f ca="1">TODAY()</f>
        <v>44452</v>
      </c>
      <c r="D4" s="26" t="s">
        <v>562</v>
      </c>
      <c r="H4" s="66"/>
    </row>
    <row r="6" spans="1:8" ht="13.5" thickBot="1" x14ac:dyDescent="0.25">
      <c r="B6" s="9" t="s">
        <v>64</v>
      </c>
      <c r="C6" s="9"/>
      <c r="D6" s="9"/>
      <c r="E6" s="9"/>
      <c r="F6" s="9"/>
      <c r="G6" s="9"/>
    </row>
    <row r="7" spans="1:8" x14ac:dyDescent="0.2">
      <c r="B7" t="s">
        <v>563</v>
      </c>
    </row>
    <row r="9" spans="1:8" ht="13.5" thickBot="1" x14ac:dyDescent="0.25">
      <c r="B9" s="9" t="s">
        <v>43</v>
      </c>
      <c r="C9" s="9"/>
      <c r="D9" s="9"/>
      <c r="E9" s="9"/>
      <c r="F9" s="9"/>
      <c r="G9" s="9"/>
    </row>
    <row r="10" spans="1:8" x14ac:dyDescent="0.2">
      <c r="B10" t="s">
        <v>562</v>
      </c>
    </row>
    <row r="12" spans="1:8" ht="13.5" thickBot="1" x14ac:dyDescent="0.25">
      <c r="B12" s="9" t="s">
        <v>45</v>
      </c>
      <c r="C12" s="9"/>
      <c r="D12" s="9"/>
      <c r="E12" s="9"/>
      <c r="F12" s="9"/>
      <c r="G12" s="9"/>
    </row>
    <row r="13" spans="1:8" x14ac:dyDescent="0.2">
      <c r="B13" t="s">
        <v>564</v>
      </c>
    </row>
    <row r="15" spans="1:8" ht="13.5" thickBot="1" x14ac:dyDescent="0.25">
      <c r="B15" s="9" t="s">
        <v>85</v>
      </c>
      <c r="C15" s="9"/>
      <c r="D15" s="9"/>
      <c r="E15" s="9"/>
      <c r="F15" s="9"/>
      <c r="G15" s="9"/>
    </row>
    <row r="16" spans="1:8" x14ac:dyDescent="0.2">
      <c r="B16" t="s">
        <v>565</v>
      </c>
    </row>
    <row r="17" spans="2:7" x14ac:dyDescent="0.2">
      <c r="B17" t="s">
        <v>566</v>
      </c>
    </row>
    <row r="19" spans="2:7" x14ac:dyDescent="0.2">
      <c r="C19" s="5" t="s">
        <v>163</v>
      </c>
      <c r="D19" s="5" t="s">
        <v>567</v>
      </c>
    </row>
    <row r="20" spans="2:7" x14ac:dyDescent="0.2">
      <c r="C20" s="16">
        <v>35431</v>
      </c>
      <c r="D20" s="3">
        <f ca="1">TODAY()-C20</f>
        <v>9021</v>
      </c>
      <c r="E20" s="26" t="s">
        <v>568</v>
      </c>
    </row>
    <row r="21" spans="2:7" x14ac:dyDescent="0.2">
      <c r="C21" s="16">
        <v>35652</v>
      </c>
      <c r="D21" s="3">
        <f ca="1">TODAY()-C21</f>
        <v>8800</v>
      </c>
      <c r="E21" s="26" t="s">
        <v>569</v>
      </c>
    </row>
    <row r="24" spans="2:7" x14ac:dyDescent="0.2">
      <c r="B24" t="s">
        <v>570</v>
      </c>
    </row>
    <row r="25" spans="2:7" x14ac:dyDescent="0.2">
      <c r="B25" t="s">
        <v>571</v>
      </c>
    </row>
    <row r="27" spans="2:7" x14ac:dyDescent="0.2">
      <c r="C27" s="5" t="s">
        <v>163</v>
      </c>
      <c r="D27" s="5" t="s">
        <v>567</v>
      </c>
    </row>
    <row r="28" spans="2:7" x14ac:dyDescent="0.2">
      <c r="C28" s="16">
        <v>35431</v>
      </c>
      <c r="D28" s="3">
        <f ca="1">TODAY()-C28+1</f>
        <v>9022</v>
      </c>
      <c r="E28" s="26" t="s">
        <v>572</v>
      </c>
    </row>
    <row r="29" spans="2:7" x14ac:dyDescent="0.2">
      <c r="C29" s="16">
        <v>35652</v>
      </c>
      <c r="D29" s="3">
        <f ca="1">TODAY()-C29+1</f>
        <v>8801</v>
      </c>
      <c r="E29" s="26" t="s">
        <v>573</v>
      </c>
    </row>
    <row r="32" spans="2:7" ht="13.5" thickBot="1" x14ac:dyDescent="0.25">
      <c r="B32" s="9" t="s">
        <v>85</v>
      </c>
      <c r="C32" s="9"/>
      <c r="D32" s="9"/>
      <c r="E32" s="9"/>
      <c r="F32" s="9"/>
      <c r="G32" s="9"/>
    </row>
    <row r="33" spans="2:5" x14ac:dyDescent="0.2">
      <c r="B33" t="s">
        <v>574</v>
      </c>
    </row>
    <row r="35" spans="2:5" x14ac:dyDescent="0.2">
      <c r="C35" s="5" t="s">
        <v>575</v>
      </c>
      <c r="D35" s="5" t="s">
        <v>576</v>
      </c>
    </row>
    <row r="36" spans="2:5" x14ac:dyDescent="0.2">
      <c r="C36" s="67">
        <v>36526</v>
      </c>
      <c r="D36" s="3">
        <f ca="1">C36-TODAY()</f>
        <v>-7926</v>
      </c>
      <c r="E36" s="26" t="s">
        <v>577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625" r:id="rId4" name="Button 1">
              <controlPr defaultSize="0" print="0" autoFill="0" autoLine="0" autoPict="0">
                <anchor>
                  <from>
                    <xdr:col>6</xdr:col>
                    <xdr:colOff>647700</xdr:colOff>
                    <xdr:row>0</xdr:row>
                    <xdr:rowOff>38100</xdr:rowOff>
                  </from>
                  <to>
                    <xdr:col>6</xdr:col>
                    <xdr:colOff>1114425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6" r:id="rId5" name="Button 2">
              <controlPr defaultSize="0" print="0" autoFill="0" autoLine="0" autoPict="0">
                <anchor>
                  <from>
                    <xdr:col>6</xdr:col>
                    <xdr:colOff>1181100</xdr:colOff>
                    <xdr:row>0</xdr:row>
                    <xdr:rowOff>38100</xdr:rowOff>
                  </from>
                  <to>
                    <xdr:col>7</xdr:col>
                    <xdr:colOff>104775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7" r:id="rId6" name="Button 3">
              <controlPr defaultSize="0" print="0" autoFill="0" autoLine="0" autoPict="0">
                <anchor>
                  <from>
                    <xdr:col>6</xdr:col>
                    <xdr:colOff>381000</xdr:colOff>
                    <xdr:row>0</xdr:row>
                    <xdr:rowOff>38100</xdr:rowOff>
                  </from>
                  <to>
                    <xdr:col>6</xdr:col>
                    <xdr:colOff>581025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149">
    <tabColor rgb="FF00B050"/>
    <pageSetUpPr fitToPage="1"/>
  </sheetPr>
  <dimension ref="A1:I18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6.28515625" customWidth="1"/>
    <col min="4" max="4" width="12.28515625" customWidth="1"/>
    <col min="9" max="9" width="7.42578125" customWidth="1"/>
  </cols>
  <sheetData>
    <row r="1" spans="1:9" ht="18.75" thickBot="1" x14ac:dyDescent="0.3">
      <c r="A1" s="1" t="s">
        <v>578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7" t="s">
        <v>478</v>
      </c>
      <c r="D3" s="7" t="s">
        <v>579</v>
      </c>
    </row>
    <row r="4" spans="1:9" x14ac:dyDescent="0.2">
      <c r="C4" s="68" t="s">
        <v>580</v>
      </c>
      <c r="D4" s="69" t="str">
        <f>TRIM(C4)</f>
        <v>ABCD</v>
      </c>
      <c r="E4" s="8" t="s">
        <v>581</v>
      </c>
    </row>
    <row r="5" spans="1:9" x14ac:dyDescent="0.2">
      <c r="C5" s="68" t="s">
        <v>582</v>
      </c>
      <c r="D5" s="69" t="str">
        <f>TRIM(C5)</f>
        <v>A B C D</v>
      </c>
      <c r="E5" s="8" t="s">
        <v>583</v>
      </c>
    </row>
    <row r="6" spans="1:9" x14ac:dyDescent="0.2">
      <c r="C6" s="68" t="s">
        <v>584</v>
      </c>
      <c r="D6" s="69" t="str">
        <f>TRIM(C6)</f>
        <v>Alan Jones</v>
      </c>
      <c r="E6" s="8" t="s">
        <v>585</v>
      </c>
    </row>
    <row r="7" spans="1:9" x14ac:dyDescent="0.2">
      <c r="C7" s="68" t="s">
        <v>586</v>
      </c>
      <c r="D7" s="69" t="str">
        <f>TRIM(C7)</f>
        <v>ABCD</v>
      </c>
      <c r="E7" s="8" t="s">
        <v>587</v>
      </c>
    </row>
    <row r="9" spans="1:9" ht="13.5" thickBot="1" x14ac:dyDescent="0.25">
      <c r="B9" s="9" t="s">
        <v>39</v>
      </c>
      <c r="C9" s="9"/>
      <c r="D9" s="9"/>
      <c r="E9" s="9"/>
      <c r="F9" s="9"/>
      <c r="G9" s="9"/>
      <c r="H9" s="9"/>
      <c r="I9" s="9"/>
    </row>
    <row r="10" spans="1:9" x14ac:dyDescent="0.2">
      <c r="B10" t="s">
        <v>588</v>
      </c>
    </row>
    <row r="11" spans="1:9" x14ac:dyDescent="0.2">
      <c r="B11" t="s">
        <v>589</v>
      </c>
    </row>
    <row r="12" spans="1:9" x14ac:dyDescent="0.2">
      <c r="B12" t="s">
        <v>590</v>
      </c>
    </row>
    <row r="14" spans="1:9" ht="13.5" thickBot="1" x14ac:dyDescent="0.25">
      <c r="B14" s="9" t="s">
        <v>43</v>
      </c>
      <c r="C14" s="9"/>
      <c r="D14" s="9"/>
      <c r="E14" s="9"/>
      <c r="F14" s="9"/>
      <c r="G14" s="9"/>
      <c r="H14" s="9"/>
      <c r="I14" s="9"/>
    </row>
    <row r="15" spans="1:9" x14ac:dyDescent="0.2">
      <c r="B15" s="10" t="s">
        <v>591</v>
      </c>
    </row>
    <row r="17" spans="2:9" ht="13.5" thickBot="1" x14ac:dyDescent="0.25">
      <c r="B17" s="9" t="s">
        <v>45</v>
      </c>
      <c r="C17" s="9"/>
      <c r="D17" s="9"/>
      <c r="E17" s="9"/>
      <c r="F17" s="9"/>
      <c r="G17" s="9"/>
      <c r="H17" s="9"/>
      <c r="I17" s="9"/>
    </row>
    <row r="18" spans="2:9" x14ac:dyDescent="0.2">
      <c r="B18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r:id="rId4" name="Button 1">
              <controlPr defaultSize="0" print="0" autoFill="0" autoLine="0" autoPict="0">
                <anchor>
                  <from>
                    <xdr:col>7</xdr:col>
                    <xdr:colOff>257175</xdr:colOff>
                    <xdr:row>0</xdr:row>
                    <xdr:rowOff>38100</xdr:rowOff>
                  </from>
                  <to>
                    <xdr:col>8</xdr:col>
                    <xdr:colOff>123825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r:id="rId5" name="Button 2">
              <controlPr defaultSize="0" print="0" autoFill="0" autoLine="0" autoPict="0">
                <anchor>
                  <from>
                    <xdr:col>8</xdr:col>
                    <xdr:colOff>190500</xdr:colOff>
                    <xdr:row>0</xdr:row>
                    <xdr:rowOff>38100</xdr:rowOff>
                  </from>
                  <to>
                    <xdr:col>8</xdr:col>
                    <xdr:colOff>390525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r:id="rId6" name="Button 3">
              <controlPr defaultSize="0" print="0" autoFill="0" autoLine="0" autoPict="0">
                <anchor>
                  <from>
                    <xdr:col>6</xdr:col>
                    <xdr:colOff>590550</xdr:colOff>
                    <xdr:row>0</xdr:row>
                    <xdr:rowOff>38100</xdr:rowOff>
                  </from>
                  <to>
                    <xdr:col>7</xdr:col>
                    <xdr:colOff>190500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52">
    <tabColor rgb="FF00B050"/>
    <pageSetUpPr fitToPage="1"/>
  </sheetPr>
  <dimension ref="A1:H25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4" width="16.7109375" customWidth="1"/>
    <col min="8" max="8" width="14.42578125" customWidth="1"/>
  </cols>
  <sheetData>
    <row r="1" spans="1:8" ht="18.75" thickBot="1" x14ac:dyDescent="0.3">
      <c r="A1" s="1" t="s">
        <v>592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C3" s="5" t="s">
        <v>478</v>
      </c>
      <c r="D3" s="5" t="s">
        <v>593</v>
      </c>
    </row>
    <row r="4" spans="1:8" x14ac:dyDescent="0.2">
      <c r="C4" s="2" t="s">
        <v>480</v>
      </c>
      <c r="D4" s="3" t="str">
        <f>UPPER(C4)</f>
        <v>ALAN JONES</v>
      </c>
      <c r="E4" s="8" t="s">
        <v>594</v>
      </c>
    </row>
    <row r="5" spans="1:8" x14ac:dyDescent="0.2">
      <c r="C5" s="2" t="s">
        <v>482</v>
      </c>
      <c r="D5" s="3" t="str">
        <f>UPPER(C5)</f>
        <v>BOB SMITH</v>
      </c>
      <c r="E5" s="8" t="s">
        <v>595</v>
      </c>
    </row>
    <row r="6" spans="1:8" x14ac:dyDescent="0.2">
      <c r="C6" s="2" t="s">
        <v>596</v>
      </c>
      <c r="D6" s="3" t="str">
        <f>UPPER(C6)</f>
        <v>CAROL WILLIAMS</v>
      </c>
      <c r="E6" s="8" t="s">
        <v>597</v>
      </c>
    </row>
    <row r="7" spans="1:8" x14ac:dyDescent="0.2">
      <c r="C7" s="2" t="s">
        <v>486</v>
      </c>
      <c r="D7" s="3" t="str">
        <f>UPPER(C7)</f>
        <v>CARDIFF</v>
      </c>
      <c r="E7" s="8" t="s">
        <v>598</v>
      </c>
    </row>
    <row r="8" spans="1:8" x14ac:dyDescent="0.2">
      <c r="C8" s="2" t="s">
        <v>599</v>
      </c>
      <c r="D8" s="3" t="str">
        <f>UPPER(C8)</f>
        <v>ABC123</v>
      </c>
      <c r="E8" s="8" t="s">
        <v>600</v>
      </c>
    </row>
    <row r="10" spans="1:8" ht="13.5" thickBot="1" x14ac:dyDescent="0.25">
      <c r="B10" s="9" t="s">
        <v>39</v>
      </c>
      <c r="C10" s="9"/>
      <c r="D10" s="9"/>
      <c r="E10" s="9"/>
      <c r="F10" s="9"/>
      <c r="G10" s="9"/>
      <c r="H10" s="9"/>
    </row>
    <row r="11" spans="1:8" x14ac:dyDescent="0.2">
      <c r="B11" t="s">
        <v>601</v>
      </c>
    </row>
    <row r="13" spans="1:8" ht="13.5" thickBot="1" x14ac:dyDescent="0.25">
      <c r="B13" s="9" t="s">
        <v>43</v>
      </c>
      <c r="C13" s="9"/>
      <c r="D13" s="9"/>
      <c r="E13" s="9"/>
      <c r="F13" s="9"/>
      <c r="G13" s="9"/>
      <c r="H13" s="9"/>
    </row>
    <row r="14" spans="1:8" x14ac:dyDescent="0.2">
      <c r="B14" s="10" t="s">
        <v>602</v>
      </c>
    </row>
    <row r="16" spans="1:8" ht="13.5" thickBot="1" x14ac:dyDescent="0.25">
      <c r="B16" s="9" t="s">
        <v>45</v>
      </c>
      <c r="C16" s="9"/>
      <c r="D16" s="9"/>
      <c r="E16" s="9"/>
      <c r="F16" s="9"/>
      <c r="G16" s="9"/>
      <c r="H16" s="9"/>
    </row>
    <row r="17" spans="2:8" x14ac:dyDescent="0.2">
      <c r="B17" t="s">
        <v>46</v>
      </c>
    </row>
    <row r="19" spans="2:8" ht="13.5" thickBot="1" x14ac:dyDescent="0.25">
      <c r="B19" s="9" t="s">
        <v>85</v>
      </c>
      <c r="C19" s="9"/>
      <c r="D19" s="9"/>
      <c r="E19" s="9"/>
      <c r="F19" s="9"/>
      <c r="G19" s="9"/>
      <c r="H19" s="9"/>
    </row>
    <row r="20" spans="2:8" x14ac:dyDescent="0.2">
      <c r="B20" t="s">
        <v>603</v>
      </c>
    </row>
    <row r="25" spans="2:8" x14ac:dyDescent="0.2">
      <c r="C25" t="s">
        <v>604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8673" r:id="rId4" name="Button 1">
              <controlPr defaultSize="0" print="0" autoFill="0" autoLine="0" autoPict="0">
                <anchor>
                  <from>
                    <xdr:col>6</xdr:col>
                    <xdr:colOff>552450</xdr:colOff>
                    <xdr:row>0</xdr:row>
                    <xdr:rowOff>38100</xdr:rowOff>
                  </from>
                  <to>
                    <xdr:col>7</xdr:col>
                    <xdr:colOff>409575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4" r:id="rId5" name="Button 2">
              <controlPr defaultSize="0" print="0" autoFill="0" autoLine="0" autoPict="0">
                <anchor>
                  <from>
                    <xdr:col>7</xdr:col>
                    <xdr:colOff>476250</xdr:colOff>
                    <xdr:row>0</xdr:row>
                    <xdr:rowOff>38100</xdr:rowOff>
                  </from>
                  <to>
                    <xdr:col>7</xdr:col>
                    <xdr:colOff>676275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5" r:id="rId6" name="Button 3">
              <controlPr defaultSize="0" print="0" autoFill="0" autoLine="0" autoPict="0">
                <anchor>
                  <from>
                    <xdr:col>6</xdr:col>
                    <xdr:colOff>276225</xdr:colOff>
                    <xdr:row>0</xdr:row>
                    <xdr:rowOff>38100</xdr:rowOff>
                  </from>
                  <to>
                    <xdr:col>6</xdr:col>
                    <xdr:colOff>485775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56">
    <tabColor rgb="FF00B050"/>
    <pageSetUpPr fitToPage="1"/>
  </sheetPr>
  <dimension ref="A1:J131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10" max="10" width="8.85546875" customWidth="1"/>
  </cols>
  <sheetData>
    <row r="1" spans="1:10" ht="18.75" thickBot="1" x14ac:dyDescent="0.3">
      <c r="A1" s="1" t="s">
        <v>605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x14ac:dyDescent="0.2">
      <c r="H3" s="34" t="s">
        <v>606</v>
      </c>
    </row>
    <row r="4" spans="1:10" x14ac:dyDescent="0.2">
      <c r="H4" s="34" t="s">
        <v>270</v>
      </c>
    </row>
    <row r="5" spans="1:10" x14ac:dyDescent="0.2">
      <c r="C5" s="33" t="s">
        <v>607</v>
      </c>
      <c r="D5" s="33" t="s">
        <v>608</v>
      </c>
      <c r="E5" s="33" t="s">
        <v>609</v>
      </c>
      <c r="F5" s="33" t="s">
        <v>610</v>
      </c>
      <c r="G5" s="33" t="s">
        <v>611</v>
      </c>
      <c r="H5" s="33" t="s">
        <v>612</v>
      </c>
    </row>
    <row r="6" spans="1:10" x14ac:dyDescent="0.2">
      <c r="C6" s="5" t="s">
        <v>12</v>
      </c>
      <c r="D6" s="2">
        <v>10</v>
      </c>
      <c r="E6" s="2">
        <v>20</v>
      </c>
      <c r="F6" s="2">
        <v>30</v>
      </c>
      <c r="G6" s="2">
        <v>40</v>
      </c>
      <c r="H6" s="2">
        <v>50</v>
      </c>
    </row>
    <row r="7" spans="1:10" x14ac:dyDescent="0.2">
      <c r="C7" s="5" t="s">
        <v>13</v>
      </c>
      <c r="D7" s="2">
        <v>80</v>
      </c>
      <c r="E7" s="2">
        <v>90</v>
      </c>
      <c r="F7" s="2">
        <v>100</v>
      </c>
      <c r="G7" s="2">
        <v>110</v>
      </c>
      <c r="H7" s="2">
        <v>120</v>
      </c>
    </row>
    <row r="8" spans="1:10" x14ac:dyDescent="0.2">
      <c r="C8" s="5" t="s">
        <v>14</v>
      </c>
      <c r="D8" s="2">
        <v>97</v>
      </c>
      <c r="E8" s="2">
        <v>69</v>
      </c>
      <c r="F8" s="2">
        <v>45</v>
      </c>
      <c r="G8" s="2">
        <v>51</v>
      </c>
      <c r="H8" s="2">
        <v>77</v>
      </c>
    </row>
    <row r="11" spans="1:10" x14ac:dyDescent="0.2">
      <c r="C11" s="22"/>
      <c r="D11" s="24"/>
      <c r="E11" s="24"/>
      <c r="F11" s="35" t="s">
        <v>275</v>
      </c>
      <c r="G11" s="2" t="s">
        <v>13</v>
      </c>
    </row>
    <row r="12" spans="1:10" x14ac:dyDescent="0.2">
      <c r="C12" s="22"/>
      <c r="D12" s="24"/>
      <c r="E12" s="24"/>
      <c r="F12" s="35" t="s">
        <v>613</v>
      </c>
      <c r="G12" s="2">
        <v>4</v>
      </c>
    </row>
    <row r="14" spans="1:10" x14ac:dyDescent="0.2">
      <c r="E14" s="22"/>
      <c r="F14" s="35" t="s">
        <v>277</v>
      </c>
      <c r="G14" s="3">
        <f>VLOOKUP(G11,C6:H8,G12,FALSE)</f>
        <v>100</v>
      </c>
    </row>
    <row r="15" spans="1:10" x14ac:dyDescent="0.2">
      <c r="G15" s="8" t="s">
        <v>614</v>
      </c>
    </row>
    <row r="17" spans="2:10" ht="13.5" thickBot="1" x14ac:dyDescent="0.25">
      <c r="B17" s="9" t="s">
        <v>39</v>
      </c>
      <c r="C17" s="9"/>
      <c r="D17" s="9"/>
      <c r="E17" s="9"/>
      <c r="F17" s="9"/>
      <c r="G17" s="9"/>
      <c r="H17" s="9"/>
      <c r="I17" s="9"/>
      <c r="J17" s="9"/>
    </row>
    <row r="18" spans="2:10" x14ac:dyDescent="0.2">
      <c r="B18" t="s">
        <v>615</v>
      </c>
    </row>
    <row r="19" spans="2:10" x14ac:dyDescent="0.2">
      <c r="B19" t="s">
        <v>616</v>
      </c>
    </row>
    <row r="21" spans="2:10" ht="13.5" thickBot="1" x14ac:dyDescent="0.25">
      <c r="B21" s="9" t="s">
        <v>43</v>
      </c>
      <c r="C21" s="9"/>
      <c r="D21" s="9"/>
      <c r="E21" s="9"/>
      <c r="F21" s="9"/>
      <c r="G21" s="9"/>
      <c r="H21" s="9"/>
      <c r="I21" s="9"/>
      <c r="J21" s="9"/>
    </row>
    <row r="22" spans="2:10" x14ac:dyDescent="0.2">
      <c r="B22" s="10" t="s">
        <v>617</v>
      </c>
    </row>
    <row r="23" spans="2:10" x14ac:dyDescent="0.2">
      <c r="B23" t="s">
        <v>282</v>
      </c>
    </row>
    <row r="24" spans="2:10" x14ac:dyDescent="0.2">
      <c r="B24" t="s">
        <v>618</v>
      </c>
    </row>
    <row r="25" spans="2:10" x14ac:dyDescent="0.2">
      <c r="B25" t="s">
        <v>619</v>
      </c>
    </row>
    <row r="26" spans="2:10" x14ac:dyDescent="0.2">
      <c r="B26" t="s">
        <v>285</v>
      </c>
    </row>
    <row r="28" spans="2:10" ht="13.5" thickBot="1" x14ac:dyDescent="0.25">
      <c r="B28" s="9" t="s">
        <v>45</v>
      </c>
      <c r="C28" s="9"/>
      <c r="D28" s="9"/>
      <c r="E28" s="9"/>
      <c r="F28" s="9"/>
      <c r="G28" s="9"/>
      <c r="H28" s="9"/>
      <c r="I28" s="9"/>
      <c r="J28" s="9"/>
    </row>
    <row r="29" spans="2:10" x14ac:dyDescent="0.2">
      <c r="B29" t="s">
        <v>46</v>
      </c>
    </row>
    <row r="31" spans="2:10" ht="13.5" thickBot="1" x14ac:dyDescent="0.25">
      <c r="B31" s="9" t="s">
        <v>286</v>
      </c>
      <c r="C31" s="9"/>
      <c r="D31" s="9"/>
      <c r="E31" s="9"/>
      <c r="F31" s="9"/>
      <c r="G31" s="9"/>
      <c r="H31" s="9"/>
      <c r="I31" s="9"/>
      <c r="J31" s="9"/>
    </row>
    <row r="32" spans="2:10" x14ac:dyDescent="0.2">
      <c r="B32" t="s">
        <v>620</v>
      </c>
    </row>
    <row r="33" spans="2:2" x14ac:dyDescent="0.2">
      <c r="B33" t="s">
        <v>621</v>
      </c>
    </row>
    <row r="34" spans="2:2" x14ac:dyDescent="0.2">
      <c r="B34" t="s">
        <v>622</v>
      </c>
    </row>
    <row r="35" spans="2:2" x14ac:dyDescent="0.2">
      <c r="B35" t="s">
        <v>290</v>
      </c>
    </row>
    <row r="37" spans="2:2" x14ac:dyDescent="0.2">
      <c r="B37" t="s">
        <v>623</v>
      </c>
    </row>
    <row r="38" spans="2:2" x14ac:dyDescent="0.2">
      <c r="B38" t="s">
        <v>624</v>
      </c>
    </row>
    <row r="39" spans="2:2" x14ac:dyDescent="0.2">
      <c r="B39" t="s">
        <v>293</v>
      </c>
    </row>
    <row r="40" spans="2:2" x14ac:dyDescent="0.2">
      <c r="B40" t="s">
        <v>294</v>
      </c>
    </row>
    <row r="42" spans="2:2" x14ac:dyDescent="0.2">
      <c r="B42" t="s">
        <v>625</v>
      </c>
    </row>
    <row r="43" spans="2:2" x14ac:dyDescent="0.2">
      <c r="B43" t="s">
        <v>296</v>
      </c>
    </row>
    <row r="45" spans="2:2" x14ac:dyDescent="0.2">
      <c r="B45" t="s">
        <v>626</v>
      </c>
    </row>
    <row r="46" spans="2:2" x14ac:dyDescent="0.2">
      <c r="B46" t="s">
        <v>627</v>
      </c>
    </row>
    <row r="49" spans="2:10" x14ac:dyDescent="0.2">
      <c r="D49" s="5" t="s">
        <v>12</v>
      </c>
      <c r="E49" s="5" t="s">
        <v>13</v>
      </c>
      <c r="F49" s="5" t="s">
        <v>14</v>
      </c>
    </row>
    <row r="50" spans="2:10" x14ac:dyDescent="0.2">
      <c r="C50" s="5" t="s">
        <v>120</v>
      </c>
      <c r="D50" s="2">
        <v>10</v>
      </c>
      <c r="E50" s="2">
        <v>80</v>
      </c>
      <c r="F50" s="2">
        <v>97</v>
      </c>
    </row>
    <row r="51" spans="2:10" x14ac:dyDescent="0.2">
      <c r="C51" s="5" t="s">
        <v>300</v>
      </c>
      <c r="D51" s="2">
        <v>20</v>
      </c>
      <c r="E51" s="2">
        <v>90</v>
      </c>
      <c r="F51" s="2">
        <v>69</v>
      </c>
    </row>
    <row r="52" spans="2:10" x14ac:dyDescent="0.2">
      <c r="C52" s="5" t="s">
        <v>118</v>
      </c>
      <c r="D52" s="2">
        <v>30</v>
      </c>
      <c r="E52" s="2">
        <v>100</v>
      </c>
      <c r="F52" s="2">
        <v>45</v>
      </c>
    </row>
    <row r="53" spans="2:10" x14ac:dyDescent="0.2">
      <c r="C53" s="5" t="s">
        <v>121</v>
      </c>
      <c r="D53" s="2">
        <v>40</v>
      </c>
      <c r="E53" s="2">
        <v>110</v>
      </c>
      <c r="F53" s="2">
        <v>51</v>
      </c>
    </row>
    <row r="54" spans="2:10" x14ac:dyDescent="0.2">
      <c r="C54" s="5" t="s">
        <v>122</v>
      </c>
      <c r="D54" s="2">
        <v>50</v>
      </c>
      <c r="E54" s="2">
        <v>120</v>
      </c>
      <c r="F54" s="2">
        <v>77</v>
      </c>
    </row>
    <row r="56" spans="2:10" x14ac:dyDescent="0.2">
      <c r="B56" s="22"/>
      <c r="C56" s="24"/>
      <c r="D56" s="24"/>
      <c r="E56" s="35" t="s">
        <v>302</v>
      </c>
      <c r="F56" s="2" t="s">
        <v>628</v>
      </c>
    </row>
    <row r="57" spans="2:10" x14ac:dyDescent="0.2">
      <c r="B57" s="22"/>
      <c r="C57" s="24"/>
      <c r="D57" s="24"/>
      <c r="E57" s="35" t="s">
        <v>275</v>
      </c>
      <c r="F57" s="2" t="s">
        <v>629</v>
      </c>
    </row>
    <row r="59" spans="2:10" x14ac:dyDescent="0.2">
      <c r="D59" s="22"/>
      <c r="E59" s="35" t="s">
        <v>277</v>
      </c>
      <c r="F59" s="3">
        <f>VLOOKUP(F56,C50:F54,MATCH(F57,D49:F49,0)+1,FALSE)</f>
        <v>69</v>
      </c>
    </row>
    <row r="60" spans="2:10" x14ac:dyDescent="0.2">
      <c r="F60" s="19" t="s">
        <v>630</v>
      </c>
    </row>
    <row r="62" spans="2:10" ht="13.5" thickBot="1" x14ac:dyDescent="0.25">
      <c r="B62" s="9" t="s">
        <v>305</v>
      </c>
      <c r="C62" s="9"/>
      <c r="D62" s="9"/>
      <c r="E62" s="9"/>
      <c r="F62" s="9"/>
      <c r="G62" s="9"/>
      <c r="H62" s="9"/>
      <c r="I62" s="9"/>
      <c r="J62" s="9"/>
    </row>
    <row r="63" spans="2:10" x14ac:dyDescent="0.2">
      <c r="B63" t="s">
        <v>631</v>
      </c>
    </row>
    <row r="64" spans="2:10" x14ac:dyDescent="0.2">
      <c r="B64" t="s">
        <v>307</v>
      </c>
    </row>
    <row r="65" spans="2:9" x14ac:dyDescent="0.2">
      <c r="B65" t="s">
        <v>632</v>
      </c>
    </row>
    <row r="66" spans="2:9" x14ac:dyDescent="0.2">
      <c r="B66" t="s">
        <v>633</v>
      </c>
    </row>
    <row r="67" spans="2:9" x14ac:dyDescent="0.2">
      <c r="B67" t="s">
        <v>634</v>
      </c>
    </row>
    <row r="69" spans="2:9" x14ac:dyDescent="0.2">
      <c r="B69" t="s">
        <v>635</v>
      </c>
    </row>
    <row r="70" spans="2:9" x14ac:dyDescent="0.2">
      <c r="B70" t="s">
        <v>636</v>
      </c>
    </row>
    <row r="71" spans="2:9" x14ac:dyDescent="0.2">
      <c r="B71" t="s">
        <v>313</v>
      </c>
    </row>
    <row r="73" spans="2:9" ht="13.5" thickBot="1" x14ac:dyDescent="0.25">
      <c r="B73" s="36" t="s">
        <v>314</v>
      </c>
      <c r="C73" s="36" t="s">
        <v>315</v>
      </c>
      <c r="D73" s="36" t="s">
        <v>164</v>
      </c>
      <c r="F73" t="s">
        <v>637</v>
      </c>
    </row>
    <row r="74" spans="2:9" ht="14.25" thickTop="1" thickBot="1" x14ac:dyDescent="0.25">
      <c r="B74" s="37" t="s">
        <v>233</v>
      </c>
      <c r="C74" s="38" t="s">
        <v>316</v>
      </c>
      <c r="D74" s="39">
        <f>VLOOKUP(C74,F75:I79,MATCH(B74,G74:I74,0)+1,FALSE)</f>
        <v>50</v>
      </c>
      <c r="G74" s="70" t="s">
        <v>233</v>
      </c>
      <c r="H74" s="71" t="s">
        <v>235</v>
      </c>
      <c r="I74" s="72" t="s">
        <v>317</v>
      </c>
    </row>
    <row r="75" spans="2:9" ht="13.5" thickTop="1" x14ac:dyDescent="0.2">
      <c r="B75" s="37" t="s">
        <v>317</v>
      </c>
      <c r="C75" s="38" t="s">
        <v>318</v>
      </c>
      <c r="D75" s="39">
        <f>VLOOKUP(C75,F75:I79,MATCH(B75,G74:I74,0)+1,FALSE)</f>
        <v>600</v>
      </c>
      <c r="F75" s="73" t="s">
        <v>318</v>
      </c>
      <c r="G75" s="74">
        <v>500</v>
      </c>
      <c r="H75" s="74">
        <v>450</v>
      </c>
      <c r="I75" s="75">
        <v>600</v>
      </c>
    </row>
    <row r="76" spans="2:9" x14ac:dyDescent="0.2">
      <c r="B76" s="37" t="s">
        <v>235</v>
      </c>
      <c r="C76" s="38" t="s">
        <v>319</v>
      </c>
      <c r="D76" s="39">
        <f>VLOOKUP(C76,F75:I79,MATCH(B76,G74:I74,0)+1,FALSE)</f>
        <v>1200</v>
      </c>
      <c r="F76" s="76" t="s">
        <v>319</v>
      </c>
      <c r="G76" s="2">
        <v>1000</v>
      </c>
      <c r="H76" s="2">
        <v>1200</v>
      </c>
      <c r="I76" s="77">
        <v>800</v>
      </c>
    </row>
    <row r="77" spans="2:9" x14ac:dyDescent="0.2">
      <c r="B77" s="37" t="s">
        <v>317</v>
      </c>
      <c r="C77" s="38" t="s">
        <v>320</v>
      </c>
      <c r="D77" s="39">
        <f>VLOOKUP(C77,F75:I79,MATCH(B77,G74:I74,0)+1,FALSE)</f>
        <v>275</v>
      </c>
      <c r="F77" s="76" t="s">
        <v>320</v>
      </c>
      <c r="G77" s="2">
        <v>250</v>
      </c>
      <c r="H77" s="2">
        <v>350</v>
      </c>
      <c r="I77" s="77">
        <v>275</v>
      </c>
    </row>
    <row r="78" spans="2:9" x14ac:dyDescent="0.2">
      <c r="B78" s="37" t="s">
        <v>235</v>
      </c>
      <c r="C78" s="38" t="s">
        <v>316</v>
      </c>
      <c r="D78" s="39">
        <f>VLOOKUP(C78,F75:I79,MATCH(B78,G74:I74,0)+1,FALSE)</f>
        <v>70</v>
      </c>
      <c r="F78" s="76" t="s">
        <v>316</v>
      </c>
      <c r="G78" s="2">
        <v>50</v>
      </c>
      <c r="H78" s="2">
        <v>70</v>
      </c>
      <c r="I78" s="77">
        <v>45</v>
      </c>
    </row>
    <row r="79" spans="2:9" ht="13.5" thickBot="1" x14ac:dyDescent="0.25">
      <c r="B79" s="37" t="s">
        <v>235</v>
      </c>
      <c r="C79" s="38" t="s">
        <v>321</v>
      </c>
      <c r="D79" s="39">
        <f>VLOOKUP(C79,F75:I79,MATCH(B79,G74:I74,0)+1,FALSE)</f>
        <v>290</v>
      </c>
      <c r="F79" s="78" t="s">
        <v>321</v>
      </c>
      <c r="G79" s="79">
        <v>300</v>
      </c>
      <c r="H79" s="79">
        <v>290</v>
      </c>
      <c r="I79" s="80">
        <v>310</v>
      </c>
    </row>
    <row r="80" spans="2:9" ht="13.5" thickTop="1" x14ac:dyDescent="0.2">
      <c r="B80" s="37" t="s">
        <v>233</v>
      </c>
      <c r="C80" s="38" t="s">
        <v>318</v>
      </c>
      <c r="D80" s="39">
        <f>VLOOKUP(C80,F75:I79,MATCH(B80,G74:I74,0)+1,FALSE)</f>
        <v>500</v>
      </c>
    </row>
    <row r="81" spans="2:10" x14ac:dyDescent="0.2">
      <c r="B81" s="37" t="s">
        <v>235</v>
      </c>
      <c r="C81" s="38" t="s">
        <v>319</v>
      </c>
      <c r="D81" s="39">
        <f>VLOOKUP(C81,F75:I79,MATCH(B81,G74:I74,0)+1,FALSE)</f>
        <v>1200</v>
      </c>
    </row>
    <row r="82" spans="2:10" x14ac:dyDescent="0.2">
      <c r="D82" s="8" t="s">
        <v>638</v>
      </c>
    </row>
    <row r="85" spans="2:10" ht="13.5" thickBot="1" x14ac:dyDescent="0.25">
      <c r="B85" s="9" t="s">
        <v>323</v>
      </c>
      <c r="C85" s="9"/>
      <c r="D85" s="9"/>
      <c r="E85" s="9"/>
      <c r="F85" s="9"/>
      <c r="G85" s="9"/>
      <c r="H85" s="9"/>
      <c r="I85" s="9"/>
      <c r="J85" s="9"/>
    </row>
    <row r="86" spans="2:10" x14ac:dyDescent="0.2">
      <c r="B86" t="s">
        <v>324</v>
      </c>
    </row>
    <row r="87" spans="2:10" x14ac:dyDescent="0.2">
      <c r="B87" t="s">
        <v>325</v>
      </c>
    </row>
    <row r="88" spans="2:10" x14ac:dyDescent="0.2">
      <c r="B88" t="s">
        <v>326</v>
      </c>
    </row>
    <row r="89" spans="2:10" x14ac:dyDescent="0.2">
      <c r="B89" t="s">
        <v>327</v>
      </c>
    </row>
    <row r="91" spans="2:10" x14ac:dyDescent="0.2">
      <c r="B91" t="s">
        <v>328</v>
      </c>
    </row>
    <row r="92" spans="2:10" x14ac:dyDescent="0.2">
      <c r="B92" t="s">
        <v>639</v>
      </c>
    </row>
    <row r="94" spans="2:10" x14ac:dyDescent="0.2">
      <c r="B94" t="s">
        <v>330</v>
      </c>
    </row>
    <row r="95" spans="2:10" x14ac:dyDescent="0.2">
      <c r="B95" t="s">
        <v>331</v>
      </c>
    </row>
    <row r="96" spans="2:10" x14ac:dyDescent="0.2">
      <c r="B96" t="s">
        <v>640</v>
      </c>
    </row>
    <row r="97" spans="2:9" x14ac:dyDescent="0.2">
      <c r="B97" t="s">
        <v>333</v>
      </c>
    </row>
    <row r="98" spans="2:9" x14ac:dyDescent="0.2">
      <c r="B98" t="s">
        <v>334</v>
      </c>
    </row>
    <row r="99" spans="2:9" x14ac:dyDescent="0.2">
      <c r="B99" t="s">
        <v>641</v>
      </c>
    </row>
    <row r="101" spans="2:9" x14ac:dyDescent="0.2">
      <c r="B101" t="s">
        <v>336</v>
      </c>
    </row>
    <row r="102" spans="2:9" x14ac:dyDescent="0.2">
      <c r="B102" t="s">
        <v>642</v>
      </c>
    </row>
    <row r="103" spans="2:9" x14ac:dyDescent="0.2">
      <c r="B103" t="s">
        <v>643</v>
      </c>
    </row>
    <row r="104" spans="2:9" x14ac:dyDescent="0.2">
      <c r="B104" t="s">
        <v>339</v>
      </c>
    </row>
    <row r="105" spans="2:9" x14ac:dyDescent="0.2">
      <c r="B105" t="s">
        <v>644</v>
      </c>
    </row>
    <row r="106" spans="2:9" x14ac:dyDescent="0.2">
      <c r="B106" t="s">
        <v>341</v>
      </c>
    </row>
    <row r="107" spans="2:9" x14ac:dyDescent="0.2">
      <c r="B107" t="s">
        <v>645</v>
      </c>
    </row>
    <row r="108" spans="2:9" x14ac:dyDescent="0.2">
      <c r="B108" t="s">
        <v>343</v>
      </c>
    </row>
    <row r="109" spans="2:9" x14ac:dyDescent="0.2">
      <c r="B109" t="s">
        <v>646</v>
      </c>
    </row>
    <row r="110" spans="2:9" x14ac:dyDescent="0.2">
      <c r="B110" t="s">
        <v>647</v>
      </c>
    </row>
    <row r="112" spans="2:9" ht="13.5" thickBot="1" x14ac:dyDescent="0.25">
      <c r="G112" s="51" t="s">
        <v>348</v>
      </c>
      <c r="H112" s="51"/>
      <c r="I112" s="51"/>
    </row>
    <row r="113" spans="2:9" ht="14.25" thickTop="1" thickBot="1" x14ac:dyDescent="0.25">
      <c r="C113" s="51" t="s">
        <v>346</v>
      </c>
      <c r="D113" s="51"/>
      <c r="G113" s="81" t="s">
        <v>347</v>
      </c>
      <c r="H113" s="82" t="s">
        <v>90</v>
      </c>
      <c r="I113" s="83" t="s">
        <v>91</v>
      </c>
    </row>
    <row r="114" spans="2:9" ht="13.5" thickTop="1" x14ac:dyDescent="0.2">
      <c r="C114" s="84" t="s">
        <v>347</v>
      </c>
      <c r="D114" s="85">
        <v>2</v>
      </c>
      <c r="F114" s="86">
        <v>1</v>
      </c>
      <c r="G114" s="87">
        <v>0</v>
      </c>
      <c r="H114" s="87">
        <v>0</v>
      </c>
      <c r="I114" s="88">
        <v>0</v>
      </c>
    </row>
    <row r="115" spans="2:9" x14ac:dyDescent="0.2">
      <c r="C115" s="89" t="s">
        <v>90</v>
      </c>
      <c r="D115" s="90">
        <v>1</v>
      </c>
      <c r="F115" s="91">
        <v>100</v>
      </c>
      <c r="G115" s="54">
        <v>0.06</v>
      </c>
      <c r="H115" s="54">
        <v>0.03</v>
      </c>
      <c r="I115" s="92">
        <v>0.12</v>
      </c>
    </row>
    <row r="116" spans="2:9" ht="13.5" thickBot="1" x14ac:dyDescent="0.25">
      <c r="C116" s="93" t="s">
        <v>91</v>
      </c>
      <c r="D116" s="94">
        <v>3</v>
      </c>
      <c r="F116" s="95">
        <v>300</v>
      </c>
      <c r="G116" s="96">
        <v>0.08</v>
      </c>
      <c r="H116" s="96">
        <v>0.05</v>
      </c>
      <c r="I116" s="97">
        <v>0.15</v>
      </c>
    </row>
    <row r="117" spans="2:9" ht="13.5" thickTop="1" x14ac:dyDescent="0.2"/>
    <row r="119" spans="2:9" x14ac:dyDescent="0.2">
      <c r="C119" s="51" t="s">
        <v>349</v>
      </c>
      <c r="D119" s="51"/>
      <c r="E119" s="51"/>
      <c r="F119" s="51"/>
      <c r="G119" s="51"/>
    </row>
    <row r="120" spans="2:9" x14ac:dyDescent="0.2">
      <c r="C120" s="5" t="s">
        <v>88</v>
      </c>
      <c r="D120" s="5" t="s">
        <v>350</v>
      </c>
      <c r="E120" s="5" t="s">
        <v>351</v>
      </c>
      <c r="F120" s="5" t="s">
        <v>352</v>
      </c>
      <c r="G120" s="5" t="s">
        <v>15</v>
      </c>
    </row>
    <row r="121" spans="2:9" x14ac:dyDescent="0.2">
      <c r="C121" s="38" t="s">
        <v>347</v>
      </c>
      <c r="D121" s="37">
        <v>100</v>
      </c>
      <c r="E121" s="55">
        <f>VLOOKUP(C121,C114:D116,2,FALSE)</f>
        <v>2</v>
      </c>
      <c r="F121" s="56">
        <f>VLOOKUP(D121,F114:I116,MATCH(C121,G113:I113,0)+1,TRUE)</f>
        <v>0.06</v>
      </c>
      <c r="G121" s="55">
        <f t="shared" ref="G121:G126" si="0">(D121*E121)-(D121*E121*F121)</f>
        <v>188</v>
      </c>
    </row>
    <row r="122" spans="2:9" x14ac:dyDescent="0.2">
      <c r="C122" s="38" t="s">
        <v>90</v>
      </c>
      <c r="D122" s="37">
        <v>200</v>
      </c>
      <c r="E122" s="55">
        <f>VLOOKUP(C122,C114:D116,2,FALSE)</f>
        <v>1</v>
      </c>
      <c r="F122" s="56">
        <f>VLOOKUP(D122,F114:I116,MATCH(C122,G113:I113,0)+1,TRUE)</f>
        <v>0.03</v>
      </c>
      <c r="G122" s="55">
        <f t="shared" si="0"/>
        <v>194</v>
      </c>
    </row>
    <row r="123" spans="2:9" x14ac:dyDescent="0.2">
      <c r="C123" s="38" t="s">
        <v>91</v>
      </c>
      <c r="D123" s="37">
        <v>150</v>
      </c>
      <c r="E123" s="55">
        <f>VLOOKUP(C123,C114:D116,2,FALSE)</f>
        <v>3</v>
      </c>
      <c r="F123" s="56">
        <f>VLOOKUP(D123,F114:I116,MATCH(C123,G113:I113,0)+1,TRUE)</f>
        <v>0.12</v>
      </c>
      <c r="G123" s="55">
        <f t="shared" si="0"/>
        <v>396</v>
      </c>
    </row>
    <row r="124" spans="2:9" x14ac:dyDescent="0.2">
      <c r="C124" s="38" t="s">
        <v>347</v>
      </c>
      <c r="D124" s="37">
        <v>225</v>
      </c>
      <c r="E124" s="55">
        <f>VLOOKUP(C124,C114:D116,2,FALSE)</f>
        <v>2</v>
      </c>
      <c r="F124" s="56">
        <f>VLOOKUP(D124,F114:I116,MATCH(C124,G113:I113,0)+1,TRUE)</f>
        <v>0.06</v>
      </c>
      <c r="G124" s="55">
        <f t="shared" si="0"/>
        <v>423</v>
      </c>
    </row>
    <row r="125" spans="2:9" x14ac:dyDescent="0.2">
      <c r="C125" s="38" t="s">
        <v>90</v>
      </c>
      <c r="D125" s="37">
        <v>50</v>
      </c>
      <c r="E125" s="55">
        <f>VLOOKUP(C125,C114:D116,2,FALSE)</f>
        <v>1</v>
      </c>
      <c r="F125" s="56">
        <f>VLOOKUP(D125,F114:I116,MATCH(C125,G113:I113,0)+1,TRUE)</f>
        <v>0</v>
      </c>
      <c r="G125" s="55">
        <f t="shared" si="0"/>
        <v>50</v>
      </c>
    </row>
    <row r="126" spans="2:9" x14ac:dyDescent="0.2">
      <c r="C126" s="38" t="s">
        <v>91</v>
      </c>
      <c r="D126" s="37">
        <v>500</v>
      </c>
      <c r="E126" s="55">
        <f>VLOOKUP(C126,C114:D116,2,FALSE)</f>
        <v>3</v>
      </c>
      <c r="F126" s="56">
        <f>VLOOKUP(D126,F114:I116,MATCH(C126,G113:I113,0)+1,TRUE)</f>
        <v>0.15</v>
      </c>
      <c r="G126" s="55">
        <f t="shared" si="0"/>
        <v>1275</v>
      </c>
    </row>
    <row r="127" spans="2:9" ht="21" customHeight="1" x14ac:dyDescent="0.2"/>
    <row r="128" spans="2:9" x14ac:dyDescent="0.2">
      <c r="B128" t="s">
        <v>648</v>
      </c>
    </row>
    <row r="129" spans="2:3" x14ac:dyDescent="0.2">
      <c r="B129" t="s">
        <v>351</v>
      </c>
      <c r="C129" s="8" t="s">
        <v>649</v>
      </c>
    </row>
    <row r="130" spans="2:3" x14ac:dyDescent="0.2">
      <c r="B130" t="s">
        <v>352</v>
      </c>
      <c r="C130" s="8" t="s">
        <v>650</v>
      </c>
    </row>
    <row r="131" spans="2:3" x14ac:dyDescent="0.2">
      <c r="B131" t="s">
        <v>15</v>
      </c>
      <c r="C131" s="8" t="s">
        <v>651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8" fitToHeight="5" orientation="portrait" r:id="rId1"/>
  <headerFooter alignWithMargins="0">
    <oddHeader>&amp;LExcel Function Dictionary
© 1998 - 2000 Peter Noneley&amp;R&amp;A
Page &amp;P of &amp;N</oddHeader>
  </headerFooter>
  <rowBreaks count="3" manualBreakCount="3">
    <brk id="30" max="65535" man="1"/>
    <brk id="61" max="65535" man="1"/>
    <brk id="84" max="65535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7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8" r:id="rId5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9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">
    <tabColor rgb="FF00B050"/>
    <pageSetUpPr fitToPage="1"/>
  </sheetPr>
  <dimension ref="A1:H73"/>
  <sheetViews>
    <sheetView showGridLines="0" topLeftCell="A11" workbookViewId="0">
      <selection activeCell="F30" activeCellId="4" sqref="F16 K30 G30 P30 F30"/>
    </sheetView>
  </sheetViews>
  <sheetFormatPr defaultRowHeight="12.75" x14ac:dyDescent="0.2"/>
  <cols>
    <col min="1" max="1" width="3.5703125" customWidth="1"/>
    <col min="8" max="8" width="27.42578125" customWidth="1"/>
  </cols>
  <sheetData>
    <row r="1" spans="1:8" ht="18.75" thickBot="1" x14ac:dyDescent="0.3">
      <c r="A1" s="1" t="s">
        <v>652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B3" t="s">
        <v>653</v>
      </c>
    </row>
    <row r="4" spans="1:8" x14ac:dyDescent="0.2">
      <c r="B4" t="s">
        <v>654</v>
      </c>
    </row>
    <row r="5" spans="1:8" x14ac:dyDescent="0.2">
      <c r="B5" t="s">
        <v>655</v>
      </c>
    </row>
    <row r="6" spans="1:8" x14ac:dyDescent="0.2">
      <c r="B6" t="s">
        <v>656</v>
      </c>
    </row>
    <row r="8" spans="1:8" ht="13.5" thickBot="1" x14ac:dyDescent="0.25">
      <c r="B8" s="98" t="s">
        <v>657</v>
      </c>
      <c r="C8" s="98"/>
      <c r="D8" s="98"/>
      <c r="E8" s="98"/>
      <c r="F8" s="98"/>
      <c r="G8" s="98"/>
      <c r="H8" s="98"/>
    </row>
    <row r="9" spans="1:8" x14ac:dyDescent="0.2">
      <c r="B9" t="s">
        <v>658</v>
      </c>
    </row>
    <row r="10" spans="1:8" x14ac:dyDescent="0.2">
      <c r="B10" t="s">
        <v>659</v>
      </c>
    </row>
    <row r="12" spans="1:8" x14ac:dyDescent="0.2">
      <c r="C12" s="99">
        <v>6.25E-2</v>
      </c>
      <c r="D12" s="99">
        <v>0.52083333333333337</v>
      </c>
      <c r="E12" s="99">
        <v>0.84375</v>
      </c>
      <c r="F12" s="99">
        <v>0.94791666666666663</v>
      </c>
    </row>
    <row r="14" spans="1:8" x14ac:dyDescent="0.2">
      <c r="B14" t="s">
        <v>660</v>
      </c>
    </row>
    <row r="15" spans="1:8" x14ac:dyDescent="0.2">
      <c r="B15" t="s">
        <v>661</v>
      </c>
    </row>
    <row r="16" spans="1:8" x14ac:dyDescent="0.2">
      <c r="B16" t="s">
        <v>662</v>
      </c>
    </row>
    <row r="18" spans="2:8" x14ac:dyDescent="0.2">
      <c r="C18" s="100">
        <v>6.25E-2</v>
      </c>
      <c r="D18" s="100">
        <v>0.5625</v>
      </c>
      <c r="E18" s="100">
        <v>0.42708333333333331</v>
      </c>
      <c r="F18" s="100">
        <v>0.92708333333333337</v>
      </c>
    </row>
    <row r="20" spans="2:8" ht="13.5" thickBot="1" x14ac:dyDescent="0.25">
      <c r="B20" s="98" t="s">
        <v>663</v>
      </c>
      <c r="C20" s="98"/>
      <c r="D20" s="98"/>
      <c r="E20" s="98"/>
      <c r="F20" s="98"/>
      <c r="G20" s="98"/>
      <c r="H20" s="98"/>
    </row>
    <row r="21" spans="2:8" x14ac:dyDescent="0.2">
      <c r="B21" t="s">
        <v>664</v>
      </c>
    </row>
    <row r="23" spans="2:8" x14ac:dyDescent="0.2">
      <c r="C23" s="5" t="s">
        <v>665</v>
      </c>
      <c r="D23" s="5" t="s">
        <v>666</v>
      </c>
      <c r="E23" s="5" t="s">
        <v>667</v>
      </c>
    </row>
    <row r="24" spans="2:8" x14ac:dyDescent="0.2">
      <c r="C24" s="17">
        <v>6.25E-2</v>
      </c>
      <c r="D24" s="17">
        <v>0.10416666666666667</v>
      </c>
      <c r="E24" s="99">
        <f>D24-C24</f>
        <v>4.1666666666666671E-2</v>
      </c>
      <c r="F24" s="8" t="s">
        <v>668</v>
      </c>
    </row>
    <row r="25" spans="2:8" x14ac:dyDescent="0.2">
      <c r="C25" s="17">
        <v>0.33333333333333331</v>
      </c>
      <c r="D25" s="17">
        <v>0.70833333333333337</v>
      </c>
      <c r="E25" s="99">
        <f>D25-C25</f>
        <v>0.37500000000000006</v>
      </c>
      <c r="F25" s="8" t="s">
        <v>669</v>
      </c>
    </row>
    <row r="26" spans="2:8" x14ac:dyDescent="0.2">
      <c r="C26" s="101">
        <v>0.33333333333333331</v>
      </c>
      <c r="D26" s="101">
        <v>0.70833333333333337</v>
      </c>
      <c r="E26" s="100">
        <f>D26-C26</f>
        <v>0.37500000000000006</v>
      </c>
      <c r="F26" t="s">
        <v>670</v>
      </c>
    </row>
    <row r="27" spans="2:8" x14ac:dyDescent="0.2">
      <c r="F27" t="s">
        <v>671</v>
      </c>
    </row>
    <row r="28" spans="2:8" x14ac:dyDescent="0.2">
      <c r="F28" t="s">
        <v>672</v>
      </c>
    </row>
    <row r="29" spans="2:8" x14ac:dyDescent="0.2">
      <c r="F29" t="s">
        <v>673</v>
      </c>
    </row>
    <row r="31" spans="2:8" ht="13.5" thickBot="1" x14ac:dyDescent="0.25">
      <c r="B31" s="98" t="s">
        <v>674</v>
      </c>
      <c r="C31" s="98"/>
      <c r="D31" s="98"/>
      <c r="E31" s="98"/>
      <c r="F31" s="98"/>
      <c r="G31" s="98"/>
      <c r="H31" s="98"/>
    </row>
    <row r="32" spans="2:8" x14ac:dyDescent="0.2">
      <c r="B32" t="s">
        <v>675</v>
      </c>
    </row>
    <row r="33" spans="2:8" x14ac:dyDescent="0.2">
      <c r="B33" t="s">
        <v>676</v>
      </c>
    </row>
    <row r="34" spans="2:8" x14ac:dyDescent="0.2">
      <c r="B34" t="s">
        <v>677</v>
      </c>
    </row>
    <row r="36" spans="2:8" x14ac:dyDescent="0.2">
      <c r="C36" s="5" t="s">
        <v>665</v>
      </c>
      <c r="D36" s="5" t="s">
        <v>666</v>
      </c>
      <c r="E36" s="5" t="s">
        <v>667</v>
      </c>
    </row>
    <row r="37" spans="2:8" x14ac:dyDescent="0.2">
      <c r="C37" s="17">
        <v>6.25E-2</v>
      </c>
      <c r="D37" s="17">
        <v>0.10416666666666667</v>
      </c>
      <c r="E37" s="99">
        <f>D37-C37</f>
        <v>4.1666666666666671E-2</v>
      </c>
    </row>
    <row r="38" spans="2:8" x14ac:dyDescent="0.2">
      <c r="C38" s="17">
        <v>0.33333333333333331</v>
      </c>
      <c r="D38" s="17">
        <v>0.70833333333333337</v>
      </c>
      <c r="E38" s="99">
        <f>D38-C38</f>
        <v>0.37500000000000006</v>
      </c>
    </row>
    <row r="39" spans="2:8" x14ac:dyDescent="0.2">
      <c r="C39" s="101">
        <v>0.3125</v>
      </c>
      <c r="D39" s="101">
        <v>0.73958333333333337</v>
      </c>
      <c r="E39" s="99">
        <f>D39-C39</f>
        <v>0.42708333333333337</v>
      </c>
    </row>
    <row r="40" spans="2:8" x14ac:dyDescent="0.2">
      <c r="E40" s="99">
        <f>SUM(E37:E39)</f>
        <v>0.84375000000000011</v>
      </c>
    </row>
    <row r="42" spans="2:8" ht="13.5" thickBot="1" x14ac:dyDescent="0.25">
      <c r="B42" s="98" t="s">
        <v>678</v>
      </c>
      <c r="C42" s="98"/>
      <c r="D42" s="98"/>
      <c r="E42" s="98"/>
      <c r="F42" s="98"/>
      <c r="G42" s="98"/>
      <c r="H42" s="98"/>
    </row>
    <row r="43" spans="2:8" x14ac:dyDescent="0.2">
      <c r="B43" t="s">
        <v>679</v>
      </c>
    </row>
    <row r="44" spans="2:8" x14ac:dyDescent="0.2">
      <c r="B44" t="s">
        <v>680</v>
      </c>
    </row>
    <row r="45" spans="2:8" x14ac:dyDescent="0.2">
      <c r="B45" t="s">
        <v>681</v>
      </c>
    </row>
    <row r="47" spans="2:8" x14ac:dyDescent="0.2">
      <c r="B47" s="102" t="s">
        <v>682</v>
      </c>
      <c r="C47" s="102"/>
      <c r="D47" s="102"/>
    </row>
    <row r="48" spans="2:8" x14ac:dyDescent="0.2">
      <c r="C48" s="5" t="s">
        <v>665</v>
      </c>
      <c r="D48" s="5" t="s">
        <v>666</v>
      </c>
      <c r="E48" s="5" t="s">
        <v>667</v>
      </c>
    </row>
    <row r="49" spans="2:8" x14ac:dyDescent="0.2">
      <c r="C49" s="17">
        <v>0.29166666666666669</v>
      </c>
      <c r="D49" s="17">
        <v>0.77083333333333337</v>
      </c>
      <c r="E49" s="99">
        <f>D49-C49</f>
        <v>0.47916666666666669</v>
      </c>
    </row>
    <row r="50" spans="2:8" x14ac:dyDescent="0.2">
      <c r="C50" s="17">
        <v>0.33333333333333331</v>
      </c>
      <c r="D50" s="17">
        <v>0.70833333333333337</v>
      </c>
      <c r="E50" s="99">
        <f>D50-C50</f>
        <v>0.37500000000000006</v>
      </c>
    </row>
    <row r="51" spans="2:8" x14ac:dyDescent="0.2">
      <c r="C51" s="17">
        <v>0.3125</v>
      </c>
      <c r="D51" s="17">
        <v>0.73958333333333337</v>
      </c>
      <c r="E51" s="99">
        <f>D51-C51</f>
        <v>0.42708333333333337</v>
      </c>
    </row>
    <row r="52" spans="2:8" x14ac:dyDescent="0.2">
      <c r="D52" s="5" t="s">
        <v>15</v>
      </c>
      <c r="E52" s="99">
        <f>SUM(E49:E51)</f>
        <v>1.28125</v>
      </c>
      <c r="F52" s="8" t="s">
        <v>683</v>
      </c>
    </row>
    <row r="54" spans="2:8" x14ac:dyDescent="0.2">
      <c r="B54" s="102" t="s">
        <v>684</v>
      </c>
    </row>
    <row r="55" spans="2:8" x14ac:dyDescent="0.2">
      <c r="C55" s="5" t="s">
        <v>665</v>
      </c>
      <c r="D55" s="5" t="s">
        <v>666</v>
      </c>
      <c r="E55" s="5" t="s">
        <v>667</v>
      </c>
    </row>
    <row r="56" spans="2:8" x14ac:dyDescent="0.2">
      <c r="C56" s="17">
        <v>0.29166666666666669</v>
      </c>
      <c r="D56" s="17">
        <v>0.77083333333333337</v>
      </c>
      <c r="E56" s="99">
        <f>D56-C56</f>
        <v>0.47916666666666669</v>
      </c>
    </row>
    <row r="57" spans="2:8" x14ac:dyDescent="0.2">
      <c r="C57" s="17">
        <v>0.33333333333333331</v>
      </c>
      <c r="D57" s="17">
        <v>0.70833333333333337</v>
      </c>
      <c r="E57" s="99">
        <f>D57-C57</f>
        <v>0.37500000000000006</v>
      </c>
    </row>
    <row r="58" spans="2:8" x14ac:dyDescent="0.2">
      <c r="C58" s="17">
        <v>0.3125</v>
      </c>
      <c r="D58" s="17">
        <v>0.73958333333333337</v>
      </c>
      <c r="E58" s="99">
        <f>D58-C58</f>
        <v>0.42708333333333337</v>
      </c>
    </row>
    <row r="59" spans="2:8" x14ac:dyDescent="0.2">
      <c r="D59" s="5" t="s">
        <v>15</v>
      </c>
      <c r="E59" s="103">
        <f>SUM(E56:E58)</f>
        <v>1.28125</v>
      </c>
      <c r="F59" s="8" t="s">
        <v>685</v>
      </c>
    </row>
    <row r="62" spans="2:8" ht="13.5" thickBot="1" x14ac:dyDescent="0.25">
      <c r="B62" s="98" t="s">
        <v>686</v>
      </c>
      <c r="C62" s="98"/>
      <c r="D62" s="98"/>
      <c r="E62" s="98"/>
      <c r="F62" s="98"/>
      <c r="G62" s="98"/>
      <c r="H62" s="98"/>
    </row>
    <row r="63" spans="2:8" x14ac:dyDescent="0.2">
      <c r="B63" t="s">
        <v>687</v>
      </c>
    </row>
    <row r="64" spans="2:8" x14ac:dyDescent="0.2">
      <c r="B64" t="s">
        <v>688</v>
      </c>
    </row>
    <row r="66" spans="2:2" x14ac:dyDescent="0.2">
      <c r="B66" t="s">
        <v>689</v>
      </c>
    </row>
    <row r="67" spans="2:2" x14ac:dyDescent="0.2">
      <c r="B67" t="s">
        <v>690</v>
      </c>
    </row>
    <row r="68" spans="2:2" x14ac:dyDescent="0.2">
      <c r="B68" t="s">
        <v>691</v>
      </c>
    </row>
    <row r="69" spans="2:2" x14ac:dyDescent="0.2">
      <c r="B69" t="s">
        <v>692</v>
      </c>
    </row>
    <row r="70" spans="2:2" x14ac:dyDescent="0.2">
      <c r="B70" t="s">
        <v>693</v>
      </c>
    </row>
    <row r="71" spans="2:2" x14ac:dyDescent="0.2">
      <c r="B71" t="s">
        <v>694</v>
      </c>
    </row>
    <row r="72" spans="2:2" x14ac:dyDescent="0.2">
      <c r="B72" t="s">
        <v>695</v>
      </c>
    </row>
    <row r="73" spans="2:2" x14ac:dyDescent="0.2">
      <c r="B73" t="s">
        <v>696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80" fitToHeight="5" orientation="portrait" horizontalDpi="0" verticalDpi="0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Line="0" autoPict="0">
                <anchor>
                  <from>
                    <xdr:col>7</xdr:col>
                    <xdr:colOff>1038225</xdr:colOff>
                    <xdr:row>0</xdr:row>
                    <xdr:rowOff>28575</xdr:rowOff>
                  </from>
                  <to>
                    <xdr:col>7</xdr:col>
                    <xdr:colOff>1514475</xdr:colOff>
                    <xdr:row>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2" r:id="rId5" name="Button 2">
              <controlPr defaultSize="0" print="0" autoFill="0" autoLine="0" autoPict="0">
                <anchor>
                  <from>
                    <xdr:col>7</xdr:col>
                    <xdr:colOff>1581150</xdr:colOff>
                    <xdr:row>0</xdr:row>
                    <xdr:rowOff>28575</xdr:rowOff>
                  </from>
                  <to>
                    <xdr:col>7</xdr:col>
                    <xdr:colOff>1781175</xdr:colOff>
                    <xdr:row>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6" name="Button 3">
              <controlPr defaultSize="0" print="0" autoFill="0" autoLine="0" autoPict="0">
                <anchor>
                  <from>
                    <xdr:col>7</xdr:col>
                    <xdr:colOff>762000</xdr:colOff>
                    <xdr:row>0</xdr:row>
                    <xdr:rowOff>28575</xdr:rowOff>
                  </from>
                  <to>
                    <xdr:col>7</xdr:col>
                    <xdr:colOff>971550</xdr:colOff>
                    <xdr:row>0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61">
    <pageSetUpPr fitToPage="1"/>
  </sheetPr>
  <dimension ref="A1:H34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L19" sqref="L19"/>
    </sheetView>
  </sheetViews>
  <sheetFormatPr defaultRowHeight="12.75" x14ac:dyDescent="0.2"/>
  <cols>
    <col min="1" max="1" width="3.5703125" customWidth="1"/>
    <col min="2" max="2" width="14.28515625" customWidth="1"/>
    <col min="3" max="3" width="14.5703125" customWidth="1"/>
    <col min="4" max="4" width="9.5703125" customWidth="1"/>
    <col min="6" max="6" width="12.85546875" customWidth="1"/>
    <col min="7" max="7" width="11.85546875" customWidth="1"/>
    <col min="8" max="8" width="8.42578125" customWidth="1"/>
  </cols>
  <sheetData>
    <row r="1" spans="1:8" ht="18.75" thickBot="1" x14ac:dyDescent="0.3">
      <c r="A1" s="1" t="s">
        <v>697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B3" s="106" t="s">
        <v>698</v>
      </c>
      <c r="C3" s="107">
        <v>35800</v>
      </c>
      <c r="F3" s="106" t="s">
        <v>699</v>
      </c>
      <c r="G3" s="108">
        <v>1.5625</v>
      </c>
    </row>
    <row r="5" spans="1:8" x14ac:dyDescent="0.2">
      <c r="B5" s="6" t="s">
        <v>700</v>
      </c>
      <c r="C5" s="5" t="s">
        <v>701</v>
      </c>
      <c r="D5" s="6" t="s">
        <v>702</v>
      </c>
      <c r="E5" s="109" t="s">
        <v>703</v>
      </c>
      <c r="F5" s="5" t="s">
        <v>704</v>
      </c>
      <c r="G5" s="109" t="s">
        <v>15</v>
      </c>
    </row>
    <row r="6" spans="1:8" x14ac:dyDescent="0.2">
      <c r="B6" s="110">
        <f>C3</f>
        <v>35800</v>
      </c>
      <c r="C6" s="111">
        <v>0.33333333333333331</v>
      </c>
      <c r="D6" s="112">
        <v>0.54166666666666663</v>
      </c>
      <c r="E6" s="113">
        <v>0.58333333333333337</v>
      </c>
      <c r="F6" s="111">
        <v>0.70833333333333337</v>
      </c>
      <c r="G6" s="114">
        <f>(F6-C6)-(E6-D6)</f>
        <v>0.33333333333333331</v>
      </c>
      <c r="H6" s="115" t="s">
        <v>705</v>
      </c>
    </row>
    <row r="7" spans="1:8" x14ac:dyDescent="0.2">
      <c r="B7" s="110">
        <f>B6+1</f>
        <v>35801</v>
      </c>
      <c r="C7" s="111">
        <v>0.36458333333333331</v>
      </c>
      <c r="D7" s="112">
        <v>0.52083333333333337</v>
      </c>
      <c r="E7" s="113">
        <v>0.5625</v>
      </c>
      <c r="F7" s="111">
        <v>0.70833333333333337</v>
      </c>
      <c r="G7" s="114">
        <f>(F7-C7)-(E7-D7)</f>
        <v>0.30208333333333343</v>
      </c>
    </row>
    <row r="8" spans="1:8" x14ac:dyDescent="0.2">
      <c r="B8" s="110">
        <f>B7+1</f>
        <v>35802</v>
      </c>
      <c r="C8" s="111">
        <v>0.375</v>
      </c>
      <c r="D8" s="112">
        <v>0.54166666666666663</v>
      </c>
      <c r="E8" s="113">
        <v>0.58333333333333337</v>
      </c>
      <c r="F8" s="111">
        <v>0.75</v>
      </c>
      <c r="G8" s="114">
        <f>(F8-C8)-(E8-D8)</f>
        <v>0.33333333333333326</v>
      </c>
    </row>
    <row r="9" spans="1:8" x14ac:dyDescent="0.2">
      <c r="B9" s="110">
        <f>B8+1</f>
        <v>35803</v>
      </c>
      <c r="C9" s="111">
        <v>0.35416666666666669</v>
      </c>
      <c r="D9" s="112">
        <v>0.54166666666666663</v>
      </c>
      <c r="E9" s="113">
        <v>0.58333333333333337</v>
      </c>
      <c r="F9" s="111">
        <v>0.70833333333333337</v>
      </c>
      <c r="G9" s="114">
        <f>(F9-C9)-(E9-D9)</f>
        <v>0.31249999999999994</v>
      </c>
    </row>
    <row r="10" spans="1:8" x14ac:dyDescent="0.2">
      <c r="B10" s="116">
        <f>B9+1</f>
        <v>35804</v>
      </c>
      <c r="C10" s="117">
        <v>0.33333333333333331</v>
      </c>
      <c r="D10" s="118">
        <v>0.5</v>
      </c>
      <c r="E10" s="119">
        <v>0.54166666666666663</v>
      </c>
      <c r="F10" s="117">
        <v>0.70833333333333337</v>
      </c>
      <c r="G10" s="120">
        <f>(F10-C10)-(E10-D10)</f>
        <v>0.33333333333333343</v>
      </c>
    </row>
    <row r="11" spans="1:8" x14ac:dyDescent="0.2">
      <c r="F11" s="5" t="s">
        <v>706</v>
      </c>
      <c r="G11" s="103">
        <f>SUM(G6:G10)</f>
        <v>1.6145833333333335</v>
      </c>
      <c r="H11" s="121" t="s">
        <v>707</v>
      </c>
    </row>
    <row r="13" spans="1:8" x14ac:dyDescent="0.2">
      <c r="E13" s="22"/>
      <c r="F13" s="23" t="s">
        <v>708</v>
      </c>
      <c r="G13" s="99" t="str">
        <f>IF(G3-G11&gt;0,G3-G11, "-")</f>
        <v>-</v>
      </c>
      <c r="H13" s="122" t="s">
        <v>709</v>
      </c>
    </row>
    <row r="14" spans="1:8" x14ac:dyDescent="0.2">
      <c r="E14" s="123"/>
      <c r="F14" s="124" t="s">
        <v>710</v>
      </c>
      <c r="G14" s="99">
        <f>IF(G3-G11&lt;0,ABS(G3-G11),"-")</f>
        <v>5.2083333333333481E-2</v>
      </c>
      <c r="H14" s="122" t="s">
        <v>711</v>
      </c>
    </row>
    <row r="16" spans="1:8" ht="13.5" thickBot="1" x14ac:dyDescent="0.25">
      <c r="B16" s="9" t="s">
        <v>712</v>
      </c>
      <c r="C16" s="9"/>
      <c r="D16" s="9"/>
      <c r="E16" s="9"/>
      <c r="F16" s="9"/>
      <c r="G16" s="9"/>
      <c r="H16" s="9"/>
    </row>
    <row r="18" spans="2:7" ht="13.5" thickBot="1" x14ac:dyDescent="0.25">
      <c r="B18" s="9" t="s">
        <v>713</v>
      </c>
    </row>
    <row r="19" spans="2:7" x14ac:dyDescent="0.2">
      <c r="B19" t="s">
        <v>714</v>
      </c>
    </row>
    <row r="20" spans="2:7" x14ac:dyDescent="0.2">
      <c r="B20" t="s">
        <v>715</v>
      </c>
    </row>
    <row r="21" spans="2:7" x14ac:dyDescent="0.2">
      <c r="B21" t="s">
        <v>716</v>
      </c>
    </row>
    <row r="23" spans="2:7" x14ac:dyDescent="0.2">
      <c r="B23" t="s">
        <v>717</v>
      </c>
    </row>
    <row r="24" spans="2:7" x14ac:dyDescent="0.2">
      <c r="B24" t="s">
        <v>718</v>
      </c>
    </row>
    <row r="26" spans="2:7" x14ac:dyDescent="0.2">
      <c r="B26" t="s">
        <v>719</v>
      </c>
    </row>
    <row r="27" spans="2:7" x14ac:dyDescent="0.2">
      <c r="B27" t="s">
        <v>720</v>
      </c>
    </row>
    <row r="29" spans="2:7" ht="13.5" thickBot="1" x14ac:dyDescent="0.25">
      <c r="B29" s="9" t="s">
        <v>47</v>
      </c>
    </row>
    <row r="30" spans="2:7" x14ac:dyDescent="0.2">
      <c r="B30" t="s">
        <v>721</v>
      </c>
    </row>
    <row r="31" spans="2:7" x14ac:dyDescent="0.2">
      <c r="B31" t="s">
        <v>722</v>
      </c>
    </row>
    <row r="32" spans="2:7" x14ac:dyDescent="0.2">
      <c r="B32" t="s">
        <v>723</v>
      </c>
      <c r="G32" s="99">
        <f>SUM(G6:G10)</f>
        <v>1.6145833333333335</v>
      </c>
    </row>
    <row r="33" spans="2:2" x14ac:dyDescent="0.2">
      <c r="B33" t="s">
        <v>724</v>
      </c>
    </row>
    <row r="34" spans="2:2" x14ac:dyDescent="0.2">
      <c r="B34" t="s">
        <v>725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74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Line="0" autoPict="0">
                <anchor>
                  <from>
                    <xdr:col>6</xdr:col>
                    <xdr:colOff>457200</xdr:colOff>
                    <xdr:row>0</xdr:row>
                    <xdr:rowOff>38100</xdr:rowOff>
                  </from>
                  <to>
                    <xdr:col>7</xdr:col>
                    <xdr:colOff>133350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18" r:id="rId5" name="Button 2">
              <controlPr defaultSize="0" print="0" autoFill="0" autoLine="0" autoPict="0">
                <anchor>
                  <from>
                    <xdr:col>7</xdr:col>
                    <xdr:colOff>200025</xdr:colOff>
                    <xdr:row>0</xdr:row>
                    <xdr:rowOff>38100</xdr:rowOff>
                  </from>
                  <to>
                    <xdr:col>7</xdr:col>
                    <xdr:colOff>400050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19" r:id="rId6" name="Button 3">
              <controlPr defaultSize="0" print="0" autoFill="0" autoLine="0" autoPict="0">
                <anchor>
                  <from>
                    <xdr:col>6</xdr:col>
                    <xdr:colOff>190500</xdr:colOff>
                    <xdr:row>0</xdr:row>
                    <xdr:rowOff>38100</xdr:rowOff>
                  </from>
                  <to>
                    <xdr:col>6</xdr:col>
                    <xdr:colOff>390525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9108">
    <pageSetUpPr fitToPage="1"/>
  </sheetPr>
  <dimension ref="A1:H46"/>
  <sheetViews>
    <sheetView showGridLines="0" workbookViewId="0">
      <pane ySplit="1" topLeftCell="A8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5.28515625" customWidth="1"/>
    <col min="3" max="3" width="19.28515625" customWidth="1"/>
    <col min="4" max="4" width="13.5703125" customWidth="1"/>
    <col min="5" max="5" width="11.85546875" customWidth="1"/>
    <col min="6" max="6" width="11.7109375" customWidth="1"/>
    <col min="7" max="7" width="10.42578125" customWidth="1"/>
  </cols>
  <sheetData>
    <row r="1" spans="1:8" ht="18.75" thickBot="1" x14ac:dyDescent="0.3">
      <c r="A1" s="1" t="s">
        <v>726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B3" t="s">
        <v>727</v>
      </c>
    </row>
    <row r="4" spans="1:8" x14ac:dyDescent="0.2">
      <c r="B4" t="s">
        <v>728</v>
      </c>
    </row>
    <row r="5" spans="1:8" x14ac:dyDescent="0.2">
      <c r="B5" t="s">
        <v>729</v>
      </c>
    </row>
    <row r="6" spans="1:8" x14ac:dyDescent="0.2">
      <c r="B6" t="s">
        <v>730</v>
      </c>
    </row>
    <row r="8" spans="1:8" x14ac:dyDescent="0.2">
      <c r="B8" t="s">
        <v>731</v>
      </c>
    </row>
    <row r="9" spans="1:8" x14ac:dyDescent="0.2">
      <c r="B9" t="s">
        <v>732</v>
      </c>
    </row>
    <row r="11" spans="1:8" ht="13.5" thickBot="1" x14ac:dyDescent="0.25">
      <c r="B11" s="98" t="s">
        <v>733</v>
      </c>
      <c r="C11" s="98"/>
      <c r="D11" s="98"/>
      <c r="E11" s="98"/>
      <c r="F11" s="98"/>
      <c r="G11" s="98"/>
      <c r="H11" s="98"/>
    </row>
    <row r="13" spans="1:8" x14ac:dyDescent="0.2">
      <c r="C13" s="7" t="s">
        <v>399</v>
      </c>
      <c r="D13" s="7" t="s">
        <v>400</v>
      </c>
    </row>
    <row r="14" spans="1:8" x14ac:dyDescent="0.2">
      <c r="C14" s="11" t="s">
        <v>384</v>
      </c>
      <c r="D14" s="69" t="str">
        <f>LEFT(C14,FIND(" ",C14,1))</f>
        <v xml:space="preserve">Alan </v>
      </c>
      <c r="E14" s="8" t="s">
        <v>734</v>
      </c>
    </row>
    <row r="15" spans="1:8" x14ac:dyDescent="0.2">
      <c r="C15" s="11" t="s">
        <v>402</v>
      </c>
      <c r="D15" s="69" t="str">
        <f>LEFT(C15,FIND(" ",C15,1))</f>
        <v xml:space="preserve">Bob </v>
      </c>
      <c r="E15" s="8" t="s">
        <v>735</v>
      </c>
    </row>
    <row r="16" spans="1:8" x14ac:dyDescent="0.2">
      <c r="C16" s="11" t="s">
        <v>404</v>
      </c>
      <c r="D16" s="69" t="str">
        <f>LEFT(C16,FIND(" ",C16,1))</f>
        <v xml:space="preserve">Carol </v>
      </c>
      <c r="E16" s="8" t="s">
        <v>736</v>
      </c>
    </row>
    <row r="19" spans="2:8" ht="13.5" thickBot="1" x14ac:dyDescent="0.25">
      <c r="B19" s="98" t="s">
        <v>737</v>
      </c>
      <c r="C19" s="98"/>
      <c r="D19" s="98"/>
      <c r="E19" s="98"/>
      <c r="F19" s="98"/>
      <c r="G19" s="98"/>
      <c r="H19" s="98"/>
    </row>
    <row r="21" spans="2:8" x14ac:dyDescent="0.2">
      <c r="C21" s="7" t="s">
        <v>399</v>
      </c>
      <c r="D21" s="7" t="s">
        <v>738</v>
      </c>
    </row>
    <row r="22" spans="2:8" x14ac:dyDescent="0.2">
      <c r="C22" s="11" t="s">
        <v>384</v>
      </c>
      <c r="D22" s="69" t="str">
        <f>RIGHT(C22,LEN(C22)-FIND(" ",C22))</f>
        <v>Jones</v>
      </c>
      <c r="E22" s="8" t="s">
        <v>739</v>
      </c>
    </row>
    <row r="23" spans="2:8" x14ac:dyDescent="0.2">
      <c r="C23" s="11" t="s">
        <v>402</v>
      </c>
      <c r="D23" s="69" t="str">
        <f>RIGHT(C23,LEN(C23)-FIND(" ",C23))</f>
        <v>Smith</v>
      </c>
      <c r="E23" s="8" t="s">
        <v>740</v>
      </c>
    </row>
    <row r="24" spans="2:8" x14ac:dyDescent="0.2">
      <c r="C24" s="11" t="s">
        <v>404</v>
      </c>
      <c r="D24" s="69" t="str">
        <f>RIGHT(C24,LEN(C24)-FIND(" ",C24))</f>
        <v>Williams</v>
      </c>
      <c r="E24" s="8" t="s">
        <v>741</v>
      </c>
    </row>
    <row r="28" spans="2:8" ht="13.5" thickBot="1" x14ac:dyDescent="0.25">
      <c r="B28" s="98" t="s">
        <v>742</v>
      </c>
      <c r="C28" s="98"/>
      <c r="D28" s="98"/>
      <c r="E28" s="98"/>
      <c r="F28" s="98"/>
      <c r="G28" s="98"/>
      <c r="H28" s="98"/>
    </row>
    <row r="30" spans="2:8" x14ac:dyDescent="0.2">
      <c r="B30" t="s">
        <v>743</v>
      </c>
    </row>
    <row r="31" spans="2:8" x14ac:dyDescent="0.2">
      <c r="B31" t="s">
        <v>744</v>
      </c>
    </row>
    <row r="32" spans="2:8" x14ac:dyDescent="0.2">
      <c r="B32" t="s">
        <v>745</v>
      </c>
    </row>
    <row r="34" spans="2:8" x14ac:dyDescent="0.2">
      <c r="C34" s="7" t="s">
        <v>399</v>
      </c>
      <c r="D34" s="7" t="s">
        <v>738</v>
      </c>
    </row>
    <row r="35" spans="2:8" x14ac:dyDescent="0.2">
      <c r="C35" s="11" t="s">
        <v>746</v>
      </c>
      <c r="D35" s="69" t="str">
        <f>RIGHT(C35,LEN(C35)-FIND("#",SUBSTITUTE(C35," ","#",LEN(C35)-LEN(SUBSTITUTE(C35," ","")))))</f>
        <v>Jones</v>
      </c>
    </row>
    <row r="36" spans="2:8" x14ac:dyDescent="0.2">
      <c r="C36" s="11" t="s">
        <v>747</v>
      </c>
      <c r="D36" s="69" t="str">
        <f>RIGHT(C36,LEN(C36)-FIND("#",SUBSTITUTE(C36," ","#",LEN(C36)-LEN(SUBSTITUTE(C36," ","")))))</f>
        <v>Smith</v>
      </c>
    </row>
    <row r="37" spans="2:8" x14ac:dyDescent="0.2">
      <c r="C37" s="11" t="s">
        <v>748</v>
      </c>
      <c r="D37" s="69" t="str">
        <f>RIGHT(C37,LEN(C37)-FIND("#",SUBSTITUTE(C37," ","#",LEN(C37)-LEN(SUBSTITUTE(C37," ","")))))</f>
        <v>Williams</v>
      </c>
    </row>
    <row r="38" spans="2:8" ht="13.5" x14ac:dyDescent="0.25">
      <c r="D38" s="125" t="s">
        <v>749</v>
      </c>
    </row>
    <row r="40" spans="2:8" ht="13.5" thickBot="1" x14ac:dyDescent="0.25">
      <c r="B40" s="98" t="s">
        <v>750</v>
      </c>
      <c r="C40" s="98"/>
      <c r="D40" s="98"/>
      <c r="E40" s="98"/>
      <c r="F40" s="98"/>
      <c r="G40" s="98"/>
      <c r="H40" s="98"/>
    </row>
    <row r="42" spans="2:8" x14ac:dyDescent="0.2">
      <c r="C42" s="7" t="s">
        <v>399</v>
      </c>
      <c r="D42" s="7" t="s">
        <v>751</v>
      </c>
    </row>
    <row r="43" spans="2:8" x14ac:dyDescent="0.2">
      <c r="C43" s="11" t="s">
        <v>746</v>
      </c>
      <c r="D43" s="69" t="str">
        <f>LEFT(RIGHT(C43,LEN(C43)-FIND(" ",C43,1)),FIND(" ",RIGHT(C43,LEN(C43)-FIND(" ",C43,1)),1))</f>
        <v xml:space="preserve">David </v>
      </c>
    </row>
    <row r="44" spans="2:8" x14ac:dyDescent="0.2">
      <c r="C44" s="11" t="s">
        <v>747</v>
      </c>
      <c r="D44" s="69" t="str">
        <f>LEFT(RIGHT(C44,LEN(C44)-FIND(" ",C44,1)),FIND(" ",RIGHT(C44,LEN(C44)-FIND(" ",C44,1)),1))</f>
        <v xml:space="preserve">John </v>
      </c>
    </row>
    <row r="45" spans="2:8" x14ac:dyDescent="0.2">
      <c r="C45" s="11" t="s">
        <v>748</v>
      </c>
      <c r="D45" s="69" t="str">
        <f>LEFT(RIGHT(C45,LEN(C45)-FIND(" ",C45,1)),FIND(" ",RIGHT(C45,LEN(C45)-FIND(" ",C45,1)),1))</f>
        <v xml:space="preserve">Susan </v>
      </c>
    </row>
    <row r="46" spans="2:8" ht="13.5" x14ac:dyDescent="0.25">
      <c r="D46" s="125" t="s">
        <v>752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5841" r:id="rId4" name="Button 1">
              <controlPr defaultSize="0" print="0" autoFill="0" autoLine="0" autoPict="0">
                <anchor>
                  <from>
                    <xdr:col>6</xdr:col>
                    <xdr:colOff>552450</xdr:colOff>
                    <xdr:row>0</xdr:row>
                    <xdr:rowOff>38100</xdr:rowOff>
                  </from>
                  <to>
                    <xdr:col>7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2" r:id="rId5" name="Button 2">
              <controlPr defaultSize="0" print="0" autoFill="0" autoLine="0" autoPict="0">
                <anchor>
                  <from>
                    <xdr:col>7</xdr:col>
                    <xdr:colOff>400050</xdr:colOff>
                    <xdr:row>0</xdr:row>
                    <xdr:rowOff>38100</xdr:rowOff>
                  </from>
                  <to>
                    <xdr:col>7</xdr:col>
                    <xdr:colOff>600075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3" r:id="rId6" name="Button 3">
              <controlPr defaultSize="0" print="0" autoFill="0" autoLine="0" autoPict="0">
                <anchor>
                  <from>
                    <xdr:col>6</xdr:col>
                    <xdr:colOff>276225</xdr:colOff>
                    <xdr:row>0</xdr:row>
                    <xdr:rowOff>38100</xdr:rowOff>
                  </from>
                  <to>
                    <xdr:col>6</xdr:col>
                    <xdr:colOff>485775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9107">
    <pageSetUpPr fitToPage="1"/>
  </sheetPr>
  <dimension ref="A1:H116"/>
  <sheetViews>
    <sheetView showGridLines="0" workbookViewId="0">
      <pane ySplit="1" topLeftCell="A5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3" customWidth="1"/>
    <col min="3" max="3" width="13.85546875" customWidth="1"/>
    <col min="5" max="5" width="12.28515625" customWidth="1"/>
    <col min="6" max="6" width="11" customWidth="1"/>
    <col min="7" max="7" width="10.42578125" customWidth="1"/>
  </cols>
  <sheetData>
    <row r="1" spans="1:8" ht="18.75" thickBot="1" x14ac:dyDescent="0.3">
      <c r="A1" s="1" t="s">
        <v>753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B3" t="s">
        <v>754</v>
      </c>
    </row>
    <row r="4" spans="1:8" x14ac:dyDescent="0.2">
      <c r="B4" t="s">
        <v>755</v>
      </c>
    </row>
    <row r="6" spans="1:8" ht="13.5" thickBot="1" x14ac:dyDescent="0.25">
      <c r="B6" s="98" t="s">
        <v>756</v>
      </c>
      <c r="C6" s="98"/>
      <c r="D6" s="98"/>
      <c r="E6" s="98"/>
      <c r="F6" s="98"/>
      <c r="G6" s="98"/>
    </row>
    <row r="8" spans="1:8" x14ac:dyDescent="0.2">
      <c r="C8" s="7" t="s">
        <v>757</v>
      </c>
      <c r="D8" s="11">
        <v>120</v>
      </c>
    </row>
    <row r="9" spans="1:8" x14ac:dyDescent="0.2">
      <c r="C9" s="7" t="s">
        <v>758</v>
      </c>
      <c r="D9" s="54">
        <v>0.25</v>
      </c>
    </row>
    <row r="10" spans="1:8" x14ac:dyDescent="0.2">
      <c r="C10" s="7" t="s">
        <v>759</v>
      </c>
      <c r="D10" s="69">
        <f>D8*D9</f>
        <v>30</v>
      </c>
      <c r="E10" s="8" t="s">
        <v>760</v>
      </c>
    </row>
    <row r="12" spans="1:8" x14ac:dyDescent="0.2">
      <c r="C12" s="102" t="s">
        <v>286</v>
      </c>
    </row>
    <row r="13" spans="1:8" x14ac:dyDescent="0.2">
      <c r="C13" t="s">
        <v>761</v>
      </c>
    </row>
    <row r="14" spans="1:8" x14ac:dyDescent="0.2">
      <c r="C14" t="s">
        <v>762</v>
      </c>
    </row>
    <row r="15" spans="1:8" x14ac:dyDescent="0.2">
      <c r="C15" t="s">
        <v>763</v>
      </c>
    </row>
    <row r="17" spans="2:7" x14ac:dyDescent="0.2">
      <c r="C17" s="5" t="s">
        <v>764</v>
      </c>
      <c r="D17" s="5" t="s">
        <v>765</v>
      </c>
    </row>
    <row r="18" spans="2:7" x14ac:dyDescent="0.2">
      <c r="C18" s="2" t="s">
        <v>766</v>
      </c>
      <c r="D18" s="126">
        <v>0.1</v>
      </c>
    </row>
    <row r="19" spans="2:7" x14ac:dyDescent="0.2">
      <c r="C19" s="2" t="s">
        <v>767</v>
      </c>
      <c r="D19" s="126">
        <v>0.15</v>
      </c>
    </row>
    <row r="20" spans="2:7" x14ac:dyDescent="0.2">
      <c r="C20" s="2" t="s">
        <v>768</v>
      </c>
      <c r="D20" s="126">
        <v>0.2</v>
      </c>
    </row>
    <row r="22" spans="2:7" x14ac:dyDescent="0.2">
      <c r="C22" s="5" t="s">
        <v>769</v>
      </c>
      <c r="D22" s="5" t="s">
        <v>764</v>
      </c>
      <c r="E22" s="7" t="s">
        <v>770</v>
      </c>
      <c r="F22" s="7" t="s">
        <v>771</v>
      </c>
    </row>
    <row r="23" spans="2:7" x14ac:dyDescent="0.2">
      <c r="C23" s="5" t="s">
        <v>118</v>
      </c>
      <c r="D23" s="2" t="s">
        <v>766</v>
      </c>
      <c r="E23" s="127">
        <v>10000</v>
      </c>
      <c r="F23" s="128">
        <f t="shared" ref="F23:F28" si="0">E23*LOOKUP(D23,$C$18:$C$20,$D$18:$D$20)</f>
        <v>1000</v>
      </c>
      <c r="G23" s="129" t="s">
        <v>772</v>
      </c>
    </row>
    <row r="24" spans="2:7" x14ac:dyDescent="0.2">
      <c r="C24" s="5" t="s">
        <v>120</v>
      </c>
      <c r="D24" s="2" t="s">
        <v>767</v>
      </c>
      <c r="E24" s="127">
        <v>20000</v>
      </c>
      <c r="F24" s="128">
        <f t="shared" si="0"/>
        <v>3000</v>
      </c>
      <c r="G24" s="129" t="s">
        <v>773</v>
      </c>
    </row>
    <row r="25" spans="2:7" x14ac:dyDescent="0.2">
      <c r="C25" s="5" t="s">
        <v>121</v>
      </c>
      <c r="D25" s="2" t="s">
        <v>768</v>
      </c>
      <c r="E25" s="127">
        <v>30000</v>
      </c>
      <c r="F25" s="128">
        <f t="shared" si="0"/>
        <v>6000</v>
      </c>
      <c r="G25" s="129" t="s">
        <v>774</v>
      </c>
    </row>
    <row r="26" spans="2:7" x14ac:dyDescent="0.2">
      <c r="C26" s="5" t="s">
        <v>122</v>
      </c>
      <c r="D26" s="2" t="s">
        <v>767</v>
      </c>
      <c r="E26" s="127">
        <v>25000</v>
      </c>
      <c r="F26" s="128">
        <f t="shared" si="0"/>
        <v>3750</v>
      </c>
      <c r="G26" s="129" t="s">
        <v>775</v>
      </c>
    </row>
    <row r="27" spans="2:7" x14ac:dyDescent="0.2">
      <c r="C27" s="5" t="s">
        <v>123</v>
      </c>
      <c r="D27" s="2" t="s">
        <v>768</v>
      </c>
      <c r="E27" s="127">
        <v>32000</v>
      </c>
      <c r="F27" s="128">
        <f t="shared" si="0"/>
        <v>6400</v>
      </c>
      <c r="G27" s="129" t="s">
        <v>776</v>
      </c>
    </row>
    <row r="28" spans="2:7" x14ac:dyDescent="0.2">
      <c r="C28" s="5" t="s">
        <v>777</v>
      </c>
      <c r="D28" s="2" t="s">
        <v>766</v>
      </c>
      <c r="E28" s="127">
        <v>12000</v>
      </c>
      <c r="F28" s="128">
        <f t="shared" si="0"/>
        <v>1200</v>
      </c>
      <c r="G28" s="129" t="s">
        <v>778</v>
      </c>
    </row>
    <row r="31" spans="2:7" ht="13.5" thickBot="1" x14ac:dyDescent="0.25">
      <c r="B31" s="98" t="s">
        <v>779</v>
      </c>
      <c r="C31" s="98"/>
      <c r="D31" s="98"/>
      <c r="E31" s="98"/>
      <c r="F31" s="98"/>
      <c r="G31" s="98"/>
    </row>
    <row r="33" spans="3:7" x14ac:dyDescent="0.2">
      <c r="C33" s="7" t="s">
        <v>757</v>
      </c>
      <c r="D33" s="11">
        <v>120</v>
      </c>
    </row>
    <row r="34" spans="3:7" x14ac:dyDescent="0.2">
      <c r="C34" s="7" t="s">
        <v>780</v>
      </c>
      <c r="D34" s="54">
        <v>0.25</v>
      </c>
    </row>
    <row r="35" spans="3:7" x14ac:dyDescent="0.2">
      <c r="C35" s="7" t="s">
        <v>781</v>
      </c>
      <c r="D35" s="69">
        <f>D33*D34+D33</f>
        <v>150</v>
      </c>
      <c r="E35" s="8" t="s">
        <v>782</v>
      </c>
    </row>
    <row r="37" spans="3:7" x14ac:dyDescent="0.2">
      <c r="C37" s="102" t="s">
        <v>305</v>
      </c>
    </row>
    <row r="38" spans="3:7" x14ac:dyDescent="0.2">
      <c r="C38" t="s">
        <v>761</v>
      </c>
    </row>
    <row r="39" spans="3:7" x14ac:dyDescent="0.2">
      <c r="C39" t="s">
        <v>783</v>
      </c>
    </row>
    <row r="40" spans="3:7" x14ac:dyDescent="0.2">
      <c r="C40" t="s">
        <v>763</v>
      </c>
    </row>
    <row r="42" spans="3:7" x14ac:dyDescent="0.2">
      <c r="C42" s="5" t="s">
        <v>764</v>
      </c>
      <c r="D42" s="5" t="s">
        <v>765</v>
      </c>
    </row>
    <row r="43" spans="3:7" x14ac:dyDescent="0.2">
      <c r="C43" s="2" t="s">
        <v>766</v>
      </c>
      <c r="D43" s="126">
        <v>0.1</v>
      </c>
    </row>
    <row r="44" spans="3:7" x14ac:dyDescent="0.2">
      <c r="C44" s="2" t="s">
        <v>767</v>
      </c>
      <c r="D44" s="126">
        <v>0.15</v>
      </c>
    </row>
    <row r="45" spans="3:7" x14ac:dyDescent="0.2">
      <c r="C45" s="2" t="s">
        <v>768</v>
      </c>
      <c r="D45" s="126">
        <v>0.2</v>
      </c>
    </row>
    <row r="47" spans="3:7" x14ac:dyDescent="0.2">
      <c r="C47" s="5" t="s">
        <v>769</v>
      </c>
      <c r="D47" s="5" t="s">
        <v>764</v>
      </c>
      <c r="E47" s="7" t="s">
        <v>770</v>
      </c>
      <c r="F47" s="7" t="s">
        <v>771</v>
      </c>
    </row>
    <row r="48" spans="3:7" ht="13.5" x14ac:dyDescent="0.25">
      <c r="C48" s="5" t="s">
        <v>118</v>
      </c>
      <c r="D48" s="2" t="s">
        <v>766</v>
      </c>
      <c r="E48" s="127">
        <v>10000</v>
      </c>
      <c r="F48" s="128">
        <f t="shared" ref="F48:F53" si="1">E48*LOOKUP(D48,$C$18:$C$20,$D$18:$D$20)+E48</f>
        <v>11000</v>
      </c>
      <c r="G48" s="125" t="s">
        <v>784</v>
      </c>
    </row>
    <row r="49" spans="2:7" ht="13.5" x14ac:dyDescent="0.25">
      <c r="C49" s="5" t="s">
        <v>120</v>
      </c>
      <c r="D49" s="2" t="s">
        <v>767</v>
      </c>
      <c r="E49" s="127">
        <v>20000</v>
      </c>
      <c r="F49" s="128">
        <f t="shared" si="1"/>
        <v>23000</v>
      </c>
      <c r="G49" s="125" t="s">
        <v>785</v>
      </c>
    </row>
    <row r="50" spans="2:7" ht="13.5" x14ac:dyDescent="0.25">
      <c r="C50" s="5" t="s">
        <v>121</v>
      </c>
      <c r="D50" s="2" t="s">
        <v>768</v>
      </c>
      <c r="E50" s="127">
        <v>30000</v>
      </c>
      <c r="F50" s="128">
        <f t="shared" si="1"/>
        <v>36000</v>
      </c>
      <c r="G50" s="125" t="s">
        <v>786</v>
      </c>
    </row>
    <row r="51" spans="2:7" ht="13.5" x14ac:dyDescent="0.25">
      <c r="C51" s="5" t="s">
        <v>122</v>
      </c>
      <c r="D51" s="2" t="s">
        <v>767</v>
      </c>
      <c r="E51" s="127">
        <v>25000</v>
      </c>
      <c r="F51" s="128">
        <f t="shared" si="1"/>
        <v>28750</v>
      </c>
      <c r="G51" s="125" t="s">
        <v>787</v>
      </c>
    </row>
    <row r="52" spans="2:7" ht="13.5" x14ac:dyDescent="0.25">
      <c r="C52" s="5" t="s">
        <v>123</v>
      </c>
      <c r="D52" s="2" t="s">
        <v>768</v>
      </c>
      <c r="E52" s="127">
        <v>32000</v>
      </c>
      <c r="F52" s="128">
        <f t="shared" si="1"/>
        <v>38400</v>
      </c>
      <c r="G52" s="125" t="s">
        <v>788</v>
      </c>
    </row>
    <row r="53" spans="2:7" ht="13.5" x14ac:dyDescent="0.25">
      <c r="C53" s="5" t="s">
        <v>777</v>
      </c>
      <c r="D53" s="2" t="s">
        <v>766</v>
      </c>
      <c r="E53" s="127">
        <v>12000</v>
      </c>
      <c r="F53" s="128">
        <f t="shared" si="1"/>
        <v>13200</v>
      </c>
      <c r="G53" s="125" t="s">
        <v>789</v>
      </c>
    </row>
    <row r="56" spans="2:7" ht="13.5" thickBot="1" x14ac:dyDescent="0.25">
      <c r="B56" s="98" t="s">
        <v>790</v>
      </c>
      <c r="C56" s="98"/>
      <c r="D56" s="98"/>
      <c r="E56" s="98"/>
      <c r="F56" s="98"/>
      <c r="G56" s="98"/>
    </row>
    <row r="58" spans="2:7" x14ac:dyDescent="0.2">
      <c r="C58" s="7" t="s">
        <v>791</v>
      </c>
      <c r="D58" s="11">
        <v>120</v>
      </c>
    </row>
    <row r="59" spans="2:7" x14ac:dyDescent="0.2">
      <c r="C59" s="7" t="s">
        <v>792</v>
      </c>
      <c r="D59" s="11">
        <v>60</v>
      </c>
    </row>
    <row r="60" spans="2:7" x14ac:dyDescent="0.2">
      <c r="C60" s="7" t="s">
        <v>793</v>
      </c>
      <c r="D60" s="130">
        <f>D59/D58</f>
        <v>0.5</v>
      </c>
      <c r="E60" s="8" t="s">
        <v>794</v>
      </c>
    </row>
    <row r="62" spans="2:7" x14ac:dyDescent="0.2">
      <c r="C62" t="s">
        <v>795</v>
      </c>
    </row>
    <row r="63" spans="2:7" x14ac:dyDescent="0.2">
      <c r="C63" t="s">
        <v>796</v>
      </c>
    </row>
    <row r="65" spans="3:8" x14ac:dyDescent="0.2">
      <c r="C65" s="102" t="s">
        <v>323</v>
      </c>
    </row>
    <row r="66" spans="3:8" x14ac:dyDescent="0.2">
      <c r="C66" t="s">
        <v>797</v>
      </c>
    </row>
    <row r="67" spans="3:8" x14ac:dyDescent="0.2">
      <c r="C67" t="s">
        <v>798</v>
      </c>
    </row>
    <row r="68" spans="3:8" x14ac:dyDescent="0.2">
      <c r="C68" t="s">
        <v>799</v>
      </c>
    </row>
    <row r="69" spans="3:8" x14ac:dyDescent="0.2">
      <c r="C69" t="s">
        <v>800</v>
      </c>
    </row>
    <row r="70" spans="3:8" x14ac:dyDescent="0.2">
      <c r="C70" t="s">
        <v>801</v>
      </c>
    </row>
    <row r="72" spans="3:8" x14ac:dyDescent="0.2">
      <c r="C72" s="131" t="s">
        <v>802</v>
      </c>
      <c r="D72" s="132"/>
      <c r="E72" s="132"/>
      <c r="F72" s="132"/>
      <c r="G72" s="132"/>
    </row>
    <row r="73" spans="3:8" x14ac:dyDescent="0.2">
      <c r="C73" s="7" t="s">
        <v>803</v>
      </c>
      <c r="D73" s="7" t="s">
        <v>804</v>
      </c>
      <c r="E73" s="7" t="s">
        <v>805</v>
      </c>
      <c r="F73" s="7" t="s">
        <v>806</v>
      </c>
      <c r="G73" s="7" t="s">
        <v>807</v>
      </c>
    </row>
    <row r="74" spans="3:8" x14ac:dyDescent="0.2">
      <c r="C74" s="7" t="s">
        <v>16</v>
      </c>
      <c r="D74" s="133">
        <v>9000</v>
      </c>
      <c r="E74" s="133">
        <v>2000</v>
      </c>
      <c r="F74" s="133">
        <v>9000</v>
      </c>
      <c r="G74" s="133">
        <v>7000</v>
      </c>
    </row>
    <row r="75" spans="3:8" x14ac:dyDescent="0.2">
      <c r="C75" s="7" t="s">
        <v>17</v>
      </c>
      <c r="D75" s="133">
        <v>7000</v>
      </c>
      <c r="E75" s="133">
        <v>4000</v>
      </c>
      <c r="F75" s="133">
        <v>9000</v>
      </c>
      <c r="G75" s="133">
        <v>5000</v>
      </c>
    </row>
    <row r="76" spans="3:8" x14ac:dyDescent="0.2">
      <c r="C76" s="7" t="s">
        <v>18</v>
      </c>
      <c r="D76" s="133">
        <v>2000</v>
      </c>
      <c r="E76" s="133">
        <v>8000</v>
      </c>
      <c r="F76" s="133">
        <v>7000</v>
      </c>
      <c r="G76" s="133">
        <v>3000</v>
      </c>
    </row>
    <row r="77" spans="3:8" x14ac:dyDescent="0.2">
      <c r="C77" s="7" t="s">
        <v>19</v>
      </c>
      <c r="D77" s="133">
        <v>8000</v>
      </c>
      <c r="E77" s="133">
        <v>9000</v>
      </c>
      <c r="F77" s="133">
        <v>6000</v>
      </c>
      <c r="G77" s="133">
        <v>5000</v>
      </c>
      <c r="H77" s="5" t="s">
        <v>15</v>
      </c>
    </row>
    <row r="78" spans="3:8" x14ac:dyDescent="0.2">
      <c r="C78" s="7" t="s">
        <v>15</v>
      </c>
      <c r="D78" s="134">
        <f>SUM(D74:D77)</f>
        <v>26000</v>
      </c>
      <c r="E78" s="134">
        <f>SUM(E74:E77)</f>
        <v>23000</v>
      </c>
      <c r="F78" s="134">
        <f>SUM(F74:F77)</f>
        <v>31000</v>
      </c>
      <c r="G78" s="134">
        <f>SUM(G74:G77)</f>
        <v>20000</v>
      </c>
      <c r="H78" s="135">
        <f>SUM(D78:G78)</f>
        <v>100000</v>
      </c>
    </row>
    <row r="80" spans="3:8" x14ac:dyDescent="0.2">
      <c r="C80" s="131" t="s">
        <v>808</v>
      </c>
      <c r="D80" s="132"/>
      <c r="E80" s="132"/>
      <c r="F80" s="132"/>
      <c r="G80" s="132"/>
    </row>
    <row r="81" spans="3:8" x14ac:dyDescent="0.2">
      <c r="C81" s="7" t="s">
        <v>803</v>
      </c>
      <c r="D81" s="5" t="s">
        <v>804</v>
      </c>
      <c r="E81" s="5" t="s">
        <v>805</v>
      </c>
      <c r="F81" s="5" t="s">
        <v>806</v>
      </c>
      <c r="G81" s="5" t="s">
        <v>807</v>
      </c>
    </row>
    <row r="82" spans="3:8" x14ac:dyDescent="0.2">
      <c r="C82" s="7" t="s">
        <v>16</v>
      </c>
      <c r="D82" s="56">
        <f>D74/$H$78</f>
        <v>0.09</v>
      </c>
      <c r="E82" s="56">
        <f>E74/$H$78</f>
        <v>0.02</v>
      </c>
      <c r="F82" s="56">
        <f>F74/$H$78</f>
        <v>0.09</v>
      </c>
      <c r="G82" s="56">
        <f>G74/$H$78</f>
        <v>7.0000000000000007E-2</v>
      </c>
      <c r="H82" s="8" t="s">
        <v>809</v>
      </c>
    </row>
    <row r="83" spans="3:8" x14ac:dyDescent="0.2">
      <c r="C83" s="7" t="s">
        <v>17</v>
      </c>
      <c r="D83" s="56">
        <f t="shared" ref="D83:G86" si="2">D75/$H$78</f>
        <v>7.0000000000000007E-2</v>
      </c>
      <c r="E83" s="56">
        <f t="shared" si="2"/>
        <v>0.04</v>
      </c>
      <c r="F83" s="56">
        <f t="shared" si="2"/>
        <v>0.09</v>
      </c>
      <c r="G83" s="56">
        <f t="shared" si="2"/>
        <v>0.05</v>
      </c>
      <c r="H83" s="8" t="s">
        <v>810</v>
      </c>
    </row>
    <row r="84" spans="3:8" x14ac:dyDescent="0.2">
      <c r="C84" s="7" t="s">
        <v>18</v>
      </c>
      <c r="D84" s="56">
        <f t="shared" si="2"/>
        <v>0.02</v>
      </c>
      <c r="E84" s="56">
        <f t="shared" si="2"/>
        <v>0.08</v>
      </c>
      <c r="F84" s="56">
        <f t="shared" si="2"/>
        <v>7.0000000000000007E-2</v>
      </c>
      <c r="G84" s="56">
        <f t="shared" si="2"/>
        <v>0.03</v>
      </c>
      <c r="H84" s="8" t="s">
        <v>811</v>
      </c>
    </row>
    <row r="85" spans="3:8" x14ac:dyDescent="0.2">
      <c r="C85" s="7" t="s">
        <v>19</v>
      </c>
      <c r="D85" s="56">
        <f t="shared" si="2"/>
        <v>0.08</v>
      </c>
      <c r="E85" s="56">
        <f t="shared" si="2"/>
        <v>0.09</v>
      </c>
      <c r="F85" s="56">
        <f t="shared" si="2"/>
        <v>0.06</v>
      </c>
      <c r="G85" s="56">
        <f t="shared" si="2"/>
        <v>0.05</v>
      </c>
      <c r="H85" s="8" t="s">
        <v>812</v>
      </c>
    </row>
    <row r="86" spans="3:8" x14ac:dyDescent="0.2">
      <c r="C86" s="7" t="s">
        <v>15</v>
      </c>
      <c r="D86" s="56">
        <f t="shared" si="2"/>
        <v>0.26</v>
      </c>
      <c r="E86" s="56">
        <f t="shared" si="2"/>
        <v>0.23</v>
      </c>
      <c r="F86" s="56">
        <f t="shared" si="2"/>
        <v>0.31</v>
      </c>
      <c r="G86" s="56">
        <f t="shared" si="2"/>
        <v>0.2</v>
      </c>
      <c r="H86" s="8" t="s">
        <v>813</v>
      </c>
    </row>
    <row r="88" spans="3:8" x14ac:dyDescent="0.2">
      <c r="C88" s="136" t="s">
        <v>814</v>
      </c>
      <c r="D88" s="25"/>
      <c r="E88" s="137">
        <v>150000</v>
      </c>
    </row>
    <row r="89" spans="3:8" x14ac:dyDescent="0.2">
      <c r="C89" s="131" t="s">
        <v>815</v>
      </c>
      <c r="D89" s="132"/>
      <c r="E89" s="132"/>
      <c r="F89" s="132"/>
      <c r="G89" s="132"/>
    </row>
    <row r="90" spans="3:8" x14ac:dyDescent="0.2">
      <c r="C90" s="7" t="s">
        <v>803</v>
      </c>
      <c r="D90" s="5" t="s">
        <v>804</v>
      </c>
      <c r="E90" s="5" t="s">
        <v>805</v>
      </c>
      <c r="F90" s="5" t="s">
        <v>806</v>
      </c>
      <c r="G90" s="5" t="s">
        <v>807</v>
      </c>
    </row>
    <row r="91" spans="3:8" x14ac:dyDescent="0.2">
      <c r="C91" s="7" t="s">
        <v>16</v>
      </c>
      <c r="D91" s="135">
        <f t="shared" ref="D91:G95" si="3">D82*$E$88</f>
        <v>13500</v>
      </c>
      <c r="E91" s="135">
        <f t="shared" si="3"/>
        <v>3000</v>
      </c>
      <c r="F91" s="135">
        <f t="shared" si="3"/>
        <v>13500</v>
      </c>
      <c r="G91" s="135">
        <f t="shared" si="3"/>
        <v>10500.000000000002</v>
      </c>
      <c r="H91" s="8" t="s">
        <v>816</v>
      </c>
    </row>
    <row r="92" spans="3:8" x14ac:dyDescent="0.2">
      <c r="C92" s="7" t="s">
        <v>17</v>
      </c>
      <c r="D92" s="135">
        <f t="shared" si="3"/>
        <v>10500.000000000002</v>
      </c>
      <c r="E92" s="135">
        <f t="shared" si="3"/>
        <v>6000</v>
      </c>
      <c r="F92" s="135">
        <f t="shared" si="3"/>
        <v>13500</v>
      </c>
      <c r="G92" s="135">
        <f t="shared" si="3"/>
        <v>7500</v>
      </c>
      <c r="H92" s="8" t="s">
        <v>817</v>
      </c>
    </row>
    <row r="93" spans="3:8" x14ac:dyDescent="0.2">
      <c r="C93" s="7" t="s">
        <v>18</v>
      </c>
      <c r="D93" s="135">
        <f t="shared" si="3"/>
        <v>3000</v>
      </c>
      <c r="E93" s="135">
        <f t="shared" si="3"/>
        <v>12000</v>
      </c>
      <c r="F93" s="135">
        <f t="shared" si="3"/>
        <v>10500.000000000002</v>
      </c>
      <c r="G93" s="135">
        <f t="shared" si="3"/>
        <v>4500</v>
      </c>
      <c r="H93" s="8" t="s">
        <v>818</v>
      </c>
    </row>
    <row r="94" spans="3:8" x14ac:dyDescent="0.2">
      <c r="C94" s="7" t="s">
        <v>19</v>
      </c>
      <c r="D94" s="135">
        <f t="shared" si="3"/>
        <v>12000</v>
      </c>
      <c r="E94" s="135">
        <f t="shared" si="3"/>
        <v>13500</v>
      </c>
      <c r="F94" s="135">
        <f t="shared" si="3"/>
        <v>9000</v>
      </c>
      <c r="G94" s="135">
        <f t="shared" si="3"/>
        <v>7500</v>
      </c>
      <c r="H94" s="5" t="s">
        <v>15</v>
      </c>
    </row>
    <row r="95" spans="3:8" x14ac:dyDescent="0.2">
      <c r="C95" s="7" t="s">
        <v>15</v>
      </c>
      <c r="D95" s="135">
        <f t="shared" si="3"/>
        <v>39000</v>
      </c>
      <c r="E95" s="135">
        <f t="shared" si="3"/>
        <v>34500</v>
      </c>
      <c r="F95" s="135">
        <f t="shared" si="3"/>
        <v>46500</v>
      </c>
      <c r="G95" s="135">
        <f t="shared" si="3"/>
        <v>30000</v>
      </c>
      <c r="H95" s="135">
        <f>SUM(D95:G95)</f>
        <v>150000</v>
      </c>
    </row>
    <row r="98" spans="2:7" ht="13.5" thickBot="1" x14ac:dyDescent="0.25">
      <c r="B98" s="98" t="s">
        <v>819</v>
      </c>
      <c r="C98" s="98"/>
      <c r="D98" s="98"/>
      <c r="E98" s="98"/>
      <c r="F98" s="98"/>
      <c r="G98" s="98"/>
    </row>
    <row r="100" spans="2:7" x14ac:dyDescent="0.2">
      <c r="C100" s="7" t="s">
        <v>781</v>
      </c>
      <c r="D100" s="11">
        <v>150</v>
      </c>
    </row>
    <row r="101" spans="2:7" x14ac:dyDescent="0.2">
      <c r="C101" s="7" t="s">
        <v>780</v>
      </c>
      <c r="D101" s="138">
        <v>0.25</v>
      </c>
    </row>
    <row r="102" spans="2:7" x14ac:dyDescent="0.2">
      <c r="C102" s="7" t="s">
        <v>820</v>
      </c>
      <c r="D102" s="139">
        <f>D100/(100%+D101)</f>
        <v>120</v>
      </c>
      <c r="E102" s="8" t="s">
        <v>821</v>
      </c>
    </row>
    <row r="104" spans="2:7" x14ac:dyDescent="0.2">
      <c r="C104" s="102" t="s">
        <v>822</v>
      </c>
    </row>
    <row r="105" spans="2:7" x14ac:dyDescent="0.2">
      <c r="C105" t="s">
        <v>823</v>
      </c>
    </row>
    <row r="106" spans="2:7" x14ac:dyDescent="0.2">
      <c r="C106" t="s">
        <v>824</v>
      </c>
    </row>
    <row r="107" spans="2:7" x14ac:dyDescent="0.2">
      <c r="C107" t="s">
        <v>825</v>
      </c>
    </row>
    <row r="108" spans="2:7" x14ac:dyDescent="0.2">
      <c r="C108" t="s">
        <v>826</v>
      </c>
    </row>
    <row r="110" spans="2:7" x14ac:dyDescent="0.2">
      <c r="C110" s="5" t="s">
        <v>827</v>
      </c>
      <c r="D110" s="140">
        <v>0.17499999999999999</v>
      </c>
    </row>
    <row r="112" spans="2:7" x14ac:dyDescent="0.2">
      <c r="C112" s="5" t="s">
        <v>828</v>
      </c>
      <c r="D112" s="7" t="s">
        <v>15</v>
      </c>
      <c r="E112" s="7" t="s">
        <v>829</v>
      </c>
      <c r="F112" s="7" t="s">
        <v>830</v>
      </c>
    </row>
    <row r="113" spans="3:7" x14ac:dyDescent="0.2">
      <c r="C113" s="5" t="s">
        <v>831</v>
      </c>
      <c r="D113" s="141">
        <v>10</v>
      </c>
      <c r="E113" s="142">
        <f>D113/(100%+$D$110)</f>
        <v>8.5106382978723403</v>
      </c>
      <c r="F113" s="142">
        <f>D113-D113/(100%+$D$110)</f>
        <v>1.4893617021276597</v>
      </c>
      <c r="G113" s="8" t="s">
        <v>832</v>
      </c>
    </row>
    <row r="114" spans="3:7" x14ac:dyDescent="0.2">
      <c r="C114" s="5" t="s">
        <v>833</v>
      </c>
      <c r="D114" s="141">
        <v>235</v>
      </c>
      <c r="E114" s="142">
        <f>D114/(100%+$D$110)</f>
        <v>200</v>
      </c>
      <c r="F114" s="142">
        <f>D114-D114/(100%+$D$110)</f>
        <v>35</v>
      </c>
    </row>
    <row r="115" spans="3:7" x14ac:dyDescent="0.2">
      <c r="C115" s="5" t="s">
        <v>831</v>
      </c>
      <c r="D115" s="141">
        <v>117.5</v>
      </c>
      <c r="E115" s="142">
        <f>D115/(100%+$D$110)</f>
        <v>100</v>
      </c>
      <c r="F115" s="142">
        <f>D115-D115/(100%+$D$110)</f>
        <v>17.5</v>
      </c>
    </row>
    <row r="116" spans="3:7" x14ac:dyDescent="0.2">
      <c r="E116" s="19" t="s">
        <v>834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2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865" r:id="rId4" name="Button 1">
              <controlPr defaultSize="0" print="0" autoFill="0" autoLine="0" autoPict="0">
                <anchor>
                  <from>
                    <xdr:col>8</xdr:col>
                    <xdr:colOff>76200</xdr:colOff>
                    <xdr:row>0</xdr:row>
                    <xdr:rowOff>38100</xdr:rowOff>
                  </from>
                  <to>
                    <xdr:col>8</xdr:col>
                    <xdr:colOff>552450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66" r:id="rId5" name="Button 2">
              <controlPr defaultSize="0" print="0" autoFill="0" autoLine="0" autoPict="0">
                <anchor>
                  <from>
                    <xdr:col>9</xdr:col>
                    <xdr:colOff>9525</xdr:colOff>
                    <xdr:row>0</xdr:row>
                    <xdr:rowOff>38100</xdr:rowOff>
                  </from>
                  <to>
                    <xdr:col>9</xdr:col>
                    <xdr:colOff>209550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67" r:id="rId6" name="Button 3">
              <controlPr defaultSize="0" print="0" autoFill="0" autoLine="0" autoPict="0">
                <anchor>
                  <from>
                    <xdr:col>7</xdr:col>
                    <xdr:colOff>409575</xdr:colOff>
                    <xdr:row>0</xdr:row>
                    <xdr:rowOff>38100</xdr:rowOff>
                  </from>
                  <to>
                    <xdr:col>8</xdr:col>
                    <xdr:colOff>9525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9106">
    <pageSetUpPr fitToPage="1"/>
  </sheetPr>
  <dimension ref="A1:H21"/>
  <sheetViews>
    <sheetView showGridLines="0" workbookViewId="0">
      <pane ySplit="1" topLeftCell="A11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1.5703125" customWidth="1"/>
    <col min="4" max="4" width="13.5703125" customWidth="1"/>
    <col min="5" max="5" width="11.85546875" customWidth="1"/>
    <col min="6" max="6" width="11.7109375" customWidth="1"/>
    <col min="7" max="7" width="10.42578125" customWidth="1"/>
  </cols>
  <sheetData>
    <row r="1" spans="1:8" ht="18.75" thickBot="1" x14ac:dyDescent="0.3">
      <c r="A1" s="1" t="s">
        <v>835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B3" t="s">
        <v>836</v>
      </c>
    </row>
    <row r="4" spans="1:8" x14ac:dyDescent="0.2">
      <c r="B4" t="s">
        <v>837</v>
      </c>
    </row>
    <row r="6" spans="1:8" x14ac:dyDescent="0.2">
      <c r="B6" t="s">
        <v>838</v>
      </c>
    </row>
    <row r="7" spans="1:8" x14ac:dyDescent="0.2">
      <c r="B7" t="s">
        <v>839</v>
      </c>
    </row>
    <row r="8" spans="1:8" x14ac:dyDescent="0.2">
      <c r="B8" t="s">
        <v>840</v>
      </c>
    </row>
    <row r="9" spans="1:8" x14ac:dyDescent="0.2">
      <c r="B9" t="s">
        <v>841</v>
      </c>
    </row>
    <row r="11" spans="1:8" x14ac:dyDescent="0.2">
      <c r="B11" s="4"/>
      <c r="C11" s="5" t="s">
        <v>12</v>
      </c>
      <c r="D11" s="5" t="s">
        <v>13</v>
      </c>
      <c r="E11" s="5" t="s">
        <v>14</v>
      </c>
    </row>
    <row r="12" spans="1:8" x14ac:dyDescent="0.2">
      <c r="B12" s="5" t="s">
        <v>16</v>
      </c>
      <c r="C12" s="143">
        <v>45</v>
      </c>
      <c r="D12" s="143">
        <v>50</v>
      </c>
      <c r="E12" s="143">
        <v>50</v>
      </c>
      <c r="F12" s="66"/>
    </row>
    <row r="13" spans="1:8" x14ac:dyDescent="0.2">
      <c r="B13" s="5" t="s">
        <v>17</v>
      </c>
      <c r="C13" s="143">
        <v>30</v>
      </c>
      <c r="D13" s="143">
        <v>25</v>
      </c>
      <c r="E13" s="143">
        <v>35</v>
      </c>
    </row>
    <row r="14" spans="1:8" x14ac:dyDescent="0.2">
      <c r="B14" s="5" t="s">
        <v>18</v>
      </c>
      <c r="C14" s="143">
        <v>35</v>
      </c>
      <c r="D14" s="143">
        <v>10</v>
      </c>
      <c r="E14" s="143">
        <v>50</v>
      </c>
    </row>
    <row r="15" spans="1:8" x14ac:dyDescent="0.2">
      <c r="B15" s="5" t="s">
        <v>19</v>
      </c>
      <c r="C15" s="143">
        <v>20</v>
      </c>
      <c r="D15" s="143">
        <v>50</v>
      </c>
      <c r="E15" s="143">
        <v>5</v>
      </c>
    </row>
    <row r="16" spans="1:8" x14ac:dyDescent="0.2">
      <c r="B16" s="5" t="s">
        <v>15</v>
      </c>
      <c r="C16" s="3"/>
      <c r="D16" s="3"/>
      <c r="E16" s="3"/>
    </row>
    <row r="17" spans="2:8" x14ac:dyDescent="0.2">
      <c r="C17" s="19"/>
      <c r="D17" s="19"/>
      <c r="E17" s="19"/>
    </row>
    <row r="19" spans="2:8" ht="13.5" thickBot="1" x14ac:dyDescent="0.25">
      <c r="B19" s="98" t="s">
        <v>842</v>
      </c>
      <c r="C19" s="98"/>
      <c r="D19" s="98"/>
      <c r="E19" s="98"/>
      <c r="F19" s="98"/>
      <c r="G19" s="98"/>
      <c r="H19" s="98"/>
    </row>
    <row r="20" spans="2:8" x14ac:dyDescent="0.2">
      <c r="B20" t="s">
        <v>843</v>
      </c>
    </row>
    <row r="21" spans="2:8" x14ac:dyDescent="0.2">
      <c r="B21" t="s">
        <v>844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7889" r:id="rId4" name="Button 1">
              <controlPr defaultSize="0" print="0" autoFill="0" autoLine="0" autoPict="0">
                <anchor>
                  <from>
                    <xdr:col>7</xdr:col>
                    <xdr:colOff>114300</xdr:colOff>
                    <xdr:row>0</xdr:row>
                    <xdr:rowOff>38100</xdr:rowOff>
                  </from>
                  <to>
                    <xdr:col>7</xdr:col>
                    <xdr:colOff>590550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0" r:id="rId5" name="Button 2">
              <controlPr defaultSize="0" print="0" autoFill="0" autoLine="0" autoPict="0">
                <anchor>
                  <from>
                    <xdr:col>8</xdr:col>
                    <xdr:colOff>47625</xdr:colOff>
                    <xdr:row>0</xdr:row>
                    <xdr:rowOff>38100</xdr:rowOff>
                  </from>
                  <to>
                    <xdr:col>8</xdr:col>
                    <xdr:colOff>247650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1" r:id="rId6" name="Button 3">
              <controlPr defaultSize="0" print="0" autoFill="0" autoLine="0" autoPict="0">
                <anchor>
                  <from>
                    <xdr:col>6</xdr:col>
                    <xdr:colOff>533400</xdr:colOff>
                    <xdr:row>0</xdr:row>
                    <xdr:rowOff>38100</xdr:rowOff>
                  </from>
                  <to>
                    <xdr:col>7</xdr:col>
                    <xdr:colOff>47625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9104">
    <pageSetUpPr fitToPage="1"/>
  </sheetPr>
  <dimension ref="A1:H13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1.5703125" customWidth="1"/>
    <col min="4" max="4" width="13.5703125" customWidth="1"/>
    <col min="5" max="5" width="11.85546875" customWidth="1"/>
    <col min="6" max="6" width="11.7109375" customWidth="1"/>
    <col min="7" max="7" width="10.42578125" customWidth="1"/>
  </cols>
  <sheetData>
    <row r="1" spans="1:8" ht="18.75" thickBot="1" x14ac:dyDescent="0.3">
      <c r="A1" s="1" t="s">
        <v>845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B3" t="s">
        <v>846</v>
      </c>
    </row>
    <row r="4" spans="1:8" x14ac:dyDescent="0.2">
      <c r="B4" t="s">
        <v>847</v>
      </c>
    </row>
    <row r="6" spans="1:8" x14ac:dyDescent="0.2">
      <c r="B6" s="4"/>
      <c r="C6" s="5" t="s">
        <v>12</v>
      </c>
      <c r="D6" s="5" t="s">
        <v>13</v>
      </c>
      <c r="E6" s="5" t="s">
        <v>14</v>
      </c>
    </row>
    <row r="7" spans="1:8" x14ac:dyDescent="0.2">
      <c r="B7" s="5" t="s">
        <v>16</v>
      </c>
      <c r="C7" s="143">
        <v>45</v>
      </c>
      <c r="D7" s="143">
        <v>50</v>
      </c>
      <c r="E7" s="143">
        <v>50</v>
      </c>
    </row>
    <row r="8" spans="1:8" x14ac:dyDescent="0.2">
      <c r="B8" s="5" t="s">
        <v>17</v>
      </c>
      <c r="C8" s="143">
        <v>30</v>
      </c>
      <c r="D8" s="143">
        <v>25</v>
      </c>
      <c r="E8" s="143">
        <v>35</v>
      </c>
    </row>
    <row r="9" spans="1:8" x14ac:dyDescent="0.2">
      <c r="B9" s="5" t="s">
        <v>18</v>
      </c>
      <c r="C9" s="143">
        <v>35</v>
      </c>
      <c r="D9" s="143">
        <v>10</v>
      </c>
      <c r="E9" s="143">
        <v>50</v>
      </c>
    </row>
    <row r="10" spans="1:8" x14ac:dyDescent="0.2">
      <c r="B10" s="5" t="s">
        <v>19</v>
      </c>
      <c r="C10" s="143">
        <v>20</v>
      </c>
      <c r="D10" s="143">
        <v>50</v>
      </c>
      <c r="E10" s="143">
        <v>5</v>
      </c>
    </row>
    <row r="12" spans="1:8" x14ac:dyDescent="0.2">
      <c r="B12" t="s">
        <v>848</v>
      </c>
    </row>
    <row r="13" spans="1:8" x14ac:dyDescent="0.2">
      <c r="B13" t="s">
        <v>849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8913" r:id="rId4" name="Button 1">
              <controlPr defaultSize="0" print="0" autoFill="0" autoLine="0" autoPict="0">
                <anchor>
                  <from>
                    <xdr:col>7</xdr:col>
                    <xdr:colOff>114300</xdr:colOff>
                    <xdr:row>0</xdr:row>
                    <xdr:rowOff>38100</xdr:rowOff>
                  </from>
                  <to>
                    <xdr:col>7</xdr:col>
                    <xdr:colOff>590550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4" r:id="rId5" name="Button 2">
              <controlPr defaultSize="0" print="0" autoFill="0" autoLine="0" autoPict="0">
                <anchor>
                  <from>
                    <xdr:col>8</xdr:col>
                    <xdr:colOff>47625</xdr:colOff>
                    <xdr:row>0</xdr:row>
                    <xdr:rowOff>38100</xdr:rowOff>
                  </from>
                  <to>
                    <xdr:col>8</xdr:col>
                    <xdr:colOff>247650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5" r:id="rId6" name="Button 3">
              <controlPr defaultSize="0" print="0" autoFill="0" autoLine="0" autoPict="0">
                <anchor>
                  <from>
                    <xdr:col>6</xdr:col>
                    <xdr:colOff>533400</xdr:colOff>
                    <xdr:row>0</xdr:row>
                    <xdr:rowOff>38100</xdr:rowOff>
                  </from>
                  <to>
                    <xdr:col>7</xdr:col>
                    <xdr:colOff>47625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9103">
    <pageSetUpPr fitToPage="1"/>
  </sheetPr>
  <dimension ref="A1:G23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15.5703125" customWidth="1"/>
    <col min="3" max="3" width="11.5703125" customWidth="1"/>
    <col min="4" max="4" width="13.5703125" customWidth="1"/>
    <col min="5" max="5" width="11.85546875" customWidth="1"/>
    <col min="6" max="6" width="11.7109375" customWidth="1"/>
    <col min="7" max="7" width="10.42578125" customWidth="1"/>
  </cols>
  <sheetData>
    <row r="1" spans="1:7" ht="18.75" thickBot="1" x14ac:dyDescent="0.3">
      <c r="A1" s="1" t="s">
        <v>850</v>
      </c>
      <c r="B1" s="1"/>
      <c r="C1" s="1"/>
      <c r="D1" s="1"/>
      <c r="E1" s="1"/>
      <c r="F1" s="1"/>
      <c r="G1" s="1"/>
    </row>
    <row r="2" spans="1:7" ht="13.5" thickTop="1" x14ac:dyDescent="0.2"/>
    <row r="3" spans="1:7" x14ac:dyDescent="0.2">
      <c r="B3" t="s">
        <v>851</v>
      </c>
    </row>
    <row r="4" spans="1:7" x14ac:dyDescent="0.2">
      <c r="B4" t="s">
        <v>852</v>
      </c>
    </row>
    <row r="6" spans="1:7" x14ac:dyDescent="0.2">
      <c r="B6" t="s">
        <v>853</v>
      </c>
    </row>
    <row r="7" spans="1:7" x14ac:dyDescent="0.2">
      <c r="B7" s="144" t="str">
        <f ca="1">CELL("filename")</f>
        <v>D:\Bonus\Excel Templates\[163 Excel Formula.xlsx]Welcome note</v>
      </c>
      <c r="C7" s="145"/>
      <c r="D7" s="145"/>
    </row>
    <row r="8" spans="1:7" x14ac:dyDescent="0.2">
      <c r="B8" s="8" t="s">
        <v>854</v>
      </c>
    </row>
    <row r="10" spans="1:7" x14ac:dyDescent="0.2">
      <c r="B10" t="s">
        <v>855</v>
      </c>
    </row>
    <row r="11" spans="1:7" x14ac:dyDescent="0.2">
      <c r="B11" t="s">
        <v>856</v>
      </c>
    </row>
    <row r="13" spans="1:7" ht="13.5" thickBot="1" x14ac:dyDescent="0.25">
      <c r="B13" s="98" t="s">
        <v>857</v>
      </c>
      <c r="C13" s="98"/>
      <c r="D13" s="98"/>
      <c r="E13" s="98"/>
      <c r="F13" s="98"/>
      <c r="G13" s="98"/>
    </row>
    <row r="14" spans="1:7" x14ac:dyDescent="0.2">
      <c r="B14" s="144" t="str">
        <f ca="1">MID(CELL("filename"),1,FIND("[",CELL("filename"))-1)</f>
        <v>D:\Bonus\Excel Templates\</v>
      </c>
      <c r="C14" s="145"/>
      <c r="D14" s="145"/>
    </row>
    <row r="15" spans="1:7" x14ac:dyDescent="0.2">
      <c r="B15" s="8" t="s">
        <v>858</v>
      </c>
    </row>
    <row r="17" spans="2:7" ht="13.5" thickBot="1" x14ac:dyDescent="0.25">
      <c r="B17" s="98" t="s">
        <v>859</v>
      </c>
      <c r="C17" s="98"/>
      <c r="D17" s="98"/>
      <c r="E17" s="98"/>
      <c r="F17" s="98"/>
      <c r="G17" s="98"/>
    </row>
    <row r="18" spans="2:7" x14ac:dyDescent="0.2">
      <c r="B18" s="144" t="str">
        <f ca="1">MID(CELL("filename"),FIND("[",CELL("filename"))+1,FIND("]",CELL("filename"))-FIND("[",CELL("filename"))-1)</f>
        <v>163 Excel Formula.xlsx</v>
      </c>
      <c r="C18" s="145"/>
      <c r="D18" s="145"/>
    </row>
    <row r="19" spans="2:7" x14ac:dyDescent="0.2">
      <c r="B19" s="129" t="s">
        <v>860</v>
      </c>
    </row>
    <row r="21" spans="2:7" ht="13.5" thickBot="1" x14ac:dyDescent="0.25">
      <c r="B21" s="98" t="s">
        <v>861</v>
      </c>
      <c r="C21" s="98"/>
      <c r="D21" s="98"/>
      <c r="E21" s="98"/>
      <c r="F21" s="98"/>
      <c r="G21" s="98"/>
    </row>
    <row r="22" spans="2:7" x14ac:dyDescent="0.2">
      <c r="B22" s="144" t="str">
        <f ca="1">MID(CELL("filename"),FIND("]",CELL("filename"))+1,255)</f>
        <v>Welcome note</v>
      </c>
    </row>
    <row r="23" spans="2:7" x14ac:dyDescent="0.2">
      <c r="B23" s="8" t="s">
        <v>862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9937" r:id="rId4" name="Button 1">
              <controlPr defaultSize="0" print="0" autoFill="0" autoLine="0" autoPict="0">
                <anchor>
                  <from>
                    <xdr:col>6</xdr:col>
                    <xdr:colOff>381000</xdr:colOff>
                    <xdr:row>0</xdr:row>
                    <xdr:rowOff>38100</xdr:rowOff>
                  </from>
                  <to>
                    <xdr:col>7</xdr:col>
                    <xdr:colOff>161925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8" r:id="rId5" name="Button 2">
              <controlPr defaultSize="0" print="0" autoFill="0" autoLine="0" autoPict="0">
                <anchor>
                  <from>
                    <xdr:col>7</xdr:col>
                    <xdr:colOff>228600</xdr:colOff>
                    <xdr:row>0</xdr:row>
                    <xdr:rowOff>38100</xdr:rowOff>
                  </from>
                  <to>
                    <xdr:col>7</xdr:col>
                    <xdr:colOff>428625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9" r:id="rId6" name="Button 3">
              <controlPr defaultSize="0" print="0" autoFill="0" autoLine="0" autoPict="0">
                <anchor>
                  <from>
                    <xdr:col>6</xdr:col>
                    <xdr:colOff>104775</xdr:colOff>
                    <xdr:row>0</xdr:row>
                    <xdr:rowOff>38100</xdr:rowOff>
                  </from>
                  <to>
                    <xdr:col>6</xdr:col>
                    <xdr:colOff>314325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9102">
    <pageSetUpPr fitToPage="1"/>
  </sheetPr>
  <dimension ref="A1:H34"/>
  <sheetViews>
    <sheetView showGridLines="0" workbookViewId="0">
      <pane ySplit="1" topLeftCell="A14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1.5703125" customWidth="1"/>
    <col min="4" max="4" width="13.5703125" customWidth="1"/>
    <col min="5" max="5" width="11.85546875" customWidth="1"/>
    <col min="6" max="6" width="11.7109375" customWidth="1"/>
    <col min="7" max="7" width="10.42578125" customWidth="1"/>
  </cols>
  <sheetData>
    <row r="1" spans="1:8" ht="18.75" thickBot="1" x14ac:dyDescent="0.3">
      <c r="A1" s="1" t="s">
        <v>863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B3" t="s">
        <v>864</v>
      </c>
    </row>
    <row r="4" spans="1:8" x14ac:dyDescent="0.2">
      <c r="B4" t="s">
        <v>865</v>
      </c>
    </row>
    <row r="5" spans="1:8" x14ac:dyDescent="0.2">
      <c r="B5" t="s">
        <v>866</v>
      </c>
    </row>
    <row r="7" spans="1:8" x14ac:dyDescent="0.2">
      <c r="B7" t="s">
        <v>867</v>
      </c>
    </row>
    <row r="8" spans="1:8" ht="15.75" x14ac:dyDescent="0.25">
      <c r="B8" t="s">
        <v>868</v>
      </c>
    </row>
    <row r="10" spans="1:8" ht="13.5" thickBot="1" x14ac:dyDescent="0.25">
      <c r="B10" s="146" t="s">
        <v>869</v>
      </c>
      <c r="C10" s="146"/>
      <c r="D10" s="146"/>
      <c r="E10" s="146"/>
      <c r="F10" s="146"/>
      <c r="G10" s="146"/>
      <c r="H10" s="146"/>
    </row>
    <row r="12" spans="1:8" x14ac:dyDescent="0.2">
      <c r="C12" s="11">
        <v>10</v>
      </c>
    </row>
    <row r="13" spans="1:8" x14ac:dyDescent="0.2">
      <c r="C13" s="11">
        <v>20</v>
      </c>
    </row>
    <row r="14" spans="1:8" x14ac:dyDescent="0.2">
      <c r="C14" s="11">
        <v>2</v>
      </c>
    </row>
    <row r="15" spans="1:8" x14ac:dyDescent="0.2">
      <c r="C15" s="69">
        <f>C12+C13*C14</f>
        <v>50</v>
      </c>
      <c r="D15" s="8" t="s">
        <v>870</v>
      </c>
    </row>
    <row r="17" spans="2:8" x14ac:dyDescent="0.2">
      <c r="C17" t="str">
        <f>"You may expect that "&amp;C12&amp;" + "&amp;C13&amp;" would equal "&amp;C12+C13</f>
        <v>You may expect that 10 + 20 would equal 30</v>
      </c>
    </row>
    <row r="18" spans="2:8" x14ac:dyDescent="0.2">
      <c r="C18" t="str">
        <f>"And then "&amp;C12+C13&amp;" * "&amp;C14&amp;" would equal "&amp;(C12+C13)*C14</f>
        <v>And then 30 * 2 would equal 60</v>
      </c>
    </row>
    <row r="20" spans="2:8" x14ac:dyDescent="0.2">
      <c r="C20" t="s">
        <v>871</v>
      </c>
    </row>
    <row r="21" spans="2:8" x14ac:dyDescent="0.2">
      <c r="C21" t="str">
        <f>"calculation as "&amp;C13&amp;" * "&amp;C14&amp;" resulting in "&amp;C13*C14</f>
        <v>calculation as 20 * 2 resulting in 40</v>
      </c>
    </row>
    <row r="22" spans="2:8" x14ac:dyDescent="0.2">
      <c r="C22" t="str">
        <f>"And then "&amp;C12&amp;" + "&amp;C13*C14&amp;" resulting in "&amp;C13*C14+C12</f>
        <v>And then 10 + 40 resulting in 50</v>
      </c>
    </row>
    <row r="25" spans="2:8" ht="13.5" thickBot="1" x14ac:dyDescent="0.25">
      <c r="B25" s="146" t="s">
        <v>872</v>
      </c>
      <c r="C25" s="146"/>
      <c r="D25" s="146"/>
      <c r="E25" s="146"/>
      <c r="F25" s="146"/>
      <c r="G25" s="146"/>
      <c r="H25" s="146"/>
    </row>
    <row r="27" spans="2:8" x14ac:dyDescent="0.2">
      <c r="C27" s="11">
        <v>10</v>
      </c>
    </row>
    <row r="28" spans="2:8" x14ac:dyDescent="0.2">
      <c r="C28" s="11">
        <v>20</v>
      </c>
    </row>
    <row r="29" spans="2:8" x14ac:dyDescent="0.2">
      <c r="C29" s="11">
        <v>2</v>
      </c>
    </row>
    <row r="30" spans="2:8" x14ac:dyDescent="0.2">
      <c r="C30" s="69">
        <f>(C27+C28)*C29</f>
        <v>60</v>
      </c>
      <c r="D30" s="8" t="s">
        <v>873</v>
      </c>
    </row>
    <row r="32" spans="2:8" x14ac:dyDescent="0.2">
      <c r="C32" t="str">
        <f>"By placing brackets around ("&amp;C27&amp;"+"&amp;C28&amp;") Excel performs this"</f>
        <v>By placing brackets around (10+20) Excel performs this</v>
      </c>
    </row>
    <row r="33" spans="3:3" x14ac:dyDescent="0.2">
      <c r="C33" t="str">
        <f>"part of the calulation first, resulting in "&amp;C27+C28</f>
        <v>part of the calulation first, resulting in 30</v>
      </c>
    </row>
    <row r="34" spans="3:3" x14ac:dyDescent="0.2">
      <c r="C34" t="str">
        <f>"Then the "&amp;C27+C28&amp;" is multipled by "&amp;C29&amp;" resulting in "&amp;(C27+C28)*C29</f>
        <v>Then the 30 is multipled by 2 resulting in 60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61" r:id="rId4" name="Button 1">
              <controlPr defaultSize="0" print="0" autoFill="0" autoLine="0" autoPict="0">
                <anchor>
                  <from>
                    <xdr:col>7</xdr:col>
                    <xdr:colOff>114300</xdr:colOff>
                    <xdr:row>0</xdr:row>
                    <xdr:rowOff>38100</xdr:rowOff>
                  </from>
                  <to>
                    <xdr:col>7</xdr:col>
                    <xdr:colOff>590550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2" r:id="rId5" name="Button 2">
              <controlPr defaultSize="0" print="0" autoFill="0" autoLine="0" autoPict="0">
                <anchor>
                  <from>
                    <xdr:col>8</xdr:col>
                    <xdr:colOff>47625</xdr:colOff>
                    <xdr:row>0</xdr:row>
                    <xdr:rowOff>38100</xdr:rowOff>
                  </from>
                  <to>
                    <xdr:col>8</xdr:col>
                    <xdr:colOff>247650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3" r:id="rId6" name="Button 3">
              <controlPr defaultSize="0" print="0" autoFill="0" autoLine="0" autoPict="0">
                <anchor>
                  <from>
                    <xdr:col>6</xdr:col>
                    <xdr:colOff>533400</xdr:colOff>
                    <xdr:row>0</xdr:row>
                    <xdr:rowOff>38100</xdr:rowOff>
                  </from>
                  <to>
                    <xdr:col>7</xdr:col>
                    <xdr:colOff>47625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9101">
    <pageSetUpPr fitToPage="1"/>
  </sheetPr>
  <dimension ref="A1:H25"/>
  <sheetViews>
    <sheetView showGridLines="0" workbookViewId="0">
      <selection activeCell="F30" activeCellId="4" sqref="F16 K30 G30 P30 F30"/>
    </sheetView>
  </sheetViews>
  <sheetFormatPr defaultRowHeight="12.75" x14ac:dyDescent="0.2"/>
  <cols>
    <col min="1" max="1" width="2.7109375" customWidth="1"/>
    <col min="2" max="2" width="23.42578125" customWidth="1"/>
    <col min="3" max="3" width="11.5703125" customWidth="1"/>
    <col min="4" max="4" width="13.5703125" customWidth="1"/>
    <col min="5" max="5" width="11.85546875" customWidth="1"/>
    <col min="6" max="6" width="11.7109375" customWidth="1"/>
    <col min="7" max="7" width="10.42578125" customWidth="1"/>
  </cols>
  <sheetData>
    <row r="1" spans="1:8" ht="18.75" thickBot="1" x14ac:dyDescent="0.3">
      <c r="A1" s="1" t="s">
        <v>874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B3" t="s">
        <v>875</v>
      </c>
    </row>
    <row r="4" spans="1:8" x14ac:dyDescent="0.2">
      <c r="B4" t="s">
        <v>876</v>
      </c>
    </row>
    <row r="5" spans="1:8" x14ac:dyDescent="0.2">
      <c r="B5" t="s">
        <v>877</v>
      </c>
    </row>
    <row r="6" spans="1:8" x14ac:dyDescent="0.2">
      <c r="B6" t="s">
        <v>878</v>
      </c>
    </row>
    <row r="8" spans="1:8" x14ac:dyDescent="0.2">
      <c r="B8" s="7" t="s">
        <v>879</v>
      </c>
      <c r="C8" s="147">
        <v>27348</v>
      </c>
    </row>
    <row r="10" spans="1:8" x14ac:dyDescent="0.2">
      <c r="B10" s="7" t="s">
        <v>880</v>
      </c>
      <c r="C10" s="3">
        <f ca="1">DATEDIF(C8,TODAY(),"y")</f>
        <v>46</v>
      </c>
      <c r="D10" s="8" t="s">
        <v>881</v>
      </c>
    </row>
    <row r="11" spans="1:8" x14ac:dyDescent="0.2">
      <c r="B11" s="7" t="s">
        <v>882</v>
      </c>
      <c r="C11" s="3">
        <f ca="1">DATEDIF(C8,TODAY(),"ym")</f>
        <v>9</v>
      </c>
      <c r="D11" s="8" t="s">
        <v>883</v>
      </c>
    </row>
    <row r="12" spans="1:8" x14ac:dyDescent="0.2">
      <c r="B12" s="7" t="s">
        <v>884</v>
      </c>
      <c r="C12" s="3">
        <f ca="1">DATEDIF(C8,TODAY(),"md")</f>
        <v>29</v>
      </c>
      <c r="D12" s="8" t="s">
        <v>885</v>
      </c>
    </row>
    <row r="14" spans="1:8" x14ac:dyDescent="0.2">
      <c r="B14" t="s">
        <v>886</v>
      </c>
    </row>
    <row r="15" spans="1:8" x14ac:dyDescent="0.2">
      <c r="B15" s="148" t="str">
        <f ca="1">"Age is "&amp;DATEDIF(C8,TODAY(),"y")&amp;" Years, "&amp;DATEDIF(C8,TODAY(),"ym")&amp;" Months and "&amp;DATEDIF(C8,TODAY(),"md")&amp;" Days"</f>
        <v>Age is 46 Years, 9 Months and 29 Days</v>
      </c>
      <c r="C15" s="145"/>
    </row>
    <row r="16" spans="1:8" ht="13.5" x14ac:dyDescent="0.25">
      <c r="B16" s="125" t="s">
        <v>887</v>
      </c>
    </row>
    <row r="19" spans="2:8" ht="13.5" thickBot="1" x14ac:dyDescent="0.25">
      <c r="B19" s="98" t="s">
        <v>888</v>
      </c>
      <c r="C19" s="98"/>
      <c r="D19" s="98"/>
      <c r="E19" s="98"/>
      <c r="F19" s="98"/>
      <c r="G19" s="98"/>
      <c r="H19" s="98"/>
    </row>
    <row r="20" spans="2:8" x14ac:dyDescent="0.2">
      <c r="B20" t="s">
        <v>889</v>
      </c>
    </row>
    <row r="21" spans="2:8" x14ac:dyDescent="0.2">
      <c r="B21" t="s">
        <v>890</v>
      </c>
    </row>
    <row r="23" spans="2:8" x14ac:dyDescent="0.2">
      <c r="B23" s="7" t="s">
        <v>879</v>
      </c>
      <c r="C23" s="147">
        <v>27348</v>
      </c>
    </row>
    <row r="25" spans="2:8" x14ac:dyDescent="0.2">
      <c r="B25" s="7" t="s">
        <v>891</v>
      </c>
      <c r="C25" s="149">
        <f ca="1">(TODAY()-C23)/365.25</f>
        <v>46.828199863107457</v>
      </c>
      <c r="D25" s="8" t="s">
        <v>892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87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985" r:id="rId4" name="Button 1">
              <controlPr defaultSize="0" print="0" autoFill="0" autoLine="0" autoPict="0">
                <anchor>
                  <from>
                    <xdr:col>5</xdr:col>
                    <xdr:colOff>638175</xdr:colOff>
                    <xdr:row>0</xdr:row>
                    <xdr:rowOff>38100</xdr:rowOff>
                  </from>
                  <to>
                    <xdr:col>6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6" r:id="rId5" name="Button 2">
              <controlPr defaultSize="0" print="0" autoFill="0" autoLine="0" autoPict="0">
                <anchor>
                  <from>
                    <xdr:col>6</xdr:col>
                    <xdr:colOff>400050</xdr:colOff>
                    <xdr:row>0</xdr:row>
                    <xdr:rowOff>38100</xdr:rowOff>
                  </from>
                  <to>
                    <xdr:col>6</xdr:col>
                    <xdr:colOff>600075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7" r:id="rId6" name="Button 3">
              <controlPr defaultSize="0" print="0" autoFill="0" autoLine="0" autoPict="0">
                <anchor>
                  <from>
                    <xdr:col>5</xdr:col>
                    <xdr:colOff>361950</xdr:colOff>
                    <xdr:row>0</xdr:row>
                    <xdr:rowOff>38100</xdr:rowOff>
                  </from>
                  <to>
                    <xdr:col>5</xdr:col>
                    <xdr:colOff>571500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9">
    <pageSetUpPr fitToPage="1"/>
  </sheetPr>
  <dimension ref="A1:H46"/>
  <sheetViews>
    <sheetView showGridLines="0" workbookViewId="0">
      <pane ySplit="1" topLeftCell="A23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1.5703125" customWidth="1"/>
    <col min="4" max="4" width="13.5703125" customWidth="1"/>
    <col min="5" max="5" width="11.85546875" customWidth="1"/>
    <col min="6" max="6" width="11.7109375" customWidth="1"/>
    <col min="7" max="7" width="10.42578125" customWidth="1"/>
  </cols>
  <sheetData>
    <row r="1" spans="1:8" ht="18.75" thickBot="1" x14ac:dyDescent="0.3">
      <c r="A1" s="1" t="s">
        <v>893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C3" s="5" t="s">
        <v>467</v>
      </c>
      <c r="D3" s="5" t="s">
        <v>894</v>
      </c>
    </row>
    <row r="4" spans="1:8" x14ac:dyDescent="0.2">
      <c r="C4" s="2">
        <v>10</v>
      </c>
      <c r="D4" s="3">
        <f>ABS(C4)</f>
        <v>10</v>
      </c>
      <c r="E4" s="8" t="s">
        <v>895</v>
      </c>
    </row>
    <row r="5" spans="1:8" x14ac:dyDescent="0.2">
      <c r="C5" s="2">
        <v>-10</v>
      </c>
      <c r="D5" s="3">
        <f>ABS(C5)</f>
        <v>10</v>
      </c>
      <c r="E5" s="8" t="s">
        <v>896</v>
      </c>
    </row>
    <row r="6" spans="1:8" x14ac:dyDescent="0.2">
      <c r="C6" s="2">
        <v>1.25</v>
      </c>
      <c r="D6" s="3">
        <f>ABS(C6)</f>
        <v>1.25</v>
      </c>
      <c r="E6" s="8" t="s">
        <v>897</v>
      </c>
    </row>
    <row r="7" spans="1:8" x14ac:dyDescent="0.2">
      <c r="C7" s="2">
        <v>-1.25</v>
      </c>
      <c r="D7" s="3">
        <f>ABS(C7)</f>
        <v>1.25</v>
      </c>
      <c r="E7" s="8" t="s">
        <v>898</v>
      </c>
    </row>
    <row r="9" spans="1:8" ht="13.5" thickBot="1" x14ac:dyDescent="0.25">
      <c r="B9" s="9" t="s">
        <v>899</v>
      </c>
      <c r="C9" s="9"/>
      <c r="D9" s="9"/>
      <c r="E9" s="9"/>
      <c r="F9" s="9"/>
      <c r="G9" s="9"/>
      <c r="H9" s="9"/>
    </row>
    <row r="10" spans="1:8" x14ac:dyDescent="0.2">
      <c r="B10" t="s">
        <v>900</v>
      </c>
    </row>
    <row r="12" spans="1:8" ht="13.5" thickBot="1" x14ac:dyDescent="0.25">
      <c r="B12" s="9" t="s">
        <v>43</v>
      </c>
      <c r="C12" s="9"/>
      <c r="D12" s="9"/>
      <c r="E12" s="9"/>
      <c r="F12" s="9"/>
      <c r="G12" s="9"/>
      <c r="H12" s="9"/>
    </row>
    <row r="13" spans="1:8" x14ac:dyDescent="0.2">
      <c r="B13" t="s">
        <v>901</v>
      </c>
    </row>
    <row r="15" spans="1:8" ht="13.5" thickBot="1" x14ac:dyDescent="0.25">
      <c r="B15" s="9" t="s">
        <v>45</v>
      </c>
      <c r="C15" s="9"/>
      <c r="D15" s="9"/>
      <c r="E15" s="9"/>
      <c r="F15" s="9"/>
      <c r="G15" s="9"/>
      <c r="H15" s="9"/>
    </row>
    <row r="16" spans="1:8" x14ac:dyDescent="0.2">
      <c r="B16" t="s">
        <v>902</v>
      </c>
    </row>
    <row r="18" spans="2:8" ht="13.5" thickBot="1" x14ac:dyDescent="0.25">
      <c r="B18" s="9" t="s">
        <v>85</v>
      </c>
      <c r="C18" s="9"/>
      <c r="D18" s="9"/>
      <c r="E18" s="9"/>
      <c r="F18" s="9"/>
      <c r="G18" s="9"/>
      <c r="H18" s="9"/>
    </row>
    <row r="19" spans="2:8" x14ac:dyDescent="0.2">
      <c r="B19" t="s">
        <v>903</v>
      </c>
    </row>
    <row r="20" spans="2:8" x14ac:dyDescent="0.2">
      <c r="B20" t="s">
        <v>904</v>
      </c>
    </row>
    <row r="21" spans="2:8" x14ac:dyDescent="0.2">
      <c r="B21" t="s">
        <v>905</v>
      </c>
    </row>
    <row r="22" spans="2:8" x14ac:dyDescent="0.2">
      <c r="B22" t="s">
        <v>906</v>
      </c>
    </row>
    <row r="23" spans="2:8" x14ac:dyDescent="0.2">
      <c r="B23" t="s">
        <v>907</v>
      </c>
    </row>
    <row r="24" spans="2:8" x14ac:dyDescent="0.2">
      <c r="B24" t="s">
        <v>908</v>
      </c>
    </row>
    <row r="26" spans="2:8" x14ac:dyDescent="0.2">
      <c r="B26" t="s">
        <v>909</v>
      </c>
    </row>
    <row r="27" spans="2:8" x14ac:dyDescent="0.2">
      <c r="C27" t="s">
        <v>910</v>
      </c>
    </row>
    <row r="28" spans="2:8" x14ac:dyDescent="0.2">
      <c r="C28" t="s">
        <v>911</v>
      </c>
    </row>
    <row r="29" spans="2:8" x14ac:dyDescent="0.2">
      <c r="C29" t="s">
        <v>912</v>
      </c>
    </row>
    <row r="30" spans="2:8" x14ac:dyDescent="0.2">
      <c r="C30" t="s">
        <v>913</v>
      </c>
    </row>
    <row r="32" spans="2:8" x14ac:dyDescent="0.2">
      <c r="C32" t="s">
        <v>229</v>
      </c>
    </row>
    <row r="33" spans="2:7" ht="25.5" x14ac:dyDescent="0.2">
      <c r="C33" s="21" t="s">
        <v>914</v>
      </c>
      <c r="D33" s="150" t="s">
        <v>915</v>
      </c>
      <c r="E33" s="150" t="s">
        <v>916</v>
      </c>
      <c r="F33" s="20" t="s">
        <v>917</v>
      </c>
      <c r="G33" s="150" t="s">
        <v>918</v>
      </c>
    </row>
    <row r="34" spans="2:7" x14ac:dyDescent="0.2">
      <c r="C34" s="143" t="s">
        <v>919</v>
      </c>
      <c r="D34" s="2">
        <v>120</v>
      </c>
      <c r="E34" s="2">
        <v>120</v>
      </c>
      <c r="F34" s="3">
        <f>D34-E34</f>
        <v>0</v>
      </c>
      <c r="G34" s="56">
        <f>F34/D34</f>
        <v>0</v>
      </c>
    </row>
    <row r="35" spans="2:7" x14ac:dyDescent="0.2">
      <c r="C35" s="143" t="s">
        <v>920</v>
      </c>
      <c r="D35" s="2">
        <v>120</v>
      </c>
      <c r="E35" s="2">
        <v>90</v>
      </c>
      <c r="F35" s="3">
        <f>D35-E35</f>
        <v>30</v>
      </c>
      <c r="G35" s="56">
        <f>F35/D35</f>
        <v>0.25</v>
      </c>
    </row>
    <row r="36" spans="2:7" x14ac:dyDescent="0.2">
      <c r="C36" s="143" t="s">
        <v>921</v>
      </c>
      <c r="D36" s="2">
        <v>120</v>
      </c>
      <c r="E36" s="2">
        <v>150</v>
      </c>
      <c r="F36" s="3">
        <f>D36-E36</f>
        <v>-30</v>
      </c>
      <c r="G36" s="56">
        <f>F36/D36</f>
        <v>-0.25</v>
      </c>
    </row>
    <row r="37" spans="2:7" x14ac:dyDescent="0.2">
      <c r="F37" s="19" t="s">
        <v>922</v>
      </c>
    </row>
    <row r="39" spans="2:7" x14ac:dyDescent="0.2">
      <c r="B39" t="s">
        <v>923</v>
      </c>
    </row>
    <row r="41" spans="2:7" x14ac:dyDescent="0.2">
      <c r="C41" t="s">
        <v>924</v>
      </c>
    </row>
    <row r="42" spans="2:7" ht="25.5" x14ac:dyDescent="0.2">
      <c r="C42" s="21" t="s">
        <v>914</v>
      </c>
      <c r="D42" s="150" t="s">
        <v>915</v>
      </c>
      <c r="E42" s="150" t="s">
        <v>916</v>
      </c>
      <c r="F42" s="20" t="s">
        <v>917</v>
      </c>
      <c r="G42" s="150" t="s">
        <v>918</v>
      </c>
    </row>
    <row r="43" spans="2:7" x14ac:dyDescent="0.2">
      <c r="C43" s="143" t="s">
        <v>919</v>
      </c>
      <c r="D43" s="2">
        <v>120</v>
      </c>
      <c r="E43" s="2">
        <v>120</v>
      </c>
      <c r="F43" s="3">
        <f>ABS(D43-E43)</f>
        <v>0</v>
      </c>
      <c r="G43" s="56">
        <f>F43/D43</f>
        <v>0</v>
      </c>
    </row>
    <row r="44" spans="2:7" x14ac:dyDescent="0.2">
      <c r="C44" s="143" t="s">
        <v>920</v>
      </c>
      <c r="D44" s="2">
        <v>120</v>
      </c>
      <c r="E44" s="2">
        <v>90</v>
      </c>
      <c r="F44" s="3">
        <f>ABS(D44-E44)</f>
        <v>30</v>
      </c>
      <c r="G44" s="56">
        <f>F44/D44</f>
        <v>0.25</v>
      </c>
    </row>
    <row r="45" spans="2:7" x14ac:dyDescent="0.2">
      <c r="C45" s="143" t="s">
        <v>921</v>
      </c>
      <c r="D45" s="2">
        <v>120</v>
      </c>
      <c r="E45" s="2">
        <v>150</v>
      </c>
      <c r="F45" s="3">
        <f>ABS(D45-E45)</f>
        <v>30</v>
      </c>
      <c r="G45" s="56">
        <f>F45/D45</f>
        <v>0.25</v>
      </c>
    </row>
    <row r="46" spans="2:7" x14ac:dyDescent="0.2">
      <c r="F46" s="19" t="s">
        <v>925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9" r:id="rId4" name="Button 1">
              <controlPr defaultSize="0" print="0" autoFill="0" autoLine="0" autoPict="0">
                <anchor>
                  <from>
                    <xdr:col>7</xdr:col>
                    <xdr:colOff>0</xdr:colOff>
                    <xdr:row>0</xdr:row>
                    <xdr:rowOff>38100</xdr:rowOff>
                  </from>
                  <to>
                    <xdr:col>7</xdr:col>
                    <xdr:colOff>476250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0" r:id="rId5" name="Button 2">
              <controlPr defaultSize="0" print="0" autoFill="0" autoLine="0" autoPict="0">
                <anchor>
                  <from>
                    <xdr:col>7</xdr:col>
                    <xdr:colOff>552450</xdr:colOff>
                    <xdr:row>0</xdr:row>
                    <xdr:rowOff>38100</xdr:rowOff>
                  </from>
                  <to>
                    <xdr:col>8</xdr:col>
                    <xdr:colOff>142875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1" r:id="rId6" name="Button 3">
              <controlPr defaultSize="0" print="0" autoFill="0" autoLine="0" autoPict="0">
                <anchor>
                  <from>
                    <xdr:col>6</xdr:col>
                    <xdr:colOff>428625</xdr:colOff>
                    <xdr:row>0</xdr:row>
                    <xdr:rowOff>38100</xdr:rowOff>
                  </from>
                  <to>
                    <xdr:col>6</xdr:col>
                    <xdr:colOff>628650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0">
    <pageSetUpPr fitToPage="1"/>
  </sheetPr>
  <dimension ref="A1:I40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4" max="4" width="11.28515625" customWidth="1"/>
    <col min="5" max="5" width="10.85546875" customWidth="1"/>
    <col min="6" max="6" width="10.5703125" customWidth="1"/>
    <col min="9" max="9" width="12.28515625" customWidth="1"/>
  </cols>
  <sheetData>
    <row r="1" spans="1:9" ht="18.75" thickBot="1" x14ac:dyDescent="0.3">
      <c r="A1" s="1" t="s">
        <v>926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D3" s="22"/>
      <c r="E3" s="35" t="s">
        <v>927</v>
      </c>
      <c r="F3" s="2">
        <v>2</v>
      </c>
    </row>
    <row r="4" spans="1:9" x14ac:dyDescent="0.2">
      <c r="D4" s="22"/>
      <c r="E4" s="35" t="s">
        <v>928</v>
      </c>
      <c r="F4" s="2">
        <v>3</v>
      </c>
    </row>
    <row r="5" spans="1:9" x14ac:dyDescent="0.2">
      <c r="D5" s="22"/>
      <c r="E5" s="35" t="s">
        <v>929</v>
      </c>
      <c r="F5" s="2" t="s">
        <v>58</v>
      </c>
    </row>
    <row r="7" spans="1:9" x14ac:dyDescent="0.2">
      <c r="D7" s="69" t="str">
        <f>ADDRESS(F4,F3,1,TRUE)</f>
        <v>$B$3</v>
      </c>
      <c r="E7" s="151" t="s">
        <v>930</v>
      </c>
    </row>
    <row r="8" spans="1:9" x14ac:dyDescent="0.2">
      <c r="D8" s="69" t="str">
        <f>ADDRESS(F4,F3,2,TRUE)</f>
        <v>B$3</v>
      </c>
      <c r="E8" s="151" t="s">
        <v>931</v>
      </c>
    </row>
    <row r="9" spans="1:9" x14ac:dyDescent="0.2">
      <c r="D9" s="69" t="str">
        <f>ADDRESS(F4,F3,3,TRUE)</f>
        <v>$B3</v>
      </c>
      <c r="E9" s="151" t="s">
        <v>932</v>
      </c>
    </row>
    <row r="10" spans="1:9" x14ac:dyDescent="0.2">
      <c r="D10" s="69" t="str">
        <f>ADDRESS(F4,F3,4,TRUE)</f>
        <v>B3</v>
      </c>
      <c r="E10" s="151" t="s">
        <v>933</v>
      </c>
    </row>
    <row r="12" spans="1:9" x14ac:dyDescent="0.2">
      <c r="D12" s="69" t="str">
        <f>ADDRESS(F4,F3,1,FALSE)</f>
        <v>R3C2</v>
      </c>
      <c r="E12" s="151" t="s">
        <v>934</v>
      </c>
    </row>
    <row r="13" spans="1:9" x14ac:dyDescent="0.2">
      <c r="D13" s="69" t="str">
        <f>ADDRESS(F4,F3,2,FALSE)</f>
        <v>R3C[2]</v>
      </c>
      <c r="E13" s="151" t="s">
        <v>935</v>
      </c>
    </row>
    <row r="14" spans="1:9" x14ac:dyDescent="0.2">
      <c r="D14" s="69" t="str">
        <f>ADDRESS(F4,F3,3,FALSE)</f>
        <v>R[3]C2</v>
      </c>
      <c r="E14" s="151" t="s">
        <v>936</v>
      </c>
    </row>
    <row r="15" spans="1:9" x14ac:dyDescent="0.2">
      <c r="D15" s="69" t="str">
        <f>ADDRESS(F4,F3,4,FALSE)</f>
        <v>R[3]C[2]</v>
      </c>
      <c r="E15" s="151" t="s">
        <v>937</v>
      </c>
    </row>
    <row r="17" spans="2:9" x14ac:dyDescent="0.2">
      <c r="D17" s="69" t="str">
        <f>ADDRESS(F4,F3,1,TRUE,F5)</f>
        <v>Hello!$B$3</v>
      </c>
      <c r="E17" s="151" t="s">
        <v>938</v>
      </c>
    </row>
    <row r="18" spans="2:9" x14ac:dyDescent="0.2">
      <c r="D18" s="69" t="str">
        <f>ADDRESS(F4,F3,2,TRUE,F5)</f>
        <v>Hello!B$3</v>
      </c>
      <c r="E18" s="151" t="s">
        <v>939</v>
      </c>
    </row>
    <row r="19" spans="2:9" x14ac:dyDescent="0.2">
      <c r="D19" s="69" t="str">
        <f>ADDRESS(F4,F3,3,TRUE,F5)</f>
        <v>Hello!$B3</v>
      </c>
      <c r="E19" s="151" t="s">
        <v>940</v>
      </c>
    </row>
    <row r="20" spans="2:9" x14ac:dyDescent="0.2">
      <c r="D20" s="69" t="str">
        <f>ADDRESS(F4,F3,4,TRUE,F5)</f>
        <v>Hello!B3</v>
      </c>
      <c r="E20" s="151" t="s">
        <v>941</v>
      </c>
    </row>
    <row r="22" spans="2:9" ht="13.5" thickBot="1" x14ac:dyDescent="0.25">
      <c r="B22" s="9" t="s">
        <v>39</v>
      </c>
      <c r="C22" s="9"/>
      <c r="D22" s="9"/>
      <c r="E22" s="9"/>
      <c r="F22" s="9"/>
      <c r="G22" s="9"/>
      <c r="H22" s="9"/>
      <c r="I22" s="9"/>
    </row>
    <row r="23" spans="2:9" x14ac:dyDescent="0.2">
      <c r="B23" t="s">
        <v>942</v>
      </c>
    </row>
    <row r="24" spans="2:9" x14ac:dyDescent="0.2">
      <c r="B24" t="s">
        <v>943</v>
      </c>
    </row>
    <row r="25" spans="2:9" x14ac:dyDescent="0.2">
      <c r="B25" t="s">
        <v>944</v>
      </c>
    </row>
    <row r="27" spans="2:9" ht="13.5" thickBot="1" x14ac:dyDescent="0.25">
      <c r="B27" s="9" t="s">
        <v>43</v>
      </c>
      <c r="C27" s="9"/>
      <c r="D27" s="9"/>
      <c r="E27" s="9"/>
      <c r="F27" s="9"/>
      <c r="G27" s="9"/>
      <c r="H27" s="9"/>
      <c r="I27" s="9"/>
    </row>
    <row r="28" spans="2:9" x14ac:dyDescent="0.2">
      <c r="B28" s="10" t="s">
        <v>945</v>
      </c>
    </row>
    <row r="29" spans="2:9" x14ac:dyDescent="0.2">
      <c r="B29" t="s">
        <v>946</v>
      </c>
    </row>
    <row r="30" spans="2:9" x14ac:dyDescent="0.2">
      <c r="B30" t="s">
        <v>947</v>
      </c>
    </row>
    <row r="31" spans="2:9" ht="18.95" customHeight="1" x14ac:dyDescent="0.2">
      <c r="B31" t="s">
        <v>948</v>
      </c>
    </row>
    <row r="32" spans="2:9" x14ac:dyDescent="0.2">
      <c r="B32" t="s">
        <v>949</v>
      </c>
    </row>
    <row r="33" spans="2:2" x14ac:dyDescent="0.2">
      <c r="B33" t="s">
        <v>950</v>
      </c>
    </row>
    <row r="34" spans="2:2" x14ac:dyDescent="0.2">
      <c r="B34" t="s">
        <v>951</v>
      </c>
    </row>
    <row r="35" spans="2:2" x14ac:dyDescent="0.2">
      <c r="B35" t="s">
        <v>952</v>
      </c>
    </row>
    <row r="36" spans="2:2" ht="18.95" customHeight="1" x14ac:dyDescent="0.2">
      <c r="B36" t="s">
        <v>953</v>
      </c>
    </row>
    <row r="37" spans="2:2" x14ac:dyDescent="0.2">
      <c r="B37" t="s">
        <v>954</v>
      </c>
    </row>
    <row r="38" spans="2:2" x14ac:dyDescent="0.2">
      <c r="B38" t="s">
        <v>955</v>
      </c>
    </row>
    <row r="39" spans="2:2" ht="18.95" customHeight="1" x14ac:dyDescent="0.2">
      <c r="B39" t="s">
        <v>956</v>
      </c>
    </row>
    <row r="40" spans="2:2" x14ac:dyDescent="0.2">
      <c r="B40" t="s">
        <v>957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4033" r:id="rId4" name="Button 1">
              <controlPr defaultSize="0" print="0" autoFill="0" autoLine="0" autoPict="0">
                <anchor>
                  <from>
                    <xdr:col>7</xdr:col>
                    <xdr:colOff>590550</xdr:colOff>
                    <xdr:row>0</xdr:row>
                    <xdr:rowOff>38100</xdr:rowOff>
                  </from>
                  <to>
                    <xdr:col>8</xdr:col>
                    <xdr:colOff>447675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4" r:id="rId5" name="Button 2">
              <controlPr defaultSize="0" print="0" autoFill="0" autoLine="0" autoPict="0">
                <anchor>
                  <from>
                    <xdr:col>8</xdr:col>
                    <xdr:colOff>504825</xdr:colOff>
                    <xdr:row>0</xdr:row>
                    <xdr:rowOff>38100</xdr:rowOff>
                  </from>
                  <to>
                    <xdr:col>8</xdr:col>
                    <xdr:colOff>704850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5" r:id="rId6" name="Button 3">
              <controlPr defaultSize="0" print="0" autoFill="0" autoLine="0" autoPict="0">
                <anchor>
                  <from>
                    <xdr:col>7</xdr:col>
                    <xdr:colOff>314325</xdr:colOff>
                    <xdr:row>0</xdr:row>
                    <xdr:rowOff>38100</xdr:rowOff>
                  </from>
                  <to>
                    <xdr:col>7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1">
    <pageSetUpPr fitToPage="1"/>
  </sheetPr>
  <dimension ref="A1:I41"/>
  <sheetViews>
    <sheetView showGridLines="0" workbookViewId="0">
      <pane ySplit="1" topLeftCell="A11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6" max="6" width="12.7109375" customWidth="1"/>
    <col min="7" max="7" width="11.85546875" customWidth="1"/>
    <col min="9" max="9" width="11.7109375" customWidth="1"/>
  </cols>
  <sheetData>
    <row r="1" spans="1:9" ht="18.75" thickBot="1" x14ac:dyDescent="0.3">
      <c r="A1" s="1" t="s">
        <v>958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152" t="s">
        <v>959</v>
      </c>
      <c r="D3" s="152"/>
      <c r="E3" s="5" t="s">
        <v>549</v>
      </c>
    </row>
    <row r="4" spans="1:9" x14ac:dyDescent="0.2">
      <c r="C4" s="2">
        <v>500</v>
      </c>
      <c r="D4" s="2">
        <v>800</v>
      </c>
      <c r="E4" s="3" t="b">
        <f>AND(C4&gt;=100,D4&gt;=100)</f>
        <v>1</v>
      </c>
      <c r="F4" s="26" t="s">
        <v>960</v>
      </c>
    </row>
    <row r="5" spans="1:9" x14ac:dyDescent="0.2">
      <c r="C5" s="2">
        <v>500</v>
      </c>
      <c r="D5" s="2">
        <v>25</v>
      </c>
      <c r="E5" s="3" t="b">
        <f>AND(C5&gt;=100,D5&gt;=100)</f>
        <v>0</v>
      </c>
      <c r="F5" s="26" t="s">
        <v>961</v>
      </c>
    </row>
    <row r="6" spans="1:9" x14ac:dyDescent="0.2">
      <c r="C6" s="2">
        <v>25</v>
      </c>
      <c r="D6" s="2">
        <v>500</v>
      </c>
      <c r="E6" s="3" t="b">
        <f>AND(C6&gt;=100,D6&gt;=100)</f>
        <v>0</v>
      </c>
      <c r="F6" s="26" t="s">
        <v>962</v>
      </c>
    </row>
    <row r="7" spans="1:9" x14ac:dyDescent="0.2">
      <c r="D7" s="2">
        <v>12</v>
      </c>
      <c r="E7" s="3" t="b">
        <f>AND(D7&gt;=1,D7&lt;=52)</f>
        <v>1</v>
      </c>
      <c r="F7" s="26" t="s">
        <v>963</v>
      </c>
    </row>
    <row r="9" spans="1:9" ht="13.5" thickBot="1" x14ac:dyDescent="0.25">
      <c r="B9" s="9" t="s">
        <v>64</v>
      </c>
      <c r="C9" s="9"/>
      <c r="D9" s="9"/>
      <c r="E9" s="9"/>
      <c r="F9" s="9"/>
      <c r="G9" s="9"/>
      <c r="H9" s="9"/>
      <c r="I9" s="9"/>
    </row>
    <row r="10" spans="1:9" x14ac:dyDescent="0.2">
      <c r="B10" t="s">
        <v>964</v>
      </c>
    </row>
    <row r="11" spans="1:9" x14ac:dyDescent="0.2">
      <c r="B11" t="s">
        <v>965</v>
      </c>
    </row>
    <row r="12" spans="1:9" x14ac:dyDescent="0.2">
      <c r="B12" t="s">
        <v>966</v>
      </c>
    </row>
    <row r="13" spans="1:9" x14ac:dyDescent="0.2">
      <c r="B13" t="s">
        <v>967</v>
      </c>
    </row>
    <row r="15" spans="1:9" ht="13.5" thickBot="1" x14ac:dyDescent="0.25">
      <c r="B15" s="9" t="s">
        <v>43</v>
      </c>
      <c r="C15" s="9"/>
      <c r="D15" s="9"/>
      <c r="E15" s="9"/>
      <c r="F15" s="9"/>
      <c r="G15" s="9"/>
      <c r="H15" s="9"/>
      <c r="I15" s="9"/>
    </row>
    <row r="16" spans="1:9" x14ac:dyDescent="0.2">
      <c r="B16" t="s">
        <v>968</v>
      </c>
    </row>
    <row r="17" spans="2:9" x14ac:dyDescent="0.2">
      <c r="B17" t="s">
        <v>969</v>
      </c>
    </row>
    <row r="19" spans="2:9" ht="13.5" thickBot="1" x14ac:dyDescent="0.25">
      <c r="B19" s="9" t="s">
        <v>45</v>
      </c>
      <c r="C19" s="9"/>
      <c r="D19" s="9"/>
      <c r="E19" s="9"/>
      <c r="F19" s="9"/>
      <c r="G19" s="9"/>
      <c r="H19" s="9"/>
      <c r="I19" s="9"/>
    </row>
    <row r="20" spans="2:9" x14ac:dyDescent="0.2">
      <c r="B20" t="s">
        <v>970</v>
      </c>
    </row>
    <row r="22" spans="2:9" ht="13.5" thickBot="1" x14ac:dyDescent="0.25">
      <c r="B22" s="9" t="s">
        <v>286</v>
      </c>
      <c r="C22" s="9"/>
      <c r="D22" s="9"/>
      <c r="E22" s="9"/>
      <c r="F22" s="9"/>
      <c r="G22" s="9"/>
      <c r="H22" s="9"/>
      <c r="I22" s="9"/>
    </row>
    <row r="23" spans="2:9" x14ac:dyDescent="0.2">
      <c r="B23" t="s">
        <v>971</v>
      </c>
    </row>
    <row r="24" spans="2:9" x14ac:dyDescent="0.2">
      <c r="B24" t="s">
        <v>972</v>
      </c>
    </row>
    <row r="25" spans="2:9" x14ac:dyDescent="0.2">
      <c r="B25" t="s">
        <v>973</v>
      </c>
    </row>
    <row r="26" spans="2:9" x14ac:dyDescent="0.2">
      <c r="B26" t="s">
        <v>974</v>
      </c>
    </row>
    <row r="28" spans="2:9" x14ac:dyDescent="0.2">
      <c r="B28" s="5" t="s">
        <v>769</v>
      </c>
      <c r="C28" s="5" t="s">
        <v>113</v>
      </c>
      <c r="D28" s="5" t="s">
        <v>114</v>
      </c>
      <c r="E28" s="5" t="s">
        <v>975</v>
      </c>
      <c r="F28" s="5" t="s">
        <v>976</v>
      </c>
    </row>
    <row r="29" spans="2:9" x14ac:dyDescent="0.2">
      <c r="B29" s="2" t="s">
        <v>118</v>
      </c>
      <c r="C29" s="2">
        <v>80</v>
      </c>
      <c r="D29" s="2">
        <v>75</v>
      </c>
      <c r="E29" s="2">
        <v>85</v>
      </c>
      <c r="F29" s="3" t="b">
        <f>AND(C29&gt;=AVERAGE($C$29:$C$38),D29&gt;=AVERAGE($D$29:$D$38),E29&gt;=AVERAGE($E$29:$E$38))</f>
        <v>1</v>
      </c>
    </row>
    <row r="30" spans="2:9" x14ac:dyDescent="0.2">
      <c r="B30" s="2" t="s">
        <v>120</v>
      </c>
      <c r="C30" s="2">
        <v>50</v>
      </c>
      <c r="D30" s="2">
        <v>30</v>
      </c>
      <c r="E30" s="2">
        <v>40</v>
      </c>
      <c r="F30" s="3" t="b">
        <f t="shared" ref="F30:F38" si="0">AND(C30&gt;=AVERAGE($C$29:$C$38),D30&gt;=AVERAGE($D$29:$D$38),E30&gt;=AVERAGE($E$29:$E$38))</f>
        <v>0</v>
      </c>
    </row>
    <row r="31" spans="2:9" x14ac:dyDescent="0.2">
      <c r="B31" s="2" t="s">
        <v>121</v>
      </c>
      <c r="C31" s="2">
        <v>60</v>
      </c>
      <c r="D31" s="2">
        <v>70</v>
      </c>
      <c r="E31" s="2">
        <v>50</v>
      </c>
      <c r="F31" s="3" t="b">
        <f t="shared" si="0"/>
        <v>0</v>
      </c>
    </row>
    <row r="32" spans="2:9" x14ac:dyDescent="0.2">
      <c r="B32" s="2" t="s">
        <v>122</v>
      </c>
      <c r="C32" s="2">
        <v>90</v>
      </c>
      <c r="D32" s="2">
        <v>85</v>
      </c>
      <c r="E32" s="2">
        <v>95</v>
      </c>
      <c r="F32" s="3" t="b">
        <f t="shared" si="0"/>
        <v>1</v>
      </c>
    </row>
    <row r="33" spans="2:6" x14ac:dyDescent="0.2">
      <c r="B33" s="2" t="s">
        <v>300</v>
      </c>
      <c r="C33" s="2">
        <v>20</v>
      </c>
      <c r="D33" s="2">
        <v>30</v>
      </c>
      <c r="E33" s="2" t="s">
        <v>977</v>
      </c>
      <c r="F33" s="3" t="b">
        <f t="shared" si="0"/>
        <v>0</v>
      </c>
    </row>
    <row r="34" spans="2:6" x14ac:dyDescent="0.2">
      <c r="B34" s="2" t="s">
        <v>978</v>
      </c>
      <c r="C34" s="2">
        <v>40</v>
      </c>
      <c r="D34" s="2">
        <v>60</v>
      </c>
      <c r="E34" s="2">
        <v>80</v>
      </c>
      <c r="F34" s="3" t="b">
        <f t="shared" si="0"/>
        <v>0</v>
      </c>
    </row>
    <row r="35" spans="2:6" x14ac:dyDescent="0.2">
      <c r="B35" s="2" t="s">
        <v>979</v>
      </c>
      <c r="C35" s="2">
        <v>10</v>
      </c>
      <c r="D35" s="2">
        <v>90</v>
      </c>
      <c r="E35" s="2">
        <v>80</v>
      </c>
      <c r="F35" s="3" t="b">
        <f t="shared" si="0"/>
        <v>0</v>
      </c>
    </row>
    <row r="36" spans="2:6" x14ac:dyDescent="0.2">
      <c r="B36" s="2" t="s">
        <v>980</v>
      </c>
      <c r="C36" s="2">
        <v>80</v>
      </c>
      <c r="D36" s="2">
        <v>70</v>
      </c>
      <c r="E36" s="2">
        <v>60</v>
      </c>
      <c r="F36" s="3" t="b">
        <f t="shared" si="0"/>
        <v>1</v>
      </c>
    </row>
    <row r="37" spans="2:6" x14ac:dyDescent="0.2">
      <c r="B37" s="2" t="s">
        <v>981</v>
      </c>
      <c r="C37" s="2">
        <v>30</v>
      </c>
      <c r="D37" s="2">
        <v>10</v>
      </c>
      <c r="E37" s="2">
        <v>20</v>
      </c>
      <c r="F37" s="3" t="b">
        <f t="shared" si="0"/>
        <v>0</v>
      </c>
    </row>
    <row r="38" spans="2:6" x14ac:dyDescent="0.2">
      <c r="B38" s="2" t="s">
        <v>982</v>
      </c>
      <c r="C38" s="2">
        <v>10</v>
      </c>
      <c r="D38" s="2">
        <v>20</v>
      </c>
      <c r="E38" s="2">
        <v>30</v>
      </c>
      <c r="F38" s="3" t="b">
        <f t="shared" si="0"/>
        <v>0</v>
      </c>
    </row>
    <row r="39" spans="2:6" x14ac:dyDescent="0.2">
      <c r="F39" s="153" t="s">
        <v>983</v>
      </c>
    </row>
    <row r="41" spans="2:6" x14ac:dyDescent="0.2">
      <c r="B41" s="154" t="s">
        <v>984</v>
      </c>
      <c r="C41" s="3">
        <f>AVERAGE(C29:C38)</f>
        <v>47</v>
      </c>
      <c r="D41" s="3">
        <f>AVERAGE(D29:D38)</f>
        <v>54</v>
      </c>
      <c r="E41" s="3">
        <f>AVERAGE(E29:E38)</f>
        <v>60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8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5057" r:id="rId4" name="Button 1">
              <controlPr defaultSize="0" print="0" autoFill="0" autoLine="0" autoPict="0">
                <anchor>
                  <from>
                    <xdr:col>7</xdr:col>
                    <xdr:colOff>542925</xdr:colOff>
                    <xdr:row>0</xdr:row>
                    <xdr:rowOff>38100</xdr:rowOff>
                  </from>
                  <to>
                    <xdr:col>8</xdr:col>
                    <xdr:colOff>400050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8" r:id="rId5" name="Button 2">
              <controlPr defaultSize="0" print="0" autoFill="0" autoLine="0" autoPict="0">
                <anchor>
                  <from>
                    <xdr:col>8</xdr:col>
                    <xdr:colOff>466725</xdr:colOff>
                    <xdr:row>0</xdr:row>
                    <xdr:rowOff>38100</xdr:rowOff>
                  </from>
                  <to>
                    <xdr:col>8</xdr:col>
                    <xdr:colOff>666750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9" r:id="rId6" name="Button 3">
              <controlPr defaultSize="0" print="0" autoFill="0" autoLine="0" autoPict="0">
                <anchor>
                  <from>
                    <xdr:col>7</xdr:col>
                    <xdr:colOff>266700</xdr:colOff>
                    <xdr:row>0</xdr:row>
                    <xdr:rowOff>38100</xdr:rowOff>
                  </from>
                  <to>
                    <xdr:col>7</xdr:col>
                    <xdr:colOff>476250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2">
    <pageSetUpPr fitToPage="1"/>
  </sheetPr>
  <dimension ref="A1:H36"/>
  <sheetViews>
    <sheetView showGridLines="0" workbookViewId="0">
      <pane ySplit="1" topLeftCell="A14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7" max="7" width="20.5703125" customWidth="1"/>
    <col min="8" max="8" width="14" customWidth="1"/>
    <col min="10" max="10" width="8.7109375" customWidth="1"/>
  </cols>
  <sheetData>
    <row r="1" spans="1:8" ht="18.75" thickBot="1" x14ac:dyDescent="0.3">
      <c r="A1" s="1" t="s">
        <v>985</v>
      </c>
      <c r="B1" s="1"/>
      <c r="C1" s="1"/>
      <c r="D1" s="1"/>
      <c r="E1" s="1"/>
      <c r="F1" s="1"/>
      <c r="G1" s="1"/>
      <c r="H1" s="1"/>
    </row>
    <row r="2" spans="1:8" ht="14.25" thickTop="1" thickBot="1" x14ac:dyDescent="0.25"/>
    <row r="3" spans="1:8" ht="13.5" thickTop="1" x14ac:dyDescent="0.2">
      <c r="B3" s="4" t="s">
        <v>986</v>
      </c>
      <c r="C3" s="155" t="s">
        <v>769</v>
      </c>
      <c r="D3" s="156" t="s">
        <v>987</v>
      </c>
      <c r="F3" s="3">
        <f>AREAS(PeopleLists)</f>
        <v>2</v>
      </c>
      <c r="G3" s="32" t="s">
        <v>988</v>
      </c>
    </row>
    <row r="4" spans="1:8" x14ac:dyDescent="0.2">
      <c r="C4" s="157" t="s">
        <v>118</v>
      </c>
      <c r="D4" s="158">
        <v>18</v>
      </c>
    </row>
    <row r="5" spans="1:8" x14ac:dyDescent="0.2">
      <c r="C5" s="157" t="s">
        <v>120</v>
      </c>
      <c r="D5" s="158">
        <v>17</v>
      </c>
    </row>
    <row r="6" spans="1:8" ht="13.5" thickBot="1" x14ac:dyDescent="0.25">
      <c r="C6" s="159" t="s">
        <v>121</v>
      </c>
      <c r="D6" s="160">
        <v>20</v>
      </c>
    </row>
    <row r="7" spans="1:8" ht="14.25" thickTop="1" thickBot="1" x14ac:dyDescent="0.25"/>
    <row r="8" spans="1:8" ht="13.5" thickTop="1" x14ac:dyDescent="0.2">
      <c r="B8" s="4" t="s">
        <v>989</v>
      </c>
      <c r="C8" s="161" t="s">
        <v>769</v>
      </c>
      <c r="D8" s="162" t="s">
        <v>987</v>
      </c>
    </row>
    <row r="9" spans="1:8" x14ac:dyDescent="0.2">
      <c r="C9" s="163" t="s">
        <v>122</v>
      </c>
      <c r="D9" s="164">
        <v>20</v>
      </c>
    </row>
    <row r="10" spans="1:8" x14ac:dyDescent="0.2">
      <c r="C10" s="163" t="s">
        <v>300</v>
      </c>
      <c r="D10" s="164">
        <v>16</v>
      </c>
    </row>
    <row r="11" spans="1:8" ht="13.5" thickBot="1" x14ac:dyDescent="0.25">
      <c r="C11" s="165" t="s">
        <v>978</v>
      </c>
      <c r="D11" s="166">
        <v>19</v>
      </c>
    </row>
    <row r="12" spans="1:8" ht="13.5" thickTop="1" x14ac:dyDescent="0.2"/>
    <row r="13" spans="1:8" ht="13.5" thickBot="1" x14ac:dyDescent="0.25">
      <c r="B13" s="9" t="s">
        <v>64</v>
      </c>
      <c r="C13" s="9"/>
      <c r="D13" s="9"/>
      <c r="E13" s="9"/>
      <c r="F13" s="9"/>
      <c r="G13" s="9"/>
      <c r="H13" s="9"/>
    </row>
    <row r="14" spans="1:8" x14ac:dyDescent="0.2">
      <c r="B14" t="s">
        <v>990</v>
      </c>
    </row>
    <row r="15" spans="1:8" x14ac:dyDescent="0.2">
      <c r="B15" t="s">
        <v>991</v>
      </c>
    </row>
    <row r="16" spans="1:8" x14ac:dyDescent="0.2">
      <c r="B16" t="s">
        <v>992</v>
      </c>
    </row>
    <row r="17" spans="2:8" x14ac:dyDescent="0.2">
      <c r="B17" t="s">
        <v>993</v>
      </c>
    </row>
    <row r="18" spans="2:8" x14ac:dyDescent="0.2">
      <c r="B18" t="s">
        <v>994</v>
      </c>
    </row>
    <row r="20" spans="2:8" ht="13.5" thickBot="1" x14ac:dyDescent="0.25">
      <c r="B20" s="9" t="s">
        <v>43</v>
      </c>
      <c r="C20" s="9"/>
      <c r="D20" s="9"/>
      <c r="E20" s="9"/>
      <c r="F20" s="9"/>
      <c r="G20" s="9"/>
      <c r="H20" s="9"/>
    </row>
    <row r="21" spans="2:8" x14ac:dyDescent="0.2">
      <c r="B21" t="s">
        <v>995</v>
      </c>
    </row>
    <row r="23" spans="2:8" ht="13.5" thickBot="1" x14ac:dyDescent="0.25">
      <c r="B23" s="9" t="s">
        <v>45</v>
      </c>
      <c r="C23" s="9"/>
      <c r="D23" s="9"/>
      <c r="E23" s="9"/>
      <c r="F23" s="9"/>
      <c r="G23" s="9"/>
      <c r="H23" s="9"/>
    </row>
    <row r="24" spans="2:8" x14ac:dyDescent="0.2">
      <c r="B24" t="s">
        <v>996</v>
      </c>
    </row>
    <row r="26" spans="2:8" ht="13.5" thickBot="1" x14ac:dyDescent="0.25">
      <c r="B26" s="9" t="s">
        <v>85</v>
      </c>
      <c r="C26" s="9"/>
      <c r="D26" s="9"/>
      <c r="E26" s="9"/>
      <c r="F26" s="9"/>
      <c r="G26" s="9"/>
      <c r="H26" s="9"/>
    </row>
    <row r="27" spans="2:8" x14ac:dyDescent="0.2">
      <c r="B27" t="s">
        <v>997</v>
      </c>
    </row>
    <row r="28" spans="2:8" x14ac:dyDescent="0.2">
      <c r="B28" t="s">
        <v>998</v>
      </c>
    </row>
    <row r="29" spans="2:8" x14ac:dyDescent="0.2">
      <c r="B29" t="s">
        <v>999</v>
      </c>
    </row>
    <row r="30" spans="2:8" x14ac:dyDescent="0.2">
      <c r="B30" t="s">
        <v>1000</v>
      </c>
    </row>
    <row r="32" spans="2:8" ht="13.5" thickBot="1" x14ac:dyDescent="0.25">
      <c r="B32" s="9" t="s">
        <v>47</v>
      </c>
      <c r="C32" s="9"/>
      <c r="D32" s="9"/>
      <c r="E32" s="9"/>
      <c r="F32" s="9"/>
      <c r="G32" s="9"/>
      <c r="H32" s="9"/>
    </row>
    <row r="33" spans="2:2" x14ac:dyDescent="0.2">
      <c r="B33" t="s">
        <v>1001</v>
      </c>
    </row>
    <row r="34" spans="2:2" x14ac:dyDescent="0.2">
      <c r="B34" t="s">
        <v>1002</v>
      </c>
    </row>
    <row r="35" spans="2:2" x14ac:dyDescent="0.2">
      <c r="B35" t="s">
        <v>1003</v>
      </c>
    </row>
    <row r="36" spans="2:2" x14ac:dyDescent="0.2">
      <c r="B36" t="s">
        <v>1004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6081" r:id="rId4" name="Button 1">
              <controlPr defaultSize="0" print="0" autoFill="0" autoLine="0" autoPict="0">
                <anchor>
                  <from>
                    <xdr:col>7</xdr:col>
                    <xdr:colOff>200025</xdr:colOff>
                    <xdr:row>0</xdr:row>
                    <xdr:rowOff>38100</xdr:rowOff>
                  </from>
                  <to>
                    <xdr:col>7</xdr:col>
                    <xdr:colOff>666750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2" r:id="rId5" name="Button 2">
              <controlPr defaultSize="0" print="0" autoFill="0" autoLine="0" autoPict="0">
                <anchor>
                  <from>
                    <xdr:col>7</xdr:col>
                    <xdr:colOff>733425</xdr:colOff>
                    <xdr:row>0</xdr:row>
                    <xdr:rowOff>38100</xdr:rowOff>
                  </from>
                  <to>
                    <xdr:col>8</xdr:col>
                    <xdr:colOff>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3" r:id="rId6" name="Button 3">
              <controlPr defaultSize="0" print="0" autoFill="0" autoLine="0" autoPict="0">
                <anchor>
                  <from>
                    <xdr:col>6</xdr:col>
                    <xdr:colOff>1304925</xdr:colOff>
                    <xdr:row>0</xdr:row>
                    <xdr:rowOff>38100</xdr:rowOff>
                  </from>
                  <to>
                    <xdr:col>7</xdr:col>
                    <xdr:colOff>133350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14">
    <pageSetUpPr fitToPage="1"/>
  </sheetPr>
  <dimension ref="A1:I24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3.28515625" customWidth="1"/>
    <col min="4" max="4" width="16.7109375" customWidth="1"/>
    <col min="9" max="9" width="6.28515625" customWidth="1"/>
  </cols>
  <sheetData>
    <row r="1" spans="1:9" ht="18.75" thickBot="1" x14ac:dyDescent="0.3">
      <c r="A1" s="1" t="s">
        <v>1005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5" t="s">
        <v>1006</v>
      </c>
      <c r="D3" s="5" t="s">
        <v>1007</v>
      </c>
    </row>
    <row r="4" spans="1:9" x14ac:dyDescent="0.2">
      <c r="C4" s="167">
        <v>0</v>
      </c>
      <c r="D4" s="3">
        <f t="shared" ref="D4:D13" si="0">BIN2DEC(C4)</f>
        <v>0</v>
      </c>
      <c r="E4" s="8" t="s">
        <v>1008</v>
      </c>
    </row>
    <row r="5" spans="1:9" x14ac:dyDescent="0.2">
      <c r="C5" s="167">
        <v>1</v>
      </c>
      <c r="D5" s="3">
        <f t="shared" si="0"/>
        <v>1</v>
      </c>
      <c r="E5" s="8" t="s">
        <v>1009</v>
      </c>
    </row>
    <row r="6" spans="1:9" x14ac:dyDescent="0.2">
      <c r="C6" s="167">
        <v>10</v>
      </c>
      <c r="D6" s="3">
        <f t="shared" si="0"/>
        <v>2</v>
      </c>
      <c r="E6" s="8" t="s">
        <v>1010</v>
      </c>
    </row>
    <row r="7" spans="1:9" x14ac:dyDescent="0.2">
      <c r="C7" s="167">
        <v>11</v>
      </c>
      <c r="D7" s="3">
        <f t="shared" si="0"/>
        <v>3</v>
      </c>
      <c r="E7" s="8" t="s">
        <v>1011</v>
      </c>
    </row>
    <row r="8" spans="1:9" x14ac:dyDescent="0.2">
      <c r="C8" s="167">
        <v>111111111</v>
      </c>
      <c r="D8" s="3">
        <f t="shared" si="0"/>
        <v>511</v>
      </c>
      <c r="E8" s="8" t="s">
        <v>1012</v>
      </c>
    </row>
    <row r="9" spans="1:9" x14ac:dyDescent="0.2">
      <c r="C9" s="167">
        <v>1111111111</v>
      </c>
      <c r="D9" s="3">
        <f t="shared" si="0"/>
        <v>-1</v>
      </c>
      <c r="E9" s="8" t="s">
        <v>1013</v>
      </c>
    </row>
    <row r="10" spans="1:9" x14ac:dyDescent="0.2">
      <c r="C10" s="167">
        <v>1111111110</v>
      </c>
      <c r="D10" s="3">
        <f t="shared" si="0"/>
        <v>-2</v>
      </c>
      <c r="E10" s="8" t="s">
        <v>1014</v>
      </c>
    </row>
    <row r="11" spans="1:9" x14ac:dyDescent="0.2">
      <c r="C11" s="167">
        <v>1111111101</v>
      </c>
      <c r="D11" s="3">
        <f t="shared" si="0"/>
        <v>-3</v>
      </c>
      <c r="E11" s="8" t="s">
        <v>1015</v>
      </c>
    </row>
    <row r="12" spans="1:9" x14ac:dyDescent="0.2">
      <c r="C12" s="167">
        <v>1000000000</v>
      </c>
      <c r="D12" s="3">
        <f t="shared" si="0"/>
        <v>-512</v>
      </c>
      <c r="E12" s="8" t="s">
        <v>1016</v>
      </c>
    </row>
    <row r="13" spans="1:9" x14ac:dyDescent="0.2">
      <c r="C13" s="167">
        <v>11111111111</v>
      </c>
      <c r="D13" s="3" t="e">
        <f t="shared" si="0"/>
        <v>#NUM!</v>
      </c>
      <c r="E13" s="8" t="s">
        <v>1017</v>
      </c>
    </row>
    <row r="15" spans="1:9" ht="13.5" thickBot="1" x14ac:dyDescent="0.25">
      <c r="B15" s="9" t="s">
        <v>39</v>
      </c>
      <c r="C15" s="9"/>
      <c r="D15" s="9"/>
      <c r="E15" s="9"/>
      <c r="F15" s="9"/>
      <c r="G15" s="9"/>
      <c r="H15" s="9"/>
      <c r="I15" s="9"/>
    </row>
    <row r="16" spans="1:9" x14ac:dyDescent="0.2">
      <c r="B16" t="s">
        <v>1018</v>
      </c>
    </row>
    <row r="17" spans="2:9" x14ac:dyDescent="0.2">
      <c r="B17" t="s">
        <v>1019</v>
      </c>
    </row>
    <row r="19" spans="2:9" ht="13.5" thickBot="1" x14ac:dyDescent="0.25">
      <c r="B19" s="9" t="s">
        <v>43</v>
      </c>
      <c r="C19" s="9"/>
      <c r="D19" s="9"/>
      <c r="E19" s="9"/>
      <c r="F19" s="9"/>
      <c r="G19" s="9"/>
      <c r="H19" s="9"/>
      <c r="I19" s="9"/>
    </row>
    <row r="20" spans="2:9" x14ac:dyDescent="0.2">
      <c r="B20" s="10" t="s">
        <v>1020</v>
      </c>
    </row>
    <row r="21" spans="2:9" x14ac:dyDescent="0.2">
      <c r="B21" t="s">
        <v>1021</v>
      </c>
    </row>
    <row r="23" spans="2:9" ht="13.5" thickBot="1" x14ac:dyDescent="0.25">
      <c r="B23" s="9" t="s">
        <v>45</v>
      </c>
      <c r="C23" s="9"/>
      <c r="D23" s="9"/>
      <c r="E23" s="9"/>
      <c r="F23" s="9"/>
      <c r="G23" s="9"/>
      <c r="H23" s="9"/>
      <c r="I23" s="9"/>
    </row>
    <row r="24" spans="2:9" x14ac:dyDescent="0.2">
      <c r="B24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105" r:id="rId4" name="Button 1">
              <controlPr defaultSize="0" print="0" autoFill="0" autoLine="0" autoPict="0">
                <anchor>
                  <from>
                    <xdr:col>7</xdr:col>
                    <xdr:colOff>171450</xdr:colOff>
                    <xdr:row>0</xdr:row>
                    <xdr:rowOff>38100</xdr:rowOff>
                  </from>
                  <to>
                    <xdr:col>8</xdr:col>
                    <xdr:colOff>38100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6" r:id="rId5" name="Button 2">
              <controlPr defaultSize="0" print="0" autoFill="0" autoLine="0" autoPict="0">
                <anchor>
                  <from>
                    <xdr:col>8</xdr:col>
                    <xdr:colOff>104775</xdr:colOff>
                    <xdr:row>0</xdr:row>
                    <xdr:rowOff>38100</xdr:rowOff>
                  </from>
                  <to>
                    <xdr:col>8</xdr:col>
                    <xdr:colOff>304800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7" r:id="rId6" name="Button 3">
              <controlPr defaultSize="0" print="0" autoFill="0" autoLine="0" autoPict="0">
                <anchor>
                  <from>
                    <xdr:col>6</xdr:col>
                    <xdr:colOff>504825</xdr:colOff>
                    <xdr:row>0</xdr:row>
                    <xdr:rowOff>38100</xdr:rowOff>
                  </from>
                  <to>
                    <xdr:col>7</xdr:col>
                    <xdr:colOff>95250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15">
    <pageSetUpPr fitToPage="1"/>
  </sheetPr>
  <dimension ref="A1:H89"/>
  <sheetViews>
    <sheetView showGridLines="0" topLeftCell="A67" workbookViewId="0">
      <selection activeCell="F30" activeCellId="4" sqref="F16 K30 G30 P30 F30"/>
    </sheetView>
  </sheetViews>
  <sheetFormatPr defaultRowHeight="12.75" x14ac:dyDescent="0.2"/>
  <cols>
    <col min="1" max="1" width="2.7109375" customWidth="1"/>
    <col min="3" max="3" width="10.5703125" customWidth="1"/>
    <col min="4" max="4" width="13.140625" customWidth="1"/>
    <col min="5" max="5" width="12.42578125" customWidth="1"/>
    <col min="6" max="6" width="12.140625" customWidth="1"/>
    <col min="7" max="7" width="13.42578125" customWidth="1"/>
    <col min="8" max="8" width="10.85546875" customWidth="1"/>
  </cols>
  <sheetData>
    <row r="1" spans="1:8" ht="18.75" thickBot="1" x14ac:dyDescent="0.3">
      <c r="A1" s="1" t="s">
        <v>1022</v>
      </c>
      <c r="B1" s="1"/>
      <c r="C1" s="1"/>
      <c r="D1" s="1"/>
      <c r="E1" s="1"/>
      <c r="F1" s="58"/>
      <c r="G1" s="1"/>
      <c r="H1" s="1"/>
    </row>
    <row r="2" spans="1:8" ht="13.5" thickTop="1" x14ac:dyDescent="0.2"/>
    <row r="3" spans="1:8" x14ac:dyDescent="0.2">
      <c r="C3" s="59" t="s">
        <v>467</v>
      </c>
      <c r="D3" s="59" t="s">
        <v>1023</v>
      </c>
    </row>
    <row r="4" spans="1:8" x14ac:dyDescent="0.2">
      <c r="C4" s="168">
        <v>2.1</v>
      </c>
      <c r="D4" s="3">
        <f>CEILING(C4,1)</f>
        <v>3</v>
      </c>
      <c r="E4" s="8" t="s">
        <v>1024</v>
      </c>
    </row>
    <row r="5" spans="1:8" x14ac:dyDescent="0.2">
      <c r="C5" s="168">
        <v>1.5</v>
      </c>
      <c r="D5" s="3">
        <f>CEILING(C5,1)</f>
        <v>2</v>
      </c>
      <c r="E5" s="8" t="s">
        <v>1025</v>
      </c>
    </row>
    <row r="6" spans="1:8" x14ac:dyDescent="0.2">
      <c r="C6" s="168">
        <v>1.9</v>
      </c>
      <c r="D6" s="3">
        <f>CEILING(C6,1)</f>
        <v>2</v>
      </c>
      <c r="E6" s="8" t="s">
        <v>1026</v>
      </c>
    </row>
    <row r="7" spans="1:8" x14ac:dyDescent="0.2">
      <c r="C7" s="2">
        <v>20</v>
      </c>
      <c r="D7" s="3">
        <f>CEILING(C7,30)</f>
        <v>30</v>
      </c>
      <c r="E7" s="8" t="s">
        <v>1027</v>
      </c>
    </row>
    <row r="8" spans="1:8" x14ac:dyDescent="0.2">
      <c r="C8" s="2">
        <v>25</v>
      </c>
      <c r="D8" s="3">
        <f>CEILING(C8,30)</f>
        <v>30</v>
      </c>
      <c r="E8" s="8" t="s">
        <v>1028</v>
      </c>
    </row>
    <row r="9" spans="1:8" x14ac:dyDescent="0.2">
      <c r="C9" s="2">
        <v>40</v>
      </c>
      <c r="D9" s="3">
        <f>CEILING(C9,30)</f>
        <v>60</v>
      </c>
      <c r="E9" s="8" t="s">
        <v>1029</v>
      </c>
    </row>
    <row r="11" spans="1:8" ht="13.5" thickBot="1" x14ac:dyDescent="0.25">
      <c r="B11" s="9" t="s">
        <v>39</v>
      </c>
      <c r="C11" s="9"/>
      <c r="D11" s="9"/>
      <c r="E11" s="9"/>
      <c r="F11" s="9"/>
      <c r="G11" s="9"/>
      <c r="H11" s="9"/>
    </row>
    <row r="12" spans="1:8" x14ac:dyDescent="0.2">
      <c r="B12" t="s">
        <v>1030</v>
      </c>
    </row>
    <row r="14" spans="1:8" ht="13.5" thickBot="1" x14ac:dyDescent="0.25">
      <c r="B14" s="9" t="s">
        <v>43</v>
      </c>
      <c r="C14" s="9"/>
      <c r="D14" s="9"/>
      <c r="E14" s="9"/>
      <c r="F14" s="9"/>
      <c r="G14" s="9"/>
      <c r="H14" s="9"/>
    </row>
    <row r="15" spans="1:8" x14ac:dyDescent="0.2">
      <c r="B15" s="10" t="s">
        <v>1031</v>
      </c>
    </row>
    <row r="16" spans="1:8" x14ac:dyDescent="0.2">
      <c r="B16" t="s">
        <v>1032</v>
      </c>
    </row>
    <row r="18" spans="2:8" ht="13.5" thickBot="1" x14ac:dyDescent="0.25">
      <c r="B18" s="9" t="s">
        <v>45</v>
      </c>
      <c r="C18" s="9"/>
      <c r="D18" s="9"/>
      <c r="E18" s="9"/>
      <c r="F18" s="9"/>
      <c r="G18" s="9"/>
      <c r="H18" s="9"/>
    </row>
    <row r="19" spans="2:8" x14ac:dyDescent="0.2">
      <c r="B19" t="s">
        <v>46</v>
      </c>
    </row>
    <row r="21" spans="2:8" ht="13.5" thickBot="1" x14ac:dyDescent="0.25">
      <c r="B21" s="9" t="s">
        <v>286</v>
      </c>
      <c r="C21" s="9"/>
      <c r="D21" s="9"/>
      <c r="E21" s="9"/>
      <c r="F21" s="9"/>
      <c r="G21" s="9"/>
      <c r="H21" s="9"/>
    </row>
    <row r="22" spans="2:8" x14ac:dyDescent="0.2">
      <c r="B22" t="s">
        <v>1033</v>
      </c>
    </row>
    <row r="23" spans="2:8" x14ac:dyDescent="0.2">
      <c r="B23" t="s">
        <v>1034</v>
      </c>
    </row>
    <row r="24" spans="2:8" x14ac:dyDescent="0.2">
      <c r="B24" t="s">
        <v>1035</v>
      </c>
    </row>
    <row r="25" spans="2:8" x14ac:dyDescent="0.2">
      <c r="B25" t="s">
        <v>1036</v>
      </c>
    </row>
    <row r="27" spans="2:8" ht="25.5" x14ac:dyDescent="0.2">
      <c r="D27" s="59" t="s">
        <v>1037</v>
      </c>
      <c r="E27" s="169" t="s">
        <v>1038</v>
      </c>
    </row>
    <row r="28" spans="2:8" x14ac:dyDescent="0.2">
      <c r="C28" s="170" t="s">
        <v>1039</v>
      </c>
      <c r="D28" s="2">
        <v>3</v>
      </c>
      <c r="E28" s="3">
        <f>CEILING(D28,7)</f>
        <v>7</v>
      </c>
      <c r="F28" s="8" t="s">
        <v>1040</v>
      </c>
    </row>
    <row r="29" spans="2:8" x14ac:dyDescent="0.2">
      <c r="C29" s="170" t="s">
        <v>1041</v>
      </c>
      <c r="D29" s="2">
        <v>4</v>
      </c>
      <c r="E29" s="3">
        <f>CEILING(D29,7)</f>
        <v>7</v>
      </c>
      <c r="F29" s="8" t="s">
        <v>1042</v>
      </c>
    </row>
    <row r="30" spans="2:8" x14ac:dyDescent="0.2">
      <c r="C30" s="170" t="s">
        <v>1043</v>
      </c>
      <c r="D30" s="2">
        <v>10</v>
      </c>
      <c r="E30" s="3">
        <f>CEILING(D30,7)</f>
        <v>14</v>
      </c>
      <c r="F30" s="8" t="s">
        <v>1044</v>
      </c>
    </row>
    <row r="33" spans="2:8" ht="13.5" thickBot="1" x14ac:dyDescent="0.25">
      <c r="B33" s="9" t="s">
        <v>305</v>
      </c>
      <c r="C33" s="9"/>
      <c r="D33" s="9"/>
      <c r="E33" s="9"/>
      <c r="F33" s="9"/>
      <c r="G33" s="9"/>
      <c r="H33" s="9"/>
    </row>
    <row r="34" spans="2:8" x14ac:dyDescent="0.2">
      <c r="B34" t="s">
        <v>1045</v>
      </c>
    </row>
    <row r="35" spans="2:8" x14ac:dyDescent="0.2">
      <c r="B35" t="s">
        <v>1046</v>
      </c>
    </row>
    <row r="36" spans="2:8" x14ac:dyDescent="0.2">
      <c r="B36" t="s">
        <v>1047</v>
      </c>
    </row>
    <row r="38" spans="2:8" x14ac:dyDescent="0.2">
      <c r="B38" t="s">
        <v>1048</v>
      </c>
    </row>
    <row r="39" spans="2:8" x14ac:dyDescent="0.2">
      <c r="B39" t="s">
        <v>1049</v>
      </c>
    </row>
    <row r="40" spans="2:8" x14ac:dyDescent="0.2">
      <c r="B40" t="s">
        <v>1050</v>
      </c>
    </row>
    <row r="41" spans="2:8" x14ac:dyDescent="0.2">
      <c r="B41" t="s">
        <v>1051</v>
      </c>
    </row>
    <row r="43" spans="2:8" x14ac:dyDescent="0.2">
      <c r="C43" t="s">
        <v>229</v>
      </c>
    </row>
    <row r="44" spans="2:8" ht="25.5" x14ac:dyDescent="0.2">
      <c r="C44" s="59" t="s">
        <v>88</v>
      </c>
      <c r="D44" s="60" t="s">
        <v>1052</v>
      </c>
      <c r="E44" s="60" t="s">
        <v>1053</v>
      </c>
      <c r="F44" s="60" t="s">
        <v>1054</v>
      </c>
    </row>
    <row r="45" spans="2:8" x14ac:dyDescent="0.2">
      <c r="C45" s="2" t="s">
        <v>89</v>
      </c>
      <c r="D45" s="2">
        <v>1000</v>
      </c>
      <c r="E45" s="2">
        <v>300</v>
      </c>
      <c r="F45" s="171">
        <f>D45/E45</f>
        <v>3.3333333333333335</v>
      </c>
      <c r="G45" s="8" t="s">
        <v>1055</v>
      </c>
    </row>
    <row r="46" spans="2:8" x14ac:dyDescent="0.2">
      <c r="C46" s="2" t="s">
        <v>90</v>
      </c>
      <c r="D46" s="2">
        <v>5000</v>
      </c>
      <c r="E46" s="2">
        <v>600</v>
      </c>
      <c r="F46" s="171">
        <f>D46/E46</f>
        <v>8.3333333333333339</v>
      </c>
      <c r="G46" s="8" t="s">
        <v>1056</v>
      </c>
    </row>
    <row r="47" spans="2:8" x14ac:dyDescent="0.2">
      <c r="C47" s="2" t="s">
        <v>1057</v>
      </c>
      <c r="D47" s="2">
        <v>2000</v>
      </c>
      <c r="E47" s="2">
        <v>350</v>
      </c>
      <c r="F47" s="171">
        <f>D47/E47</f>
        <v>5.7142857142857144</v>
      </c>
      <c r="G47" s="8" t="s">
        <v>1058</v>
      </c>
    </row>
    <row r="49" spans="2:8" x14ac:dyDescent="0.2">
      <c r="B49" t="s">
        <v>1059</v>
      </c>
    </row>
    <row r="50" spans="2:8" x14ac:dyDescent="0.2">
      <c r="B50" t="s">
        <v>1060</v>
      </c>
    </row>
    <row r="52" spans="2:8" x14ac:dyDescent="0.2">
      <c r="C52" t="s">
        <v>924</v>
      </c>
      <c r="F52" s="172"/>
    </row>
    <row r="53" spans="2:8" ht="25.5" x14ac:dyDescent="0.2">
      <c r="C53" s="59" t="s">
        <v>88</v>
      </c>
      <c r="D53" s="60" t="s">
        <v>1052</v>
      </c>
      <c r="E53" s="60" t="s">
        <v>1053</v>
      </c>
      <c r="F53" s="60" t="s">
        <v>1054</v>
      </c>
    </row>
    <row r="54" spans="2:8" x14ac:dyDescent="0.2">
      <c r="C54" s="2" t="s">
        <v>89</v>
      </c>
      <c r="D54" s="2">
        <v>1000</v>
      </c>
      <c r="E54" s="2">
        <v>300</v>
      </c>
      <c r="F54" s="173">
        <f>CEILING(D54/E54,1)</f>
        <v>4</v>
      </c>
      <c r="G54" s="8" t="s">
        <v>1061</v>
      </c>
    </row>
    <row r="55" spans="2:8" x14ac:dyDescent="0.2">
      <c r="C55" s="2" t="s">
        <v>90</v>
      </c>
      <c r="D55" s="2">
        <v>5000</v>
      </c>
      <c r="E55" s="2">
        <v>600</v>
      </c>
      <c r="F55" s="173">
        <f>CEILING(D55/E55,1)</f>
        <v>9</v>
      </c>
      <c r="G55" s="8" t="s">
        <v>1062</v>
      </c>
    </row>
    <row r="56" spans="2:8" x14ac:dyDescent="0.2">
      <c r="C56" s="2" t="s">
        <v>1057</v>
      </c>
      <c r="D56" s="2">
        <v>2000</v>
      </c>
      <c r="E56" s="2">
        <v>350</v>
      </c>
      <c r="F56" s="173">
        <f>CEILING(D56/E56,1)</f>
        <v>6</v>
      </c>
      <c r="G56" s="8" t="s">
        <v>1063</v>
      </c>
    </row>
    <row r="59" spans="2:8" ht="13.5" thickBot="1" x14ac:dyDescent="0.25">
      <c r="B59" s="9" t="s">
        <v>323</v>
      </c>
      <c r="C59" s="9"/>
      <c r="D59" s="9"/>
      <c r="E59" s="9"/>
      <c r="F59" s="9"/>
      <c r="G59" s="9"/>
      <c r="H59" s="9"/>
    </row>
    <row r="60" spans="2:8" x14ac:dyDescent="0.2">
      <c r="B60" t="s">
        <v>1064</v>
      </c>
    </row>
    <row r="61" spans="2:8" x14ac:dyDescent="0.2">
      <c r="B61" t="s">
        <v>1065</v>
      </c>
    </row>
    <row r="62" spans="2:8" x14ac:dyDescent="0.2">
      <c r="B62" t="s">
        <v>1066</v>
      </c>
    </row>
    <row r="63" spans="2:8" x14ac:dyDescent="0.2">
      <c r="B63" t="s">
        <v>1067</v>
      </c>
    </row>
    <row r="65" spans="2:6" x14ac:dyDescent="0.2">
      <c r="B65" t="s">
        <v>1068</v>
      </c>
    </row>
    <row r="67" spans="2:6" x14ac:dyDescent="0.2">
      <c r="B67" t="s">
        <v>229</v>
      </c>
    </row>
    <row r="68" spans="2:6" x14ac:dyDescent="0.2">
      <c r="B68" s="59" t="s">
        <v>88</v>
      </c>
      <c r="C68" s="59" t="s">
        <v>1069</v>
      </c>
      <c r="D68" s="59" t="s">
        <v>1070</v>
      </c>
      <c r="E68" s="59" t="s">
        <v>1071</v>
      </c>
    </row>
    <row r="69" spans="2:6" x14ac:dyDescent="0.2">
      <c r="B69" s="2" t="s">
        <v>1072</v>
      </c>
      <c r="C69" s="2">
        <v>11</v>
      </c>
      <c r="D69" s="18">
        <v>20</v>
      </c>
      <c r="E69" s="174">
        <f>D69/C69</f>
        <v>1.8181818181818181</v>
      </c>
      <c r="F69" s="8" t="s">
        <v>1073</v>
      </c>
    </row>
    <row r="70" spans="2:6" x14ac:dyDescent="0.2">
      <c r="B70" s="2" t="s">
        <v>1074</v>
      </c>
      <c r="C70" s="2">
        <v>7</v>
      </c>
      <c r="D70" s="175">
        <v>18.25</v>
      </c>
      <c r="E70" s="174">
        <f>D70/C70</f>
        <v>2.6071428571428572</v>
      </c>
      <c r="F70" s="8" t="s">
        <v>1075</v>
      </c>
    </row>
    <row r="71" spans="2:6" x14ac:dyDescent="0.2">
      <c r="B71" s="2" t="s">
        <v>1076</v>
      </c>
      <c r="C71" s="2">
        <v>5</v>
      </c>
      <c r="D71" s="175">
        <v>28.1</v>
      </c>
      <c r="E71" s="174">
        <f>D71/C71</f>
        <v>5.62</v>
      </c>
      <c r="F71" s="8" t="s">
        <v>1077</v>
      </c>
    </row>
    <row r="72" spans="2:6" x14ac:dyDescent="0.2">
      <c r="B72" s="2" t="s">
        <v>1078</v>
      </c>
      <c r="C72" s="2">
        <v>16</v>
      </c>
      <c r="D72" s="18">
        <v>28</v>
      </c>
      <c r="E72" s="174">
        <f>D72/C72</f>
        <v>1.75</v>
      </c>
      <c r="F72" s="8" t="s">
        <v>1079</v>
      </c>
    </row>
    <row r="75" spans="2:6" x14ac:dyDescent="0.2">
      <c r="B75" t="s">
        <v>1080</v>
      </c>
    </row>
    <row r="76" spans="2:6" x14ac:dyDescent="0.2">
      <c r="B76" t="s">
        <v>1081</v>
      </c>
    </row>
    <row r="78" spans="2:6" x14ac:dyDescent="0.2">
      <c r="B78" t="s">
        <v>924</v>
      </c>
    </row>
    <row r="79" spans="2:6" x14ac:dyDescent="0.2">
      <c r="B79" s="59" t="s">
        <v>88</v>
      </c>
      <c r="C79" s="59" t="s">
        <v>1082</v>
      </c>
      <c r="D79" s="59" t="s">
        <v>1070</v>
      </c>
      <c r="E79" s="59" t="s">
        <v>1071</v>
      </c>
      <c r="F79" s="59" t="s">
        <v>1083</v>
      </c>
    </row>
    <row r="80" spans="2:6" x14ac:dyDescent="0.2">
      <c r="B80" s="2" t="s">
        <v>1072</v>
      </c>
      <c r="C80" s="2">
        <v>11</v>
      </c>
      <c r="D80" s="18">
        <v>20</v>
      </c>
      <c r="E80" s="174">
        <f>D80/C80</f>
        <v>1.8181818181818181</v>
      </c>
      <c r="F80" s="149">
        <f>INT(E80)+CEILING(MOD(E80,1),0.99)</f>
        <v>1.99</v>
      </c>
    </row>
    <row r="81" spans="2:8" x14ac:dyDescent="0.2">
      <c r="B81" s="2" t="s">
        <v>1074</v>
      </c>
      <c r="C81" s="2">
        <v>7</v>
      </c>
      <c r="D81" s="175">
        <v>18.25</v>
      </c>
      <c r="E81" s="174">
        <f>D81/C81</f>
        <v>2.6071428571428572</v>
      </c>
      <c r="F81" s="149">
        <f>INT(E81)+CEILING(MOD(E81,1),0.99)</f>
        <v>2.99</v>
      </c>
    </row>
    <row r="82" spans="2:8" x14ac:dyDescent="0.2">
      <c r="B82" s="2" t="s">
        <v>1076</v>
      </c>
      <c r="C82" s="2">
        <v>5</v>
      </c>
      <c r="D82" s="175">
        <v>28.1</v>
      </c>
      <c r="E82" s="174">
        <f>D82/C82</f>
        <v>5.62</v>
      </c>
      <c r="F82" s="149">
        <f>INT(E82)+CEILING(MOD(E82,1),0.99)</f>
        <v>5.99</v>
      </c>
    </row>
    <row r="83" spans="2:8" x14ac:dyDescent="0.2">
      <c r="B83" s="2" t="s">
        <v>1078</v>
      </c>
      <c r="C83" s="2">
        <v>16</v>
      </c>
      <c r="D83" s="18">
        <v>28</v>
      </c>
      <c r="E83" s="174">
        <f>D83/C83</f>
        <v>1.75</v>
      </c>
      <c r="F83" s="149">
        <f>INT(E83)+CEILING(MOD(E83,1),0.99)</f>
        <v>1.99</v>
      </c>
    </row>
    <row r="84" spans="2:8" x14ac:dyDescent="0.2">
      <c r="F84" s="8" t="s">
        <v>1084</v>
      </c>
    </row>
    <row r="86" spans="2:8" ht="13.5" thickBot="1" x14ac:dyDescent="0.25">
      <c r="B86" s="9" t="s">
        <v>1085</v>
      </c>
      <c r="C86" s="9"/>
      <c r="D86" s="9"/>
      <c r="E86" s="9"/>
      <c r="F86" s="9"/>
      <c r="G86" s="9"/>
      <c r="H86" s="9"/>
    </row>
    <row r="87" spans="2:8" x14ac:dyDescent="0.2">
      <c r="B87" s="176" t="s">
        <v>1086</v>
      </c>
      <c r="E87" t="s">
        <v>1087</v>
      </c>
    </row>
    <row r="88" spans="2:8" x14ac:dyDescent="0.2">
      <c r="B88" s="176" t="s">
        <v>1088</v>
      </c>
      <c r="E88" t="s">
        <v>1089</v>
      </c>
    </row>
    <row r="89" spans="2:8" x14ac:dyDescent="0.2">
      <c r="B89" s="176" t="s">
        <v>1090</v>
      </c>
      <c r="E89" t="s">
        <v>1091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8129" r:id="rId4" name="Button 1">
              <controlPr defaultSize="0" print="0" autoFill="0" autoLine="0" autoPict="0">
                <anchor>
                  <from>
                    <xdr:col>6</xdr:col>
                    <xdr:colOff>828675</xdr:colOff>
                    <xdr:row>0</xdr:row>
                    <xdr:rowOff>38100</xdr:rowOff>
                  </from>
                  <to>
                    <xdr:col>7</xdr:col>
                    <xdr:colOff>400050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0" r:id="rId5" name="Button 2">
              <controlPr defaultSize="0" print="0" autoFill="0" autoLine="0" autoPict="0">
                <anchor>
                  <from>
                    <xdr:col>7</xdr:col>
                    <xdr:colOff>466725</xdr:colOff>
                    <xdr:row>0</xdr:row>
                    <xdr:rowOff>38100</xdr:rowOff>
                  </from>
                  <to>
                    <xdr:col>7</xdr:col>
                    <xdr:colOff>666750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1" r:id="rId6" name="Button 3">
              <controlPr defaultSize="0" print="0" autoFill="0" autoLine="0" autoPict="0">
                <anchor>
                  <from>
                    <xdr:col>6</xdr:col>
                    <xdr:colOff>561975</xdr:colOff>
                    <xdr:row>0</xdr:row>
                    <xdr:rowOff>38100</xdr:rowOff>
                  </from>
                  <to>
                    <xdr:col>6</xdr:col>
                    <xdr:colOff>762000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16">
    <pageSetUpPr fitToPage="1"/>
  </sheetPr>
  <dimension ref="A1:G59"/>
  <sheetViews>
    <sheetView showGridLines="0" workbookViewId="0">
      <pane ySplit="1" topLeftCell="A29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36.42578125" customWidth="1"/>
    <col min="4" max="4" width="12.7109375" customWidth="1"/>
    <col min="6" max="6" width="14" customWidth="1"/>
    <col min="7" max="7" width="6.85546875" customWidth="1"/>
  </cols>
  <sheetData>
    <row r="1" spans="1:7" ht="18.75" thickBot="1" x14ac:dyDescent="0.3">
      <c r="A1" s="1" t="s">
        <v>1092</v>
      </c>
      <c r="B1" s="1"/>
      <c r="C1" s="1"/>
      <c r="D1" s="1"/>
      <c r="E1" s="1"/>
      <c r="F1" s="1"/>
      <c r="G1" s="1"/>
    </row>
    <row r="2" spans="1:7" ht="13.5" thickTop="1" x14ac:dyDescent="0.2"/>
    <row r="3" spans="1:7" x14ac:dyDescent="0.2">
      <c r="C3" s="57" t="s">
        <v>1093</v>
      </c>
      <c r="D3" s="177">
        <v>0.17499999999999999</v>
      </c>
    </row>
    <row r="4" spans="1:7" x14ac:dyDescent="0.2">
      <c r="C4" s="178"/>
    </row>
    <row r="5" spans="1:7" x14ac:dyDescent="0.2">
      <c r="C5" s="57" t="s">
        <v>1094</v>
      </c>
      <c r="D5" s="179" t="str">
        <f ca="1">CELL("address",D3)</f>
        <v>$D$3</v>
      </c>
      <c r="E5" s="180" t="s">
        <v>1095</v>
      </c>
    </row>
    <row r="6" spans="1:7" x14ac:dyDescent="0.2">
      <c r="C6" s="57" t="s">
        <v>1096</v>
      </c>
      <c r="D6" s="179">
        <f ca="1">CELL("col",D3)</f>
        <v>4</v>
      </c>
      <c r="E6" s="180" t="s">
        <v>1097</v>
      </c>
    </row>
    <row r="7" spans="1:7" x14ac:dyDescent="0.2">
      <c r="C7" s="57" t="s">
        <v>1098</v>
      </c>
      <c r="D7" s="179">
        <f ca="1">CELL("row",D3)</f>
        <v>3</v>
      </c>
      <c r="E7" s="180" t="s">
        <v>1099</v>
      </c>
    </row>
    <row r="8" spans="1:7" x14ac:dyDescent="0.2">
      <c r="C8" s="57" t="s">
        <v>1100</v>
      </c>
      <c r="D8" s="179">
        <f ca="1">CELL("contents",D3)</f>
        <v>0.17499999999999999</v>
      </c>
      <c r="E8" s="180" t="s">
        <v>1101</v>
      </c>
    </row>
    <row r="9" spans="1:7" ht="38.25" x14ac:dyDescent="0.2">
      <c r="C9" s="181" t="s">
        <v>1102</v>
      </c>
      <c r="D9" s="179" t="str">
        <f ca="1">CELL("type",D3)</f>
        <v>v</v>
      </c>
      <c r="E9" s="180" t="s">
        <v>1103</v>
      </c>
    </row>
    <row r="10" spans="1:7" ht="38.25" x14ac:dyDescent="0.2">
      <c r="C10" s="181" t="s">
        <v>1104</v>
      </c>
      <c r="D10" s="179" t="str">
        <f ca="1">CELL("prefix",D3)</f>
        <v/>
      </c>
      <c r="E10" s="180" t="s">
        <v>1105</v>
      </c>
    </row>
    <row r="11" spans="1:7" x14ac:dyDescent="0.2">
      <c r="C11" s="57" t="s">
        <v>1106</v>
      </c>
      <c r="D11" s="179">
        <f ca="1">CELL("width",D3)</f>
        <v>12</v>
      </c>
      <c r="E11" s="180" t="s">
        <v>1107</v>
      </c>
    </row>
    <row r="12" spans="1:7" ht="25.5" x14ac:dyDescent="0.2">
      <c r="C12" s="181" t="s">
        <v>1108</v>
      </c>
      <c r="D12" s="179" t="str">
        <f ca="1">CELL("format",D3)</f>
        <v>P2</v>
      </c>
      <c r="E12" s="180" t="s">
        <v>1109</v>
      </c>
    </row>
    <row r="13" spans="1:7" ht="38.25" x14ac:dyDescent="0.2">
      <c r="C13" s="181" t="s">
        <v>1110</v>
      </c>
      <c r="D13" s="179">
        <f ca="1">CELL("parentheses",D3)</f>
        <v>0</v>
      </c>
      <c r="E13" s="180" t="s">
        <v>1111</v>
      </c>
    </row>
    <row r="14" spans="1:7" ht="25.5" x14ac:dyDescent="0.2">
      <c r="C14" s="181" t="s">
        <v>1112</v>
      </c>
      <c r="D14" s="179">
        <f ca="1">CELL("color",D3)</f>
        <v>0</v>
      </c>
      <c r="E14" s="180" t="s">
        <v>1113</v>
      </c>
    </row>
    <row r="15" spans="1:7" ht="25.5" x14ac:dyDescent="0.2">
      <c r="C15" s="181" t="s">
        <v>1114</v>
      </c>
      <c r="D15" s="179">
        <f ca="1">CELL("protect",D3)</f>
        <v>1</v>
      </c>
      <c r="E15" s="180" t="s">
        <v>1115</v>
      </c>
    </row>
    <row r="16" spans="1:7" x14ac:dyDescent="0.2">
      <c r="C16" s="57" t="s">
        <v>1116</v>
      </c>
      <c r="D16" s="182" t="str">
        <f ca="1">CELL("filename",D3)</f>
        <v>D:\Bonus\Excel Templates\[163 Excel Formula.xlsx]CELL</v>
      </c>
      <c r="E16" s="8"/>
    </row>
    <row r="17" spans="2:7" x14ac:dyDescent="0.2">
      <c r="E17" s="180" t="s">
        <v>1117</v>
      </c>
    </row>
    <row r="18" spans="2:7" ht="13.5" thickBot="1" x14ac:dyDescent="0.25">
      <c r="B18" s="9" t="s">
        <v>39</v>
      </c>
      <c r="C18" s="9"/>
      <c r="D18" s="9"/>
      <c r="E18" s="9"/>
      <c r="F18" s="9"/>
      <c r="G18" s="9"/>
    </row>
    <row r="19" spans="2:7" x14ac:dyDescent="0.2">
      <c r="B19" t="s">
        <v>1118</v>
      </c>
    </row>
    <row r="21" spans="2:7" ht="13.5" thickBot="1" x14ac:dyDescent="0.25">
      <c r="B21" s="9" t="s">
        <v>43</v>
      </c>
      <c r="C21" s="9"/>
      <c r="D21" s="9"/>
      <c r="E21" s="9"/>
      <c r="F21" s="9"/>
      <c r="G21" s="9"/>
    </row>
    <row r="22" spans="2:7" x14ac:dyDescent="0.2">
      <c r="B22" s="10" t="s">
        <v>1119</v>
      </c>
    </row>
    <row r="23" spans="2:7" x14ac:dyDescent="0.2">
      <c r="B23" t="s">
        <v>1120</v>
      </c>
    </row>
    <row r="25" spans="2:7" ht="13.5" thickBot="1" x14ac:dyDescent="0.25">
      <c r="B25" s="9" t="s">
        <v>45</v>
      </c>
      <c r="C25" s="9"/>
      <c r="D25" s="9"/>
      <c r="E25" s="9"/>
      <c r="F25" s="9"/>
      <c r="G25" s="9"/>
    </row>
    <row r="26" spans="2:7" x14ac:dyDescent="0.2">
      <c r="B26" t="s">
        <v>46</v>
      </c>
    </row>
    <row r="28" spans="2:7" x14ac:dyDescent="0.2">
      <c r="B28" t="s">
        <v>1121</v>
      </c>
    </row>
    <row r="30" spans="2:7" x14ac:dyDescent="0.2">
      <c r="C30" s="53" t="s">
        <v>1122</v>
      </c>
      <c r="D30" s="52" t="s">
        <v>1123</v>
      </c>
    </row>
    <row r="31" spans="2:7" x14ac:dyDescent="0.2">
      <c r="C31" s="183" t="s">
        <v>1124</v>
      </c>
      <c r="D31" s="2" t="s">
        <v>1125</v>
      </c>
    </row>
    <row r="32" spans="2:7" x14ac:dyDescent="0.2">
      <c r="C32" s="183">
        <v>0</v>
      </c>
      <c r="D32" s="2" t="s">
        <v>1126</v>
      </c>
    </row>
    <row r="33" spans="3:4" x14ac:dyDescent="0.2">
      <c r="C33" s="183" t="s">
        <v>1127</v>
      </c>
      <c r="D33" s="2" t="s">
        <v>1128</v>
      </c>
    </row>
    <row r="34" spans="3:4" x14ac:dyDescent="0.2">
      <c r="C34" s="184" t="s">
        <v>1129</v>
      </c>
      <c r="D34" s="2" t="s">
        <v>1130</v>
      </c>
    </row>
    <row r="35" spans="3:4" x14ac:dyDescent="0.2">
      <c r="C35" s="183" t="s">
        <v>1131</v>
      </c>
      <c r="D35" s="2" t="s">
        <v>1132</v>
      </c>
    </row>
    <row r="36" spans="3:4" x14ac:dyDescent="0.2">
      <c r="C36" s="183" t="s">
        <v>1133</v>
      </c>
      <c r="D36" s="185" t="s">
        <v>1134</v>
      </c>
    </row>
    <row r="37" spans="3:4" x14ac:dyDescent="0.2">
      <c r="C37" s="183" t="s">
        <v>1135</v>
      </c>
      <c r="D37" s="185" t="s">
        <v>1136</v>
      </c>
    </row>
    <row r="38" spans="3:4" x14ac:dyDescent="0.2">
      <c r="C38" s="183" t="s">
        <v>1137</v>
      </c>
      <c r="D38" s="2" t="s">
        <v>1138</v>
      </c>
    </row>
    <row r="39" spans="3:4" x14ac:dyDescent="0.2">
      <c r="C39" s="183" t="s">
        <v>1139</v>
      </c>
      <c r="D39" s="2" t="s">
        <v>1140</v>
      </c>
    </row>
    <row r="40" spans="3:4" x14ac:dyDescent="0.2">
      <c r="C40" s="186">
        <v>0</v>
      </c>
      <c r="D40" s="2" t="s">
        <v>1141</v>
      </c>
    </row>
    <row r="41" spans="3:4" x14ac:dyDescent="0.2">
      <c r="C41" s="187">
        <v>0</v>
      </c>
      <c r="D41" s="2" t="s">
        <v>1142</v>
      </c>
    </row>
    <row r="42" spans="3:4" x14ac:dyDescent="0.2">
      <c r="C42" s="188">
        <v>0</v>
      </c>
      <c r="D42" s="2" t="s">
        <v>1143</v>
      </c>
    </row>
    <row r="43" spans="3:4" x14ac:dyDescent="0.2">
      <c r="C43" s="183" t="s">
        <v>1144</v>
      </c>
      <c r="D43" s="2" t="s">
        <v>1125</v>
      </c>
    </row>
    <row r="44" spans="3:4" x14ac:dyDescent="0.2">
      <c r="C44" s="183" t="s">
        <v>1145</v>
      </c>
      <c r="D44" s="2" t="s">
        <v>1146</v>
      </c>
    </row>
    <row r="45" spans="3:4" x14ac:dyDescent="0.2">
      <c r="C45" s="183" t="s">
        <v>1147</v>
      </c>
      <c r="D45" s="2" t="s">
        <v>1148</v>
      </c>
    </row>
    <row r="46" spans="3:4" x14ac:dyDescent="0.2">
      <c r="C46" s="183" t="s">
        <v>1149</v>
      </c>
      <c r="D46" s="2" t="s">
        <v>1150</v>
      </c>
    </row>
    <row r="47" spans="3:4" x14ac:dyDescent="0.2">
      <c r="C47" s="183" t="s">
        <v>1151</v>
      </c>
      <c r="D47" s="2" t="s">
        <v>1152</v>
      </c>
    </row>
    <row r="48" spans="3:4" x14ac:dyDescent="0.2">
      <c r="C48" s="183" t="s">
        <v>1153</v>
      </c>
      <c r="D48" s="2" t="s">
        <v>1154</v>
      </c>
    </row>
    <row r="49" spans="2:6" x14ac:dyDescent="0.2">
      <c r="C49" s="183" t="s">
        <v>1155</v>
      </c>
      <c r="D49" s="2" t="s">
        <v>1156</v>
      </c>
    </row>
    <row r="50" spans="2:6" x14ac:dyDescent="0.2">
      <c r="C50" s="183" t="s">
        <v>1157</v>
      </c>
      <c r="D50" s="2" t="s">
        <v>1158</v>
      </c>
    </row>
    <row r="51" spans="2:6" x14ac:dyDescent="0.2">
      <c r="C51" s="183" t="s">
        <v>1159</v>
      </c>
      <c r="D51" s="2" t="s">
        <v>1160</v>
      </c>
    </row>
    <row r="52" spans="2:6" x14ac:dyDescent="0.2">
      <c r="C52" s="183" t="s">
        <v>1161</v>
      </c>
      <c r="D52" s="2" t="s">
        <v>1162</v>
      </c>
    </row>
    <row r="55" spans="2:6" ht="13.5" thickBot="1" x14ac:dyDescent="0.25">
      <c r="B55" s="9" t="s">
        <v>85</v>
      </c>
      <c r="C55" s="9"/>
      <c r="D55" s="9"/>
      <c r="E55" s="9"/>
      <c r="F55" s="9"/>
    </row>
    <row r="56" spans="2:6" x14ac:dyDescent="0.2">
      <c r="B56" t="s">
        <v>1163</v>
      </c>
    </row>
    <row r="58" spans="2:6" x14ac:dyDescent="0.2">
      <c r="C58" s="57" t="s">
        <v>1164</v>
      </c>
      <c r="D58" s="189" t="str">
        <f ca="1">MID(CELL("filename"),FIND("[",CELL("filename"))+1,FIND("]",CELL("filename"))-FIND("[",CELL("filename"))-1)</f>
        <v>163 Excel Formula.xlsx</v>
      </c>
    </row>
    <row r="59" spans="2:6" x14ac:dyDescent="0.2">
      <c r="B59" s="190" t="s">
        <v>860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0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153" r:id="rId4" name="Button 1">
              <controlPr defaultSize="0" print="0" autoFill="0" autoLine="0" autoPict="0">
                <anchor>
                  <from>
                    <xdr:col>5</xdr:col>
                    <xdr:colOff>76200</xdr:colOff>
                    <xdr:row>0</xdr:row>
                    <xdr:rowOff>38100</xdr:rowOff>
                  </from>
                  <to>
                    <xdr:col>5</xdr:col>
                    <xdr:colOff>542925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4" r:id="rId5" name="Button 2">
              <controlPr defaultSize="0" print="0" autoFill="0" autoLine="0" autoPict="0">
                <anchor>
                  <from>
                    <xdr:col>5</xdr:col>
                    <xdr:colOff>609600</xdr:colOff>
                    <xdr:row>0</xdr:row>
                    <xdr:rowOff>38100</xdr:rowOff>
                  </from>
                  <to>
                    <xdr:col>5</xdr:col>
                    <xdr:colOff>809625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5" r:id="rId6" name="Button 3">
              <controlPr defaultSize="0" print="0" autoFill="0" autoLine="0" autoPict="0">
                <anchor>
                  <from>
                    <xdr:col>4</xdr:col>
                    <xdr:colOff>409575</xdr:colOff>
                    <xdr:row>0</xdr:row>
                    <xdr:rowOff>38100</xdr:rowOff>
                  </from>
                  <to>
                    <xdr:col>5</xdr:col>
                    <xdr:colOff>9525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7">
    <pageSetUpPr fitToPage="1"/>
  </sheetPr>
  <dimension ref="A1:W51"/>
  <sheetViews>
    <sheetView showGridLines="0" workbookViewId="0">
      <pane ySplit="1" topLeftCell="A14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4.140625" customWidth="1"/>
    <col min="2" max="2" width="3.7109375" customWidth="1"/>
    <col min="3" max="3" width="4" customWidth="1"/>
    <col min="4" max="4" width="3" customWidth="1"/>
    <col min="5" max="5" width="2.7109375" customWidth="1"/>
    <col min="6" max="6" width="3" customWidth="1"/>
    <col min="7" max="8" width="4" customWidth="1"/>
    <col min="9" max="9" width="2.85546875" customWidth="1"/>
    <col min="10" max="10" width="4" customWidth="1"/>
    <col min="11" max="11" width="2.5703125" customWidth="1"/>
    <col min="12" max="12" width="4" customWidth="1"/>
    <col min="13" max="13" width="3" customWidth="1"/>
    <col min="14" max="14" width="4" customWidth="1"/>
    <col min="15" max="15" width="2.85546875" customWidth="1"/>
    <col min="16" max="16" width="4" customWidth="1"/>
    <col min="17" max="17" width="2.85546875" customWidth="1"/>
    <col min="18" max="18" width="4" customWidth="1"/>
    <col min="19" max="19" width="2.7109375" customWidth="1"/>
    <col min="20" max="20" width="4" customWidth="1"/>
    <col min="21" max="21" width="2.7109375" customWidth="1"/>
    <col min="22" max="22" width="4" customWidth="1"/>
    <col min="23" max="23" width="2" customWidth="1"/>
  </cols>
  <sheetData>
    <row r="1" spans="1:23" ht="18.75" thickBot="1" x14ac:dyDescent="0.3">
      <c r="A1" s="1" t="s">
        <v>1165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ht="13.5" thickTop="1" x14ac:dyDescent="0.2"/>
    <row r="3" spans="1:23" x14ac:dyDescent="0.2">
      <c r="D3" s="106"/>
      <c r="E3" s="35"/>
      <c r="F3" s="35"/>
      <c r="G3" s="35" t="s">
        <v>1166</v>
      </c>
      <c r="H3" s="191" t="s">
        <v>1167</v>
      </c>
      <c r="I3" s="192"/>
      <c r="J3" s="109"/>
    </row>
    <row r="4" spans="1:23" x14ac:dyDescent="0.2">
      <c r="D4" s="193"/>
      <c r="E4" s="194"/>
      <c r="F4" s="194"/>
      <c r="G4" s="195">
        <v>65</v>
      </c>
      <c r="H4" s="196" t="str">
        <f>CHAR(G4)</f>
        <v>A</v>
      </c>
      <c r="I4" s="197"/>
      <c r="J4" s="195"/>
      <c r="L4" s="26" t="s">
        <v>1168</v>
      </c>
    </row>
    <row r="5" spans="1:23" x14ac:dyDescent="0.2">
      <c r="D5" s="193"/>
      <c r="E5" s="194"/>
      <c r="F5" s="194"/>
      <c r="G5" s="195">
        <v>66</v>
      </c>
      <c r="H5" s="196" t="str">
        <f>CHAR(G5)</f>
        <v>B</v>
      </c>
      <c r="I5" s="197"/>
      <c r="J5" s="195"/>
      <c r="L5" s="26" t="s">
        <v>1169</v>
      </c>
    </row>
    <row r="6" spans="1:23" x14ac:dyDescent="0.2">
      <c r="D6" s="198"/>
      <c r="E6" s="199"/>
      <c r="F6" s="199"/>
      <c r="G6" s="200">
        <v>169</v>
      </c>
      <c r="H6" s="201" t="str">
        <f>CHAR(G6)</f>
        <v>©</v>
      </c>
      <c r="I6" s="202"/>
      <c r="J6" s="200"/>
      <c r="L6" s="26" t="s">
        <v>1170</v>
      </c>
    </row>
    <row r="8" spans="1:23" ht="13.5" thickBot="1" x14ac:dyDescent="0.25">
      <c r="B8" s="9" t="s">
        <v>64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</row>
    <row r="9" spans="1:23" x14ac:dyDescent="0.2">
      <c r="B9" t="s">
        <v>1171</v>
      </c>
    </row>
    <row r="10" spans="1:23" x14ac:dyDescent="0.2">
      <c r="B10" t="s">
        <v>1172</v>
      </c>
    </row>
    <row r="12" spans="1:23" ht="13.5" thickBot="1" x14ac:dyDescent="0.25">
      <c r="B12" s="9" t="s">
        <v>43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</row>
    <row r="13" spans="1:23" x14ac:dyDescent="0.2">
      <c r="B13" t="s">
        <v>1173</v>
      </c>
    </row>
    <row r="14" spans="1:23" x14ac:dyDescent="0.2">
      <c r="B14" t="s">
        <v>1174</v>
      </c>
    </row>
    <row r="16" spans="1:23" ht="13.5" thickBot="1" x14ac:dyDescent="0.25">
      <c r="B16" s="9" t="s">
        <v>45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</row>
    <row r="17" spans="2:23" x14ac:dyDescent="0.2">
      <c r="B17" t="s">
        <v>1175</v>
      </c>
    </row>
    <row r="19" spans="2:23" ht="13.5" thickBot="1" x14ac:dyDescent="0.25">
      <c r="B19" s="9" t="s">
        <v>85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</row>
    <row r="20" spans="2:23" x14ac:dyDescent="0.2">
      <c r="B20" t="s">
        <v>1176</v>
      </c>
    </row>
    <row r="21" spans="2:23" x14ac:dyDescent="0.2">
      <c r="B21" t="s">
        <v>1177</v>
      </c>
    </row>
    <row r="22" spans="2:23" x14ac:dyDescent="0.2">
      <c r="B22" t="s">
        <v>1178</v>
      </c>
    </row>
    <row r="24" spans="2:23" x14ac:dyDescent="0.2">
      <c r="B24" s="203">
        <v>1</v>
      </c>
      <c r="C24" s="204" t="str">
        <f t="shared" ref="C24:C48" si="0">CHAR(B24)</f>
        <v>_x0001_</v>
      </c>
      <c r="D24" s="203">
        <v>26</v>
      </c>
      <c r="E24" s="204" t="str">
        <f t="shared" ref="E24:E48" si="1">CHAR(D24)</f>
        <v>_x001A_</v>
      </c>
      <c r="F24" s="203">
        <v>51</v>
      </c>
      <c r="G24" s="204" t="str">
        <f t="shared" ref="G24:G48" si="2">CHAR(F24)</f>
        <v>3</v>
      </c>
      <c r="H24" s="203">
        <v>76</v>
      </c>
      <c r="I24" s="204" t="str">
        <f t="shared" ref="I24:I48" si="3">CHAR(H24)</f>
        <v>L</v>
      </c>
      <c r="J24" s="203">
        <v>101</v>
      </c>
      <c r="K24" s="204" t="str">
        <f t="shared" ref="K24:K48" si="4">CHAR(J24)</f>
        <v>e</v>
      </c>
      <c r="L24" s="203">
        <v>126</v>
      </c>
      <c r="M24" s="204" t="str">
        <f t="shared" ref="M24:M48" si="5">CHAR(L24)</f>
        <v>~</v>
      </c>
      <c r="N24" s="203">
        <v>151</v>
      </c>
      <c r="O24" s="204" t="str">
        <f t="shared" ref="O24:O48" si="6">CHAR(N24)</f>
        <v>—</v>
      </c>
      <c r="P24" s="203">
        <v>176</v>
      </c>
      <c r="Q24" s="204" t="str">
        <f t="shared" ref="Q24:Q48" si="7">CHAR(P24)</f>
        <v>°</v>
      </c>
      <c r="R24" s="203">
        <v>201</v>
      </c>
      <c r="S24" s="204" t="str">
        <f t="shared" ref="S24:S48" si="8">CHAR(R24)</f>
        <v>É</v>
      </c>
      <c r="T24" s="203">
        <v>226</v>
      </c>
      <c r="U24" s="204" t="str">
        <f t="shared" ref="U24:U48" si="9">CHAR(T24)</f>
        <v>â</v>
      </c>
      <c r="V24" s="205">
        <v>251</v>
      </c>
      <c r="W24" s="206" t="str">
        <f>CHAR(V24)</f>
        <v>û</v>
      </c>
    </row>
    <row r="25" spans="2:23" x14ac:dyDescent="0.2">
      <c r="B25" s="207">
        <v>2</v>
      </c>
      <c r="C25" s="208" t="str">
        <f t="shared" si="0"/>
        <v>_x0002_</v>
      </c>
      <c r="D25" s="207">
        <v>27</v>
      </c>
      <c r="E25" s="208" t="str">
        <f t="shared" si="1"/>
        <v>_x001B_</v>
      </c>
      <c r="F25" s="207">
        <v>52</v>
      </c>
      <c r="G25" s="208" t="str">
        <f t="shared" si="2"/>
        <v>4</v>
      </c>
      <c r="H25" s="207">
        <v>77</v>
      </c>
      <c r="I25" s="208" t="str">
        <f t="shared" si="3"/>
        <v>M</v>
      </c>
      <c r="J25" s="207">
        <v>102</v>
      </c>
      <c r="K25" s="208" t="str">
        <f t="shared" si="4"/>
        <v>f</v>
      </c>
      <c r="L25" s="207">
        <v>127</v>
      </c>
      <c r="M25" s="208" t="str">
        <f t="shared" si="5"/>
        <v></v>
      </c>
      <c r="N25" s="207">
        <v>152</v>
      </c>
      <c r="O25" s="208" t="str">
        <f t="shared" si="6"/>
        <v>˜</v>
      </c>
      <c r="P25" s="207">
        <v>177</v>
      </c>
      <c r="Q25" s="208" t="str">
        <f t="shared" si="7"/>
        <v>±</v>
      </c>
      <c r="R25" s="207">
        <v>202</v>
      </c>
      <c r="S25" s="208" t="str">
        <f t="shared" si="8"/>
        <v>Ê</v>
      </c>
      <c r="T25" s="207">
        <v>227</v>
      </c>
      <c r="U25" s="208" t="str">
        <f t="shared" si="9"/>
        <v>ã</v>
      </c>
      <c r="V25" s="209">
        <v>252</v>
      </c>
      <c r="W25" s="210" t="str">
        <f>CHAR(V25)</f>
        <v>ü</v>
      </c>
    </row>
    <row r="26" spans="2:23" x14ac:dyDescent="0.2">
      <c r="B26" s="207">
        <v>3</v>
      </c>
      <c r="C26" s="208" t="str">
        <f t="shared" si="0"/>
        <v>_x0003_</v>
      </c>
      <c r="D26" s="207">
        <v>28</v>
      </c>
      <c r="E26" s="208" t="str">
        <f t="shared" si="1"/>
        <v>_x001C_</v>
      </c>
      <c r="F26" s="207">
        <v>53</v>
      </c>
      <c r="G26" s="208" t="str">
        <f t="shared" si="2"/>
        <v>5</v>
      </c>
      <c r="H26" s="207">
        <v>78</v>
      </c>
      <c r="I26" s="208" t="str">
        <f t="shared" si="3"/>
        <v>N</v>
      </c>
      <c r="J26" s="207">
        <v>103</v>
      </c>
      <c r="K26" s="208" t="str">
        <f t="shared" si="4"/>
        <v>g</v>
      </c>
      <c r="L26" s="207">
        <v>128</v>
      </c>
      <c r="M26" s="208" t="str">
        <f t="shared" si="5"/>
        <v>€</v>
      </c>
      <c r="N26" s="207">
        <v>153</v>
      </c>
      <c r="O26" s="208" t="str">
        <f t="shared" si="6"/>
        <v>™</v>
      </c>
      <c r="P26" s="207">
        <v>178</v>
      </c>
      <c r="Q26" s="208" t="str">
        <f t="shared" si="7"/>
        <v>²</v>
      </c>
      <c r="R26" s="207">
        <v>203</v>
      </c>
      <c r="S26" s="208" t="str">
        <f t="shared" si="8"/>
        <v>Ë</v>
      </c>
      <c r="T26" s="207">
        <v>228</v>
      </c>
      <c r="U26" s="208" t="str">
        <f t="shared" si="9"/>
        <v>ä</v>
      </c>
      <c r="V26" s="209">
        <v>253</v>
      </c>
      <c r="W26" s="210" t="str">
        <f>CHAR(V26)</f>
        <v>ý</v>
      </c>
    </row>
    <row r="27" spans="2:23" x14ac:dyDescent="0.2">
      <c r="B27" s="207">
        <v>4</v>
      </c>
      <c r="C27" s="208" t="str">
        <f t="shared" si="0"/>
        <v>_x0004_</v>
      </c>
      <c r="D27" s="207">
        <v>29</v>
      </c>
      <c r="E27" s="208" t="str">
        <f t="shared" si="1"/>
        <v>_x001D_</v>
      </c>
      <c r="F27" s="207">
        <v>54</v>
      </c>
      <c r="G27" s="208" t="str">
        <f t="shared" si="2"/>
        <v>6</v>
      </c>
      <c r="H27" s="207">
        <v>79</v>
      </c>
      <c r="I27" s="208" t="str">
        <f t="shared" si="3"/>
        <v>O</v>
      </c>
      <c r="J27" s="207">
        <v>104</v>
      </c>
      <c r="K27" s="208" t="str">
        <f t="shared" si="4"/>
        <v>h</v>
      </c>
      <c r="L27" s="207">
        <v>129</v>
      </c>
      <c r="M27" s="208" t="str">
        <f t="shared" si="5"/>
        <v></v>
      </c>
      <c r="N27" s="207">
        <v>154</v>
      </c>
      <c r="O27" s="208" t="str">
        <f t="shared" si="6"/>
        <v>š</v>
      </c>
      <c r="P27" s="207">
        <v>179</v>
      </c>
      <c r="Q27" s="208" t="str">
        <f t="shared" si="7"/>
        <v>³</v>
      </c>
      <c r="R27" s="207">
        <v>204</v>
      </c>
      <c r="S27" s="208" t="str">
        <f t="shared" si="8"/>
        <v>Ì</v>
      </c>
      <c r="T27" s="207">
        <v>229</v>
      </c>
      <c r="U27" s="208" t="str">
        <f t="shared" si="9"/>
        <v>å</v>
      </c>
      <c r="V27" s="209">
        <v>254</v>
      </c>
      <c r="W27" s="210" t="str">
        <f>CHAR(V27)</f>
        <v>þ</v>
      </c>
    </row>
    <row r="28" spans="2:23" x14ac:dyDescent="0.2">
      <c r="B28" s="207">
        <v>5</v>
      </c>
      <c r="C28" s="208" t="str">
        <f t="shared" si="0"/>
        <v>_x0005_</v>
      </c>
      <c r="D28" s="207">
        <v>30</v>
      </c>
      <c r="E28" s="208" t="str">
        <f t="shared" si="1"/>
        <v>_x001E_</v>
      </c>
      <c r="F28" s="207">
        <v>55</v>
      </c>
      <c r="G28" s="208" t="str">
        <f t="shared" si="2"/>
        <v>7</v>
      </c>
      <c r="H28" s="207">
        <v>80</v>
      </c>
      <c r="I28" s="208" t="str">
        <f t="shared" si="3"/>
        <v>P</v>
      </c>
      <c r="J28" s="207">
        <v>105</v>
      </c>
      <c r="K28" s="208" t="str">
        <f t="shared" si="4"/>
        <v>i</v>
      </c>
      <c r="L28" s="207">
        <v>130</v>
      </c>
      <c r="M28" s="208" t="str">
        <f t="shared" si="5"/>
        <v>‚</v>
      </c>
      <c r="N28" s="207">
        <v>155</v>
      </c>
      <c r="O28" s="208" t="str">
        <f t="shared" si="6"/>
        <v>›</v>
      </c>
      <c r="P28" s="207">
        <v>180</v>
      </c>
      <c r="Q28" s="208" t="str">
        <f t="shared" si="7"/>
        <v>´</v>
      </c>
      <c r="R28" s="207">
        <v>205</v>
      </c>
      <c r="S28" s="208" t="str">
        <f t="shared" si="8"/>
        <v>Í</v>
      </c>
      <c r="T28" s="207">
        <v>230</v>
      </c>
      <c r="U28" s="208" t="str">
        <f t="shared" si="9"/>
        <v>æ</v>
      </c>
      <c r="V28" s="211">
        <v>255</v>
      </c>
      <c r="W28" s="212" t="str">
        <f>CHAR(V28)</f>
        <v>ÿ</v>
      </c>
    </row>
    <row r="29" spans="2:23" x14ac:dyDescent="0.2">
      <c r="B29" s="207">
        <v>6</v>
      </c>
      <c r="C29" s="208" t="str">
        <f t="shared" si="0"/>
        <v>_x0006_</v>
      </c>
      <c r="D29" s="207">
        <v>31</v>
      </c>
      <c r="E29" s="208" t="str">
        <f t="shared" si="1"/>
        <v>_x001F_</v>
      </c>
      <c r="F29" s="207">
        <v>56</v>
      </c>
      <c r="G29" s="208" t="str">
        <f t="shared" si="2"/>
        <v>8</v>
      </c>
      <c r="H29" s="207">
        <v>81</v>
      </c>
      <c r="I29" s="208" t="str">
        <f t="shared" si="3"/>
        <v>Q</v>
      </c>
      <c r="J29" s="207">
        <v>106</v>
      </c>
      <c r="K29" s="208" t="str">
        <f t="shared" si="4"/>
        <v>j</v>
      </c>
      <c r="L29" s="207">
        <v>131</v>
      </c>
      <c r="M29" s="208" t="str">
        <f t="shared" si="5"/>
        <v>ƒ</v>
      </c>
      <c r="N29" s="207">
        <v>156</v>
      </c>
      <c r="O29" s="208" t="str">
        <f t="shared" si="6"/>
        <v>œ</v>
      </c>
      <c r="P29" s="207">
        <v>181</v>
      </c>
      <c r="Q29" s="208" t="str">
        <f t="shared" si="7"/>
        <v>µ</v>
      </c>
      <c r="R29" s="207">
        <v>206</v>
      </c>
      <c r="S29" s="208" t="str">
        <f t="shared" si="8"/>
        <v>Î</v>
      </c>
      <c r="T29" s="207">
        <v>231</v>
      </c>
      <c r="U29" s="208" t="str">
        <f t="shared" si="9"/>
        <v>ç</v>
      </c>
    </row>
    <row r="30" spans="2:23" x14ac:dyDescent="0.2">
      <c r="B30" s="207">
        <v>7</v>
      </c>
      <c r="C30" s="208" t="str">
        <f t="shared" si="0"/>
        <v>_x0007_</v>
      </c>
      <c r="D30" s="207">
        <v>32</v>
      </c>
      <c r="E30" s="208" t="str">
        <f t="shared" si="1"/>
        <v xml:space="preserve"> </v>
      </c>
      <c r="F30" s="207">
        <v>57</v>
      </c>
      <c r="G30" s="208" t="str">
        <f t="shared" si="2"/>
        <v>9</v>
      </c>
      <c r="H30" s="207">
        <v>82</v>
      </c>
      <c r="I30" s="208" t="str">
        <f t="shared" si="3"/>
        <v>R</v>
      </c>
      <c r="J30" s="207">
        <v>107</v>
      </c>
      <c r="K30" s="208" t="str">
        <f t="shared" si="4"/>
        <v>k</v>
      </c>
      <c r="L30" s="207">
        <v>132</v>
      </c>
      <c r="M30" s="208" t="str">
        <f t="shared" si="5"/>
        <v>„</v>
      </c>
      <c r="N30" s="207">
        <v>157</v>
      </c>
      <c r="O30" s="208" t="str">
        <f t="shared" si="6"/>
        <v></v>
      </c>
      <c r="P30" s="207">
        <v>182</v>
      </c>
      <c r="Q30" s="208" t="str">
        <f t="shared" si="7"/>
        <v>¶</v>
      </c>
      <c r="R30" s="207">
        <v>207</v>
      </c>
      <c r="S30" s="208" t="str">
        <f t="shared" si="8"/>
        <v>Ï</v>
      </c>
      <c r="T30" s="207">
        <v>232</v>
      </c>
      <c r="U30" s="208" t="str">
        <f t="shared" si="9"/>
        <v>è</v>
      </c>
    </row>
    <row r="31" spans="2:23" x14ac:dyDescent="0.2">
      <c r="B31" s="207">
        <v>8</v>
      </c>
      <c r="C31" s="208" t="str">
        <f t="shared" si="0"/>
        <v>_x0008_</v>
      </c>
      <c r="D31" s="207">
        <v>33</v>
      </c>
      <c r="E31" s="208" t="str">
        <f t="shared" si="1"/>
        <v>!</v>
      </c>
      <c r="F31" s="207">
        <v>58</v>
      </c>
      <c r="G31" s="208" t="str">
        <f t="shared" si="2"/>
        <v>:</v>
      </c>
      <c r="H31" s="207">
        <v>83</v>
      </c>
      <c r="I31" s="208" t="str">
        <f t="shared" si="3"/>
        <v>S</v>
      </c>
      <c r="J31" s="207">
        <v>108</v>
      </c>
      <c r="K31" s="208" t="str">
        <f t="shared" si="4"/>
        <v>l</v>
      </c>
      <c r="L31" s="207">
        <v>133</v>
      </c>
      <c r="M31" s="208" t="str">
        <f t="shared" si="5"/>
        <v>…</v>
      </c>
      <c r="N31" s="207">
        <v>158</v>
      </c>
      <c r="O31" s="208" t="str">
        <f t="shared" si="6"/>
        <v>ž</v>
      </c>
      <c r="P31" s="207">
        <v>183</v>
      </c>
      <c r="Q31" s="208" t="str">
        <f t="shared" si="7"/>
        <v>·</v>
      </c>
      <c r="R31" s="207">
        <v>208</v>
      </c>
      <c r="S31" s="208" t="str">
        <f t="shared" si="8"/>
        <v>Ð</v>
      </c>
      <c r="T31" s="207">
        <v>233</v>
      </c>
      <c r="U31" s="208" t="str">
        <f t="shared" si="9"/>
        <v>é</v>
      </c>
    </row>
    <row r="32" spans="2:23" x14ac:dyDescent="0.2">
      <c r="B32" s="207">
        <v>9</v>
      </c>
      <c r="C32" s="208" t="str">
        <f t="shared" si="0"/>
        <v xml:space="preserve">	</v>
      </c>
      <c r="D32" s="207">
        <v>34</v>
      </c>
      <c r="E32" s="208" t="str">
        <f t="shared" si="1"/>
        <v>"</v>
      </c>
      <c r="F32" s="207">
        <v>59</v>
      </c>
      <c r="G32" s="208" t="str">
        <f t="shared" si="2"/>
        <v>;</v>
      </c>
      <c r="H32" s="207">
        <v>84</v>
      </c>
      <c r="I32" s="208" t="str">
        <f t="shared" si="3"/>
        <v>T</v>
      </c>
      <c r="J32" s="207">
        <v>109</v>
      </c>
      <c r="K32" s="208" t="str">
        <f t="shared" si="4"/>
        <v>m</v>
      </c>
      <c r="L32" s="207">
        <v>134</v>
      </c>
      <c r="M32" s="208" t="str">
        <f t="shared" si="5"/>
        <v>†</v>
      </c>
      <c r="N32" s="207">
        <v>159</v>
      </c>
      <c r="O32" s="208" t="str">
        <f t="shared" si="6"/>
        <v>Ÿ</v>
      </c>
      <c r="P32" s="207">
        <v>184</v>
      </c>
      <c r="Q32" s="208" t="str">
        <f t="shared" si="7"/>
        <v>¸</v>
      </c>
      <c r="R32" s="207">
        <v>209</v>
      </c>
      <c r="S32" s="208" t="str">
        <f t="shared" si="8"/>
        <v>Ñ</v>
      </c>
      <c r="T32" s="207">
        <v>234</v>
      </c>
      <c r="U32" s="208" t="str">
        <f t="shared" si="9"/>
        <v>ê</v>
      </c>
    </row>
    <row r="33" spans="2:21" x14ac:dyDescent="0.2">
      <c r="B33" s="207">
        <v>10</v>
      </c>
      <c r="C33" s="208" t="str">
        <f t="shared" si="0"/>
        <v xml:space="preserve">
</v>
      </c>
      <c r="D33" s="207">
        <v>35</v>
      </c>
      <c r="E33" s="208" t="str">
        <f t="shared" si="1"/>
        <v>#</v>
      </c>
      <c r="F33" s="207">
        <v>60</v>
      </c>
      <c r="G33" s="208" t="str">
        <f t="shared" si="2"/>
        <v>&lt;</v>
      </c>
      <c r="H33" s="207">
        <v>85</v>
      </c>
      <c r="I33" s="208" t="str">
        <f t="shared" si="3"/>
        <v>U</v>
      </c>
      <c r="J33" s="207">
        <v>110</v>
      </c>
      <c r="K33" s="208" t="str">
        <f t="shared" si="4"/>
        <v>n</v>
      </c>
      <c r="L33" s="207">
        <v>135</v>
      </c>
      <c r="M33" s="208" t="str">
        <f t="shared" si="5"/>
        <v>‡</v>
      </c>
      <c r="N33" s="207">
        <v>160</v>
      </c>
      <c r="O33" s="208" t="str">
        <f t="shared" si="6"/>
        <v> </v>
      </c>
      <c r="P33" s="207">
        <v>185</v>
      </c>
      <c r="Q33" s="208" t="str">
        <f t="shared" si="7"/>
        <v>¹</v>
      </c>
      <c r="R33" s="207">
        <v>210</v>
      </c>
      <c r="S33" s="208" t="str">
        <f t="shared" si="8"/>
        <v>Ò</v>
      </c>
      <c r="T33" s="207">
        <v>235</v>
      </c>
      <c r="U33" s="208" t="str">
        <f t="shared" si="9"/>
        <v>ë</v>
      </c>
    </row>
    <row r="34" spans="2:21" x14ac:dyDescent="0.2">
      <c r="B34" s="207">
        <v>11</v>
      </c>
      <c r="C34" s="208" t="str">
        <f t="shared" si="0"/>
        <v>_x000B_</v>
      </c>
      <c r="D34" s="207">
        <v>36</v>
      </c>
      <c r="E34" s="208" t="str">
        <f t="shared" si="1"/>
        <v>$</v>
      </c>
      <c r="F34" s="207">
        <v>61</v>
      </c>
      <c r="G34" s="208" t="str">
        <f t="shared" si="2"/>
        <v>=</v>
      </c>
      <c r="H34" s="207">
        <v>86</v>
      </c>
      <c r="I34" s="208" t="str">
        <f t="shared" si="3"/>
        <v>V</v>
      </c>
      <c r="J34" s="207">
        <v>111</v>
      </c>
      <c r="K34" s="208" t="str">
        <f t="shared" si="4"/>
        <v>o</v>
      </c>
      <c r="L34" s="207">
        <v>136</v>
      </c>
      <c r="M34" s="208" t="str">
        <f t="shared" si="5"/>
        <v>ˆ</v>
      </c>
      <c r="N34" s="207">
        <v>161</v>
      </c>
      <c r="O34" s="208" t="str">
        <f t="shared" si="6"/>
        <v>¡</v>
      </c>
      <c r="P34" s="207">
        <v>186</v>
      </c>
      <c r="Q34" s="208" t="str">
        <f t="shared" si="7"/>
        <v>º</v>
      </c>
      <c r="R34" s="207">
        <v>211</v>
      </c>
      <c r="S34" s="208" t="str">
        <f t="shared" si="8"/>
        <v>Ó</v>
      </c>
      <c r="T34" s="207">
        <v>236</v>
      </c>
      <c r="U34" s="208" t="str">
        <f t="shared" si="9"/>
        <v>ì</v>
      </c>
    </row>
    <row r="35" spans="2:21" x14ac:dyDescent="0.2">
      <c r="B35" s="207">
        <v>12</v>
      </c>
      <c r="C35" s="208" t="str">
        <f t="shared" si="0"/>
        <v>_x000C_</v>
      </c>
      <c r="D35" s="207">
        <v>37</v>
      </c>
      <c r="E35" s="208" t="str">
        <f t="shared" si="1"/>
        <v>%</v>
      </c>
      <c r="F35" s="207">
        <v>62</v>
      </c>
      <c r="G35" s="208" t="str">
        <f t="shared" si="2"/>
        <v>&gt;</v>
      </c>
      <c r="H35" s="207">
        <v>87</v>
      </c>
      <c r="I35" s="208" t="str">
        <f t="shared" si="3"/>
        <v>W</v>
      </c>
      <c r="J35" s="207">
        <v>112</v>
      </c>
      <c r="K35" s="208" t="str">
        <f t="shared" si="4"/>
        <v>p</v>
      </c>
      <c r="L35" s="207">
        <v>137</v>
      </c>
      <c r="M35" s="208" t="str">
        <f t="shared" si="5"/>
        <v>‰</v>
      </c>
      <c r="N35" s="207">
        <v>162</v>
      </c>
      <c r="O35" s="208" t="str">
        <f t="shared" si="6"/>
        <v>¢</v>
      </c>
      <c r="P35" s="207">
        <v>187</v>
      </c>
      <c r="Q35" s="208" t="str">
        <f t="shared" si="7"/>
        <v>»</v>
      </c>
      <c r="R35" s="207">
        <v>212</v>
      </c>
      <c r="S35" s="208" t="str">
        <f t="shared" si="8"/>
        <v>Ô</v>
      </c>
      <c r="T35" s="207">
        <v>237</v>
      </c>
      <c r="U35" s="208" t="str">
        <f t="shared" si="9"/>
        <v>í</v>
      </c>
    </row>
    <row r="36" spans="2:21" x14ac:dyDescent="0.2">
      <c r="B36" s="207">
        <v>13</v>
      </c>
      <c r="C36" s="208" t="str">
        <f t="shared" si="0"/>
        <v>_x000D_</v>
      </c>
      <c r="D36" s="207">
        <v>38</v>
      </c>
      <c r="E36" s="208" t="str">
        <f t="shared" si="1"/>
        <v>&amp;</v>
      </c>
      <c r="F36" s="207">
        <v>63</v>
      </c>
      <c r="G36" s="208" t="str">
        <f t="shared" si="2"/>
        <v>?</v>
      </c>
      <c r="H36" s="207">
        <v>88</v>
      </c>
      <c r="I36" s="208" t="str">
        <f t="shared" si="3"/>
        <v>X</v>
      </c>
      <c r="J36" s="207">
        <v>113</v>
      </c>
      <c r="K36" s="208" t="str">
        <f t="shared" si="4"/>
        <v>q</v>
      </c>
      <c r="L36" s="207">
        <v>138</v>
      </c>
      <c r="M36" s="208" t="str">
        <f t="shared" si="5"/>
        <v>Š</v>
      </c>
      <c r="N36" s="207">
        <v>163</v>
      </c>
      <c r="O36" s="208" t="str">
        <f t="shared" si="6"/>
        <v>£</v>
      </c>
      <c r="P36" s="207">
        <v>188</v>
      </c>
      <c r="Q36" s="208" t="str">
        <f t="shared" si="7"/>
        <v>¼</v>
      </c>
      <c r="R36" s="207">
        <v>213</v>
      </c>
      <c r="S36" s="208" t="str">
        <f t="shared" si="8"/>
        <v>Õ</v>
      </c>
      <c r="T36" s="207">
        <v>238</v>
      </c>
      <c r="U36" s="208" t="str">
        <f t="shared" si="9"/>
        <v>î</v>
      </c>
    </row>
    <row r="37" spans="2:21" x14ac:dyDescent="0.2">
      <c r="B37" s="207">
        <v>14</v>
      </c>
      <c r="C37" s="208" t="str">
        <f t="shared" si="0"/>
        <v>_x000E_</v>
      </c>
      <c r="D37" s="207">
        <v>39</v>
      </c>
      <c r="E37" s="208" t="str">
        <f t="shared" si="1"/>
        <v>'</v>
      </c>
      <c r="F37" s="207">
        <v>64</v>
      </c>
      <c r="G37" s="208" t="str">
        <f t="shared" si="2"/>
        <v>@</v>
      </c>
      <c r="H37" s="207">
        <v>89</v>
      </c>
      <c r="I37" s="208" t="str">
        <f t="shared" si="3"/>
        <v>Y</v>
      </c>
      <c r="J37" s="207">
        <v>114</v>
      </c>
      <c r="K37" s="208" t="str">
        <f t="shared" si="4"/>
        <v>r</v>
      </c>
      <c r="L37" s="207">
        <v>139</v>
      </c>
      <c r="M37" s="208" t="str">
        <f t="shared" si="5"/>
        <v>‹</v>
      </c>
      <c r="N37" s="207">
        <v>164</v>
      </c>
      <c r="O37" s="208" t="str">
        <f t="shared" si="6"/>
        <v>¤</v>
      </c>
      <c r="P37" s="207">
        <v>189</v>
      </c>
      <c r="Q37" s="208" t="str">
        <f t="shared" si="7"/>
        <v>½</v>
      </c>
      <c r="R37" s="207">
        <v>214</v>
      </c>
      <c r="S37" s="208" t="str">
        <f t="shared" si="8"/>
        <v>Ö</v>
      </c>
      <c r="T37" s="207">
        <v>239</v>
      </c>
      <c r="U37" s="208" t="str">
        <f t="shared" si="9"/>
        <v>ï</v>
      </c>
    </row>
    <row r="38" spans="2:21" x14ac:dyDescent="0.2">
      <c r="B38" s="207">
        <v>15</v>
      </c>
      <c r="C38" s="208" t="str">
        <f t="shared" si="0"/>
        <v>_x000F_</v>
      </c>
      <c r="D38" s="207">
        <v>40</v>
      </c>
      <c r="E38" s="208" t="str">
        <f t="shared" si="1"/>
        <v>(</v>
      </c>
      <c r="F38" s="207">
        <v>65</v>
      </c>
      <c r="G38" s="208" t="str">
        <f t="shared" si="2"/>
        <v>A</v>
      </c>
      <c r="H38" s="207">
        <v>90</v>
      </c>
      <c r="I38" s="208" t="str">
        <f t="shared" si="3"/>
        <v>Z</v>
      </c>
      <c r="J38" s="207">
        <v>115</v>
      </c>
      <c r="K38" s="208" t="str">
        <f t="shared" si="4"/>
        <v>s</v>
      </c>
      <c r="L38" s="207">
        <v>140</v>
      </c>
      <c r="M38" s="208" t="str">
        <f t="shared" si="5"/>
        <v>Œ</v>
      </c>
      <c r="N38" s="207">
        <v>165</v>
      </c>
      <c r="O38" s="208" t="str">
        <f t="shared" si="6"/>
        <v>¥</v>
      </c>
      <c r="P38" s="207">
        <v>190</v>
      </c>
      <c r="Q38" s="208" t="str">
        <f t="shared" si="7"/>
        <v>¾</v>
      </c>
      <c r="R38" s="207">
        <v>215</v>
      </c>
      <c r="S38" s="208" t="str">
        <f t="shared" si="8"/>
        <v>×</v>
      </c>
      <c r="T38" s="207">
        <v>240</v>
      </c>
      <c r="U38" s="208" t="str">
        <f t="shared" si="9"/>
        <v>ð</v>
      </c>
    </row>
    <row r="39" spans="2:21" x14ac:dyDescent="0.2">
      <c r="B39" s="207">
        <v>16</v>
      </c>
      <c r="C39" s="208" t="str">
        <f t="shared" si="0"/>
        <v>_x0010_</v>
      </c>
      <c r="D39" s="207">
        <v>41</v>
      </c>
      <c r="E39" s="208" t="str">
        <f t="shared" si="1"/>
        <v>)</v>
      </c>
      <c r="F39" s="207">
        <v>66</v>
      </c>
      <c r="G39" s="208" t="str">
        <f t="shared" si="2"/>
        <v>B</v>
      </c>
      <c r="H39" s="207">
        <v>91</v>
      </c>
      <c r="I39" s="208" t="str">
        <f t="shared" si="3"/>
        <v>[</v>
      </c>
      <c r="J39" s="207">
        <v>116</v>
      </c>
      <c r="K39" s="208" t="str">
        <f t="shared" si="4"/>
        <v>t</v>
      </c>
      <c r="L39" s="207">
        <v>141</v>
      </c>
      <c r="M39" s="208" t="str">
        <f t="shared" si="5"/>
        <v></v>
      </c>
      <c r="N39" s="207">
        <v>166</v>
      </c>
      <c r="O39" s="208" t="str">
        <f t="shared" si="6"/>
        <v>¦</v>
      </c>
      <c r="P39" s="207">
        <v>191</v>
      </c>
      <c r="Q39" s="208" t="str">
        <f t="shared" si="7"/>
        <v>¿</v>
      </c>
      <c r="R39" s="207">
        <v>216</v>
      </c>
      <c r="S39" s="208" t="str">
        <f t="shared" si="8"/>
        <v>Ø</v>
      </c>
      <c r="T39" s="207">
        <v>241</v>
      </c>
      <c r="U39" s="208" t="str">
        <f t="shared" si="9"/>
        <v>ñ</v>
      </c>
    </row>
    <row r="40" spans="2:21" x14ac:dyDescent="0.2">
      <c r="B40" s="207">
        <v>17</v>
      </c>
      <c r="C40" s="208" t="str">
        <f t="shared" si="0"/>
        <v>_x0011_</v>
      </c>
      <c r="D40" s="207">
        <v>42</v>
      </c>
      <c r="E40" s="208" t="str">
        <f t="shared" si="1"/>
        <v>*</v>
      </c>
      <c r="F40" s="207">
        <v>67</v>
      </c>
      <c r="G40" s="208" t="str">
        <f t="shared" si="2"/>
        <v>C</v>
      </c>
      <c r="H40" s="207">
        <v>92</v>
      </c>
      <c r="I40" s="208" t="str">
        <f t="shared" si="3"/>
        <v>\</v>
      </c>
      <c r="J40" s="207">
        <v>117</v>
      </c>
      <c r="K40" s="208" t="str">
        <f t="shared" si="4"/>
        <v>u</v>
      </c>
      <c r="L40" s="207">
        <v>142</v>
      </c>
      <c r="M40" s="208" t="str">
        <f t="shared" si="5"/>
        <v>Ž</v>
      </c>
      <c r="N40" s="207">
        <v>167</v>
      </c>
      <c r="O40" s="208" t="str">
        <f t="shared" si="6"/>
        <v>§</v>
      </c>
      <c r="P40" s="207">
        <v>192</v>
      </c>
      <c r="Q40" s="208" t="str">
        <f t="shared" si="7"/>
        <v>À</v>
      </c>
      <c r="R40" s="207">
        <v>217</v>
      </c>
      <c r="S40" s="208" t="str">
        <f t="shared" si="8"/>
        <v>Ù</v>
      </c>
      <c r="T40" s="207">
        <v>242</v>
      </c>
      <c r="U40" s="208" t="str">
        <f t="shared" si="9"/>
        <v>ò</v>
      </c>
    </row>
    <row r="41" spans="2:21" x14ac:dyDescent="0.2">
      <c r="B41" s="207">
        <v>18</v>
      </c>
      <c r="C41" s="208" t="str">
        <f t="shared" si="0"/>
        <v>_x0012_</v>
      </c>
      <c r="D41" s="207">
        <v>43</v>
      </c>
      <c r="E41" s="208" t="str">
        <f t="shared" si="1"/>
        <v>+</v>
      </c>
      <c r="F41" s="207">
        <v>68</v>
      </c>
      <c r="G41" s="208" t="str">
        <f t="shared" si="2"/>
        <v>D</v>
      </c>
      <c r="H41" s="207">
        <v>93</v>
      </c>
      <c r="I41" s="208" t="str">
        <f t="shared" si="3"/>
        <v>]</v>
      </c>
      <c r="J41" s="207">
        <v>118</v>
      </c>
      <c r="K41" s="208" t="str">
        <f t="shared" si="4"/>
        <v>v</v>
      </c>
      <c r="L41" s="207">
        <v>143</v>
      </c>
      <c r="M41" s="208" t="str">
        <f t="shared" si="5"/>
        <v></v>
      </c>
      <c r="N41" s="207">
        <v>168</v>
      </c>
      <c r="O41" s="208" t="str">
        <f t="shared" si="6"/>
        <v>¨</v>
      </c>
      <c r="P41" s="207">
        <v>193</v>
      </c>
      <c r="Q41" s="208" t="str">
        <f t="shared" si="7"/>
        <v>Á</v>
      </c>
      <c r="R41" s="207">
        <v>218</v>
      </c>
      <c r="S41" s="208" t="str">
        <f t="shared" si="8"/>
        <v>Ú</v>
      </c>
      <c r="T41" s="207">
        <v>243</v>
      </c>
      <c r="U41" s="208" t="str">
        <f t="shared" si="9"/>
        <v>ó</v>
      </c>
    </row>
    <row r="42" spans="2:21" x14ac:dyDescent="0.2">
      <c r="B42" s="207">
        <v>19</v>
      </c>
      <c r="C42" s="208" t="str">
        <f t="shared" si="0"/>
        <v>_x0013_</v>
      </c>
      <c r="D42" s="207">
        <v>44</v>
      </c>
      <c r="E42" s="208" t="str">
        <f t="shared" si="1"/>
        <v>,</v>
      </c>
      <c r="F42" s="207">
        <v>69</v>
      </c>
      <c r="G42" s="208" t="str">
        <f t="shared" si="2"/>
        <v>E</v>
      </c>
      <c r="H42" s="207">
        <v>94</v>
      </c>
      <c r="I42" s="208" t="str">
        <f t="shared" si="3"/>
        <v>^</v>
      </c>
      <c r="J42" s="207">
        <v>119</v>
      </c>
      <c r="K42" s="208" t="str">
        <f t="shared" si="4"/>
        <v>w</v>
      </c>
      <c r="L42" s="207">
        <v>144</v>
      </c>
      <c r="M42" s="208" t="str">
        <f t="shared" si="5"/>
        <v></v>
      </c>
      <c r="N42" s="207">
        <v>169</v>
      </c>
      <c r="O42" s="208" t="str">
        <f t="shared" si="6"/>
        <v>©</v>
      </c>
      <c r="P42" s="207">
        <v>194</v>
      </c>
      <c r="Q42" s="208" t="str">
        <f t="shared" si="7"/>
        <v>Â</v>
      </c>
      <c r="R42" s="207">
        <v>219</v>
      </c>
      <c r="S42" s="208" t="str">
        <f t="shared" si="8"/>
        <v>Û</v>
      </c>
      <c r="T42" s="207">
        <v>244</v>
      </c>
      <c r="U42" s="208" t="str">
        <f t="shared" si="9"/>
        <v>ô</v>
      </c>
    </row>
    <row r="43" spans="2:21" x14ac:dyDescent="0.2">
      <c r="B43" s="207">
        <v>20</v>
      </c>
      <c r="C43" s="208" t="str">
        <f t="shared" si="0"/>
        <v>_x0014_</v>
      </c>
      <c r="D43" s="207">
        <v>45</v>
      </c>
      <c r="E43" s="208" t="str">
        <f t="shared" si="1"/>
        <v>-</v>
      </c>
      <c r="F43" s="207">
        <v>70</v>
      </c>
      <c r="G43" s="208" t="str">
        <f t="shared" si="2"/>
        <v>F</v>
      </c>
      <c r="H43" s="207">
        <v>95</v>
      </c>
      <c r="I43" s="208" t="str">
        <f t="shared" si="3"/>
        <v>_</v>
      </c>
      <c r="J43" s="207">
        <v>120</v>
      </c>
      <c r="K43" s="208" t="str">
        <f t="shared" si="4"/>
        <v>x</v>
      </c>
      <c r="L43" s="207">
        <v>145</v>
      </c>
      <c r="M43" s="208" t="str">
        <f t="shared" si="5"/>
        <v>‘</v>
      </c>
      <c r="N43" s="207">
        <v>170</v>
      </c>
      <c r="O43" s="208" t="str">
        <f t="shared" si="6"/>
        <v>ª</v>
      </c>
      <c r="P43" s="207">
        <v>195</v>
      </c>
      <c r="Q43" s="208" t="str">
        <f t="shared" si="7"/>
        <v>Ã</v>
      </c>
      <c r="R43" s="207">
        <v>220</v>
      </c>
      <c r="S43" s="208" t="str">
        <f t="shared" si="8"/>
        <v>Ü</v>
      </c>
      <c r="T43" s="207">
        <v>245</v>
      </c>
      <c r="U43" s="208" t="str">
        <f t="shared" si="9"/>
        <v>õ</v>
      </c>
    </row>
    <row r="44" spans="2:21" x14ac:dyDescent="0.2">
      <c r="B44" s="207">
        <v>21</v>
      </c>
      <c r="C44" s="208" t="str">
        <f t="shared" si="0"/>
        <v>_x0015_</v>
      </c>
      <c r="D44" s="207">
        <v>46</v>
      </c>
      <c r="E44" s="208" t="str">
        <f t="shared" si="1"/>
        <v>.</v>
      </c>
      <c r="F44" s="207">
        <v>71</v>
      </c>
      <c r="G44" s="208" t="str">
        <f t="shared" si="2"/>
        <v>G</v>
      </c>
      <c r="H44" s="207">
        <v>96</v>
      </c>
      <c r="I44" s="208" t="str">
        <f t="shared" si="3"/>
        <v>`</v>
      </c>
      <c r="J44" s="207">
        <v>121</v>
      </c>
      <c r="K44" s="208" t="str">
        <f t="shared" si="4"/>
        <v>y</v>
      </c>
      <c r="L44" s="207">
        <v>146</v>
      </c>
      <c r="M44" s="208" t="str">
        <f t="shared" si="5"/>
        <v>’</v>
      </c>
      <c r="N44" s="207">
        <v>171</v>
      </c>
      <c r="O44" s="208" t="str">
        <f t="shared" si="6"/>
        <v>«</v>
      </c>
      <c r="P44" s="207">
        <v>196</v>
      </c>
      <c r="Q44" s="208" t="str">
        <f t="shared" si="7"/>
        <v>Ä</v>
      </c>
      <c r="R44" s="207">
        <v>221</v>
      </c>
      <c r="S44" s="208" t="str">
        <f t="shared" si="8"/>
        <v>Ý</v>
      </c>
      <c r="T44" s="207">
        <v>246</v>
      </c>
      <c r="U44" s="208" t="str">
        <f t="shared" si="9"/>
        <v>ö</v>
      </c>
    </row>
    <row r="45" spans="2:21" x14ac:dyDescent="0.2">
      <c r="B45" s="207">
        <v>22</v>
      </c>
      <c r="C45" s="208" t="str">
        <f t="shared" si="0"/>
        <v>_x0016_</v>
      </c>
      <c r="D45" s="207">
        <v>47</v>
      </c>
      <c r="E45" s="208" t="str">
        <f t="shared" si="1"/>
        <v>/</v>
      </c>
      <c r="F45" s="207">
        <v>72</v>
      </c>
      <c r="G45" s="208" t="str">
        <f t="shared" si="2"/>
        <v>H</v>
      </c>
      <c r="H45" s="207">
        <v>97</v>
      </c>
      <c r="I45" s="208" t="str">
        <f t="shared" si="3"/>
        <v>a</v>
      </c>
      <c r="J45" s="207">
        <v>122</v>
      </c>
      <c r="K45" s="208" t="str">
        <f t="shared" si="4"/>
        <v>z</v>
      </c>
      <c r="L45" s="207">
        <v>147</v>
      </c>
      <c r="M45" s="208" t="str">
        <f t="shared" si="5"/>
        <v>“</v>
      </c>
      <c r="N45" s="207">
        <v>172</v>
      </c>
      <c r="O45" s="208" t="str">
        <f t="shared" si="6"/>
        <v>¬</v>
      </c>
      <c r="P45" s="207">
        <v>197</v>
      </c>
      <c r="Q45" s="208" t="str">
        <f t="shared" si="7"/>
        <v>Å</v>
      </c>
      <c r="R45" s="207">
        <v>222</v>
      </c>
      <c r="S45" s="208" t="str">
        <f t="shared" si="8"/>
        <v>Þ</v>
      </c>
      <c r="T45" s="207">
        <v>247</v>
      </c>
      <c r="U45" s="208" t="str">
        <f t="shared" si="9"/>
        <v>÷</v>
      </c>
    </row>
    <row r="46" spans="2:21" x14ac:dyDescent="0.2">
      <c r="B46" s="207">
        <v>23</v>
      </c>
      <c r="C46" s="208" t="str">
        <f t="shared" si="0"/>
        <v>_x0017_</v>
      </c>
      <c r="D46" s="207">
        <v>48</v>
      </c>
      <c r="E46" s="208" t="str">
        <f t="shared" si="1"/>
        <v>0</v>
      </c>
      <c r="F46" s="207">
        <v>73</v>
      </c>
      <c r="G46" s="208" t="str">
        <f t="shared" si="2"/>
        <v>I</v>
      </c>
      <c r="H46" s="207">
        <v>98</v>
      </c>
      <c r="I46" s="208" t="str">
        <f t="shared" si="3"/>
        <v>b</v>
      </c>
      <c r="J46" s="207">
        <v>123</v>
      </c>
      <c r="K46" s="208" t="str">
        <f t="shared" si="4"/>
        <v>{</v>
      </c>
      <c r="L46" s="207">
        <v>148</v>
      </c>
      <c r="M46" s="208" t="str">
        <f t="shared" si="5"/>
        <v>”</v>
      </c>
      <c r="N46" s="207">
        <v>173</v>
      </c>
      <c r="O46" s="208" t="str">
        <f t="shared" si="6"/>
        <v>­</v>
      </c>
      <c r="P46" s="207">
        <v>198</v>
      </c>
      <c r="Q46" s="208" t="str">
        <f t="shared" si="7"/>
        <v>Æ</v>
      </c>
      <c r="R46" s="207">
        <v>223</v>
      </c>
      <c r="S46" s="208" t="str">
        <f t="shared" si="8"/>
        <v>ß</v>
      </c>
      <c r="T46" s="207">
        <v>248</v>
      </c>
      <c r="U46" s="208" t="str">
        <f t="shared" si="9"/>
        <v>ø</v>
      </c>
    </row>
    <row r="47" spans="2:21" x14ac:dyDescent="0.2">
      <c r="B47" s="207">
        <v>24</v>
      </c>
      <c r="C47" s="208" t="str">
        <f t="shared" si="0"/>
        <v>_x0018_</v>
      </c>
      <c r="D47" s="207">
        <v>49</v>
      </c>
      <c r="E47" s="208" t="str">
        <f t="shared" si="1"/>
        <v>1</v>
      </c>
      <c r="F47" s="207">
        <v>74</v>
      </c>
      <c r="G47" s="208" t="str">
        <f t="shared" si="2"/>
        <v>J</v>
      </c>
      <c r="H47" s="207">
        <v>99</v>
      </c>
      <c r="I47" s="208" t="str">
        <f t="shared" si="3"/>
        <v>c</v>
      </c>
      <c r="J47" s="207">
        <v>124</v>
      </c>
      <c r="K47" s="208" t="str">
        <f t="shared" si="4"/>
        <v>|</v>
      </c>
      <c r="L47" s="207">
        <v>149</v>
      </c>
      <c r="M47" s="208" t="str">
        <f t="shared" si="5"/>
        <v>•</v>
      </c>
      <c r="N47" s="207">
        <v>174</v>
      </c>
      <c r="O47" s="208" t="str">
        <f t="shared" si="6"/>
        <v>®</v>
      </c>
      <c r="P47" s="207">
        <v>199</v>
      </c>
      <c r="Q47" s="208" t="str">
        <f t="shared" si="7"/>
        <v>Ç</v>
      </c>
      <c r="R47" s="207">
        <v>224</v>
      </c>
      <c r="S47" s="208" t="str">
        <f t="shared" si="8"/>
        <v>à</v>
      </c>
      <c r="T47" s="207">
        <v>249</v>
      </c>
      <c r="U47" s="208" t="str">
        <f t="shared" si="9"/>
        <v>ù</v>
      </c>
    </row>
    <row r="48" spans="2:21" x14ac:dyDescent="0.2">
      <c r="B48" s="123">
        <v>25</v>
      </c>
      <c r="C48" s="212" t="str">
        <f t="shared" si="0"/>
        <v>_x0019_</v>
      </c>
      <c r="D48" s="123">
        <v>50</v>
      </c>
      <c r="E48" s="212" t="str">
        <f t="shared" si="1"/>
        <v>2</v>
      </c>
      <c r="F48" s="123">
        <v>75</v>
      </c>
      <c r="G48" s="212" t="str">
        <f t="shared" si="2"/>
        <v>K</v>
      </c>
      <c r="H48" s="123">
        <v>100</v>
      </c>
      <c r="I48" s="212" t="str">
        <f t="shared" si="3"/>
        <v>d</v>
      </c>
      <c r="J48" s="123">
        <v>125</v>
      </c>
      <c r="K48" s="212" t="str">
        <f t="shared" si="4"/>
        <v>}</v>
      </c>
      <c r="L48" s="123">
        <v>150</v>
      </c>
      <c r="M48" s="212" t="str">
        <f t="shared" si="5"/>
        <v>–</v>
      </c>
      <c r="N48" s="123">
        <v>175</v>
      </c>
      <c r="O48" s="212" t="str">
        <f t="shared" si="6"/>
        <v>¯</v>
      </c>
      <c r="P48" s="123">
        <v>200</v>
      </c>
      <c r="Q48" s="212" t="str">
        <f t="shared" si="7"/>
        <v>È</v>
      </c>
      <c r="R48" s="123">
        <v>225</v>
      </c>
      <c r="S48" s="212" t="str">
        <f t="shared" si="8"/>
        <v>á</v>
      </c>
      <c r="T48" s="123">
        <v>250</v>
      </c>
      <c r="U48" s="212" t="str">
        <f t="shared" si="9"/>
        <v>ú</v>
      </c>
    </row>
    <row r="49" spans="2:23" x14ac:dyDescent="0.2">
      <c r="U49" s="8"/>
    </row>
    <row r="50" spans="2:23" ht="13.5" thickBot="1" x14ac:dyDescent="0.25">
      <c r="B50" s="9" t="s">
        <v>47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</row>
    <row r="51" spans="2:23" x14ac:dyDescent="0.2">
      <c r="B51" t="s">
        <v>1179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4" name="Button 1">
              <controlPr defaultSize="0" print="0" autoFill="0" autoLine="0" autoPict="0">
                <anchor>
                  <from>
                    <xdr:col>20</xdr:col>
                    <xdr:colOff>95250</xdr:colOff>
                    <xdr:row>0</xdr:row>
                    <xdr:rowOff>38100</xdr:rowOff>
                  </from>
                  <to>
                    <xdr:col>22</xdr:col>
                    <xdr:colOff>114300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5" name="Button 2">
              <controlPr defaultSize="0" print="0" autoFill="0" autoLine="0" autoPict="0">
                <anchor>
                  <from>
                    <xdr:col>23</xdr:col>
                    <xdr:colOff>47625</xdr:colOff>
                    <xdr:row>0</xdr:row>
                    <xdr:rowOff>38100</xdr:rowOff>
                  </from>
                  <to>
                    <xdr:col>23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9" r:id="rId6" name="Button 3">
              <controlPr defaultSize="0" print="0" autoFill="0" autoLine="0" autoPict="0">
                <anchor>
                  <from>
                    <xdr:col>19</xdr:col>
                    <xdr:colOff>85725</xdr:colOff>
                    <xdr:row>0</xdr:row>
                    <xdr:rowOff>38100</xdr:rowOff>
                  </from>
                  <to>
                    <xdr:col>20</xdr:col>
                    <xdr:colOff>19050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18">
    <pageSetUpPr fitToPage="1"/>
  </sheetPr>
  <dimension ref="A1:J36"/>
  <sheetViews>
    <sheetView showGridLines="0" workbookViewId="0">
      <pane ySplit="1" topLeftCell="A20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10" max="10" width="8.140625" customWidth="1"/>
  </cols>
  <sheetData>
    <row r="1" spans="1:10" ht="18.75" thickBot="1" x14ac:dyDescent="0.3">
      <c r="A1" s="1" t="s">
        <v>1180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ht="25.5" x14ac:dyDescent="0.2">
      <c r="C3" s="21" t="s">
        <v>1181</v>
      </c>
      <c r="D3" s="5" t="s">
        <v>549</v>
      </c>
    </row>
    <row r="4" spans="1:10" x14ac:dyDescent="0.2">
      <c r="C4" s="213">
        <v>1</v>
      </c>
      <c r="D4" s="3" t="str">
        <f>CHOOSE(C4,"Alan","Bob","Carol")</f>
        <v>Alan</v>
      </c>
      <c r="E4" s="8" t="s">
        <v>1182</v>
      </c>
    </row>
    <row r="5" spans="1:10" x14ac:dyDescent="0.2">
      <c r="C5" s="213">
        <v>3</v>
      </c>
      <c r="D5" s="3" t="str">
        <f>CHOOSE(C5,"Alan","Bob","Carol")</f>
        <v>Carol</v>
      </c>
      <c r="E5" s="8" t="s">
        <v>1183</v>
      </c>
    </row>
    <row r="6" spans="1:10" x14ac:dyDescent="0.2">
      <c r="C6" s="213">
        <v>2</v>
      </c>
      <c r="D6" s="3" t="str">
        <f>CHOOSE(C6,"Alan","Bob","Carol")</f>
        <v>Bob</v>
      </c>
      <c r="E6" s="8" t="s">
        <v>1184</v>
      </c>
    </row>
    <row r="7" spans="1:10" x14ac:dyDescent="0.2">
      <c r="C7" s="213">
        <v>3</v>
      </c>
      <c r="D7" s="56">
        <f>CHOOSE(C7,10%,15%,18%)</f>
        <v>0.18</v>
      </c>
      <c r="E7" s="8" t="s">
        <v>1185</v>
      </c>
    </row>
    <row r="8" spans="1:10" x14ac:dyDescent="0.2">
      <c r="C8" s="213">
        <v>1</v>
      </c>
      <c r="D8" s="56">
        <f>CHOOSE(C8,10%,15%,18%)</f>
        <v>0.1</v>
      </c>
      <c r="E8" s="8" t="s">
        <v>1186</v>
      </c>
    </row>
    <row r="9" spans="1:10" x14ac:dyDescent="0.2">
      <c r="C9" s="213">
        <v>2</v>
      </c>
      <c r="D9" s="56">
        <f>CHOOSE(C9,10%,15%,18%)</f>
        <v>0.15</v>
      </c>
      <c r="E9" s="8" t="s">
        <v>1187</v>
      </c>
    </row>
    <row r="12" spans="1:10" ht="13.5" thickBot="1" x14ac:dyDescent="0.25">
      <c r="B12" s="9" t="s">
        <v>64</v>
      </c>
      <c r="C12" s="9"/>
      <c r="D12" s="9"/>
      <c r="E12" s="9"/>
      <c r="F12" s="9"/>
      <c r="G12" s="9"/>
      <c r="H12" s="9"/>
      <c r="I12" s="9"/>
      <c r="J12" s="9"/>
    </row>
    <row r="13" spans="1:10" x14ac:dyDescent="0.2">
      <c r="B13" t="s">
        <v>1188</v>
      </c>
    </row>
    <row r="15" spans="1:10" ht="13.5" thickBot="1" x14ac:dyDescent="0.25">
      <c r="B15" s="9" t="s">
        <v>43</v>
      </c>
      <c r="C15" s="9"/>
      <c r="D15" s="9"/>
      <c r="E15" s="9"/>
      <c r="F15" s="9"/>
      <c r="G15" s="9"/>
      <c r="H15" s="9"/>
      <c r="I15" s="9"/>
      <c r="J15" s="9"/>
    </row>
    <row r="16" spans="1:10" x14ac:dyDescent="0.2">
      <c r="B16" t="s">
        <v>1189</v>
      </c>
    </row>
    <row r="18" spans="2:10" ht="13.5" thickBot="1" x14ac:dyDescent="0.25">
      <c r="B18" s="9" t="s">
        <v>45</v>
      </c>
      <c r="C18" s="9"/>
      <c r="D18" s="9"/>
      <c r="E18" s="9"/>
      <c r="F18" s="9"/>
      <c r="G18" s="9"/>
      <c r="H18" s="9"/>
      <c r="I18" s="9"/>
      <c r="J18" s="9"/>
    </row>
    <row r="19" spans="2:10" x14ac:dyDescent="0.2">
      <c r="B19" t="s">
        <v>1190</v>
      </c>
    </row>
    <row r="21" spans="2:10" ht="13.5" thickBot="1" x14ac:dyDescent="0.25">
      <c r="B21" s="9" t="s">
        <v>85</v>
      </c>
      <c r="C21" s="9"/>
      <c r="D21" s="9"/>
      <c r="E21" s="9"/>
      <c r="F21" s="9"/>
      <c r="G21" s="9"/>
      <c r="H21" s="9"/>
      <c r="I21" s="9"/>
      <c r="J21" s="9"/>
    </row>
    <row r="22" spans="2:10" x14ac:dyDescent="0.2">
      <c r="B22" t="s">
        <v>1191</v>
      </c>
    </row>
    <row r="23" spans="2:10" x14ac:dyDescent="0.2">
      <c r="B23" t="s">
        <v>1192</v>
      </c>
    </row>
    <row r="24" spans="2:10" x14ac:dyDescent="0.2">
      <c r="B24" t="s">
        <v>1193</v>
      </c>
    </row>
    <row r="25" spans="2:10" x14ac:dyDescent="0.2">
      <c r="B25" t="s">
        <v>1194</v>
      </c>
    </row>
    <row r="26" spans="2:10" x14ac:dyDescent="0.2">
      <c r="B26" t="s">
        <v>1195</v>
      </c>
    </row>
    <row r="27" spans="2:10" x14ac:dyDescent="0.2">
      <c r="B27" t="s">
        <v>1196</v>
      </c>
    </row>
    <row r="29" spans="2:10" x14ac:dyDescent="0.2">
      <c r="B29" s="5" t="s">
        <v>769</v>
      </c>
      <c r="C29" s="5" t="s">
        <v>1197</v>
      </c>
      <c r="D29" s="5" t="s">
        <v>1198</v>
      </c>
      <c r="E29" s="5" t="s">
        <v>1199</v>
      </c>
    </row>
    <row r="30" spans="2:10" x14ac:dyDescent="0.2">
      <c r="B30" s="2" t="s">
        <v>118</v>
      </c>
      <c r="C30" s="17">
        <v>6.25E-2</v>
      </c>
      <c r="D30" s="3">
        <f>RANK(C30,$C$30:$C$34)</f>
        <v>2</v>
      </c>
      <c r="E30" s="3" t="str">
        <f>IF(D30&lt;=3,CHOOSE(D30,"Gold","Silver","Bronze"),"unplaced")</f>
        <v>Silver</v>
      </c>
      <c r="F30" s="129" t="s">
        <v>1200</v>
      </c>
    </row>
    <row r="31" spans="2:10" x14ac:dyDescent="0.2">
      <c r="B31" s="2" t="s">
        <v>120</v>
      </c>
      <c r="C31" s="17">
        <v>5.2083333333333336E-2</v>
      </c>
      <c r="D31" s="3">
        <f>RANK(C31,$C$30:$C$34)</f>
        <v>4</v>
      </c>
      <c r="E31" s="3" t="str">
        <f>IF(D31&lt;=3,CHOOSE(D31,"Gold","Silver","Bronze"),"unplaced")</f>
        <v>unplaced</v>
      </c>
      <c r="F31" s="129" t="s">
        <v>1201</v>
      </c>
    </row>
    <row r="32" spans="2:10" x14ac:dyDescent="0.2">
      <c r="B32" s="2" t="s">
        <v>121</v>
      </c>
      <c r="C32" s="17">
        <v>0.11458333333333333</v>
      </c>
      <c r="D32" s="3">
        <f>RANK(C32,$C$30:$C$34)</f>
        <v>1</v>
      </c>
      <c r="E32" s="3" t="str">
        <f>IF(D32&lt;=3,CHOOSE(D32,"Gold","Silver","Bronze"),"unplaced")</f>
        <v>Gold</v>
      </c>
      <c r="F32" s="129" t="s">
        <v>1202</v>
      </c>
    </row>
    <row r="33" spans="2:6" x14ac:dyDescent="0.2">
      <c r="B33" s="2" t="s">
        <v>122</v>
      </c>
      <c r="C33" s="17">
        <v>4.5138888888888888E-2</v>
      </c>
      <c r="D33" s="3">
        <f>RANK(C33,$C$30:$C$34)</f>
        <v>5</v>
      </c>
      <c r="E33" s="3" t="str">
        <f>IF(D33&lt;=3,CHOOSE(D33,"Gold","Silver","Bronze"),"unplaced")</f>
        <v>unplaced</v>
      </c>
      <c r="F33" s="129" t="s">
        <v>1203</v>
      </c>
    </row>
    <row r="34" spans="2:6" x14ac:dyDescent="0.2">
      <c r="B34" s="2" t="s">
        <v>300</v>
      </c>
      <c r="C34" s="17">
        <v>5.5555555555555552E-2</v>
      </c>
      <c r="D34" s="3">
        <f>RANK(C34,$C$30:$C$34)</f>
        <v>3</v>
      </c>
      <c r="E34" s="3" t="str">
        <f>IF(D34&lt;=3,CHOOSE(D34,"Gold","Silver","Bronze"),"unplaced")</f>
        <v>Bronze</v>
      </c>
      <c r="F34" s="129" t="s">
        <v>1204</v>
      </c>
    </row>
    <row r="35" spans="2:6" x14ac:dyDescent="0.2">
      <c r="D35" s="26" t="s">
        <v>1205</v>
      </c>
    </row>
    <row r="36" spans="2:6" x14ac:dyDescent="0.2">
      <c r="D36" s="4"/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01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2" r:id="rId5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3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20">
    <pageSetUpPr fitToPage="1"/>
  </sheetPr>
  <dimension ref="A1:K28"/>
  <sheetViews>
    <sheetView showGridLines="0" workbookViewId="0">
      <pane ySplit="1" topLeftCell="A35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4" max="4" width="10.7109375" customWidth="1"/>
  </cols>
  <sheetData>
    <row r="1" spans="1:11" ht="18.75" thickBot="1" x14ac:dyDescent="0.3">
      <c r="A1" s="1" t="s">
        <v>1206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3.5" thickTop="1" x14ac:dyDescent="0.2"/>
    <row r="3" spans="1:11" x14ac:dyDescent="0.2">
      <c r="C3" s="5" t="s">
        <v>1207</v>
      </c>
      <c r="D3" s="5" t="s">
        <v>1208</v>
      </c>
    </row>
    <row r="4" spans="1:11" x14ac:dyDescent="0.2">
      <c r="C4" s="213" t="s">
        <v>766</v>
      </c>
      <c r="D4" s="3">
        <f t="shared" ref="D4:D12" si="0">CODE(C4)</f>
        <v>65</v>
      </c>
      <c r="E4" s="26" t="s">
        <v>1209</v>
      </c>
    </row>
    <row r="5" spans="1:11" x14ac:dyDescent="0.2">
      <c r="C5" s="213" t="s">
        <v>767</v>
      </c>
      <c r="D5" s="3">
        <f t="shared" si="0"/>
        <v>66</v>
      </c>
      <c r="E5" s="26" t="s">
        <v>1210</v>
      </c>
    </row>
    <row r="6" spans="1:11" x14ac:dyDescent="0.2">
      <c r="C6" s="213" t="s">
        <v>768</v>
      </c>
      <c r="D6" s="3">
        <f t="shared" si="0"/>
        <v>67</v>
      </c>
      <c r="E6" s="26" t="s">
        <v>1211</v>
      </c>
    </row>
    <row r="7" spans="1:11" x14ac:dyDescent="0.2">
      <c r="C7" s="213" t="s">
        <v>250</v>
      </c>
      <c r="D7" s="3">
        <f t="shared" si="0"/>
        <v>97</v>
      </c>
      <c r="E7" s="26" t="s">
        <v>1212</v>
      </c>
    </row>
    <row r="8" spans="1:11" x14ac:dyDescent="0.2">
      <c r="C8" s="213" t="s">
        <v>1213</v>
      </c>
      <c r="D8" s="3">
        <f t="shared" si="0"/>
        <v>98</v>
      </c>
      <c r="E8" s="26" t="s">
        <v>1214</v>
      </c>
    </row>
    <row r="9" spans="1:11" x14ac:dyDescent="0.2">
      <c r="C9" s="213" t="s">
        <v>1215</v>
      </c>
      <c r="D9" s="3">
        <f t="shared" si="0"/>
        <v>99</v>
      </c>
      <c r="E9" s="26" t="s">
        <v>1216</v>
      </c>
    </row>
    <row r="10" spans="1:11" x14ac:dyDescent="0.2">
      <c r="C10" s="213" t="s">
        <v>118</v>
      </c>
      <c r="D10" s="3">
        <f t="shared" si="0"/>
        <v>65</v>
      </c>
      <c r="E10" s="26" t="s">
        <v>1217</v>
      </c>
    </row>
    <row r="11" spans="1:11" x14ac:dyDescent="0.2">
      <c r="C11" s="213" t="s">
        <v>120</v>
      </c>
      <c r="D11" s="3">
        <f t="shared" si="0"/>
        <v>66</v>
      </c>
      <c r="E11" s="26" t="s">
        <v>1218</v>
      </c>
    </row>
    <row r="12" spans="1:11" x14ac:dyDescent="0.2">
      <c r="C12" s="213" t="s">
        <v>121</v>
      </c>
      <c r="D12" s="3">
        <f t="shared" si="0"/>
        <v>67</v>
      </c>
      <c r="E12" s="26" t="s">
        <v>1219</v>
      </c>
    </row>
    <row r="14" spans="1:11" ht="13.5" thickBot="1" x14ac:dyDescent="0.25">
      <c r="B14" s="9" t="s">
        <v>64</v>
      </c>
      <c r="C14" s="9"/>
      <c r="D14" s="9"/>
      <c r="E14" s="9"/>
      <c r="F14" s="9"/>
      <c r="G14" s="9"/>
      <c r="H14" s="9"/>
      <c r="I14" s="9"/>
      <c r="J14" s="9"/>
      <c r="K14" s="9"/>
    </row>
    <row r="15" spans="1:11" x14ac:dyDescent="0.2">
      <c r="B15" t="s">
        <v>1220</v>
      </c>
    </row>
    <row r="16" spans="1:11" x14ac:dyDescent="0.2">
      <c r="B16" t="s">
        <v>1221</v>
      </c>
    </row>
    <row r="17" spans="2:11" x14ac:dyDescent="0.2">
      <c r="B17" t="s">
        <v>1222</v>
      </c>
    </row>
    <row r="18" spans="2:11" x14ac:dyDescent="0.2">
      <c r="B18" t="s">
        <v>1223</v>
      </c>
    </row>
    <row r="19" spans="2:11" x14ac:dyDescent="0.2">
      <c r="B19" t="s">
        <v>1224</v>
      </c>
    </row>
    <row r="21" spans="2:11" ht="13.5" thickBot="1" x14ac:dyDescent="0.25">
      <c r="B21" s="9" t="s">
        <v>43</v>
      </c>
      <c r="C21" s="9"/>
      <c r="D21" s="9"/>
      <c r="E21" s="9"/>
      <c r="F21" s="9"/>
      <c r="G21" s="9"/>
      <c r="H21" s="9"/>
      <c r="I21" s="9"/>
      <c r="J21" s="9"/>
      <c r="K21" s="9"/>
    </row>
    <row r="22" spans="2:11" x14ac:dyDescent="0.2">
      <c r="B22" t="s">
        <v>1225</v>
      </c>
    </row>
    <row r="24" spans="2:11" ht="13.5" thickBot="1" x14ac:dyDescent="0.25">
      <c r="B24" s="9" t="s">
        <v>45</v>
      </c>
      <c r="C24" s="9"/>
      <c r="D24" s="9"/>
      <c r="E24" s="9"/>
      <c r="F24" s="9"/>
      <c r="G24" s="9"/>
      <c r="H24" s="9"/>
      <c r="I24" s="9"/>
      <c r="J24" s="9"/>
      <c r="K24" s="9"/>
    </row>
    <row r="25" spans="2:11" x14ac:dyDescent="0.2">
      <c r="B25" t="s">
        <v>1226</v>
      </c>
    </row>
    <row r="27" spans="2:11" ht="13.5" thickBot="1" x14ac:dyDescent="0.25">
      <c r="B27" s="9" t="s">
        <v>85</v>
      </c>
      <c r="C27" s="9"/>
      <c r="D27" s="9"/>
      <c r="E27" s="9"/>
      <c r="F27" s="9"/>
      <c r="G27" s="9"/>
      <c r="H27" s="9"/>
      <c r="I27" s="9"/>
      <c r="J27" s="9"/>
    </row>
    <row r="28" spans="2:11" x14ac:dyDescent="0.2">
      <c r="B28" t="s">
        <v>603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85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225" r:id="rId4" name="Button 1">
              <controlPr defaultSize="0" print="0" autoFill="0" autoLine="0" autoPict="0">
                <anchor>
                  <from>
                    <xdr:col>8</xdr:col>
                    <xdr:colOff>276225</xdr:colOff>
                    <xdr:row>0</xdr:row>
                    <xdr:rowOff>38100</xdr:rowOff>
                  </from>
                  <to>
                    <xdr:col>9</xdr:col>
                    <xdr:colOff>142875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6" r:id="rId5" name="Button 2">
              <controlPr defaultSize="0" print="0" autoFill="0" autoLine="0" autoPict="0">
                <anchor>
                  <from>
                    <xdr:col>9</xdr:col>
                    <xdr:colOff>209550</xdr:colOff>
                    <xdr:row>0</xdr:row>
                    <xdr:rowOff>38100</xdr:rowOff>
                  </from>
                  <to>
                    <xdr:col>9</xdr:col>
                    <xdr:colOff>419100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7" r:id="rId6" name="Button 3">
              <controlPr defaultSize="0" print="0" autoFill="0" autoLine="0" autoPict="0">
                <anchor>
                  <from>
                    <xdr:col>8</xdr:col>
                    <xdr:colOff>0</xdr:colOff>
                    <xdr:row>0</xdr:row>
                    <xdr:rowOff>38100</xdr:rowOff>
                  </from>
                  <to>
                    <xdr:col>8</xdr:col>
                    <xdr:colOff>209550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21">
    <pageSetUpPr fitToPage="1"/>
  </sheetPr>
  <dimension ref="A1:G58"/>
  <sheetViews>
    <sheetView showGridLines="0" workbookViewId="0">
      <pane ySplit="1" topLeftCell="A35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4.5703125" customWidth="1"/>
    <col min="4" max="4" width="18.140625" customWidth="1"/>
    <col min="5" max="5" width="14.7109375" customWidth="1"/>
    <col min="6" max="6" width="16.7109375" customWidth="1"/>
    <col min="7" max="7" width="11.7109375" customWidth="1"/>
  </cols>
  <sheetData>
    <row r="1" spans="1:7" ht="18.75" thickBot="1" x14ac:dyDescent="0.3">
      <c r="A1" s="1" t="s">
        <v>1227</v>
      </c>
      <c r="B1" s="1"/>
      <c r="C1" s="1"/>
      <c r="D1" s="1"/>
      <c r="E1" s="1"/>
      <c r="F1" s="1"/>
      <c r="G1" s="1"/>
    </row>
    <row r="2" spans="1:7" ht="13.5" thickTop="1" x14ac:dyDescent="0.2"/>
    <row r="3" spans="1:7" x14ac:dyDescent="0.2">
      <c r="C3" s="5" t="s">
        <v>1228</v>
      </c>
      <c r="D3" s="5" t="s">
        <v>1229</v>
      </c>
      <c r="E3" s="5" t="s">
        <v>1230</v>
      </c>
    </row>
    <row r="4" spans="1:7" x14ac:dyDescent="0.2">
      <c r="C4" s="2">
        <v>4</v>
      </c>
      <c r="D4" s="2">
        <v>2</v>
      </c>
      <c r="E4" s="3">
        <f>COMBIN(C4,D4)</f>
        <v>6</v>
      </c>
      <c r="F4" s="32" t="s">
        <v>1231</v>
      </c>
    </row>
    <row r="5" spans="1:7" x14ac:dyDescent="0.2">
      <c r="C5" s="2">
        <v>4</v>
      </c>
      <c r="D5" s="2">
        <v>3</v>
      </c>
      <c r="E5" s="3">
        <f>COMBIN(C5,D5)</f>
        <v>4</v>
      </c>
      <c r="F5" s="32" t="s">
        <v>1232</v>
      </c>
    </row>
    <row r="6" spans="1:7" x14ac:dyDescent="0.2">
      <c r="C6" s="2">
        <v>26</v>
      </c>
      <c r="D6" s="2">
        <v>2</v>
      </c>
      <c r="E6" s="3">
        <f>COMBIN(C6,D6)</f>
        <v>325</v>
      </c>
      <c r="F6" s="32" t="s">
        <v>1233</v>
      </c>
    </row>
    <row r="8" spans="1:7" ht="13.5" thickBot="1" x14ac:dyDescent="0.25">
      <c r="B8" s="9" t="s">
        <v>39</v>
      </c>
      <c r="C8" s="9"/>
      <c r="D8" s="9"/>
      <c r="E8" s="9"/>
      <c r="F8" s="9"/>
      <c r="G8" s="9"/>
    </row>
    <row r="9" spans="1:7" x14ac:dyDescent="0.2">
      <c r="B9" t="s">
        <v>1234</v>
      </c>
    </row>
    <row r="10" spans="1:7" x14ac:dyDescent="0.2">
      <c r="B10" t="s">
        <v>1235</v>
      </c>
    </row>
    <row r="11" spans="1:7" x14ac:dyDescent="0.2">
      <c r="B11" t="s">
        <v>1236</v>
      </c>
    </row>
    <row r="13" spans="1:7" ht="13.5" thickBot="1" x14ac:dyDescent="0.25">
      <c r="B13" s="9" t="s">
        <v>43</v>
      </c>
      <c r="C13" s="9"/>
      <c r="D13" s="9"/>
      <c r="E13" s="9"/>
      <c r="F13" s="9"/>
      <c r="G13" s="9"/>
    </row>
    <row r="14" spans="1:7" x14ac:dyDescent="0.2">
      <c r="B14" t="s">
        <v>1237</v>
      </c>
    </row>
    <row r="16" spans="1:7" ht="13.5" thickBot="1" x14ac:dyDescent="0.25">
      <c r="B16" s="9" t="s">
        <v>45</v>
      </c>
      <c r="C16" s="9"/>
      <c r="D16" s="9"/>
      <c r="E16" s="9"/>
      <c r="F16" s="9"/>
      <c r="G16" s="9"/>
    </row>
    <row r="17" spans="2:7" x14ac:dyDescent="0.2">
      <c r="B17" t="s">
        <v>1190</v>
      </c>
    </row>
    <row r="20" spans="2:7" ht="13.5" thickBot="1" x14ac:dyDescent="0.25">
      <c r="B20" s="9" t="s">
        <v>286</v>
      </c>
      <c r="C20" s="9"/>
      <c r="D20" s="9"/>
      <c r="E20" s="9"/>
      <c r="F20" s="9"/>
      <c r="G20" s="9"/>
    </row>
    <row r="21" spans="2:7" x14ac:dyDescent="0.2">
      <c r="B21" t="s">
        <v>1238</v>
      </c>
    </row>
    <row r="22" spans="2:7" x14ac:dyDescent="0.2">
      <c r="B22" t="s">
        <v>1239</v>
      </c>
    </row>
    <row r="24" spans="2:7" x14ac:dyDescent="0.2">
      <c r="C24" s="5" t="s">
        <v>1240</v>
      </c>
      <c r="D24" s="5" t="s">
        <v>1241</v>
      </c>
      <c r="E24" s="5" t="s">
        <v>1242</v>
      </c>
    </row>
    <row r="25" spans="2:7" x14ac:dyDescent="0.2">
      <c r="C25" s="2">
        <v>4</v>
      </c>
      <c r="D25" s="2">
        <v>2</v>
      </c>
      <c r="E25" s="3">
        <f>COMBIN(C25,D25)</f>
        <v>6</v>
      </c>
      <c r="F25" s="8" t="s">
        <v>1243</v>
      </c>
    </row>
    <row r="27" spans="2:7" x14ac:dyDescent="0.2">
      <c r="C27" t="s">
        <v>1244</v>
      </c>
      <c r="D27" s="214" t="s">
        <v>1245</v>
      </c>
      <c r="E27" s="215" t="s">
        <v>586</v>
      </c>
    </row>
    <row r="28" spans="2:7" x14ac:dyDescent="0.2">
      <c r="D28" s="216" t="s">
        <v>1246</v>
      </c>
      <c r="E28" s="217" t="s">
        <v>1247</v>
      </c>
    </row>
    <row r="29" spans="2:7" x14ac:dyDescent="0.2">
      <c r="D29" s="216" t="s">
        <v>1248</v>
      </c>
      <c r="E29" s="217" t="s">
        <v>1249</v>
      </c>
    </row>
    <row r="30" spans="2:7" x14ac:dyDescent="0.2">
      <c r="D30" s="216" t="s">
        <v>1250</v>
      </c>
      <c r="E30" s="217" t="s">
        <v>1251</v>
      </c>
    </row>
    <row r="31" spans="2:7" x14ac:dyDescent="0.2">
      <c r="D31" s="216" t="s">
        <v>1252</v>
      </c>
      <c r="E31" s="217" t="s">
        <v>1253</v>
      </c>
    </row>
    <row r="32" spans="2:7" x14ac:dyDescent="0.2">
      <c r="D32" s="216" t="s">
        <v>1254</v>
      </c>
      <c r="E32" s="217" t="s">
        <v>1255</v>
      </c>
    </row>
    <row r="33" spans="2:7" x14ac:dyDescent="0.2">
      <c r="D33" s="216" t="s">
        <v>1256</v>
      </c>
      <c r="E33" s="217" t="s">
        <v>1257</v>
      </c>
    </row>
    <row r="35" spans="2:7" ht="13.5" thickBot="1" x14ac:dyDescent="0.25">
      <c r="B35" s="9" t="s">
        <v>305</v>
      </c>
      <c r="C35" s="9"/>
      <c r="D35" s="9"/>
      <c r="E35" s="9"/>
      <c r="F35" s="9"/>
      <c r="G35" s="9"/>
    </row>
    <row r="36" spans="2:7" x14ac:dyDescent="0.2">
      <c r="B36" t="s">
        <v>1258</v>
      </c>
    </row>
    <row r="37" spans="2:7" x14ac:dyDescent="0.2">
      <c r="B37" t="s">
        <v>1259</v>
      </c>
    </row>
    <row r="38" spans="2:7" x14ac:dyDescent="0.2">
      <c r="B38" t="s">
        <v>1260</v>
      </c>
    </row>
    <row r="40" spans="2:7" x14ac:dyDescent="0.2">
      <c r="C40" s="5" t="s">
        <v>1261</v>
      </c>
      <c r="D40" s="5" t="s">
        <v>1262</v>
      </c>
      <c r="E40" s="5" t="s">
        <v>1263</v>
      </c>
    </row>
    <row r="41" spans="2:7" x14ac:dyDescent="0.2">
      <c r="C41" s="2">
        <v>5</v>
      </c>
      <c r="D41" s="2">
        <v>3</v>
      </c>
      <c r="E41" s="3">
        <f>COMBIN(C41,D41)</f>
        <v>10</v>
      </c>
      <c r="F41" s="8" t="s">
        <v>1264</v>
      </c>
    </row>
    <row r="43" spans="2:7" x14ac:dyDescent="0.2">
      <c r="C43" t="s">
        <v>1265</v>
      </c>
    </row>
    <row r="44" spans="2:7" x14ac:dyDescent="0.2">
      <c r="C44" s="218" t="s">
        <v>1266</v>
      </c>
    </row>
    <row r="45" spans="2:7" x14ac:dyDescent="0.2">
      <c r="C45" s="219" t="s">
        <v>989</v>
      </c>
    </row>
    <row r="46" spans="2:7" x14ac:dyDescent="0.2">
      <c r="C46" s="220" t="s">
        <v>1267</v>
      </c>
    </row>
    <row r="47" spans="2:7" x14ac:dyDescent="0.2">
      <c r="C47" s="221" t="s">
        <v>1268</v>
      </c>
    </row>
    <row r="48" spans="2:7" x14ac:dyDescent="0.2">
      <c r="C48" s="222" t="s">
        <v>1269</v>
      </c>
    </row>
    <row r="50" spans="3:7" x14ac:dyDescent="0.2">
      <c r="C50" t="s">
        <v>1270</v>
      </c>
      <c r="D50" t="s">
        <v>1271</v>
      </c>
      <c r="E50" t="s">
        <v>1272</v>
      </c>
      <c r="F50" t="s">
        <v>1273</v>
      </c>
      <c r="G50" t="s">
        <v>1274</v>
      </c>
    </row>
    <row r="51" spans="3:7" x14ac:dyDescent="0.2">
      <c r="C51" s="218" t="s">
        <v>1266</v>
      </c>
      <c r="D51" s="218" t="s">
        <v>1266</v>
      </c>
      <c r="E51" s="218" t="s">
        <v>1266</v>
      </c>
      <c r="F51" s="218" t="s">
        <v>1266</v>
      </c>
      <c r="G51" s="218" t="s">
        <v>1266</v>
      </c>
    </row>
    <row r="52" spans="3:7" x14ac:dyDescent="0.2">
      <c r="C52" s="219" t="s">
        <v>989</v>
      </c>
      <c r="D52" s="219" t="s">
        <v>989</v>
      </c>
      <c r="E52" s="219" t="s">
        <v>989</v>
      </c>
      <c r="F52" s="220" t="s">
        <v>1267</v>
      </c>
      <c r="G52" s="220" t="s">
        <v>1267</v>
      </c>
    </row>
    <row r="53" spans="3:7" x14ac:dyDescent="0.2">
      <c r="C53" s="220" t="s">
        <v>1267</v>
      </c>
      <c r="D53" s="221" t="s">
        <v>1268</v>
      </c>
      <c r="E53" s="222" t="s">
        <v>1269</v>
      </c>
      <c r="F53" s="221" t="s">
        <v>1268</v>
      </c>
      <c r="G53" s="222" t="s">
        <v>1269</v>
      </c>
    </row>
    <row r="55" spans="3:7" x14ac:dyDescent="0.2">
      <c r="C55" t="s">
        <v>1275</v>
      </c>
      <c r="D55" t="s">
        <v>1276</v>
      </c>
      <c r="E55" t="s">
        <v>1277</v>
      </c>
      <c r="F55" t="s">
        <v>1278</v>
      </c>
      <c r="G55" t="s">
        <v>1279</v>
      </c>
    </row>
    <row r="56" spans="3:7" x14ac:dyDescent="0.2">
      <c r="C56" s="219" t="s">
        <v>989</v>
      </c>
      <c r="D56" s="219" t="s">
        <v>989</v>
      </c>
      <c r="E56" s="219" t="s">
        <v>989</v>
      </c>
      <c r="F56" s="220" t="s">
        <v>1267</v>
      </c>
      <c r="G56" t="s">
        <v>1280</v>
      </c>
    </row>
    <row r="57" spans="3:7" x14ac:dyDescent="0.2">
      <c r="C57" s="220" t="s">
        <v>1267</v>
      </c>
      <c r="D57" s="220" t="s">
        <v>1267</v>
      </c>
      <c r="E57" s="221" t="s">
        <v>1268</v>
      </c>
      <c r="F57" s="221" t="s">
        <v>1268</v>
      </c>
    </row>
    <row r="58" spans="3:7" x14ac:dyDescent="0.2">
      <c r="C58" s="221" t="s">
        <v>1268</v>
      </c>
      <c r="D58" s="222" t="s">
        <v>1269</v>
      </c>
      <c r="E58" s="222" t="s">
        <v>1269</v>
      </c>
      <c r="F58" s="222" t="s">
        <v>1269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3249" r:id="rId4" name="Button 1">
              <controlPr defaultSize="0" print="0" autoFill="0" autoLine="0" autoPict="0">
                <anchor>
                  <from>
                    <xdr:col>5</xdr:col>
                    <xdr:colOff>790575</xdr:colOff>
                    <xdr:row>0</xdr:row>
                    <xdr:rowOff>38100</xdr:rowOff>
                  </from>
                  <to>
                    <xdr:col>6</xdr:col>
                    <xdr:colOff>142875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0" r:id="rId5" name="Button 2">
              <controlPr defaultSize="0" print="0" autoFill="0" autoLine="0" autoPict="0">
                <anchor>
                  <from>
                    <xdr:col>6</xdr:col>
                    <xdr:colOff>209550</xdr:colOff>
                    <xdr:row>0</xdr:row>
                    <xdr:rowOff>38100</xdr:rowOff>
                  </from>
                  <to>
                    <xdr:col>6</xdr:col>
                    <xdr:colOff>409575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1" r:id="rId6" name="Button 3">
              <controlPr defaultSize="0" print="0" autoFill="0" autoLine="0" autoPict="0">
                <anchor>
                  <from>
                    <xdr:col>5</xdr:col>
                    <xdr:colOff>523875</xdr:colOff>
                    <xdr:row>0</xdr:row>
                    <xdr:rowOff>38100</xdr:rowOff>
                  </from>
                  <to>
                    <xdr:col>5</xdr:col>
                    <xdr:colOff>723900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22">
    <tabColor rgb="FF00B050"/>
    <pageSetUpPr fitToPage="1"/>
  </sheetPr>
  <dimension ref="A1:H30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5" max="5" width="16.5703125" customWidth="1"/>
    <col min="6" max="6" width="14.28515625" customWidth="1"/>
  </cols>
  <sheetData>
    <row r="1" spans="1:8" ht="18.75" thickBot="1" x14ac:dyDescent="0.3">
      <c r="A1" s="1" t="s">
        <v>1281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C3" s="5" t="s">
        <v>1282</v>
      </c>
      <c r="D3" s="5" t="s">
        <v>1283</v>
      </c>
      <c r="E3" s="5" t="s">
        <v>1284</v>
      </c>
    </row>
    <row r="4" spans="1:8" x14ac:dyDescent="0.2">
      <c r="C4" s="2" t="s">
        <v>118</v>
      </c>
      <c r="D4" s="2" t="s">
        <v>1285</v>
      </c>
      <c r="E4" s="223" t="str">
        <f>CONCATENATE(C4,D4)</f>
        <v>AlanJones</v>
      </c>
      <c r="F4" s="8" t="s">
        <v>1286</v>
      </c>
    </row>
    <row r="5" spans="1:8" x14ac:dyDescent="0.2">
      <c r="C5" s="2" t="s">
        <v>120</v>
      </c>
      <c r="D5" s="2" t="s">
        <v>1287</v>
      </c>
      <c r="E5" s="223" t="str">
        <f>CONCATENATE(C5,D5)</f>
        <v>BobWilliams</v>
      </c>
      <c r="F5" s="8" t="s">
        <v>1288</v>
      </c>
    </row>
    <row r="6" spans="1:8" x14ac:dyDescent="0.2">
      <c r="C6" s="2" t="s">
        <v>121</v>
      </c>
      <c r="D6" s="2" t="s">
        <v>1289</v>
      </c>
      <c r="E6" s="223" t="str">
        <f>CONCATENATE(C6,D6)</f>
        <v>CarolDavies</v>
      </c>
      <c r="F6" s="8" t="s">
        <v>1290</v>
      </c>
    </row>
    <row r="7" spans="1:8" x14ac:dyDescent="0.2">
      <c r="C7" s="2" t="s">
        <v>118</v>
      </c>
      <c r="D7" s="2" t="s">
        <v>1285</v>
      </c>
      <c r="E7" s="223" t="str">
        <f>CONCATENATE(C7," ",D7)</f>
        <v>Alan Jones</v>
      </c>
      <c r="F7" s="8" t="s">
        <v>1291</v>
      </c>
    </row>
    <row r="8" spans="1:8" x14ac:dyDescent="0.2">
      <c r="C8" s="2" t="s">
        <v>120</v>
      </c>
      <c r="D8" s="2" t="s">
        <v>1287</v>
      </c>
      <c r="E8" s="223" t="str">
        <f>CONCATENATE(D8,", ",C8)</f>
        <v>Williams, Bob</v>
      </c>
      <c r="F8" s="8" t="s">
        <v>1292</v>
      </c>
    </row>
    <row r="9" spans="1:8" x14ac:dyDescent="0.2">
      <c r="C9" s="2" t="s">
        <v>121</v>
      </c>
      <c r="D9" s="2" t="s">
        <v>1289</v>
      </c>
      <c r="E9" s="223" t="str">
        <f>CONCATENATE(D9,", ",C9)</f>
        <v>Davies, Carol</v>
      </c>
      <c r="F9" s="8" t="s">
        <v>1293</v>
      </c>
    </row>
    <row r="11" spans="1:8" ht="13.5" thickBot="1" x14ac:dyDescent="0.25">
      <c r="B11" s="9" t="s">
        <v>64</v>
      </c>
      <c r="C11" s="9"/>
      <c r="D11" s="9"/>
      <c r="E11" s="9"/>
      <c r="F11" s="9"/>
      <c r="G11" s="9"/>
      <c r="H11" s="9"/>
    </row>
    <row r="12" spans="1:8" x14ac:dyDescent="0.2">
      <c r="B12" t="s">
        <v>1294</v>
      </c>
    </row>
    <row r="14" spans="1:8" ht="13.5" thickBot="1" x14ac:dyDescent="0.25">
      <c r="B14" s="9" t="s">
        <v>43</v>
      </c>
      <c r="C14" s="9"/>
      <c r="D14" s="9"/>
      <c r="E14" s="9"/>
      <c r="F14" s="9"/>
      <c r="G14" s="9"/>
      <c r="H14" s="9"/>
    </row>
    <row r="15" spans="1:8" x14ac:dyDescent="0.2">
      <c r="B15" t="s">
        <v>1295</v>
      </c>
    </row>
    <row r="16" spans="1:8" x14ac:dyDescent="0.2">
      <c r="B16" t="s">
        <v>1296</v>
      </c>
    </row>
    <row r="18" spans="2:8" ht="13.5" thickBot="1" x14ac:dyDescent="0.25">
      <c r="B18" s="9" t="s">
        <v>45</v>
      </c>
      <c r="C18" s="9"/>
      <c r="D18" s="9"/>
      <c r="E18" s="9"/>
      <c r="F18" s="9"/>
      <c r="G18" s="9"/>
      <c r="H18" s="9"/>
    </row>
    <row r="19" spans="2:8" x14ac:dyDescent="0.2">
      <c r="B19" t="s">
        <v>1297</v>
      </c>
    </row>
    <row r="21" spans="2:8" ht="13.5" thickBot="1" x14ac:dyDescent="0.25">
      <c r="B21" s="9" t="s">
        <v>47</v>
      </c>
      <c r="C21" s="9"/>
      <c r="D21" s="9"/>
      <c r="E21" s="9"/>
      <c r="F21" s="9"/>
      <c r="G21" s="9"/>
      <c r="H21" s="9"/>
    </row>
    <row r="22" spans="2:8" x14ac:dyDescent="0.2">
      <c r="B22" t="s">
        <v>1298</v>
      </c>
    </row>
    <row r="24" spans="2:8" x14ac:dyDescent="0.2">
      <c r="C24" s="5" t="s">
        <v>1282</v>
      </c>
      <c r="D24" s="5" t="s">
        <v>1283</v>
      </c>
      <c r="E24" s="5" t="s">
        <v>1284</v>
      </c>
    </row>
    <row r="25" spans="2:8" x14ac:dyDescent="0.2">
      <c r="C25" s="2" t="s">
        <v>118</v>
      </c>
      <c r="D25" s="2" t="s">
        <v>1285</v>
      </c>
      <c r="E25" s="223" t="str">
        <f>C25&amp;D25</f>
        <v>AlanJones</v>
      </c>
      <c r="F25" s="8" t="s">
        <v>1299</v>
      </c>
    </row>
    <row r="26" spans="2:8" x14ac:dyDescent="0.2">
      <c r="C26" s="2" t="s">
        <v>120</v>
      </c>
      <c r="D26" s="2" t="s">
        <v>1287</v>
      </c>
      <c r="E26" s="223" t="str">
        <f>C26&amp;D26</f>
        <v>BobWilliams</v>
      </c>
      <c r="F26" s="8" t="s">
        <v>1300</v>
      </c>
    </row>
    <row r="27" spans="2:8" x14ac:dyDescent="0.2">
      <c r="C27" s="2" t="s">
        <v>121</v>
      </c>
      <c r="D27" s="2" t="s">
        <v>1289</v>
      </c>
      <c r="E27" s="223" t="str">
        <f>C27&amp;D27</f>
        <v>CarolDavies</v>
      </c>
      <c r="F27" s="8" t="s">
        <v>1301</v>
      </c>
    </row>
    <row r="28" spans="2:8" x14ac:dyDescent="0.2">
      <c r="C28" s="2" t="s">
        <v>118</v>
      </c>
      <c r="D28" s="2" t="s">
        <v>1285</v>
      </c>
      <c r="E28" s="223" t="str">
        <f>C28&amp;" "&amp;D28</f>
        <v>Alan Jones</v>
      </c>
      <c r="F28" s="8" t="s">
        <v>1302</v>
      </c>
    </row>
    <row r="29" spans="2:8" x14ac:dyDescent="0.2">
      <c r="C29" s="2" t="s">
        <v>120</v>
      </c>
      <c r="D29" s="2" t="s">
        <v>1287</v>
      </c>
      <c r="E29" s="223" t="str">
        <f>D29&amp;", "&amp;C29</f>
        <v>Williams, Bob</v>
      </c>
      <c r="F29" s="8" t="s">
        <v>1303</v>
      </c>
    </row>
    <row r="30" spans="2:8" x14ac:dyDescent="0.2">
      <c r="C30" s="2" t="s">
        <v>121</v>
      </c>
      <c r="D30" s="2" t="s">
        <v>1289</v>
      </c>
      <c r="E30" s="223" t="str">
        <f>D30&amp;", "&amp;C30</f>
        <v>Davies, Carol</v>
      </c>
      <c r="F30" s="8" t="s">
        <v>1304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273" r:id="rId4" name="Button 1">
              <controlPr defaultSize="0" print="0" autoFill="0" autoLine="0" autoPict="0">
                <anchor>
                  <from>
                    <xdr:col>7</xdr:col>
                    <xdr:colOff>104775</xdr:colOff>
                    <xdr:row>0</xdr:row>
                    <xdr:rowOff>38100</xdr:rowOff>
                  </from>
                  <to>
                    <xdr:col>7</xdr:col>
                    <xdr:colOff>581025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4" r:id="rId5" name="Button 2">
              <controlPr defaultSize="0" print="0" autoFill="0" autoLine="0" autoPict="0">
                <anchor>
                  <from>
                    <xdr:col>8</xdr:col>
                    <xdr:colOff>47625</xdr:colOff>
                    <xdr:row>0</xdr:row>
                    <xdr:rowOff>38100</xdr:rowOff>
                  </from>
                  <to>
                    <xdr:col>8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5" r:id="rId6" name="Button 3">
              <controlPr defaultSize="0" print="0" autoFill="0" autoLine="0" autoPict="0">
                <anchor>
                  <from>
                    <xdr:col>6</xdr:col>
                    <xdr:colOff>438150</xdr:colOff>
                    <xdr:row>0</xdr:row>
                    <xdr:rowOff>38100</xdr:rowOff>
                  </from>
                  <to>
                    <xdr:col>7</xdr:col>
                    <xdr:colOff>38100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23">
    <tabColor rgb="FF00B050"/>
    <pageSetUpPr fitToPage="1"/>
  </sheetPr>
  <dimension ref="A1:H88"/>
  <sheetViews>
    <sheetView showGridLines="0" workbookViewId="0">
      <pane ySplit="1" topLeftCell="A41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14.85546875" customWidth="1"/>
    <col min="3" max="3" width="23" bestFit="1" customWidth="1"/>
    <col min="4" max="4" width="11.140625" customWidth="1"/>
    <col min="5" max="5" width="13.140625" customWidth="1"/>
    <col min="8" max="8" width="14.140625" customWidth="1"/>
  </cols>
  <sheetData>
    <row r="1" spans="1:8" ht="18.75" thickBot="1" x14ac:dyDescent="0.3">
      <c r="A1" s="1" t="s">
        <v>1305</v>
      </c>
      <c r="B1" s="1"/>
      <c r="C1" s="1"/>
      <c r="D1" s="1"/>
      <c r="E1" s="1"/>
      <c r="F1" s="58"/>
      <c r="G1" s="1"/>
      <c r="H1" s="1"/>
    </row>
    <row r="2" spans="1:8" ht="13.5" thickTop="1" x14ac:dyDescent="0.2"/>
    <row r="3" spans="1:8" ht="25.5" x14ac:dyDescent="0.2">
      <c r="C3" s="60" t="s">
        <v>1306</v>
      </c>
      <c r="D3" s="60" t="s">
        <v>1307</v>
      </c>
      <c r="E3" s="60" t="s">
        <v>1308</v>
      </c>
      <c r="F3" s="60" t="s">
        <v>1309</v>
      </c>
    </row>
    <row r="4" spans="1:8" x14ac:dyDescent="0.2">
      <c r="C4" s="2">
        <v>1</v>
      </c>
      <c r="D4" s="2" t="s">
        <v>1310</v>
      </c>
      <c r="E4" s="2" t="s">
        <v>1311</v>
      </c>
      <c r="F4" s="3">
        <f>CONVERT(C4,D4,E4)</f>
        <v>2.54</v>
      </c>
      <c r="G4" s="8" t="s">
        <v>1312</v>
      </c>
    </row>
    <row r="5" spans="1:8" x14ac:dyDescent="0.2">
      <c r="C5" s="2">
        <v>1</v>
      </c>
      <c r="D5" s="2" t="s">
        <v>1313</v>
      </c>
      <c r="E5" s="2" t="s">
        <v>1314</v>
      </c>
      <c r="F5" s="3">
        <f>CONVERT(C5,D5,E5)</f>
        <v>0.30480000000000002</v>
      </c>
      <c r="G5" s="8" t="s">
        <v>1315</v>
      </c>
    </row>
    <row r="6" spans="1:8" x14ac:dyDescent="0.2">
      <c r="C6" s="2">
        <v>1</v>
      </c>
      <c r="D6" s="2" t="s">
        <v>1316</v>
      </c>
      <c r="E6" s="2" t="s">
        <v>1314</v>
      </c>
      <c r="F6" s="3">
        <f>CONVERT(C6,D6,E6)</f>
        <v>0.91439999999999999</v>
      </c>
      <c r="G6" s="8" t="s">
        <v>1317</v>
      </c>
    </row>
    <row r="8" spans="1:8" x14ac:dyDescent="0.2">
      <c r="C8" s="2">
        <v>1</v>
      </c>
      <c r="D8" s="2" t="s">
        <v>1318</v>
      </c>
      <c r="E8" s="2" t="s">
        <v>1319</v>
      </c>
      <c r="F8" s="3">
        <f>CONVERT(C8,D8,E8)</f>
        <v>365.25</v>
      </c>
      <c r="G8" s="8" t="s">
        <v>1320</v>
      </c>
    </row>
    <row r="9" spans="1:8" x14ac:dyDescent="0.2">
      <c r="C9" s="2">
        <v>1</v>
      </c>
      <c r="D9" s="2" t="s">
        <v>1319</v>
      </c>
      <c r="E9" s="2" t="s">
        <v>1321</v>
      </c>
      <c r="F9" s="3">
        <f>CONVERT(C9,D9,E9)</f>
        <v>24</v>
      </c>
      <c r="G9" s="8" t="s">
        <v>1322</v>
      </c>
    </row>
    <row r="10" spans="1:8" x14ac:dyDescent="0.2">
      <c r="C10" s="2">
        <v>1.5</v>
      </c>
      <c r="D10" s="2" t="s">
        <v>1321</v>
      </c>
      <c r="E10" s="2" t="s">
        <v>1323</v>
      </c>
      <c r="F10" s="3">
        <f>CONVERT(C10,D10,E10)</f>
        <v>90</v>
      </c>
      <c r="G10" s="8" t="s">
        <v>1324</v>
      </c>
    </row>
    <row r="11" spans="1:8" x14ac:dyDescent="0.2">
      <c r="C11" s="2">
        <v>0.5</v>
      </c>
      <c r="D11" s="2" t="s">
        <v>1323</v>
      </c>
      <c r="E11" s="2" t="s">
        <v>1325</v>
      </c>
      <c r="F11" s="3">
        <f>CONVERT(C11,D11,E11)</f>
        <v>30</v>
      </c>
      <c r="G11" s="8" t="s">
        <v>1326</v>
      </c>
    </row>
    <row r="13" spans="1:8" ht="13.5" thickBot="1" x14ac:dyDescent="0.25">
      <c r="B13" s="9" t="s">
        <v>39</v>
      </c>
      <c r="C13" s="9"/>
      <c r="D13" s="9"/>
      <c r="E13" s="9"/>
      <c r="F13" s="9"/>
      <c r="G13" s="9"/>
      <c r="H13" s="9"/>
    </row>
    <row r="14" spans="1:8" x14ac:dyDescent="0.2">
      <c r="B14" t="s">
        <v>1327</v>
      </c>
    </row>
    <row r="15" spans="1:8" x14ac:dyDescent="0.2">
      <c r="B15" t="s">
        <v>1328</v>
      </c>
    </row>
    <row r="17" spans="2:8" ht="13.5" thickBot="1" x14ac:dyDescent="0.25">
      <c r="B17" s="9" t="s">
        <v>43</v>
      </c>
      <c r="C17" s="9"/>
      <c r="D17" s="9"/>
      <c r="E17" s="9"/>
      <c r="F17" s="9"/>
      <c r="G17" s="9"/>
      <c r="H17" s="9"/>
    </row>
    <row r="18" spans="2:8" x14ac:dyDescent="0.2">
      <c r="B18" s="10" t="s">
        <v>1329</v>
      </c>
    </row>
    <row r="20" spans="2:8" ht="13.5" thickBot="1" x14ac:dyDescent="0.25">
      <c r="B20" s="9" t="s">
        <v>45</v>
      </c>
      <c r="C20" s="9"/>
      <c r="D20" s="9"/>
      <c r="E20" s="9"/>
      <c r="F20" s="9"/>
      <c r="G20" s="9"/>
      <c r="H20" s="9"/>
    </row>
    <row r="21" spans="2:8" x14ac:dyDescent="0.2">
      <c r="B21" t="s">
        <v>46</v>
      </c>
    </row>
    <row r="23" spans="2:8" ht="13.5" thickBot="1" x14ac:dyDescent="0.25">
      <c r="B23" s="9" t="s">
        <v>85</v>
      </c>
      <c r="C23" s="9"/>
      <c r="D23" s="9"/>
      <c r="E23" s="9"/>
      <c r="F23" s="9"/>
      <c r="G23" s="9"/>
      <c r="H23" s="9"/>
    </row>
    <row r="24" spans="2:8" x14ac:dyDescent="0.2">
      <c r="B24" t="s">
        <v>1330</v>
      </c>
    </row>
    <row r="25" spans="2:8" x14ac:dyDescent="0.2">
      <c r="B25" t="s">
        <v>1331</v>
      </c>
    </row>
    <row r="27" spans="2:8" x14ac:dyDescent="0.2">
      <c r="D27" s="59" t="s">
        <v>1332</v>
      </c>
      <c r="E27" s="59" t="s">
        <v>1333</v>
      </c>
      <c r="F27" s="59" t="s">
        <v>1334</v>
      </c>
    </row>
    <row r="28" spans="2:8" x14ac:dyDescent="0.2">
      <c r="C28" s="59" t="s">
        <v>1335</v>
      </c>
      <c r="D28" s="2">
        <v>5</v>
      </c>
      <c r="E28" s="2">
        <v>3</v>
      </c>
      <c r="F28" s="3">
        <f>CONVERT(D28,"lbm","kg")+CONVERT(E28,"ozm","kg")</f>
        <v>2.3530104193750003</v>
      </c>
    </row>
    <row r="29" spans="2:8" x14ac:dyDescent="0.2">
      <c r="F29" s="19" t="s">
        <v>1336</v>
      </c>
    </row>
    <row r="31" spans="2:8" x14ac:dyDescent="0.2">
      <c r="D31" s="59" t="s">
        <v>1337</v>
      </c>
      <c r="E31" s="59" t="s">
        <v>1338</v>
      </c>
      <c r="F31" s="59" t="s">
        <v>1339</v>
      </c>
    </row>
    <row r="32" spans="2:8" x14ac:dyDescent="0.2">
      <c r="C32" s="59" t="s">
        <v>1340</v>
      </c>
      <c r="D32" s="2">
        <v>12</v>
      </c>
      <c r="E32" s="2">
        <v>6</v>
      </c>
      <c r="F32" s="3">
        <f>CONVERT(D32,"ft","m")+CONVERT(E32,"in","m")</f>
        <v>3.81</v>
      </c>
    </row>
    <row r="33" spans="2:8" x14ac:dyDescent="0.2">
      <c r="C33" s="59" t="s">
        <v>1341</v>
      </c>
      <c r="D33" s="2">
        <v>8</v>
      </c>
      <c r="E33" s="2">
        <v>3</v>
      </c>
      <c r="F33" s="3">
        <f>CONVERT(D33,"ft","m")+CONVERT(E33,"in","m")</f>
        <v>2.5146000000000002</v>
      </c>
    </row>
    <row r="34" spans="2:8" x14ac:dyDescent="0.2">
      <c r="C34" s="59" t="s">
        <v>1342</v>
      </c>
      <c r="D34" s="2">
        <v>5</v>
      </c>
      <c r="E34" s="2">
        <v>2</v>
      </c>
      <c r="F34" s="3">
        <f>CONVERT(D34,"ft","m")+CONVERT(E34,"in","m")</f>
        <v>1.5748</v>
      </c>
    </row>
    <row r="35" spans="2:8" x14ac:dyDescent="0.2">
      <c r="F35" s="19" t="s">
        <v>1343</v>
      </c>
    </row>
    <row r="37" spans="2:8" ht="13.5" thickBot="1" x14ac:dyDescent="0.25">
      <c r="B37" s="9" t="s">
        <v>1344</v>
      </c>
      <c r="C37" s="9"/>
      <c r="D37" s="9"/>
      <c r="E37" s="9"/>
      <c r="F37" s="9"/>
      <c r="G37" s="9"/>
      <c r="H37" s="9"/>
    </row>
    <row r="38" spans="2:8" x14ac:dyDescent="0.2">
      <c r="B38" t="s">
        <v>1345</v>
      </c>
    </row>
    <row r="40" spans="2:8" x14ac:dyDescent="0.2">
      <c r="B40" s="53" t="s">
        <v>1346</v>
      </c>
      <c r="E40" s="53" t="s">
        <v>1347</v>
      </c>
    </row>
    <row r="41" spans="2:8" x14ac:dyDescent="0.2">
      <c r="B41" s="63" t="s">
        <v>1348</v>
      </c>
      <c r="C41" s="2" t="s">
        <v>1349</v>
      </c>
      <c r="E41" s="63" t="s">
        <v>1350</v>
      </c>
      <c r="F41" s="2" t="s">
        <v>1314</v>
      </c>
    </row>
    <row r="42" spans="2:8" x14ac:dyDescent="0.2">
      <c r="B42" s="63" t="s">
        <v>1351</v>
      </c>
      <c r="C42" s="2" t="s">
        <v>1352</v>
      </c>
      <c r="E42" s="63" t="s">
        <v>1353</v>
      </c>
      <c r="F42" s="2" t="s">
        <v>1354</v>
      </c>
    </row>
    <row r="43" spans="2:8" x14ac:dyDescent="0.2">
      <c r="B43" s="63" t="s">
        <v>1355</v>
      </c>
      <c r="C43" s="2" t="s">
        <v>1356</v>
      </c>
      <c r="E43" s="63" t="s">
        <v>1357</v>
      </c>
      <c r="F43" s="2" t="s">
        <v>1358</v>
      </c>
    </row>
    <row r="44" spans="2:8" x14ac:dyDescent="0.2">
      <c r="B44" s="63" t="s">
        <v>1359</v>
      </c>
      <c r="C44" s="2" t="s">
        <v>1360</v>
      </c>
      <c r="E44" s="63" t="s">
        <v>1361</v>
      </c>
      <c r="F44" s="2" t="s">
        <v>1310</v>
      </c>
    </row>
    <row r="45" spans="2:8" x14ac:dyDescent="0.2">
      <c r="B45" s="63" t="s">
        <v>1362</v>
      </c>
      <c r="C45" s="2" t="s">
        <v>1363</v>
      </c>
      <c r="E45" s="63" t="s">
        <v>1364</v>
      </c>
      <c r="F45" s="2" t="s">
        <v>1313</v>
      </c>
    </row>
    <row r="46" spans="2:8" x14ac:dyDescent="0.2">
      <c r="B46" s="63" t="s">
        <v>1365</v>
      </c>
      <c r="C46" s="2" t="s">
        <v>1366</v>
      </c>
      <c r="E46" s="63" t="s">
        <v>1367</v>
      </c>
      <c r="F46" s="2" t="s">
        <v>1316</v>
      </c>
    </row>
    <row r="47" spans="2:8" x14ac:dyDescent="0.2">
      <c r="E47" s="63" t="s">
        <v>1368</v>
      </c>
      <c r="F47" s="2" t="s">
        <v>1369</v>
      </c>
    </row>
    <row r="48" spans="2:8" x14ac:dyDescent="0.2">
      <c r="B48" s="53" t="s">
        <v>1197</v>
      </c>
      <c r="E48" s="63" t="s">
        <v>1370</v>
      </c>
      <c r="F48" s="2" t="s">
        <v>1371</v>
      </c>
    </row>
    <row r="49" spans="2:6" x14ac:dyDescent="0.2">
      <c r="B49" s="63" t="s">
        <v>1372</v>
      </c>
      <c r="C49" s="2" t="s">
        <v>1318</v>
      </c>
    </row>
    <row r="50" spans="2:6" x14ac:dyDescent="0.2">
      <c r="B50" s="63" t="s">
        <v>700</v>
      </c>
      <c r="C50" s="2" t="s">
        <v>1319</v>
      </c>
      <c r="E50" s="53" t="s">
        <v>1373</v>
      </c>
    </row>
    <row r="51" spans="2:6" x14ac:dyDescent="0.2">
      <c r="B51" s="63" t="s">
        <v>1374</v>
      </c>
      <c r="C51" s="2" t="s">
        <v>1321</v>
      </c>
      <c r="E51" s="63" t="s">
        <v>1375</v>
      </c>
      <c r="F51" s="2" t="s">
        <v>1376</v>
      </c>
    </row>
    <row r="52" spans="2:6" x14ac:dyDescent="0.2">
      <c r="B52" s="63" t="s">
        <v>1377</v>
      </c>
      <c r="C52" s="2" t="s">
        <v>1323</v>
      </c>
      <c r="E52" s="63" t="s">
        <v>1378</v>
      </c>
      <c r="F52" s="2" t="s">
        <v>1379</v>
      </c>
    </row>
    <row r="53" spans="2:6" x14ac:dyDescent="0.2">
      <c r="B53" s="63" t="s">
        <v>1380</v>
      </c>
      <c r="C53" s="2" t="s">
        <v>1325</v>
      </c>
      <c r="E53" s="63" t="s">
        <v>1381</v>
      </c>
      <c r="F53" s="2" t="s">
        <v>1382</v>
      </c>
    </row>
    <row r="55" spans="2:6" x14ac:dyDescent="0.2">
      <c r="B55" s="53" t="s">
        <v>1383</v>
      </c>
      <c r="E55" s="53" t="s">
        <v>1384</v>
      </c>
    </row>
    <row r="56" spans="2:6" x14ac:dyDescent="0.2">
      <c r="B56" s="63" t="s">
        <v>1385</v>
      </c>
      <c r="C56" s="2" t="s">
        <v>768</v>
      </c>
      <c r="E56" s="63" t="s">
        <v>1386</v>
      </c>
      <c r="F56" s="2" t="s">
        <v>1387</v>
      </c>
    </row>
    <row r="57" spans="2:6" x14ac:dyDescent="0.2">
      <c r="B57" s="63" t="s">
        <v>1388</v>
      </c>
      <c r="C57" s="2" t="s">
        <v>1389</v>
      </c>
      <c r="E57" s="63" t="s">
        <v>1390</v>
      </c>
      <c r="F57" s="2" t="s">
        <v>1391</v>
      </c>
    </row>
    <row r="58" spans="2:6" x14ac:dyDescent="0.2">
      <c r="B58" s="63" t="s">
        <v>1392</v>
      </c>
      <c r="C58" s="2" t="s">
        <v>1393</v>
      </c>
      <c r="E58" s="63" t="s">
        <v>1394</v>
      </c>
      <c r="F58" s="2" t="s">
        <v>1395</v>
      </c>
    </row>
    <row r="59" spans="2:6" x14ac:dyDescent="0.2">
      <c r="E59" s="63" t="s">
        <v>1396</v>
      </c>
      <c r="F59" s="2" t="s">
        <v>1397</v>
      </c>
    </row>
    <row r="60" spans="2:6" x14ac:dyDescent="0.2">
      <c r="B60" s="53" t="s">
        <v>1398</v>
      </c>
      <c r="E60" s="63" t="s">
        <v>1399</v>
      </c>
      <c r="F60" s="2" t="s">
        <v>1400</v>
      </c>
    </row>
    <row r="61" spans="2:6" x14ac:dyDescent="0.2">
      <c r="B61" s="63" t="s">
        <v>1401</v>
      </c>
      <c r="C61" s="2" t="s">
        <v>146</v>
      </c>
      <c r="E61" s="63" t="s">
        <v>1402</v>
      </c>
      <c r="F61" s="2" t="s">
        <v>1403</v>
      </c>
    </row>
    <row r="62" spans="2:6" x14ac:dyDescent="0.2">
      <c r="B62" s="63" t="s">
        <v>1404</v>
      </c>
      <c r="C62" s="2" t="s">
        <v>1405</v>
      </c>
      <c r="E62" s="63" t="s">
        <v>1406</v>
      </c>
      <c r="F62" s="2" t="s">
        <v>1407</v>
      </c>
    </row>
    <row r="63" spans="2:6" x14ac:dyDescent="0.2">
      <c r="B63" s="63" t="s">
        <v>1408</v>
      </c>
      <c r="C63" s="2" t="s">
        <v>1409</v>
      </c>
      <c r="E63" s="63" t="s">
        <v>1410</v>
      </c>
      <c r="F63" s="2" t="s">
        <v>1411</v>
      </c>
    </row>
    <row r="65" spans="2:8" x14ac:dyDescent="0.2">
      <c r="B65" s="53" t="s">
        <v>1412</v>
      </c>
      <c r="E65" s="53" t="s">
        <v>1413</v>
      </c>
    </row>
    <row r="66" spans="2:8" x14ac:dyDescent="0.2">
      <c r="B66" s="63" t="s">
        <v>1414</v>
      </c>
      <c r="C66" s="2" t="s">
        <v>1415</v>
      </c>
      <c r="E66" s="63" t="s">
        <v>1416</v>
      </c>
      <c r="F66" s="2" t="s">
        <v>1417</v>
      </c>
    </row>
    <row r="67" spans="2:8" x14ac:dyDescent="0.2">
      <c r="B67" s="63" t="s">
        <v>1418</v>
      </c>
      <c r="C67" s="2" t="s">
        <v>243</v>
      </c>
      <c r="E67" s="63" t="s">
        <v>1419</v>
      </c>
      <c r="F67" s="2" t="s">
        <v>1420</v>
      </c>
    </row>
    <row r="68" spans="2:8" ht="25.5" x14ac:dyDescent="0.2">
      <c r="B68" s="224" t="s">
        <v>1421</v>
      </c>
      <c r="C68" s="2" t="s">
        <v>1215</v>
      </c>
    </row>
    <row r="69" spans="2:8" x14ac:dyDescent="0.2">
      <c r="B69" s="63" t="s">
        <v>1422</v>
      </c>
      <c r="C69" s="2" t="s">
        <v>1423</v>
      </c>
      <c r="E69" s="53" t="s">
        <v>1424</v>
      </c>
    </row>
    <row r="70" spans="2:8" x14ac:dyDescent="0.2">
      <c r="B70" s="63" t="s">
        <v>1425</v>
      </c>
      <c r="C70" s="2" t="s">
        <v>1426</v>
      </c>
      <c r="E70" s="63" t="s">
        <v>1427</v>
      </c>
      <c r="F70" s="2" t="s">
        <v>253</v>
      </c>
    </row>
    <row r="71" spans="2:8" x14ac:dyDescent="0.2">
      <c r="B71" s="63" t="s">
        <v>1428</v>
      </c>
      <c r="C71" s="2" t="s">
        <v>1429</v>
      </c>
      <c r="E71" s="63" t="s">
        <v>1430</v>
      </c>
      <c r="F71" s="2" t="s">
        <v>1431</v>
      </c>
    </row>
    <row r="72" spans="2:8" x14ac:dyDescent="0.2">
      <c r="B72" s="63" t="s">
        <v>1432</v>
      </c>
      <c r="C72" s="2" t="s">
        <v>1433</v>
      </c>
    </row>
    <row r="73" spans="2:8" x14ac:dyDescent="0.2">
      <c r="B73" s="63" t="s">
        <v>1434</v>
      </c>
      <c r="C73" s="2" t="s">
        <v>1435</v>
      </c>
    </row>
    <row r="74" spans="2:8" x14ac:dyDescent="0.2">
      <c r="B74" s="63" t="s">
        <v>1436</v>
      </c>
      <c r="C74" s="2" t="s">
        <v>1436</v>
      </c>
    </row>
    <row r="77" spans="2:8" x14ac:dyDescent="0.2">
      <c r="B77" t="s">
        <v>1437</v>
      </c>
    </row>
    <row r="78" spans="2:8" x14ac:dyDescent="0.2">
      <c r="B78" t="s">
        <v>1438</v>
      </c>
    </row>
    <row r="80" spans="2:8" x14ac:dyDescent="0.2">
      <c r="B80" s="63" t="s">
        <v>1439</v>
      </c>
      <c r="C80" s="59" t="s">
        <v>1440</v>
      </c>
      <c r="D80" s="59" t="s">
        <v>1441</v>
      </c>
      <c r="F80" s="63" t="s">
        <v>1439</v>
      </c>
      <c r="G80" s="59" t="s">
        <v>1440</v>
      </c>
      <c r="H80" s="59" t="s">
        <v>1441</v>
      </c>
    </row>
    <row r="81" spans="2:8" x14ac:dyDescent="0.2">
      <c r="B81" s="63" t="s">
        <v>1442</v>
      </c>
      <c r="C81" s="225">
        <v>1E+18</v>
      </c>
      <c r="D81" s="2" t="s">
        <v>1443</v>
      </c>
      <c r="F81" s="63" t="s">
        <v>1444</v>
      </c>
      <c r="G81" s="225">
        <v>0.1</v>
      </c>
      <c r="H81" s="2" t="s">
        <v>1445</v>
      </c>
    </row>
    <row r="82" spans="2:8" x14ac:dyDescent="0.2">
      <c r="B82" s="63" t="s">
        <v>1446</v>
      </c>
      <c r="C82" s="225">
        <v>1000000000000000</v>
      </c>
      <c r="D82" s="2" t="s">
        <v>1447</v>
      </c>
      <c r="F82" s="63" t="s">
        <v>1448</v>
      </c>
      <c r="G82" s="225">
        <v>0.01</v>
      </c>
      <c r="H82" s="2" t="s">
        <v>1215</v>
      </c>
    </row>
    <row r="83" spans="2:8" x14ac:dyDescent="0.2">
      <c r="B83" s="63" t="s">
        <v>1449</v>
      </c>
      <c r="C83" s="225">
        <v>1000000000000</v>
      </c>
      <c r="D83" s="2" t="s">
        <v>253</v>
      </c>
      <c r="F83" s="63" t="s">
        <v>1450</v>
      </c>
      <c r="G83" s="225">
        <v>1E-3</v>
      </c>
      <c r="H83" s="2" t="s">
        <v>1314</v>
      </c>
    </row>
    <row r="84" spans="2:8" x14ac:dyDescent="0.2">
      <c r="B84" s="63" t="s">
        <v>1451</v>
      </c>
      <c r="C84" s="225">
        <v>1000000000</v>
      </c>
      <c r="D84" s="2" t="s">
        <v>1125</v>
      </c>
      <c r="F84" s="63" t="s">
        <v>1452</v>
      </c>
      <c r="G84" s="225">
        <v>9.9999999999999995E-7</v>
      </c>
      <c r="H84" s="2" t="s">
        <v>1363</v>
      </c>
    </row>
    <row r="85" spans="2:8" x14ac:dyDescent="0.2">
      <c r="B85" s="63" t="s">
        <v>1453</v>
      </c>
      <c r="C85" s="225">
        <v>1000000</v>
      </c>
      <c r="D85" s="2" t="s">
        <v>1454</v>
      </c>
      <c r="F85" s="63" t="s">
        <v>1455</v>
      </c>
      <c r="G85" s="225">
        <v>1.0000000000000001E-9</v>
      </c>
      <c r="H85" s="2" t="s">
        <v>1456</v>
      </c>
    </row>
    <row r="86" spans="2:8" x14ac:dyDescent="0.2">
      <c r="B86" s="63" t="s">
        <v>1457</v>
      </c>
      <c r="C86" s="225">
        <v>1000</v>
      </c>
      <c r="D86" s="2" t="s">
        <v>1458</v>
      </c>
      <c r="F86" s="63" t="s">
        <v>1459</v>
      </c>
      <c r="G86" s="225">
        <v>9.9999999999999998E-13</v>
      </c>
      <c r="H86" s="2" t="s">
        <v>1460</v>
      </c>
    </row>
    <row r="87" spans="2:8" x14ac:dyDescent="0.2">
      <c r="B87" s="63" t="s">
        <v>1461</v>
      </c>
      <c r="C87" s="225">
        <v>100</v>
      </c>
      <c r="D87" s="2" t="s">
        <v>1462</v>
      </c>
      <c r="F87" s="63" t="s">
        <v>1463</v>
      </c>
      <c r="G87" s="225">
        <v>1.0000000000000001E-15</v>
      </c>
      <c r="H87" s="2" t="s">
        <v>1464</v>
      </c>
    </row>
    <row r="88" spans="2:8" x14ac:dyDescent="0.2">
      <c r="B88" s="63" t="s">
        <v>1465</v>
      </c>
      <c r="C88" s="225">
        <v>10</v>
      </c>
      <c r="D88" s="2" t="s">
        <v>243</v>
      </c>
      <c r="F88" s="63" t="s">
        <v>1466</v>
      </c>
      <c r="G88" s="225">
        <v>1.0000000000000001E-18</v>
      </c>
      <c r="H88" s="2" t="s">
        <v>250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297" r:id="rId4" name="Button 1">
              <controlPr defaultSize="0" print="0" autoFill="0" autoLine="0" autoPict="0">
                <anchor>
                  <from>
                    <xdr:col>5</xdr:col>
                    <xdr:colOff>514350</xdr:colOff>
                    <xdr:row>0</xdr:row>
                    <xdr:rowOff>38100</xdr:rowOff>
                  </from>
                  <to>
                    <xdr:col>6</xdr:col>
                    <xdr:colOff>371475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8" r:id="rId5" name="Button 2">
              <controlPr defaultSize="0" print="0" autoFill="0" autoLine="0" autoPict="0">
                <anchor>
                  <from>
                    <xdr:col>6</xdr:col>
                    <xdr:colOff>438150</xdr:colOff>
                    <xdr:row>0</xdr:row>
                    <xdr:rowOff>38100</xdr:rowOff>
                  </from>
                  <to>
                    <xdr:col>7</xdr:col>
                    <xdr:colOff>28575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9" r:id="rId6" name="Button 3">
              <controlPr defaultSize="0" print="0" autoFill="0" autoLine="0" autoPict="0">
                <anchor>
                  <from>
                    <xdr:col>5</xdr:col>
                    <xdr:colOff>247650</xdr:colOff>
                    <xdr:row>0</xdr:row>
                    <xdr:rowOff>38100</xdr:rowOff>
                  </from>
                  <to>
                    <xdr:col>5</xdr:col>
                    <xdr:colOff>447675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24">
    <pageSetUpPr fitToPage="1"/>
  </sheetPr>
  <dimension ref="A1:J32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7" max="7" width="9.85546875" customWidth="1"/>
    <col min="10" max="10" width="7.5703125" customWidth="1"/>
  </cols>
  <sheetData>
    <row r="1" spans="1:10" ht="18.75" thickBot="1" x14ac:dyDescent="0.3">
      <c r="A1" s="1" t="s">
        <v>1467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ht="13.5" thickBot="1" x14ac:dyDescent="0.25">
      <c r="C3" s="105" t="s">
        <v>229</v>
      </c>
      <c r="D3" s="105"/>
      <c r="E3" s="105"/>
      <c r="G3" s="105" t="s">
        <v>924</v>
      </c>
      <c r="H3" s="105"/>
    </row>
    <row r="4" spans="1:10" ht="38.25" x14ac:dyDescent="0.2">
      <c r="C4" s="226" t="s">
        <v>1468</v>
      </c>
      <c r="D4" s="227" t="s">
        <v>1469</v>
      </c>
      <c r="E4" s="228" t="s">
        <v>1470</v>
      </c>
      <c r="G4" s="229" t="s">
        <v>1471</v>
      </c>
      <c r="H4" s="230" t="s">
        <v>371</v>
      </c>
    </row>
    <row r="5" spans="1:10" x14ac:dyDescent="0.2">
      <c r="C5" s="231" t="s">
        <v>12</v>
      </c>
      <c r="D5" s="2">
        <v>20</v>
      </c>
      <c r="E5" s="232">
        <v>100</v>
      </c>
      <c r="G5" s="233">
        <v>2000</v>
      </c>
      <c r="H5" s="234">
        <v>20000</v>
      </c>
    </row>
    <row r="6" spans="1:10" x14ac:dyDescent="0.2">
      <c r="C6" s="231" t="s">
        <v>13</v>
      </c>
      <c r="D6" s="2">
        <v>30</v>
      </c>
      <c r="E6" s="232">
        <v>200</v>
      </c>
      <c r="G6" s="233">
        <v>1000</v>
      </c>
      <c r="H6" s="234">
        <v>30000</v>
      </c>
    </row>
    <row r="7" spans="1:10" x14ac:dyDescent="0.2">
      <c r="C7" s="231" t="s">
        <v>14</v>
      </c>
      <c r="D7" s="2">
        <v>30</v>
      </c>
      <c r="E7" s="232">
        <v>300</v>
      </c>
      <c r="G7" s="233">
        <v>5000</v>
      </c>
      <c r="H7" s="234">
        <v>20000</v>
      </c>
    </row>
    <row r="8" spans="1:10" x14ac:dyDescent="0.2">
      <c r="C8" s="231" t="s">
        <v>1472</v>
      </c>
      <c r="D8" s="2">
        <v>40</v>
      </c>
      <c r="E8" s="232">
        <v>200</v>
      </c>
      <c r="G8" s="233">
        <v>1000</v>
      </c>
      <c r="H8" s="234">
        <v>40000</v>
      </c>
    </row>
    <row r="9" spans="1:10" x14ac:dyDescent="0.2">
      <c r="C9" s="231" t="s">
        <v>1473</v>
      </c>
      <c r="D9" s="2">
        <v>50</v>
      </c>
      <c r="E9" s="232">
        <v>400</v>
      </c>
      <c r="G9" s="233">
        <v>8000</v>
      </c>
      <c r="H9" s="234">
        <v>40000</v>
      </c>
    </row>
    <row r="10" spans="1:10" x14ac:dyDescent="0.2">
      <c r="C10" s="231" t="s">
        <v>1474</v>
      </c>
      <c r="D10" s="2">
        <v>50</v>
      </c>
      <c r="E10" s="232">
        <v>400</v>
      </c>
      <c r="G10" s="233">
        <v>1000</v>
      </c>
      <c r="H10" s="234">
        <v>20000</v>
      </c>
    </row>
    <row r="11" spans="1:10" x14ac:dyDescent="0.2">
      <c r="C11" s="235"/>
      <c r="D11" s="62"/>
      <c r="E11" s="236"/>
      <c r="G11" s="237"/>
      <c r="H11" s="238"/>
    </row>
    <row r="12" spans="1:10" ht="13.5" thickBot="1" x14ac:dyDescent="0.25">
      <c r="C12" s="239"/>
      <c r="D12" s="240" t="s">
        <v>1475</v>
      </c>
      <c r="E12" s="241">
        <f>CORREL(D5:D10,E5:E10)</f>
        <v>0.86363636363636342</v>
      </c>
      <c r="G12" s="242" t="s">
        <v>1475</v>
      </c>
      <c r="H12" s="243">
        <f>CORREL(G5:G10,H5:H10)</f>
        <v>0.28074496253743858</v>
      </c>
    </row>
    <row r="13" spans="1:10" x14ac:dyDescent="0.2">
      <c r="E13" s="32" t="s">
        <v>1476</v>
      </c>
      <c r="H13" s="32" t="s">
        <v>1477</v>
      </c>
    </row>
    <row r="15" spans="1:10" ht="13.5" thickBot="1" x14ac:dyDescent="0.25">
      <c r="B15" s="9" t="s">
        <v>39</v>
      </c>
      <c r="C15" s="9"/>
      <c r="D15" s="9"/>
      <c r="E15" s="9"/>
      <c r="F15" s="9"/>
      <c r="G15" s="9"/>
      <c r="H15" s="9"/>
      <c r="I15" s="9"/>
      <c r="J15" s="9"/>
    </row>
    <row r="16" spans="1:10" x14ac:dyDescent="0.2">
      <c r="B16" t="s">
        <v>1478</v>
      </c>
    </row>
    <row r="17" spans="2:10" x14ac:dyDescent="0.2">
      <c r="B17" t="s">
        <v>1479</v>
      </c>
    </row>
    <row r="18" spans="2:10" x14ac:dyDescent="0.2">
      <c r="B18" t="s">
        <v>1480</v>
      </c>
    </row>
    <row r="19" spans="2:10" x14ac:dyDescent="0.2">
      <c r="B19" t="s">
        <v>1481</v>
      </c>
    </row>
    <row r="21" spans="2:10" x14ac:dyDescent="0.2">
      <c r="B21" t="s">
        <v>1482</v>
      </c>
    </row>
    <row r="22" spans="2:10" x14ac:dyDescent="0.2">
      <c r="B22" t="str">
        <f>"The correlation shows that there is an "&amp;TEXT(E12,"0.000")&amp;" realtionship between the data."</f>
        <v>The correlation shows that there is an 0.864 realtionship between the data.</v>
      </c>
    </row>
    <row r="24" spans="2:10" x14ac:dyDescent="0.2">
      <c r="B24" t="s">
        <v>1483</v>
      </c>
    </row>
    <row r="25" spans="2:10" x14ac:dyDescent="0.2">
      <c r="B25" t="s">
        <v>1484</v>
      </c>
    </row>
    <row r="26" spans="2:10" x14ac:dyDescent="0.2">
      <c r="B26" t="str">
        <f>"The correlation shows that there is an "&amp;TEXT(H12,"00%")&amp;" realtionship between the data."</f>
        <v>The correlation shows that there is an 28% realtionship between the data.</v>
      </c>
    </row>
    <row r="28" spans="2:10" ht="13.5" thickBot="1" x14ac:dyDescent="0.25">
      <c r="B28" s="9" t="s">
        <v>43</v>
      </c>
      <c r="C28" s="9"/>
      <c r="D28" s="9"/>
      <c r="E28" s="9"/>
      <c r="F28" s="9"/>
      <c r="G28" s="9"/>
      <c r="H28" s="9"/>
      <c r="I28" s="9"/>
      <c r="J28" s="9"/>
    </row>
    <row r="29" spans="2:10" x14ac:dyDescent="0.2">
      <c r="B29" s="10" t="s">
        <v>1485</v>
      </c>
    </row>
    <row r="31" spans="2:10" ht="13.5" thickBot="1" x14ac:dyDescent="0.25">
      <c r="B31" s="9" t="s">
        <v>45</v>
      </c>
      <c r="C31" s="9"/>
      <c r="D31" s="9"/>
      <c r="E31" s="9"/>
      <c r="F31" s="9"/>
      <c r="G31" s="9"/>
      <c r="H31" s="9"/>
      <c r="I31" s="9"/>
      <c r="J31" s="9"/>
    </row>
    <row r="32" spans="2:10" x14ac:dyDescent="0.2">
      <c r="B32" t="s">
        <v>1486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6321" r:id="rId4" name="Button 1">
              <controlPr defaultSize="0" print="0" autoFill="0" autoLine="0" autoPict="0">
                <anchor>
                  <from>
                    <xdr:col>8</xdr:col>
                    <xdr:colOff>323850</xdr:colOff>
                    <xdr:row>0</xdr:row>
                    <xdr:rowOff>38100</xdr:rowOff>
                  </from>
                  <to>
                    <xdr:col>9</xdr:col>
                    <xdr:colOff>190500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2" r:id="rId5" name="Button 2">
              <controlPr defaultSize="0" print="0" autoFill="0" autoLine="0" autoPict="0">
                <anchor>
                  <from>
                    <xdr:col>9</xdr:col>
                    <xdr:colOff>257175</xdr:colOff>
                    <xdr:row>0</xdr:row>
                    <xdr:rowOff>38100</xdr:rowOff>
                  </from>
                  <to>
                    <xdr:col>9</xdr:col>
                    <xdr:colOff>457200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3" r:id="rId6" name="Button 3">
              <controlPr defaultSize="0" print="0" autoFill="0" autoLine="0" autoPict="0">
                <anchor>
                  <from>
                    <xdr:col>8</xdr:col>
                    <xdr:colOff>57150</xdr:colOff>
                    <xdr:row>0</xdr:row>
                    <xdr:rowOff>38100</xdr:rowOff>
                  </from>
                  <to>
                    <xdr:col>8</xdr:col>
                    <xdr:colOff>266700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29">
    <pageSetUpPr fitToPage="1"/>
  </sheetPr>
  <dimension ref="A1:J17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4.5703125" style="4" customWidth="1"/>
    <col min="3" max="4" width="5.7109375" style="4" customWidth="1"/>
    <col min="5" max="5" width="7.5703125" style="4" customWidth="1"/>
    <col min="6" max="6" width="20.85546875" customWidth="1"/>
    <col min="7" max="7" width="19" customWidth="1"/>
    <col min="9" max="9" width="8.140625" customWidth="1"/>
  </cols>
  <sheetData>
    <row r="1" spans="1:10" ht="18.75" thickBot="1" x14ac:dyDescent="0.3">
      <c r="A1" s="1" t="s">
        <v>1487</v>
      </c>
      <c r="B1" s="244"/>
      <c r="C1" s="245"/>
      <c r="D1" s="245"/>
      <c r="E1" s="245"/>
      <c r="F1" s="244"/>
      <c r="G1" s="244"/>
      <c r="H1" s="244"/>
      <c r="I1" s="244"/>
      <c r="J1" s="244"/>
    </row>
    <row r="2" spans="1:10" ht="13.5" thickTop="1" x14ac:dyDescent="0.2">
      <c r="B2"/>
    </row>
    <row r="3" spans="1:10" x14ac:dyDescent="0.2">
      <c r="B3"/>
      <c r="C3" s="246" t="s">
        <v>700</v>
      </c>
      <c r="D3" s="246" t="s">
        <v>1468</v>
      </c>
      <c r="E3" s="246" t="s">
        <v>1372</v>
      </c>
      <c r="F3" s="5" t="s">
        <v>163</v>
      </c>
    </row>
    <row r="4" spans="1:10" x14ac:dyDescent="0.2">
      <c r="B4" s="178"/>
      <c r="C4" s="2">
        <v>25</v>
      </c>
      <c r="D4" s="2">
        <v>12</v>
      </c>
      <c r="E4" s="2">
        <v>99</v>
      </c>
      <c r="F4" s="247">
        <f>DATE(E4,D4,C4)</f>
        <v>36519</v>
      </c>
      <c r="G4" s="8" t="s">
        <v>1488</v>
      </c>
    </row>
    <row r="5" spans="1:10" x14ac:dyDescent="0.2">
      <c r="B5" s="178"/>
      <c r="C5" s="2">
        <v>25</v>
      </c>
      <c r="D5" s="2">
        <v>12</v>
      </c>
      <c r="E5" s="2">
        <v>99</v>
      </c>
      <c r="F5" s="248">
        <f>DATE(E5,D5,C5)</f>
        <v>36519</v>
      </c>
      <c r="G5" s="8" t="s">
        <v>1489</v>
      </c>
    </row>
    <row r="6" spans="1:10" x14ac:dyDescent="0.2">
      <c r="B6" s="178"/>
      <c r="C6" s="2">
        <v>33</v>
      </c>
      <c r="D6" s="2">
        <v>12</v>
      </c>
      <c r="E6" s="2">
        <v>99</v>
      </c>
      <c r="F6" s="249">
        <f>DATE(E6,D6,C6)</f>
        <v>36527</v>
      </c>
      <c r="G6" s="8" t="s">
        <v>1490</v>
      </c>
    </row>
    <row r="7" spans="1:10" x14ac:dyDescent="0.2">
      <c r="B7"/>
    </row>
    <row r="8" spans="1:10" ht="13.5" thickBot="1" x14ac:dyDescent="0.25">
      <c r="B8" s="9" t="s">
        <v>64</v>
      </c>
      <c r="C8" s="104"/>
      <c r="D8" s="104"/>
      <c r="E8" s="104"/>
      <c r="F8" s="9"/>
      <c r="G8" s="9"/>
      <c r="H8" s="9"/>
      <c r="I8" s="9"/>
      <c r="J8" s="9"/>
    </row>
    <row r="9" spans="1:10" s="250" customFormat="1" x14ac:dyDescent="0.2">
      <c r="B9" s="250" t="s">
        <v>1491</v>
      </c>
      <c r="C9" s="4"/>
      <c r="D9" s="4"/>
      <c r="E9" s="4"/>
    </row>
    <row r="10" spans="1:10" s="250" customFormat="1" x14ac:dyDescent="0.2">
      <c r="C10" s="4"/>
      <c r="D10" s="4"/>
      <c r="E10" s="4"/>
    </row>
    <row r="11" spans="1:10" s="250" customFormat="1" ht="13.5" thickBot="1" x14ac:dyDescent="0.25">
      <c r="B11" s="9" t="s">
        <v>43</v>
      </c>
      <c r="C11" s="104"/>
      <c r="D11" s="104"/>
      <c r="E11" s="104"/>
      <c r="F11" s="9"/>
      <c r="G11" s="9"/>
      <c r="H11" s="9"/>
      <c r="I11" s="251"/>
      <c r="J11" s="251"/>
    </row>
    <row r="12" spans="1:10" s="250" customFormat="1" x14ac:dyDescent="0.2">
      <c r="B12" t="s">
        <v>1492</v>
      </c>
      <c r="C12" s="4"/>
      <c r="D12" s="4"/>
      <c r="E12" s="4"/>
      <c r="F12"/>
      <c r="G12"/>
      <c r="H12"/>
    </row>
    <row r="13" spans="1:10" s="250" customFormat="1" x14ac:dyDescent="0.2">
      <c r="C13" s="4"/>
      <c r="D13" s="4"/>
      <c r="E13" s="4"/>
    </row>
    <row r="14" spans="1:10" s="250" customFormat="1" ht="13.5" thickBot="1" x14ac:dyDescent="0.25">
      <c r="B14" s="9" t="s">
        <v>45</v>
      </c>
      <c r="C14" s="104"/>
      <c r="D14" s="104"/>
      <c r="E14" s="104"/>
      <c r="F14" s="9"/>
      <c r="G14" s="9"/>
      <c r="H14" s="9"/>
      <c r="I14" s="251"/>
      <c r="J14" s="251"/>
    </row>
    <row r="15" spans="1:10" x14ac:dyDescent="0.2">
      <c r="B15" t="s">
        <v>1493</v>
      </c>
    </row>
    <row r="16" spans="1:10" x14ac:dyDescent="0.2">
      <c r="B16" t="s">
        <v>1494</v>
      </c>
    </row>
    <row r="17" spans="5:6" x14ac:dyDescent="0.2">
      <c r="E17" s="252"/>
      <c r="F17" s="253"/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1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7345" r:id="rId4" name="Button 1">
              <controlPr defaultSize="0" print="0" autoFill="0" autoLine="0" autoPict="0">
                <anchor>
                  <from>
                    <xdr:col>7</xdr:col>
                    <xdr:colOff>323850</xdr:colOff>
                    <xdr:row>0</xdr:row>
                    <xdr:rowOff>38100</xdr:rowOff>
                  </from>
                  <to>
                    <xdr:col>8</xdr:col>
                    <xdr:colOff>190500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46" r:id="rId5" name="Button 2">
              <controlPr defaultSize="0" print="0" autoFill="0" autoLine="0" autoPict="0">
                <anchor>
                  <from>
                    <xdr:col>8</xdr:col>
                    <xdr:colOff>257175</xdr:colOff>
                    <xdr:row>0</xdr:row>
                    <xdr:rowOff>38100</xdr:rowOff>
                  </from>
                  <to>
                    <xdr:col>8</xdr:col>
                    <xdr:colOff>457200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47" r:id="rId6" name="Button 3">
              <controlPr defaultSize="0" print="0" autoFill="0" autoLine="0" autoPict="0">
                <anchor>
                  <from>
                    <xdr:col>7</xdr:col>
                    <xdr:colOff>47625</xdr:colOff>
                    <xdr:row>0</xdr:row>
                    <xdr:rowOff>38100</xdr:rowOff>
                  </from>
                  <to>
                    <xdr:col>7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93">
    <pageSetUpPr fitToPage="1"/>
  </sheetPr>
  <dimension ref="A1:H42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1.5703125" customWidth="1"/>
    <col min="4" max="4" width="13.5703125" customWidth="1"/>
    <col min="5" max="5" width="11.85546875" customWidth="1"/>
    <col min="6" max="6" width="11.7109375" customWidth="1"/>
    <col min="7" max="7" width="10.42578125" customWidth="1"/>
  </cols>
  <sheetData>
    <row r="1" spans="1:8" ht="18.75" thickBot="1" x14ac:dyDescent="0.3">
      <c r="A1" s="1" t="s">
        <v>1495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C3" s="5" t="s">
        <v>1496</v>
      </c>
      <c r="D3" s="5" t="s">
        <v>1497</v>
      </c>
      <c r="E3" s="5" t="s">
        <v>1498</v>
      </c>
      <c r="F3" s="5" t="s">
        <v>917</v>
      </c>
    </row>
    <row r="4" spans="1:8" x14ac:dyDescent="0.2">
      <c r="C4" s="16">
        <v>21916</v>
      </c>
      <c r="D4" s="16">
        <v>25698</v>
      </c>
      <c r="E4" s="143" t="s">
        <v>1499</v>
      </c>
      <c r="F4" s="3">
        <f>DATEDIF(C4,D4,"d")</f>
        <v>3782</v>
      </c>
      <c r="G4" s="8" t="s">
        <v>1500</v>
      </c>
    </row>
    <row r="5" spans="1:8" x14ac:dyDescent="0.2">
      <c r="C5" s="16">
        <v>21916</v>
      </c>
      <c r="D5" s="16">
        <v>25698</v>
      </c>
      <c r="E5" s="143" t="s">
        <v>1501</v>
      </c>
      <c r="F5" s="3">
        <f>DATEDIF(C5,D5,"m")</f>
        <v>124</v>
      </c>
      <c r="G5" s="8" t="s">
        <v>1502</v>
      </c>
    </row>
    <row r="6" spans="1:8" x14ac:dyDescent="0.2">
      <c r="C6" s="16">
        <v>21916</v>
      </c>
      <c r="D6" s="16">
        <v>25698</v>
      </c>
      <c r="E6" s="143" t="s">
        <v>1503</v>
      </c>
      <c r="F6" s="3">
        <f>DATEDIF(C6,D6,"y")</f>
        <v>10</v>
      </c>
      <c r="G6" s="8" t="s">
        <v>1504</v>
      </c>
    </row>
    <row r="7" spans="1:8" x14ac:dyDescent="0.2">
      <c r="C7" s="16">
        <v>21916</v>
      </c>
      <c r="D7" s="16">
        <v>25698</v>
      </c>
      <c r="E7" s="143" t="s">
        <v>1505</v>
      </c>
      <c r="F7" s="3">
        <f>DATEDIF(C7,D7,"yd")</f>
        <v>130</v>
      </c>
      <c r="G7" s="8" t="s">
        <v>1506</v>
      </c>
    </row>
    <row r="8" spans="1:8" x14ac:dyDescent="0.2">
      <c r="C8" s="16">
        <v>21916</v>
      </c>
      <c r="D8" s="16">
        <v>25698</v>
      </c>
      <c r="E8" s="143" t="s">
        <v>1507</v>
      </c>
      <c r="F8" s="3">
        <f>DATEDIF(C8,D8,"ym")</f>
        <v>4</v>
      </c>
      <c r="G8" s="8" t="s">
        <v>1508</v>
      </c>
    </row>
    <row r="9" spans="1:8" x14ac:dyDescent="0.2">
      <c r="C9" s="16">
        <v>21916</v>
      </c>
      <c r="D9" s="16">
        <v>25698</v>
      </c>
      <c r="E9" s="143" t="s">
        <v>1509</v>
      </c>
      <c r="F9" s="3">
        <f>DATEDIF(C9,D9,"md")</f>
        <v>9</v>
      </c>
      <c r="G9" s="8" t="s">
        <v>1510</v>
      </c>
    </row>
    <row r="11" spans="1:8" ht="13.5" thickBot="1" x14ac:dyDescent="0.25">
      <c r="B11" s="254" t="s">
        <v>64</v>
      </c>
      <c r="C11" s="146"/>
      <c r="D11" s="146"/>
      <c r="E11" s="146"/>
      <c r="F11" s="146"/>
      <c r="G11" s="146"/>
      <c r="H11" s="146"/>
    </row>
    <row r="12" spans="1:8" x14ac:dyDescent="0.2">
      <c r="B12" s="250" t="s">
        <v>1511</v>
      </c>
    </row>
    <row r="13" spans="1:8" x14ac:dyDescent="0.2">
      <c r="B13" s="250" t="s">
        <v>1512</v>
      </c>
    </row>
    <row r="15" spans="1:8" ht="13.5" thickBot="1" x14ac:dyDescent="0.25">
      <c r="B15" s="254" t="s">
        <v>43</v>
      </c>
      <c r="C15" s="146"/>
      <c r="D15" s="146"/>
      <c r="E15" s="146"/>
      <c r="F15" s="146"/>
      <c r="G15" s="146"/>
      <c r="H15" s="146"/>
    </row>
    <row r="16" spans="1:8" x14ac:dyDescent="0.2">
      <c r="B16" t="s">
        <v>1513</v>
      </c>
    </row>
    <row r="17" spans="2:8" x14ac:dyDescent="0.2">
      <c r="B17" s="250" t="s">
        <v>1514</v>
      </c>
    </row>
    <row r="18" spans="2:8" x14ac:dyDescent="0.2">
      <c r="B18" t="s">
        <v>1515</v>
      </c>
    </row>
    <row r="19" spans="2:8" x14ac:dyDescent="0.2">
      <c r="B19" t="s">
        <v>1516</v>
      </c>
    </row>
    <row r="20" spans="2:8" x14ac:dyDescent="0.2">
      <c r="B20" t="s">
        <v>1517</v>
      </c>
    </row>
    <row r="21" spans="2:8" x14ac:dyDescent="0.2">
      <c r="C21" s="4" t="s">
        <v>1518</v>
      </c>
      <c r="D21" t="s">
        <v>1519</v>
      </c>
    </row>
    <row r="22" spans="2:8" x14ac:dyDescent="0.2">
      <c r="C22" s="4" t="s">
        <v>1520</v>
      </c>
      <c r="D22" t="s">
        <v>1521</v>
      </c>
    </row>
    <row r="23" spans="2:8" x14ac:dyDescent="0.2">
      <c r="C23" s="4" t="s">
        <v>1522</v>
      </c>
      <c r="D23" t="s">
        <v>1523</v>
      </c>
    </row>
    <row r="24" spans="2:8" x14ac:dyDescent="0.2">
      <c r="C24" s="4" t="s">
        <v>1524</v>
      </c>
      <c r="D24" t="s">
        <v>1525</v>
      </c>
    </row>
    <row r="25" spans="2:8" x14ac:dyDescent="0.2">
      <c r="C25" s="4" t="s">
        <v>1526</v>
      </c>
      <c r="D25" t="s">
        <v>1527</v>
      </c>
    </row>
    <row r="26" spans="2:8" x14ac:dyDescent="0.2">
      <c r="C26" s="4" t="s">
        <v>1528</v>
      </c>
      <c r="D26" t="s">
        <v>1529</v>
      </c>
    </row>
    <row r="28" spans="2:8" ht="13.5" thickBot="1" x14ac:dyDescent="0.25">
      <c r="B28" s="254" t="s">
        <v>45</v>
      </c>
      <c r="C28" s="146"/>
      <c r="D28" s="146"/>
      <c r="E28" s="146"/>
      <c r="F28" s="146"/>
      <c r="G28" s="146"/>
      <c r="H28" s="146"/>
    </row>
    <row r="29" spans="2:8" x14ac:dyDescent="0.2">
      <c r="B29" s="62" t="s">
        <v>46</v>
      </c>
      <c r="C29" s="62"/>
      <c r="D29" s="62"/>
      <c r="E29" s="62"/>
      <c r="F29" s="62"/>
      <c r="G29" s="62"/>
      <c r="H29" s="62"/>
    </row>
    <row r="34" spans="3:5" x14ac:dyDescent="0.2">
      <c r="C34" s="7" t="s">
        <v>879</v>
      </c>
      <c r="D34" s="147">
        <v>21916</v>
      </c>
    </row>
    <row r="36" spans="3:5" x14ac:dyDescent="0.2">
      <c r="C36" s="7" t="s">
        <v>880</v>
      </c>
      <c r="D36" s="69">
        <f ca="1">DATEDIF(D34,TODAY(),"y")</f>
        <v>61</v>
      </c>
      <c r="E36" s="8" t="s">
        <v>881</v>
      </c>
    </row>
    <row r="37" spans="3:5" x14ac:dyDescent="0.2">
      <c r="C37" s="7" t="s">
        <v>882</v>
      </c>
      <c r="D37" s="69">
        <f ca="1">DATEDIF(D34,TODAY(),"ym")</f>
        <v>8</v>
      </c>
      <c r="E37" s="8" t="s">
        <v>883</v>
      </c>
    </row>
    <row r="38" spans="3:5" x14ac:dyDescent="0.2">
      <c r="C38" s="7" t="s">
        <v>884</v>
      </c>
      <c r="D38" s="69">
        <f ca="1">DATEDIF(D34,TODAY(),"md")</f>
        <v>12</v>
      </c>
      <c r="E38" s="8" t="s">
        <v>885</v>
      </c>
    </row>
    <row r="40" spans="3:5" x14ac:dyDescent="0.2">
      <c r="C40" t="s">
        <v>886</v>
      </c>
    </row>
    <row r="41" spans="3:5" x14ac:dyDescent="0.2">
      <c r="C41" s="148" t="str">
        <f ca="1">"Age is "&amp;DATEDIF(D34,TODAY(),"y")&amp;" Years, "&amp;DATEDIF(D34,TODAY(),"ym")&amp;" Months and "&amp;DATEDIF(D34,TODAY(),"md")&amp;" Days"</f>
        <v>Age is 61 Years, 8 Months and 12 Days</v>
      </c>
      <c r="D41" s="145"/>
    </row>
    <row r="42" spans="3:5" ht="13.5" x14ac:dyDescent="0.25">
      <c r="C42" s="125" t="s">
        <v>887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2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69" r:id="rId4" name="Button 1">
              <controlPr defaultSize="0" print="0" autoFill="0" autoLine="0" autoPict="0">
                <anchor>
                  <from>
                    <xdr:col>7</xdr:col>
                    <xdr:colOff>0</xdr:colOff>
                    <xdr:row>0</xdr:row>
                    <xdr:rowOff>38100</xdr:rowOff>
                  </from>
                  <to>
                    <xdr:col>7</xdr:col>
                    <xdr:colOff>476250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0" r:id="rId5" name="Button 2">
              <controlPr defaultSize="0" print="0" autoFill="0" autoLine="0" autoPict="0">
                <anchor>
                  <from>
                    <xdr:col>7</xdr:col>
                    <xdr:colOff>552450</xdr:colOff>
                    <xdr:row>0</xdr:row>
                    <xdr:rowOff>38100</xdr:rowOff>
                  </from>
                  <to>
                    <xdr:col>8</xdr:col>
                    <xdr:colOff>142875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1" r:id="rId6" name="Button 3">
              <controlPr defaultSize="0" print="0" autoFill="0" autoLine="0" autoPict="0">
                <anchor>
                  <from>
                    <xdr:col>6</xdr:col>
                    <xdr:colOff>428625</xdr:colOff>
                    <xdr:row>0</xdr:row>
                    <xdr:rowOff>38100</xdr:rowOff>
                  </from>
                  <to>
                    <xdr:col>6</xdr:col>
                    <xdr:colOff>628650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30">
    <pageSetUpPr fitToPage="1"/>
  </sheetPr>
  <dimension ref="A1:G35"/>
  <sheetViews>
    <sheetView showGridLines="0" workbookViewId="0">
      <selection activeCell="F30" activeCellId="4" sqref="F16 K30 G30 P30 F30"/>
    </sheetView>
  </sheetViews>
  <sheetFormatPr defaultRowHeight="12.75" x14ac:dyDescent="0.2"/>
  <cols>
    <col min="1" max="1" width="2.7109375" customWidth="1"/>
    <col min="2" max="2" width="4.7109375" customWidth="1"/>
    <col min="3" max="3" width="17" customWidth="1"/>
    <col min="4" max="4" width="17.140625" customWidth="1"/>
    <col min="5" max="5" width="19.7109375" customWidth="1"/>
    <col min="6" max="6" width="13.140625" customWidth="1"/>
    <col min="7" max="7" width="7.28515625" customWidth="1"/>
  </cols>
  <sheetData>
    <row r="1" spans="1:7" ht="18.75" thickBot="1" x14ac:dyDescent="0.3">
      <c r="A1" s="1" t="s">
        <v>1530</v>
      </c>
      <c r="B1" s="1"/>
      <c r="C1" s="1"/>
      <c r="D1" s="1"/>
      <c r="E1" s="1"/>
      <c r="F1" s="1"/>
      <c r="G1" s="1"/>
    </row>
    <row r="2" spans="1:7" ht="13.5" thickTop="1" x14ac:dyDescent="0.2">
      <c r="B2" s="255"/>
      <c r="C2" s="255"/>
    </row>
    <row r="3" spans="1:7" x14ac:dyDescent="0.2">
      <c r="B3" s="255"/>
      <c r="C3" s="5" t="s">
        <v>163</v>
      </c>
      <c r="D3" s="5" t="s">
        <v>1531</v>
      </c>
    </row>
    <row r="4" spans="1:7" x14ac:dyDescent="0.2">
      <c r="C4" s="256" t="s">
        <v>1532</v>
      </c>
      <c r="D4" s="3">
        <f>DATEVALUE(C4)</f>
        <v>36519</v>
      </c>
      <c r="E4" s="8" t="s">
        <v>1533</v>
      </c>
    </row>
    <row r="5" spans="1:7" x14ac:dyDescent="0.2">
      <c r="C5" s="256" t="s">
        <v>1534</v>
      </c>
      <c r="D5" s="3">
        <f>DATEVALUE(C5)</f>
        <v>36519</v>
      </c>
      <c r="E5" s="8" t="s">
        <v>1535</v>
      </c>
    </row>
    <row r="6" spans="1:7" x14ac:dyDescent="0.2">
      <c r="C6" s="256" t="s">
        <v>1532</v>
      </c>
      <c r="D6" s="3">
        <f>DATEVALUE(C6)</f>
        <v>36519</v>
      </c>
      <c r="E6" s="8" t="s">
        <v>1536</v>
      </c>
    </row>
    <row r="7" spans="1:7" x14ac:dyDescent="0.2">
      <c r="C7" s="256" t="s">
        <v>1534</v>
      </c>
      <c r="D7" s="3">
        <f>DATEVALUE(C7)</f>
        <v>36519</v>
      </c>
      <c r="E7" s="8" t="s">
        <v>1537</v>
      </c>
    </row>
    <row r="9" spans="1:7" ht="13.5" thickBot="1" x14ac:dyDescent="0.25">
      <c r="B9" s="9" t="s">
        <v>64</v>
      </c>
      <c r="C9" s="9"/>
      <c r="D9" s="9"/>
      <c r="E9" s="9"/>
      <c r="F9" s="9"/>
      <c r="G9" s="9"/>
    </row>
    <row r="10" spans="1:7" x14ac:dyDescent="0.2">
      <c r="B10" t="s">
        <v>1538</v>
      </c>
    </row>
    <row r="11" spans="1:7" x14ac:dyDescent="0.2">
      <c r="B11" t="s">
        <v>1539</v>
      </c>
    </row>
    <row r="12" spans="1:7" x14ac:dyDescent="0.2">
      <c r="B12" t="s">
        <v>1540</v>
      </c>
    </row>
    <row r="14" spans="1:7" ht="13.5" thickBot="1" x14ac:dyDescent="0.25">
      <c r="B14" s="9" t="s">
        <v>43</v>
      </c>
      <c r="C14" s="9"/>
      <c r="D14" s="9"/>
      <c r="E14" s="9"/>
      <c r="F14" s="9"/>
      <c r="G14" s="9"/>
    </row>
    <row r="15" spans="1:7" x14ac:dyDescent="0.2">
      <c r="B15" t="s">
        <v>1541</v>
      </c>
    </row>
    <row r="17" spans="2:7" ht="13.5" thickBot="1" x14ac:dyDescent="0.25">
      <c r="B17" s="9" t="s">
        <v>45</v>
      </c>
      <c r="C17" s="9"/>
      <c r="D17" s="9"/>
      <c r="E17" s="9"/>
      <c r="F17" s="9"/>
      <c r="G17" s="9"/>
    </row>
    <row r="18" spans="2:7" x14ac:dyDescent="0.2">
      <c r="B18" t="s">
        <v>1542</v>
      </c>
    </row>
    <row r="19" spans="2:7" x14ac:dyDescent="0.2">
      <c r="B19" t="s">
        <v>1543</v>
      </c>
    </row>
    <row r="21" spans="2:7" ht="13.5" thickBot="1" x14ac:dyDescent="0.25">
      <c r="B21" s="9" t="s">
        <v>85</v>
      </c>
      <c r="C21" s="9"/>
      <c r="D21" s="9"/>
      <c r="E21" s="9"/>
      <c r="F21" s="9"/>
      <c r="G21" s="9"/>
    </row>
    <row r="22" spans="2:7" x14ac:dyDescent="0.2">
      <c r="B22" t="s">
        <v>1544</v>
      </c>
    </row>
    <row r="23" spans="2:7" x14ac:dyDescent="0.2">
      <c r="B23" t="s">
        <v>1545</v>
      </c>
    </row>
    <row r="25" spans="2:7" x14ac:dyDescent="0.2">
      <c r="B25" t="s">
        <v>1546</v>
      </c>
    </row>
    <row r="26" spans="2:7" x14ac:dyDescent="0.2">
      <c r="B26" t="s">
        <v>1547</v>
      </c>
    </row>
    <row r="28" spans="2:7" ht="25.5" x14ac:dyDescent="0.2">
      <c r="D28" s="5" t="s">
        <v>1548</v>
      </c>
      <c r="E28" s="21" t="s">
        <v>1549</v>
      </c>
      <c r="F28" s="21" t="s">
        <v>1550</v>
      </c>
    </row>
    <row r="29" spans="2:7" x14ac:dyDescent="0.2">
      <c r="D29" s="143" t="s">
        <v>1551</v>
      </c>
      <c r="E29" s="256" t="s">
        <v>1532</v>
      </c>
      <c r="F29" s="3">
        <f ca="1">DATEVALUE(E29)-TODAY()</f>
        <v>-7933</v>
      </c>
    </row>
    <row r="30" spans="2:7" x14ac:dyDescent="0.2">
      <c r="D30" s="143" t="s">
        <v>1552</v>
      </c>
      <c r="E30" s="256" t="s">
        <v>1553</v>
      </c>
      <c r="F30" s="3">
        <f ca="1">DATEVALUE(E30)-TODAY()</f>
        <v>-8101</v>
      </c>
    </row>
    <row r="31" spans="2:7" x14ac:dyDescent="0.2">
      <c r="D31" s="143" t="s">
        <v>1554</v>
      </c>
      <c r="E31" s="256" t="s">
        <v>1555</v>
      </c>
      <c r="F31" s="3">
        <f ca="1">DATEVALUE(E31)-TODAY()</f>
        <v>-8401</v>
      </c>
    </row>
    <row r="32" spans="2:7" x14ac:dyDescent="0.2">
      <c r="D32" s="143" t="s">
        <v>1556</v>
      </c>
      <c r="E32" s="256" t="s">
        <v>1557</v>
      </c>
      <c r="F32" s="3">
        <f ca="1">DATEVALUE(E32)-TODAY()</f>
        <v>-8507</v>
      </c>
    </row>
    <row r="33" spans="5:6" x14ac:dyDescent="0.2">
      <c r="F33" s="32" t="s">
        <v>1558</v>
      </c>
    </row>
    <row r="35" spans="5:6" x14ac:dyDescent="0.2">
      <c r="E35" s="27">
        <v>36519</v>
      </c>
      <c r="F35" s="3" t="e">
        <f ca="1">DATEVALUE(E35)-TODAY()</f>
        <v>#VALUE!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9393" r:id="rId4" name="Button 1">
              <controlPr defaultSize="0" print="0" autoFill="0" autoLine="0" autoPict="0">
                <anchor>
                  <from>
                    <xdr:col>5</xdr:col>
                    <xdr:colOff>638175</xdr:colOff>
                    <xdr:row>0</xdr:row>
                    <xdr:rowOff>38100</xdr:rowOff>
                  </from>
                  <to>
                    <xdr:col>6</xdr:col>
                    <xdr:colOff>228600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4" r:id="rId5" name="Button 2">
              <controlPr defaultSize="0" print="0" autoFill="0" autoLine="0" autoPict="0">
                <anchor>
                  <from>
                    <xdr:col>6</xdr:col>
                    <xdr:colOff>295275</xdr:colOff>
                    <xdr:row>0</xdr:row>
                    <xdr:rowOff>38100</xdr:rowOff>
                  </from>
                  <to>
                    <xdr:col>7</xdr:col>
                    <xdr:colOff>9525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5" r:id="rId6" name="Button 3">
              <controlPr defaultSize="0" print="0" autoFill="0" autoLine="0" autoPict="0">
                <anchor>
                  <from>
                    <xdr:col>5</xdr:col>
                    <xdr:colOff>371475</xdr:colOff>
                    <xdr:row>0</xdr:row>
                    <xdr:rowOff>38100</xdr:rowOff>
                  </from>
                  <to>
                    <xdr:col>5</xdr:col>
                    <xdr:colOff>571500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31">
    <pageSetUpPr fitToPage="1"/>
  </sheetPr>
  <dimension ref="A1:J70"/>
  <sheetViews>
    <sheetView showGridLines="0" workbookViewId="0">
      <pane ySplit="1" topLeftCell="A53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10" max="10" width="8.42578125" customWidth="1"/>
  </cols>
  <sheetData>
    <row r="1" spans="1:10" ht="18.75" thickBot="1" x14ac:dyDescent="0.3">
      <c r="A1" s="1" t="s">
        <v>1559</v>
      </c>
      <c r="B1" s="1"/>
      <c r="C1" s="1"/>
      <c r="D1" s="1"/>
      <c r="E1" s="1"/>
      <c r="F1" s="1"/>
      <c r="G1" s="1"/>
      <c r="H1" s="1"/>
      <c r="I1" s="1"/>
      <c r="J1" s="1"/>
    </row>
    <row r="2" spans="1:10" ht="14.25" thickTop="1" thickBot="1" x14ac:dyDescent="0.25">
      <c r="I2" s="257" t="s">
        <v>1560</v>
      </c>
    </row>
    <row r="3" spans="1:10" ht="26.25" thickTop="1" x14ac:dyDescent="0.2">
      <c r="B3" s="258" t="s">
        <v>1561</v>
      </c>
      <c r="C3" s="259" t="s">
        <v>1562</v>
      </c>
      <c r="D3" s="259" t="s">
        <v>1563</v>
      </c>
      <c r="E3" s="259" t="s">
        <v>1564</v>
      </c>
      <c r="F3" s="259" t="s">
        <v>351</v>
      </c>
      <c r="G3" s="259" t="s">
        <v>1565</v>
      </c>
      <c r="H3" s="259" t="s">
        <v>1566</v>
      </c>
      <c r="I3" s="260" t="s">
        <v>1567</v>
      </c>
    </row>
    <row r="4" spans="1:10" x14ac:dyDescent="0.2">
      <c r="B4" s="261" t="s">
        <v>1568</v>
      </c>
      <c r="C4" s="2">
        <v>200</v>
      </c>
      <c r="D4" s="2">
        <v>3000</v>
      </c>
      <c r="E4" s="2" t="s">
        <v>1569</v>
      </c>
      <c r="F4" s="175">
        <v>4.5</v>
      </c>
      <c r="G4" s="2">
        <v>4</v>
      </c>
      <c r="H4" s="2">
        <v>3</v>
      </c>
      <c r="I4" s="262">
        <f t="shared" ref="I4:I19" si="0">F4*G4*H4</f>
        <v>54</v>
      </c>
    </row>
    <row r="5" spans="1:10" x14ac:dyDescent="0.2">
      <c r="B5" s="261" t="s">
        <v>1570</v>
      </c>
      <c r="C5" s="2">
        <v>100</v>
      </c>
      <c r="D5" s="2">
        <v>2000</v>
      </c>
      <c r="E5" s="2" t="s">
        <v>1569</v>
      </c>
      <c r="F5" s="175">
        <v>2</v>
      </c>
      <c r="G5" s="2">
        <v>15</v>
      </c>
      <c r="H5" s="2">
        <v>2</v>
      </c>
      <c r="I5" s="262">
        <f t="shared" si="0"/>
        <v>60</v>
      </c>
    </row>
    <row r="6" spans="1:10" x14ac:dyDescent="0.2">
      <c r="B6" s="261" t="s">
        <v>1571</v>
      </c>
      <c r="C6" s="2">
        <v>60</v>
      </c>
      <c r="D6" s="2"/>
      <c r="E6" s="2"/>
      <c r="F6" s="175"/>
      <c r="G6" s="2"/>
      <c r="H6" s="2"/>
      <c r="I6" s="262">
        <f t="shared" si="0"/>
        <v>0</v>
      </c>
    </row>
    <row r="7" spans="1:10" x14ac:dyDescent="0.2">
      <c r="B7" s="261" t="s">
        <v>1572</v>
      </c>
      <c r="C7" s="2">
        <v>10</v>
      </c>
      <c r="D7" s="2">
        <v>8000</v>
      </c>
      <c r="E7" s="2" t="s">
        <v>1573</v>
      </c>
      <c r="F7" s="175">
        <v>0.8</v>
      </c>
      <c r="G7" s="2">
        <v>25</v>
      </c>
      <c r="H7" s="2">
        <v>6</v>
      </c>
      <c r="I7" s="262">
        <f t="shared" si="0"/>
        <v>120</v>
      </c>
    </row>
    <row r="8" spans="1:10" x14ac:dyDescent="0.2">
      <c r="B8" s="261" t="s">
        <v>1568</v>
      </c>
      <c r="C8" s="2">
        <v>80</v>
      </c>
      <c r="D8" s="2">
        <v>1000</v>
      </c>
      <c r="E8" s="2" t="s">
        <v>1569</v>
      </c>
      <c r="F8" s="175">
        <v>0.2</v>
      </c>
      <c r="G8" s="2">
        <v>40</v>
      </c>
      <c r="H8" s="2">
        <v>3</v>
      </c>
      <c r="I8" s="262">
        <f t="shared" si="0"/>
        <v>24</v>
      </c>
    </row>
    <row r="9" spans="1:10" x14ac:dyDescent="0.2">
      <c r="B9" s="261" t="s">
        <v>1571</v>
      </c>
      <c r="C9" s="2">
        <v>100</v>
      </c>
      <c r="D9" s="2" t="s">
        <v>1574</v>
      </c>
      <c r="E9" s="2" t="s">
        <v>1569</v>
      </c>
      <c r="F9" s="175">
        <v>1.25</v>
      </c>
      <c r="G9" s="2">
        <v>10</v>
      </c>
      <c r="H9" s="2">
        <v>4</v>
      </c>
      <c r="I9" s="262">
        <f t="shared" si="0"/>
        <v>50</v>
      </c>
    </row>
    <row r="10" spans="1:10" x14ac:dyDescent="0.2">
      <c r="B10" s="261" t="s">
        <v>1571</v>
      </c>
      <c r="C10" s="2">
        <v>200</v>
      </c>
      <c r="D10" s="2">
        <v>3000</v>
      </c>
      <c r="E10" s="2" t="s">
        <v>1569</v>
      </c>
      <c r="F10" s="175">
        <v>2.5</v>
      </c>
      <c r="G10" s="2">
        <v>15</v>
      </c>
      <c r="H10" s="2">
        <v>0</v>
      </c>
      <c r="I10" s="262">
        <f t="shared" si="0"/>
        <v>0</v>
      </c>
    </row>
    <row r="11" spans="1:10" x14ac:dyDescent="0.2">
      <c r="B11" s="261" t="s">
        <v>1572</v>
      </c>
      <c r="C11" s="2">
        <v>25</v>
      </c>
      <c r="D11" s="2" t="s">
        <v>1574</v>
      </c>
      <c r="E11" s="2" t="s">
        <v>1573</v>
      </c>
      <c r="F11" s="175">
        <v>0.5</v>
      </c>
      <c r="G11" s="2">
        <v>10</v>
      </c>
      <c r="H11" s="2">
        <v>3</v>
      </c>
      <c r="I11" s="262">
        <f t="shared" si="0"/>
        <v>15</v>
      </c>
    </row>
    <row r="12" spans="1:10" x14ac:dyDescent="0.2">
      <c r="B12" s="261" t="s">
        <v>1568</v>
      </c>
      <c r="C12" s="2">
        <v>200</v>
      </c>
      <c r="D12" s="2">
        <v>3000</v>
      </c>
      <c r="E12" s="2" t="s">
        <v>1573</v>
      </c>
      <c r="F12" s="175">
        <v>5</v>
      </c>
      <c r="G12" s="2">
        <v>3</v>
      </c>
      <c r="H12" s="2">
        <v>2</v>
      </c>
      <c r="I12" s="262">
        <f t="shared" si="0"/>
        <v>30</v>
      </c>
    </row>
    <row r="13" spans="1:10" x14ac:dyDescent="0.2">
      <c r="B13" s="261" t="s">
        <v>1570</v>
      </c>
      <c r="C13" s="2">
        <v>100</v>
      </c>
      <c r="D13" s="2">
        <v>2000</v>
      </c>
      <c r="E13" s="2" t="s">
        <v>1573</v>
      </c>
      <c r="F13" s="175">
        <v>1.8</v>
      </c>
      <c r="G13" s="2">
        <v>20</v>
      </c>
      <c r="H13" s="2">
        <v>5</v>
      </c>
      <c r="I13" s="262">
        <f t="shared" si="0"/>
        <v>180</v>
      </c>
    </row>
    <row r="14" spans="1:10" x14ac:dyDescent="0.2">
      <c r="B14" s="261" t="s">
        <v>1568</v>
      </c>
      <c r="C14" s="2">
        <v>100</v>
      </c>
      <c r="D14" s="2" t="s">
        <v>1574</v>
      </c>
      <c r="E14" s="2" t="s">
        <v>1573</v>
      </c>
      <c r="F14" s="175">
        <v>0.25</v>
      </c>
      <c r="G14" s="2">
        <v>10</v>
      </c>
      <c r="H14" s="2">
        <v>5</v>
      </c>
      <c r="I14" s="262">
        <f t="shared" si="0"/>
        <v>12.5</v>
      </c>
    </row>
    <row r="15" spans="1:10" x14ac:dyDescent="0.2">
      <c r="B15" s="261" t="s">
        <v>1568</v>
      </c>
      <c r="C15" s="2">
        <v>10</v>
      </c>
      <c r="D15" s="2">
        <v>800</v>
      </c>
      <c r="E15" s="2" t="s">
        <v>1569</v>
      </c>
      <c r="F15" s="175">
        <v>0.2</v>
      </c>
      <c r="G15" s="2">
        <v>25</v>
      </c>
      <c r="H15" s="2">
        <v>2</v>
      </c>
      <c r="I15" s="262">
        <f t="shared" si="0"/>
        <v>10</v>
      </c>
    </row>
    <row r="16" spans="1:10" x14ac:dyDescent="0.2">
      <c r="B16" s="261" t="s">
        <v>1568</v>
      </c>
      <c r="C16" s="2">
        <v>60</v>
      </c>
      <c r="D16" s="2">
        <v>1000</v>
      </c>
      <c r="E16" s="2" t="s">
        <v>1573</v>
      </c>
      <c r="F16" s="175">
        <v>0.15</v>
      </c>
      <c r="G16" s="2">
        <v>25</v>
      </c>
      <c r="H16" s="2">
        <v>0</v>
      </c>
      <c r="I16" s="262">
        <f t="shared" si="0"/>
        <v>0</v>
      </c>
    </row>
    <row r="17" spans="2:10" x14ac:dyDescent="0.2">
      <c r="B17" s="261" t="s">
        <v>1568</v>
      </c>
      <c r="C17" s="2">
        <v>80</v>
      </c>
      <c r="D17" s="2">
        <v>1000</v>
      </c>
      <c r="E17" s="2" t="s">
        <v>1573</v>
      </c>
      <c r="F17" s="175">
        <v>0.2</v>
      </c>
      <c r="G17" s="2">
        <v>30</v>
      </c>
      <c r="H17" s="2">
        <v>2</v>
      </c>
      <c r="I17" s="262">
        <f t="shared" si="0"/>
        <v>12</v>
      </c>
    </row>
    <row r="18" spans="2:10" x14ac:dyDescent="0.2">
      <c r="B18" s="261" t="s">
        <v>1568</v>
      </c>
      <c r="C18" s="2">
        <v>100</v>
      </c>
      <c r="D18" s="2">
        <v>2000</v>
      </c>
      <c r="E18" s="2" t="s">
        <v>1569</v>
      </c>
      <c r="F18" s="175">
        <v>0.8</v>
      </c>
      <c r="G18" s="2">
        <v>10</v>
      </c>
      <c r="H18" s="2">
        <v>5</v>
      </c>
      <c r="I18" s="262">
        <f t="shared" si="0"/>
        <v>40</v>
      </c>
    </row>
    <row r="19" spans="2:10" ht="13.5" thickBot="1" x14ac:dyDescent="0.25">
      <c r="B19" s="263" t="s">
        <v>1568</v>
      </c>
      <c r="C19" s="79">
        <v>40</v>
      </c>
      <c r="D19" s="79">
        <v>1000</v>
      </c>
      <c r="E19" s="79" t="s">
        <v>1569</v>
      </c>
      <c r="F19" s="264">
        <v>0.1</v>
      </c>
      <c r="G19" s="79">
        <v>20</v>
      </c>
      <c r="H19" s="79">
        <v>5</v>
      </c>
      <c r="I19" s="262">
        <f t="shared" si="0"/>
        <v>10</v>
      </c>
    </row>
    <row r="20" spans="2:10" ht="13.5" thickTop="1" x14ac:dyDescent="0.2"/>
    <row r="21" spans="2:10" x14ac:dyDescent="0.2">
      <c r="B21" t="s">
        <v>1575</v>
      </c>
    </row>
    <row r="22" spans="2:10" ht="13.5" thickBot="1" x14ac:dyDescent="0.25"/>
    <row r="23" spans="2:10" ht="13.5" thickTop="1" x14ac:dyDescent="0.2">
      <c r="E23" s="265" t="s">
        <v>1564</v>
      </c>
      <c r="F23" s="266" t="s">
        <v>1576</v>
      </c>
    </row>
    <row r="24" spans="2:10" ht="13.5" thickBot="1" x14ac:dyDescent="0.25">
      <c r="D24" s="178" t="s">
        <v>1577</v>
      </c>
      <c r="E24" s="267" t="s">
        <v>1578</v>
      </c>
    </row>
    <row r="25" spans="2:10" ht="13.5" thickTop="1" x14ac:dyDescent="0.2"/>
    <row r="26" spans="2:10" x14ac:dyDescent="0.2">
      <c r="B26" s="62"/>
      <c r="C26" s="62"/>
      <c r="D26" s="268" t="str">
        <f>"The Average cost of "&amp;E24&amp;" is : "</f>
        <v xml:space="preserve">The Average cost of sunbeam is : </v>
      </c>
      <c r="E26" s="269">
        <f>DAVERAGE(B3:I19,F3,E23:E24)</f>
        <v>1.2428571428571427</v>
      </c>
      <c r="F26" s="8" t="s">
        <v>1579</v>
      </c>
    </row>
    <row r="28" spans="2:10" ht="13.5" thickBot="1" x14ac:dyDescent="0.25">
      <c r="B28" s="9" t="s">
        <v>39</v>
      </c>
      <c r="C28" s="9"/>
      <c r="D28" s="9"/>
      <c r="E28" s="9"/>
      <c r="F28" s="9"/>
      <c r="G28" s="9"/>
      <c r="H28" s="9"/>
      <c r="I28" s="9"/>
      <c r="J28" s="9"/>
    </row>
    <row r="29" spans="2:10" x14ac:dyDescent="0.2">
      <c r="B29" t="s">
        <v>1580</v>
      </c>
    </row>
    <row r="31" spans="2:10" ht="13.5" thickBot="1" x14ac:dyDescent="0.25">
      <c r="B31" s="9" t="s">
        <v>43</v>
      </c>
      <c r="C31" s="9"/>
      <c r="D31" s="9"/>
      <c r="E31" s="9"/>
      <c r="F31" s="9"/>
      <c r="G31" s="9"/>
      <c r="H31" s="9"/>
      <c r="I31" s="9"/>
      <c r="J31" s="9"/>
    </row>
    <row r="32" spans="2:10" x14ac:dyDescent="0.2">
      <c r="B32" s="10" t="s">
        <v>1581</v>
      </c>
    </row>
    <row r="33" spans="2:10" ht="18" customHeight="1" x14ac:dyDescent="0.2">
      <c r="B33" t="s">
        <v>1582</v>
      </c>
    </row>
    <row r="34" spans="2:10" x14ac:dyDescent="0.2">
      <c r="B34" t="s">
        <v>1583</v>
      </c>
    </row>
    <row r="35" spans="2:10" ht="18" customHeight="1" x14ac:dyDescent="0.2">
      <c r="B35" t="s">
        <v>1584</v>
      </c>
    </row>
    <row r="36" spans="2:10" ht="18" customHeight="1" x14ac:dyDescent="0.2">
      <c r="B36" t="s">
        <v>1585</v>
      </c>
    </row>
    <row r="37" spans="2:10" x14ac:dyDescent="0.2">
      <c r="B37" t="s">
        <v>1586</v>
      </c>
    </row>
    <row r="38" spans="2:10" x14ac:dyDescent="0.2">
      <c r="B38" t="s">
        <v>1587</v>
      </c>
    </row>
    <row r="39" spans="2:10" ht="18" customHeight="1" x14ac:dyDescent="0.2">
      <c r="B39" t="s">
        <v>1588</v>
      </c>
    </row>
    <row r="40" spans="2:10" x14ac:dyDescent="0.2">
      <c r="B40" t="s">
        <v>1589</v>
      </c>
    </row>
    <row r="42" spans="2:10" ht="13.5" thickBot="1" x14ac:dyDescent="0.25">
      <c r="B42" s="9" t="s">
        <v>45</v>
      </c>
      <c r="C42" s="9"/>
      <c r="D42" s="9"/>
      <c r="E42" s="9"/>
      <c r="F42" s="9"/>
      <c r="G42" s="9"/>
      <c r="H42" s="9"/>
      <c r="I42" s="9"/>
      <c r="J42" s="9"/>
    </row>
    <row r="43" spans="2:10" x14ac:dyDescent="0.2">
      <c r="B43" t="s">
        <v>46</v>
      </c>
    </row>
    <row r="45" spans="2:10" ht="13.5" thickBot="1" x14ac:dyDescent="0.25">
      <c r="B45" s="9" t="s">
        <v>1590</v>
      </c>
      <c r="C45" s="9"/>
      <c r="D45" s="9"/>
      <c r="E45" s="9"/>
      <c r="F45" s="9"/>
      <c r="G45" s="9"/>
      <c r="H45" s="9"/>
      <c r="I45" s="9"/>
      <c r="J45" s="9"/>
    </row>
    <row r="47" spans="2:10" x14ac:dyDescent="0.2">
      <c r="B47" s="270" t="s">
        <v>1591</v>
      </c>
    </row>
    <row r="48" spans="2:10" ht="13.5" thickBot="1" x14ac:dyDescent="0.25"/>
    <row r="49" spans="2:10" ht="13.5" thickTop="1" x14ac:dyDescent="0.2">
      <c r="E49" s="271" t="s">
        <v>1561</v>
      </c>
      <c r="F49" s="272" t="s">
        <v>1564</v>
      </c>
    </row>
    <row r="50" spans="2:10" ht="13.5" thickBot="1" x14ac:dyDescent="0.25">
      <c r="E50" s="48" t="s">
        <v>1568</v>
      </c>
      <c r="F50" s="50" t="s">
        <v>1569</v>
      </c>
    </row>
    <row r="51" spans="2:10" ht="13.5" thickTop="1" x14ac:dyDescent="0.2"/>
    <row r="52" spans="2:10" x14ac:dyDescent="0.2">
      <c r="D52" s="178" t="str">
        <f>"The average of "&amp;F50&amp;" "&amp;E50&amp;" is : "</f>
        <v xml:space="preserve">The average of Horizon Bulb is : </v>
      </c>
      <c r="E52" s="269">
        <f>DAVERAGE(B3:I19,F3,E49:F50)</f>
        <v>1.1599999999999999</v>
      </c>
      <c r="F52" s="8" t="s">
        <v>1592</v>
      </c>
    </row>
    <row r="54" spans="2:10" x14ac:dyDescent="0.2">
      <c r="B54" t="s">
        <v>1593</v>
      </c>
    </row>
    <row r="56" spans="2:10" x14ac:dyDescent="0.2">
      <c r="E56" s="269">
        <f>DAVERAGE(B3:I19,"Unit Cost",E49:F50)</f>
        <v>1.1599999999999999</v>
      </c>
      <c r="F56" s="8" t="s">
        <v>1594</v>
      </c>
    </row>
    <row r="58" spans="2:10" ht="18" customHeight="1" x14ac:dyDescent="0.2">
      <c r="B58" s="273" t="s">
        <v>1595</v>
      </c>
      <c r="C58" s="274"/>
      <c r="D58" s="274"/>
      <c r="E58" s="274"/>
      <c r="F58" s="274"/>
      <c r="G58" s="274"/>
      <c r="H58" s="274"/>
      <c r="I58" s="274"/>
      <c r="J58" s="274"/>
    </row>
    <row r="59" spans="2:10" ht="13.5" thickBot="1" x14ac:dyDescent="0.25"/>
    <row r="60" spans="2:10" ht="13.5" thickTop="1" x14ac:dyDescent="0.2">
      <c r="E60" s="271" t="s">
        <v>1561</v>
      </c>
      <c r="F60" s="272" t="s">
        <v>1562</v>
      </c>
    </row>
    <row r="61" spans="2:10" ht="13.5" thickBot="1" x14ac:dyDescent="0.25">
      <c r="E61" s="48" t="s">
        <v>1568</v>
      </c>
      <c r="F61" s="50">
        <v>100</v>
      </c>
    </row>
    <row r="62" spans="2:10" ht="13.5" thickTop="1" x14ac:dyDescent="0.2"/>
    <row r="63" spans="2:10" x14ac:dyDescent="0.2">
      <c r="D63" s="178" t="str">
        <f>"Average of "&amp;E61&amp;" "&amp;F61&amp;" is : "</f>
        <v xml:space="preserve">Average of Bulb 100 is : </v>
      </c>
      <c r="E63" s="269">
        <f>DAVERAGE(B3:I19,"Unit Cost",E60:F61)</f>
        <v>0.52500000000000002</v>
      </c>
      <c r="F63" t="s">
        <v>1596</v>
      </c>
    </row>
    <row r="65" spans="2:10" x14ac:dyDescent="0.2">
      <c r="B65" s="273" t="s">
        <v>1597</v>
      </c>
      <c r="C65" s="274"/>
      <c r="D65" s="274"/>
      <c r="E65" s="274"/>
      <c r="F65" s="274"/>
      <c r="G65" s="274"/>
      <c r="H65" s="274"/>
      <c r="I65" s="274"/>
      <c r="J65" s="274"/>
    </row>
    <row r="66" spans="2:10" ht="13.5" thickBot="1" x14ac:dyDescent="0.25"/>
    <row r="67" spans="2:10" ht="13.5" thickTop="1" x14ac:dyDescent="0.2">
      <c r="E67" s="271" t="s">
        <v>1561</v>
      </c>
      <c r="F67" s="272" t="s">
        <v>1562</v>
      </c>
    </row>
    <row r="68" spans="2:10" ht="13.5" thickBot="1" x14ac:dyDescent="0.25">
      <c r="E68" s="275" t="s">
        <v>1568</v>
      </c>
      <c r="F68" s="276" t="s">
        <v>1598</v>
      </c>
    </row>
    <row r="69" spans="2:10" ht="13.5" thickTop="1" x14ac:dyDescent="0.2"/>
    <row r="70" spans="2:10" x14ac:dyDescent="0.2">
      <c r="D70" s="178" t="str">
        <f>"Average of "&amp;E68&amp;" "&amp;F68&amp;" is : "</f>
        <v xml:space="preserve">Average of Bulb &lt;100 is : </v>
      </c>
      <c r="E70" s="277">
        <f>DAVERAGE(B3:I19,"Unit Cost",E67:F68)</f>
        <v>0.16999999999999998</v>
      </c>
      <c r="F70" s="8" t="s">
        <v>1599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18" r:id="rId5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19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33">
    <pageSetUpPr fitToPage="1"/>
  </sheetPr>
  <dimension ref="A1:F23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10.85546875" customWidth="1"/>
    <col min="3" max="3" width="12.7109375" customWidth="1"/>
    <col min="4" max="4" width="12.140625" customWidth="1"/>
    <col min="5" max="5" width="13.7109375" customWidth="1"/>
    <col min="6" max="6" width="30.140625" customWidth="1"/>
  </cols>
  <sheetData>
    <row r="1" spans="1:6" ht="18.75" thickBot="1" x14ac:dyDescent="0.3">
      <c r="A1" s="1" t="s">
        <v>1600</v>
      </c>
      <c r="B1" s="1"/>
      <c r="C1" s="1"/>
      <c r="D1" s="1"/>
      <c r="E1" s="1"/>
      <c r="F1" s="1"/>
    </row>
    <row r="2" spans="1:6" ht="13.5" thickTop="1" x14ac:dyDescent="0.2"/>
    <row r="3" spans="1:6" x14ac:dyDescent="0.2">
      <c r="C3" s="5" t="s">
        <v>1601</v>
      </c>
      <c r="D3" s="5" t="s">
        <v>1602</v>
      </c>
      <c r="E3" s="5" t="s">
        <v>1603</v>
      </c>
      <c r="F3" s="278" t="s">
        <v>1604</v>
      </c>
    </row>
    <row r="4" spans="1:6" x14ac:dyDescent="0.2">
      <c r="C4" s="16">
        <v>35796</v>
      </c>
      <c r="D4" s="67">
        <v>35800</v>
      </c>
      <c r="E4" s="3">
        <f>DAYS360(C4,D4,TRUE)</f>
        <v>4</v>
      </c>
      <c r="F4" s="26" t="s">
        <v>1605</v>
      </c>
    </row>
    <row r="5" spans="1:6" x14ac:dyDescent="0.2">
      <c r="C5" s="16">
        <v>35796</v>
      </c>
      <c r="D5" s="67">
        <v>35827</v>
      </c>
      <c r="E5" s="3">
        <f>DAYS360(C5,D5,TRUE)</f>
        <v>30</v>
      </c>
      <c r="F5" s="26" t="s">
        <v>1606</v>
      </c>
    </row>
    <row r="6" spans="1:6" x14ac:dyDescent="0.2">
      <c r="C6" s="16">
        <v>35796</v>
      </c>
      <c r="D6" s="67">
        <v>35885</v>
      </c>
      <c r="E6" s="3">
        <f>DAYS360(C6,D6,TRUE)</f>
        <v>89</v>
      </c>
      <c r="F6" s="26" t="s">
        <v>1607</v>
      </c>
    </row>
    <row r="7" spans="1:6" x14ac:dyDescent="0.2">
      <c r="C7" s="16">
        <v>35796</v>
      </c>
      <c r="D7" s="67">
        <v>36160</v>
      </c>
      <c r="E7" s="3">
        <f>DAYS360(C7,D7,TRUE)</f>
        <v>359</v>
      </c>
      <c r="F7" s="26" t="s">
        <v>1608</v>
      </c>
    </row>
    <row r="9" spans="1:6" ht="13.5" thickBot="1" x14ac:dyDescent="0.25">
      <c r="B9" s="9" t="s">
        <v>64</v>
      </c>
      <c r="C9" s="9"/>
      <c r="D9" s="9"/>
      <c r="E9" s="9"/>
      <c r="F9" s="9"/>
    </row>
    <row r="10" spans="1:6" x14ac:dyDescent="0.2">
      <c r="B10" t="s">
        <v>1609</v>
      </c>
    </row>
    <row r="11" spans="1:6" x14ac:dyDescent="0.2">
      <c r="B11" t="s">
        <v>1610</v>
      </c>
    </row>
    <row r="13" spans="1:6" ht="13.5" thickBot="1" x14ac:dyDescent="0.25">
      <c r="B13" s="9" t="s">
        <v>43</v>
      </c>
      <c r="C13" s="9"/>
      <c r="D13" s="9"/>
      <c r="E13" s="9"/>
      <c r="F13" s="9"/>
    </row>
    <row r="14" spans="1:6" x14ac:dyDescent="0.2">
      <c r="B14" t="s">
        <v>1611</v>
      </c>
    </row>
    <row r="15" spans="1:6" x14ac:dyDescent="0.2">
      <c r="B15" t="s">
        <v>1612</v>
      </c>
    </row>
    <row r="16" spans="1:6" x14ac:dyDescent="0.2">
      <c r="B16" t="s">
        <v>1613</v>
      </c>
    </row>
    <row r="18" spans="2:6" ht="13.5" thickBot="1" x14ac:dyDescent="0.25">
      <c r="B18" s="9" t="s">
        <v>45</v>
      </c>
      <c r="C18" s="9"/>
      <c r="D18" s="9"/>
      <c r="E18" s="9"/>
      <c r="F18" s="9"/>
    </row>
    <row r="19" spans="2:6" x14ac:dyDescent="0.2">
      <c r="B19" t="s">
        <v>996</v>
      </c>
    </row>
    <row r="21" spans="2:6" ht="13.5" thickBot="1" x14ac:dyDescent="0.25">
      <c r="B21" s="9" t="s">
        <v>47</v>
      </c>
      <c r="C21" s="9"/>
      <c r="D21" s="9"/>
      <c r="E21" s="9"/>
      <c r="F21" s="9"/>
    </row>
    <row r="22" spans="2:6" x14ac:dyDescent="0.2">
      <c r="B22" t="s">
        <v>1614</v>
      </c>
    </row>
    <row r="23" spans="2:6" x14ac:dyDescent="0.2">
      <c r="B23" t="s">
        <v>1615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Line="0" autoPict="0">
                <anchor>
                  <from>
                    <xdr:col>5</xdr:col>
                    <xdr:colOff>1247775</xdr:colOff>
                    <xdr:row>0</xdr:row>
                    <xdr:rowOff>38100</xdr:rowOff>
                  </from>
                  <to>
                    <xdr:col>5</xdr:col>
                    <xdr:colOff>1714500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2" r:id="rId5" name="Button 2">
              <controlPr defaultSize="0" print="0" autoFill="0" autoLine="0" autoPict="0">
                <anchor>
                  <from>
                    <xdr:col>5</xdr:col>
                    <xdr:colOff>1781175</xdr:colOff>
                    <xdr:row>0</xdr:row>
                    <xdr:rowOff>38100</xdr:rowOff>
                  </from>
                  <to>
                    <xdr:col>5</xdr:col>
                    <xdr:colOff>1981200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3" r:id="rId6" name="Button 3">
              <controlPr defaultSize="0" print="0" autoFill="0" autoLine="0" autoPict="0">
                <anchor>
                  <from>
                    <xdr:col>5</xdr:col>
                    <xdr:colOff>981075</xdr:colOff>
                    <xdr:row>0</xdr:row>
                    <xdr:rowOff>38100</xdr:rowOff>
                  </from>
                  <to>
                    <xdr:col>5</xdr:col>
                    <xdr:colOff>1181100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34">
    <pageSetUpPr fitToPage="1"/>
  </sheetPr>
  <dimension ref="A1:I129"/>
  <sheetViews>
    <sheetView showGridLines="0" workbookViewId="0">
      <pane ySplit="1" topLeftCell="A5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4" max="4" width="10.5703125" customWidth="1"/>
    <col min="5" max="5" width="12.42578125" customWidth="1"/>
    <col min="6" max="6" width="14.42578125" customWidth="1"/>
    <col min="7" max="7" width="12" customWidth="1"/>
    <col min="8" max="8" width="11.140625" customWidth="1"/>
    <col min="9" max="9" width="3" customWidth="1"/>
  </cols>
  <sheetData>
    <row r="1" spans="1:9" ht="18.75" thickBot="1" x14ac:dyDescent="0.3">
      <c r="A1" s="1" t="s">
        <v>1616</v>
      </c>
      <c r="B1" s="1"/>
      <c r="C1" s="1"/>
      <c r="D1" s="1"/>
      <c r="E1" s="1"/>
      <c r="F1" s="58"/>
      <c r="G1" s="1"/>
      <c r="H1" s="1"/>
      <c r="I1" s="1"/>
    </row>
    <row r="2" spans="1:9" ht="13.5" thickTop="1" x14ac:dyDescent="0.2"/>
    <row r="3" spans="1:9" x14ac:dyDescent="0.2">
      <c r="C3" s="279"/>
      <c r="D3" s="280" t="s">
        <v>1617</v>
      </c>
      <c r="E3" s="281">
        <v>5000</v>
      </c>
    </row>
    <row r="4" spans="1:9" x14ac:dyDescent="0.2">
      <c r="C4" s="279"/>
      <c r="D4" s="280" t="s">
        <v>1618</v>
      </c>
      <c r="E4" s="137">
        <v>5</v>
      </c>
    </row>
    <row r="5" spans="1:9" x14ac:dyDescent="0.2">
      <c r="C5" s="279"/>
      <c r="D5" s="282" t="s">
        <v>1619</v>
      </c>
      <c r="E5" s="281">
        <v>200</v>
      </c>
    </row>
    <row r="6" spans="1:9" x14ac:dyDescent="0.2">
      <c r="D6" s="178"/>
    </row>
    <row r="7" spans="1:9" x14ac:dyDescent="0.2">
      <c r="D7" s="59" t="s">
        <v>1372</v>
      </c>
      <c r="E7" s="59" t="s">
        <v>1620</v>
      </c>
    </row>
    <row r="8" spans="1:9" x14ac:dyDescent="0.2">
      <c r="D8" s="2">
        <v>1</v>
      </c>
      <c r="E8" s="283">
        <f>DB($E$3,$E$5,$E$4,D8)</f>
        <v>2375</v>
      </c>
      <c r="F8" s="8" t="s">
        <v>1621</v>
      </c>
    </row>
    <row r="9" spans="1:9" x14ac:dyDescent="0.2">
      <c r="D9" s="2">
        <v>2</v>
      </c>
      <c r="E9" s="283">
        <f>DB($E$3,$E$5,$E$4,D9)</f>
        <v>1246.875</v>
      </c>
      <c r="F9" s="8" t="s">
        <v>1622</v>
      </c>
    </row>
    <row r="10" spans="1:9" x14ac:dyDescent="0.2">
      <c r="D10" s="2">
        <v>3</v>
      </c>
      <c r="E10" s="283">
        <f>DB($E$3,$E$5,$E$4,D10)</f>
        <v>654.609375</v>
      </c>
      <c r="F10" s="8" t="s">
        <v>1623</v>
      </c>
    </row>
    <row r="11" spans="1:9" x14ac:dyDescent="0.2">
      <c r="D11" s="2">
        <v>4</v>
      </c>
      <c r="E11" s="283">
        <f>DB($E$3,$E$5,$E$4,D11)</f>
        <v>343.669921875</v>
      </c>
      <c r="F11" s="8" t="s">
        <v>1624</v>
      </c>
    </row>
    <row r="12" spans="1:9" x14ac:dyDescent="0.2">
      <c r="D12" s="2">
        <v>5</v>
      </c>
      <c r="E12" s="283">
        <f>DB($E$3,$E$5,$E$4,D12)</f>
        <v>180.42670898437498</v>
      </c>
      <c r="F12" s="8" t="s">
        <v>1625</v>
      </c>
    </row>
    <row r="14" spans="1:9" x14ac:dyDescent="0.2">
      <c r="C14" s="279"/>
      <c r="D14" s="280" t="s">
        <v>1626</v>
      </c>
      <c r="E14" s="283">
        <f>SUM(E8:E12)</f>
        <v>4800.5810058593752</v>
      </c>
      <c r="F14" s="266" t="s">
        <v>1627</v>
      </c>
    </row>
    <row r="16" spans="1:9" ht="13.5" thickBot="1" x14ac:dyDescent="0.25">
      <c r="B16" s="9" t="s">
        <v>39</v>
      </c>
      <c r="C16" s="9"/>
      <c r="D16" s="9"/>
      <c r="E16" s="9"/>
      <c r="F16" s="9"/>
      <c r="G16" s="9"/>
      <c r="H16" s="9"/>
      <c r="I16" s="9"/>
    </row>
    <row r="17" spans="2:9" x14ac:dyDescent="0.2">
      <c r="B17" t="s">
        <v>1628</v>
      </c>
    </row>
    <row r="18" spans="2:9" x14ac:dyDescent="0.2">
      <c r="B18" t="s">
        <v>1629</v>
      </c>
    </row>
    <row r="19" spans="2:9" x14ac:dyDescent="0.2">
      <c r="B19" t="s">
        <v>1630</v>
      </c>
    </row>
    <row r="20" spans="2:9" x14ac:dyDescent="0.2">
      <c r="B20" t="s">
        <v>1631</v>
      </c>
    </row>
    <row r="21" spans="2:9" x14ac:dyDescent="0.2">
      <c r="B21" t="s">
        <v>1632</v>
      </c>
    </row>
    <row r="22" spans="2:9" x14ac:dyDescent="0.2">
      <c r="B22" t="s">
        <v>1633</v>
      </c>
    </row>
    <row r="23" spans="2:9" x14ac:dyDescent="0.2">
      <c r="B23" t="s">
        <v>1634</v>
      </c>
    </row>
    <row r="24" spans="2:9" x14ac:dyDescent="0.2">
      <c r="B24" t="s">
        <v>1635</v>
      </c>
    </row>
    <row r="26" spans="2:9" x14ac:dyDescent="0.2">
      <c r="B26" t="s">
        <v>1636</v>
      </c>
    </row>
    <row r="27" spans="2:9" x14ac:dyDescent="0.2">
      <c r="B27" t="s">
        <v>1637</v>
      </c>
    </row>
    <row r="28" spans="2:9" x14ac:dyDescent="0.2">
      <c r="B28" t="s">
        <v>1638</v>
      </c>
    </row>
    <row r="29" spans="2:9" x14ac:dyDescent="0.2">
      <c r="B29" t="s">
        <v>1639</v>
      </c>
    </row>
    <row r="31" spans="2:9" ht="13.5" thickBot="1" x14ac:dyDescent="0.25">
      <c r="B31" s="9" t="s">
        <v>43</v>
      </c>
      <c r="C31" s="9"/>
      <c r="D31" s="9"/>
      <c r="E31" s="9"/>
      <c r="F31" s="9"/>
      <c r="G31" s="9"/>
      <c r="H31" s="9"/>
      <c r="I31" s="9"/>
    </row>
    <row r="32" spans="2:9" x14ac:dyDescent="0.2">
      <c r="B32" s="10" t="s">
        <v>1640</v>
      </c>
    </row>
    <row r="33" spans="2:9" x14ac:dyDescent="0.2">
      <c r="B33" t="s">
        <v>1641</v>
      </c>
    </row>
    <row r="34" spans="2:9" x14ac:dyDescent="0.2">
      <c r="B34" t="s">
        <v>1642</v>
      </c>
    </row>
    <row r="35" spans="2:9" x14ac:dyDescent="0.2">
      <c r="B35" t="s">
        <v>1643</v>
      </c>
    </row>
    <row r="37" spans="2:9" ht="13.5" thickBot="1" x14ac:dyDescent="0.25">
      <c r="B37" s="9" t="s">
        <v>45</v>
      </c>
      <c r="C37" s="9"/>
      <c r="D37" s="9"/>
      <c r="E37" s="9"/>
      <c r="F37" s="9"/>
      <c r="G37" s="9"/>
      <c r="H37" s="9"/>
      <c r="I37" s="9"/>
    </row>
    <row r="38" spans="2:9" x14ac:dyDescent="0.2">
      <c r="B38" t="s">
        <v>46</v>
      </c>
    </row>
    <row r="40" spans="2:9" ht="13.5" thickBot="1" x14ac:dyDescent="0.25">
      <c r="B40" s="9" t="s">
        <v>286</v>
      </c>
      <c r="C40" s="9"/>
      <c r="D40" s="9"/>
      <c r="E40" s="9"/>
      <c r="F40" s="9"/>
      <c r="G40" s="9"/>
      <c r="H40" s="9"/>
      <c r="I40" s="9"/>
    </row>
    <row r="41" spans="2:9" x14ac:dyDescent="0.2">
      <c r="B41" t="s">
        <v>1644</v>
      </c>
    </row>
    <row r="42" spans="2:9" x14ac:dyDescent="0.2">
      <c r="B42" t="s">
        <v>1645</v>
      </c>
    </row>
    <row r="43" spans="2:9" x14ac:dyDescent="0.2">
      <c r="B43" t="s">
        <v>1646</v>
      </c>
    </row>
    <row r="44" spans="2:9" x14ac:dyDescent="0.2">
      <c r="B44" t="s">
        <v>1647</v>
      </c>
    </row>
    <row r="45" spans="2:9" x14ac:dyDescent="0.2">
      <c r="B45" t="s">
        <v>1648</v>
      </c>
    </row>
    <row r="47" spans="2:9" x14ac:dyDescent="0.2">
      <c r="C47" s="279"/>
      <c r="D47" s="280" t="s">
        <v>1617</v>
      </c>
      <c r="E47" s="281">
        <v>5000</v>
      </c>
    </row>
    <row r="48" spans="2:9" x14ac:dyDescent="0.2">
      <c r="C48" s="279"/>
      <c r="D48" s="282" t="s">
        <v>1619</v>
      </c>
      <c r="E48" s="281">
        <v>1000</v>
      </c>
    </row>
    <row r="49" spans="2:9" x14ac:dyDescent="0.2">
      <c r="C49" s="279"/>
      <c r="D49" s="280" t="s">
        <v>1618</v>
      </c>
      <c r="E49" s="137">
        <v>5</v>
      </c>
    </row>
    <row r="50" spans="2:9" x14ac:dyDescent="0.2">
      <c r="D50" s="178"/>
    </row>
    <row r="51" spans="2:9" x14ac:dyDescent="0.2">
      <c r="D51" s="59" t="s">
        <v>1372</v>
      </c>
      <c r="E51" s="59" t="s">
        <v>1620</v>
      </c>
      <c r="G51" s="59" t="s">
        <v>1649</v>
      </c>
    </row>
    <row r="52" spans="2:9" x14ac:dyDescent="0.2">
      <c r="D52" s="2">
        <v>1</v>
      </c>
      <c r="E52" s="283">
        <f>DB($E$47,$E$48,$E$49,D52)</f>
        <v>1375</v>
      </c>
      <c r="G52" s="284">
        <f>E52/E47</f>
        <v>0.27500000000000002</v>
      </c>
    </row>
    <row r="53" spans="2:9" x14ac:dyDescent="0.2">
      <c r="D53" s="2">
        <v>2</v>
      </c>
      <c r="E53" s="283">
        <f>DB($E$47,$E$48,$E$49,D53)</f>
        <v>996.87500000000011</v>
      </c>
      <c r="G53" s="284">
        <f>E53/($E$47-SUM($E$52:E52))</f>
        <v>0.27500000000000002</v>
      </c>
    </row>
    <row r="54" spans="2:9" x14ac:dyDescent="0.2">
      <c r="D54" s="2">
        <v>3</v>
      </c>
      <c r="E54" s="283">
        <f>DB($E$47,$E$48,$E$49,D54)</f>
        <v>722.73437500000011</v>
      </c>
      <c r="G54" s="284">
        <f>E54/($E$47-SUM($E$52:E53))</f>
        <v>0.27500000000000002</v>
      </c>
    </row>
    <row r="55" spans="2:9" x14ac:dyDescent="0.2">
      <c r="D55" s="2">
        <v>4</v>
      </c>
      <c r="E55" s="283">
        <f>DB($E$47,$E$48,$E$49,D55)</f>
        <v>523.982421875</v>
      </c>
      <c r="G55" s="284">
        <f>E55/($E$47-SUM($E$52:E54))</f>
        <v>0.27500000000000002</v>
      </c>
    </row>
    <row r="56" spans="2:9" x14ac:dyDescent="0.2">
      <c r="D56" s="2">
        <v>5</v>
      </c>
      <c r="E56" s="283">
        <f>DB($E$47,$E$48,$E$49,D56)</f>
        <v>379.88725585937505</v>
      </c>
      <c r="G56" s="284">
        <f>E56/($E$47-SUM($E$52:E55))</f>
        <v>0.27500000000000002</v>
      </c>
    </row>
    <row r="57" spans="2:9" x14ac:dyDescent="0.2">
      <c r="E57" s="8" t="s">
        <v>1650</v>
      </c>
    </row>
    <row r="59" spans="2:9" x14ac:dyDescent="0.2">
      <c r="C59" s="279"/>
      <c r="D59" s="280" t="s">
        <v>1626</v>
      </c>
      <c r="E59" s="283">
        <f>SUM(E52:E56)</f>
        <v>3998.4790527343748</v>
      </c>
    </row>
    <row r="62" spans="2:9" ht="13.5" thickBot="1" x14ac:dyDescent="0.25">
      <c r="B62" s="9" t="s">
        <v>305</v>
      </c>
      <c r="C62" s="9"/>
      <c r="D62" s="9"/>
      <c r="E62" s="9"/>
      <c r="F62" s="9"/>
      <c r="G62" s="9"/>
      <c r="H62" s="9"/>
      <c r="I62" s="9"/>
    </row>
    <row r="63" spans="2:9" x14ac:dyDescent="0.2">
      <c r="B63" t="s">
        <v>1651</v>
      </c>
    </row>
    <row r="64" spans="2:9" x14ac:dyDescent="0.2">
      <c r="B64" t="s">
        <v>1652</v>
      </c>
    </row>
    <row r="66" spans="2:9" x14ac:dyDescent="0.2">
      <c r="C66" s="279"/>
      <c r="D66" s="280" t="s">
        <v>1617</v>
      </c>
      <c r="E66" s="281">
        <v>5000</v>
      </c>
    </row>
    <row r="67" spans="2:9" x14ac:dyDescent="0.2">
      <c r="C67" s="279"/>
      <c r="D67" s="280" t="s">
        <v>1618</v>
      </c>
      <c r="E67" s="281">
        <v>5</v>
      </c>
    </row>
    <row r="68" spans="2:9" x14ac:dyDescent="0.2">
      <c r="C68" s="279"/>
      <c r="D68" s="282" t="s">
        <v>1619</v>
      </c>
      <c r="E68" s="137">
        <v>100</v>
      </c>
    </row>
    <row r="69" spans="2:9" x14ac:dyDescent="0.2">
      <c r="C69" s="178"/>
    </row>
    <row r="70" spans="2:9" x14ac:dyDescent="0.2">
      <c r="D70" s="59" t="s">
        <v>1468</v>
      </c>
      <c r="E70" s="59" t="s">
        <v>1620</v>
      </c>
    </row>
    <row r="71" spans="2:9" x14ac:dyDescent="0.2">
      <c r="D71" s="2">
        <v>56</v>
      </c>
      <c r="E71" s="283">
        <f>DB($E$66,$E$68,$E$67*12,D71)</f>
        <v>8.7899833537267433</v>
      </c>
    </row>
    <row r="72" spans="2:9" x14ac:dyDescent="0.2">
      <c r="D72" s="2">
        <v>57</v>
      </c>
      <c r="E72" s="283">
        <f>DB($E$66,$E$68,$E$67*12,D72)</f>
        <v>8.2362144024419575</v>
      </c>
    </row>
    <row r="73" spans="2:9" x14ac:dyDescent="0.2">
      <c r="D73" s="2">
        <v>58</v>
      </c>
      <c r="E73" s="283">
        <f>DB($E$66,$E$68,$E$67*12,D73)</f>
        <v>7.7173328950881146</v>
      </c>
    </row>
    <row r="74" spans="2:9" x14ac:dyDescent="0.2">
      <c r="D74" s="2">
        <v>59</v>
      </c>
      <c r="E74" s="283">
        <f>DB($E$66,$E$68,$E$67*12,D74)</f>
        <v>7.2311409226975627</v>
      </c>
    </row>
    <row r="75" spans="2:9" x14ac:dyDescent="0.2">
      <c r="D75" s="2">
        <v>60</v>
      </c>
      <c r="E75" s="283">
        <f>DB($E$66,$E$68,$E$67*12,D75)</f>
        <v>6.7755790445676167</v>
      </c>
    </row>
    <row r="76" spans="2:9" x14ac:dyDescent="0.2">
      <c r="E76" s="8" t="s">
        <v>1653</v>
      </c>
    </row>
    <row r="79" spans="2:9" ht="13.5" thickBot="1" x14ac:dyDescent="0.25">
      <c r="B79" s="9" t="s">
        <v>323</v>
      </c>
      <c r="C79" s="9"/>
      <c r="D79" s="9"/>
      <c r="E79" s="9"/>
      <c r="F79" s="9"/>
      <c r="G79" s="9"/>
      <c r="H79" s="9"/>
      <c r="I79" s="9"/>
    </row>
    <row r="80" spans="2:9" x14ac:dyDescent="0.2">
      <c r="B80" t="s">
        <v>1654</v>
      </c>
    </row>
    <row r="81" spans="2:7" x14ac:dyDescent="0.2">
      <c r="D81" s="178"/>
      <c r="E81" s="285"/>
    </row>
    <row r="82" spans="2:7" x14ac:dyDescent="0.2">
      <c r="B82" s="279"/>
      <c r="C82" s="286"/>
      <c r="D82" s="280" t="s">
        <v>1617</v>
      </c>
      <c r="E82" s="281">
        <v>5000</v>
      </c>
    </row>
    <row r="83" spans="2:7" x14ac:dyDescent="0.2">
      <c r="B83" s="279"/>
      <c r="C83" s="286"/>
      <c r="D83" s="280" t="s">
        <v>1618</v>
      </c>
      <c r="E83" s="137">
        <v>5</v>
      </c>
    </row>
    <row r="84" spans="2:7" x14ac:dyDescent="0.2">
      <c r="B84" s="279"/>
      <c r="C84" s="286"/>
      <c r="D84" s="282" t="s">
        <v>1619</v>
      </c>
      <c r="E84" s="281">
        <v>1000</v>
      </c>
    </row>
    <row r="85" spans="2:7" x14ac:dyDescent="0.2">
      <c r="B85" s="279"/>
      <c r="C85" s="286"/>
      <c r="D85" s="280" t="s">
        <v>1655</v>
      </c>
      <c r="E85" s="137">
        <v>6</v>
      </c>
    </row>
    <row r="86" spans="2:7" x14ac:dyDescent="0.2">
      <c r="C86" s="178"/>
    </row>
    <row r="87" spans="2:7" x14ac:dyDescent="0.2">
      <c r="D87" s="59" t="s">
        <v>1372</v>
      </c>
      <c r="E87" s="59" t="s">
        <v>1620</v>
      </c>
      <c r="G87" s="59" t="s">
        <v>1649</v>
      </c>
    </row>
    <row r="88" spans="2:7" x14ac:dyDescent="0.2">
      <c r="D88" s="2">
        <v>1</v>
      </c>
      <c r="E88" s="283">
        <f>DB($E$82,$E$84,$E$83,D88,$E$85)</f>
        <v>687.5</v>
      </c>
      <c r="G88" s="287">
        <f>E88/E82</f>
        <v>0.13750000000000001</v>
      </c>
    </row>
    <row r="89" spans="2:7" x14ac:dyDescent="0.2">
      <c r="D89" s="2">
        <v>2</v>
      </c>
      <c r="E89" s="283">
        <f>DB($E$82,$E$84,$E$83,D89,$E$85)</f>
        <v>1185.9375</v>
      </c>
      <c r="G89" s="287">
        <f>E89/($E$82-SUM($E$88:E88))</f>
        <v>0.27500000000000002</v>
      </c>
    </row>
    <row r="90" spans="2:7" x14ac:dyDescent="0.2">
      <c r="D90" s="2">
        <v>3</v>
      </c>
      <c r="E90" s="283">
        <f>DB($E$82,$E$84,$E$83,D90,$E$85)</f>
        <v>859.80468750000011</v>
      </c>
      <c r="G90" s="287">
        <f>E90/($E$82-SUM($E$88:E89))</f>
        <v>0.27500000000000002</v>
      </c>
    </row>
    <row r="91" spans="2:7" x14ac:dyDescent="0.2">
      <c r="D91" s="2">
        <v>4</v>
      </c>
      <c r="E91" s="283">
        <f>DB($E$82,$E$84,$E$83,D91,$E$85)</f>
        <v>623.3583984375</v>
      </c>
      <c r="G91" s="287">
        <f>E91/($E$82-SUM($E$88:E90))</f>
        <v>0.27500000000000002</v>
      </c>
    </row>
    <row r="92" spans="2:7" x14ac:dyDescent="0.2">
      <c r="D92" s="2">
        <v>5</v>
      </c>
      <c r="E92" s="283">
        <f>DB($E$82,$E$84,$E$83,D92,$E$85)</f>
        <v>451.93483886718752</v>
      </c>
      <c r="G92" s="287">
        <f>E92/($E$82-SUM($E$88:E91))</f>
        <v>0.27500000000000002</v>
      </c>
    </row>
    <row r="93" spans="2:7" x14ac:dyDescent="0.2">
      <c r="E93" s="8" t="s">
        <v>1656</v>
      </c>
    </row>
    <row r="95" spans="2:7" x14ac:dyDescent="0.2">
      <c r="C95" s="279"/>
      <c r="D95" s="280" t="s">
        <v>1626</v>
      </c>
      <c r="E95" s="283">
        <f>SUM(E88:E92)</f>
        <v>3808.5354248046874</v>
      </c>
    </row>
    <row r="98" spans="2:9" ht="13.5" thickBot="1" x14ac:dyDescent="0.25">
      <c r="B98" s="9" t="s">
        <v>1657</v>
      </c>
      <c r="C98" s="9"/>
      <c r="D98" s="9"/>
      <c r="E98" s="9"/>
      <c r="F98" s="9"/>
      <c r="G98" s="9"/>
      <c r="H98" s="9"/>
      <c r="I98" s="9"/>
    </row>
    <row r="99" spans="2:9" x14ac:dyDescent="0.2">
      <c r="B99" t="s">
        <v>1658</v>
      </c>
    </row>
    <row r="100" spans="2:9" x14ac:dyDescent="0.2">
      <c r="B100" t="s">
        <v>1659</v>
      </c>
    </row>
    <row r="101" spans="2:9" x14ac:dyDescent="0.2">
      <c r="B101" t="s">
        <v>1660</v>
      </c>
    </row>
    <row r="102" spans="2:9" x14ac:dyDescent="0.2">
      <c r="B102" t="s">
        <v>1661</v>
      </c>
    </row>
    <row r="103" spans="2:9" x14ac:dyDescent="0.2">
      <c r="B103" t="s">
        <v>1662</v>
      </c>
      <c r="D103" s="10"/>
    </row>
    <row r="104" spans="2:9" x14ac:dyDescent="0.2">
      <c r="B104" t="s">
        <v>1663</v>
      </c>
      <c r="D104" s="10"/>
    </row>
    <row r="105" spans="2:9" x14ac:dyDescent="0.2">
      <c r="B105" t="s">
        <v>1664</v>
      </c>
      <c r="D105" s="10"/>
    </row>
    <row r="106" spans="2:9" x14ac:dyDescent="0.2">
      <c r="B106" t="s">
        <v>1665</v>
      </c>
      <c r="D106" s="10"/>
    </row>
    <row r="108" spans="2:9" ht="13.5" thickBot="1" x14ac:dyDescent="0.25">
      <c r="B108" s="9" t="s">
        <v>822</v>
      </c>
      <c r="C108" s="9"/>
      <c r="D108" s="9"/>
      <c r="E108" s="9"/>
      <c r="F108" s="9"/>
      <c r="G108" s="9"/>
      <c r="H108" s="9"/>
    </row>
    <row r="109" spans="2:9" x14ac:dyDescent="0.2">
      <c r="B109" t="s">
        <v>1666</v>
      </c>
    </row>
    <row r="110" spans="2:9" x14ac:dyDescent="0.2">
      <c r="B110" t="s">
        <v>1667</v>
      </c>
    </row>
    <row r="111" spans="2:9" x14ac:dyDescent="0.2">
      <c r="B111" t="s">
        <v>1668</v>
      </c>
    </row>
    <row r="112" spans="2:9" x14ac:dyDescent="0.2">
      <c r="B112" t="s">
        <v>1669</v>
      </c>
    </row>
    <row r="113" spans="2:8" ht="13.5" thickBot="1" x14ac:dyDescent="0.25"/>
    <row r="114" spans="2:8" ht="14.25" thickTop="1" thickBot="1" x14ac:dyDescent="0.25">
      <c r="B114" s="288"/>
      <c r="C114" s="289"/>
      <c r="D114" s="289"/>
      <c r="E114" s="289"/>
      <c r="F114" s="290" t="s">
        <v>1670</v>
      </c>
      <c r="G114" s="291">
        <f>1-((E117/E116)^(1/E118))</f>
        <v>0.27522033632230447</v>
      </c>
    </row>
    <row r="115" spans="2:8" ht="13.5" thickTop="1" x14ac:dyDescent="0.2">
      <c r="G115" s="19" t="s">
        <v>1671</v>
      </c>
    </row>
    <row r="116" spans="2:8" x14ac:dyDescent="0.2">
      <c r="C116" s="279"/>
      <c r="D116" s="280" t="s">
        <v>1617</v>
      </c>
      <c r="E116" s="281">
        <v>5000</v>
      </c>
      <c r="G116" s="292" t="s">
        <v>1672</v>
      </c>
    </row>
    <row r="117" spans="2:8" x14ac:dyDescent="0.2">
      <c r="C117" s="279"/>
      <c r="D117" s="282" t="s">
        <v>1619</v>
      </c>
      <c r="E117" s="281">
        <v>1000</v>
      </c>
    </row>
    <row r="118" spans="2:8" x14ac:dyDescent="0.2">
      <c r="C118" s="279"/>
      <c r="D118" s="280" t="s">
        <v>1618</v>
      </c>
      <c r="E118" s="137">
        <v>5</v>
      </c>
    </row>
    <row r="119" spans="2:8" ht="13.5" thickBot="1" x14ac:dyDescent="0.25">
      <c r="D119" s="178"/>
    </row>
    <row r="120" spans="2:8" ht="26.25" thickTop="1" x14ac:dyDescent="0.2">
      <c r="D120" s="59" t="s">
        <v>1372</v>
      </c>
      <c r="E120" s="169" t="s">
        <v>1673</v>
      </c>
      <c r="F120" s="293" t="s">
        <v>1674</v>
      </c>
      <c r="H120" s="169" t="s">
        <v>1675</v>
      </c>
    </row>
    <row r="121" spans="2:8" x14ac:dyDescent="0.2">
      <c r="D121" s="2">
        <v>1</v>
      </c>
      <c r="E121" s="294">
        <f>DB($E$116,$E$117,$E$118,D121)</f>
        <v>1375</v>
      </c>
      <c r="F121" s="295">
        <f>E116*G114</f>
        <v>1376.1016816115223</v>
      </c>
      <c r="H121" s="296">
        <f>E121/E116</f>
        <v>0.27500000000000002</v>
      </c>
    </row>
    <row r="122" spans="2:8" x14ac:dyDescent="0.2">
      <c r="D122" s="2">
        <v>2</v>
      </c>
      <c r="E122" s="294">
        <f>DB($E$116,$E$117,$E$118,D122)</f>
        <v>996.87500000000011</v>
      </c>
      <c r="F122" s="295">
        <f>($E$116-SUM($F$121:F121))*$G$114</f>
        <v>997.37051398471033</v>
      </c>
      <c r="H122" s="296">
        <f>E122/($E$116-SUM($E$121:E121))</f>
        <v>0.27500000000000002</v>
      </c>
    </row>
    <row r="123" spans="2:8" x14ac:dyDescent="0.2">
      <c r="D123" s="2">
        <v>3</v>
      </c>
      <c r="E123" s="294">
        <f>DB($E$116,$E$117,$E$118,D123)</f>
        <v>722.73437500000011</v>
      </c>
      <c r="F123" s="295">
        <f>($E$116-SUM($F$121:F122))*$G$114</f>
        <v>722.87386568788872</v>
      </c>
      <c r="H123" s="296">
        <f>E123/($E$116-SUM($E$121:E122))</f>
        <v>0.27500000000000002</v>
      </c>
    </row>
    <row r="124" spans="2:8" x14ac:dyDescent="0.2">
      <c r="D124" s="2">
        <v>4</v>
      </c>
      <c r="E124" s="294">
        <f>DB($E$116,$E$117,$E$118,D124)</f>
        <v>523.982421875</v>
      </c>
      <c r="F124" s="295">
        <f>($E$116-SUM($F$121:F123))*$G$114</f>
        <v>523.92427725466371</v>
      </c>
      <c r="H124" s="296">
        <f>E124/($E$116-SUM($E$121:E123))</f>
        <v>0.27500000000000002</v>
      </c>
    </row>
    <row r="125" spans="2:8" ht="13.5" thickBot="1" x14ac:dyDescent="0.25">
      <c r="D125" s="2">
        <v>5</v>
      </c>
      <c r="E125" s="294">
        <f>DB($E$116,$E$117,$E$118,D125)</f>
        <v>379.88725585937505</v>
      </c>
      <c r="F125" s="297">
        <f>($E$116-SUM($F$121:F124))*$G$114</f>
        <v>379.7296614612149</v>
      </c>
      <c r="H125" s="296">
        <f>E125/($E$116-SUM($E$121:E124))</f>
        <v>0.27500000000000002</v>
      </c>
    </row>
    <row r="126" spans="2:8" ht="14.25" thickTop="1" thickBot="1" x14ac:dyDescent="0.25"/>
    <row r="127" spans="2:8" ht="14.25" thickTop="1" thickBot="1" x14ac:dyDescent="0.25">
      <c r="C127" s="279"/>
      <c r="D127" s="280" t="s">
        <v>1626</v>
      </c>
      <c r="E127" s="283">
        <f>SUM(E121:E125)</f>
        <v>3998.4790527343748</v>
      </c>
      <c r="F127" s="298">
        <f>SUM(F121:F125)</f>
        <v>4000</v>
      </c>
    </row>
    <row r="128" spans="2:8" ht="13.5" thickTop="1" x14ac:dyDescent="0.2"/>
    <row r="129" spans="4:6" x14ac:dyDescent="0.2">
      <c r="D129" s="279"/>
      <c r="E129" s="280" t="s">
        <v>1676</v>
      </c>
      <c r="F129" s="269">
        <f>F127-E127</f>
        <v>1.5209472656251819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465" r:id="rId4" name="Button 1">
              <controlPr defaultSize="0" print="0" autoFill="0" autoLine="0" autoPict="0">
                <anchor>
                  <from>
                    <xdr:col>7</xdr:col>
                    <xdr:colOff>142875</xdr:colOff>
                    <xdr:row>0</xdr:row>
                    <xdr:rowOff>38100</xdr:rowOff>
                  </from>
                  <to>
                    <xdr:col>7</xdr:col>
                    <xdr:colOff>609600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6" r:id="rId5" name="Button 2">
              <controlPr defaultSize="0" print="0" autoFill="0" autoLine="0" autoPict="0">
                <anchor>
                  <from>
                    <xdr:col>7</xdr:col>
                    <xdr:colOff>676275</xdr:colOff>
                    <xdr:row>0</xdr:row>
                    <xdr:rowOff>38100</xdr:rowOff>
                  </from>
                  <to>
                    <xdr:col>8</xdr:col>
                    <xdr:colOff>133350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7" r:id="rId6" name="Button 3">
              <controlPr defaultSize="0" print="0" autoFill="0" autoLine="0" autoPict="0">
                <anchor>
                  <from>
                    <xdr:col>6</xdr:col>
                    <xdr:colOff>676275</xdr:colOff>
                    <xdr:row>0</xdr:row>
                    <xdr:rowOff>38100</xdr:rowOff>
                  </from>
                  <to>
                    <xdr:col>7</xdr:col>
                    <xdr:colOff>76200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35">
    <pageSetUpPr fitToPage="1"/>
  </sheetPr>
  <dimension ref="A1:J71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10" max="10" width="8.42578125" customWidth="1"/>
  </cols>
  <sheetData>
    <row r="1" spans="1:10" ht="18.75" thickBot="1" x14ac:dyDescent="0.3">
      <c r="A1" s="1" t="s">
        <v>1677</v>
      </c>
      <c r="B1" s="1"/>
      <c r="C1" s="1"/>
      <c r="D1" s="1"/>
      <c r="E1" s="1"/>
      <c r="F1" s="1"/>
      <c r="G1" s="1"/>
      <c r="H1" s="1"/>
      <c r="I1" s="1"/>
      <c r="J1" s="1"/>
    </row>
    <row r="2" spans="1:10" ht="14.25" thickTop="1" thickBot="1" x14ac:dyDescent="0.25">
      <c r="A2" s="62"/>
      <c r="B2" s="62"/>
      <c r="C2" s="62"/>
      <c r="D2" s="62"/>
      <c r="E2" s="62"/>
      <c r="F2" s="62"/>
      <c r="G2" s="62"/>
      <c r="H2" s="62"/>
      <c r="I2" s="299" t="s">
        <v>1560</v>
      </c>
    </row>
    <row r="3" spans="1:10" ht="26.25" thickTop="1" x14ac:dyDescent="0.2">
      <c r="A3" s="62"/>
      <c r="B3" s="258" t="s">
        <v>1561</v>
      </c>
      <c r="C3" s="259" t="s">
        <v>1562</v>
      </c>
      <c r="D3" s="259" t="s">
        <v>1563</v>
      </c>
      <c r="E3" s="259" t="s">
        <v>1564</v>
      </c>
      <c r="F3" s="259" t="s">
        <v>351</v>
      </c>
      <c r="G3" s="259" t="s">
        <v>1565</v>
      </c>
      <c r="H3" s="259" t="s">
        <v>1566</v>
      </c>
      <c r="I3" s="260" t="s">
        <v>1567</v>
      </c>
    </row>
    <row r="4" spans="1:10" x14ac:dyDescent="0.2">
      <c r="B4" s="261" t="s">
        <v>1568</v>
      </c>
      <c r="C4" s="2">
        <v>200</v>
      </c>
      <c r="D4" s="2">
        <v>3000</v>
      </c>
      <c r="E4" s="2" t="s">
        <v>1569</v>
      </c>
      <c r="F4" s="175">
        <v>4.5</v>
      </c>
      <c r="G4" s="2">
        <v>4</v>
      </c>
      <c r="H4" s="2">
        <v>3</v>
      </c>
      <c r="I4" s="262">
        <f t="shared" ref="I4:I19" si="0">F4*G4*H4</f>
        <v>54</v>
      </c>
    </row>
    <row r="5" spans="1:10" x14ac:dyDescent="0.2">
      <c r="B5" s="261" t="s">
        <v>1570</v>
      </c>
      <c r="C5" s="2">
        <v>100</v>
      </c>
      <c r="D5" s="2">
        <v>2000</v>
      </c>
      <c r="E5" s="2" t="s">
        <v>1569</v>
      </c>
      <c r="F5" s="175">
        <v>2</v>
      </c>
      <c r="G5" s="2">
        <v>15</v>
      </c>
      <c r="H5" s="2">
        <v>2</v>
      </c>
      <c r="I5" s="262">
        <f t="shared" si="0"/>
        <v>60</v>
      </c>
    </row>
    <row r="6" spans="1:10" x14ac:dyDescent="0.2">
      <c r="B6" s="261" t="s">
        <v>1571</v>
      </c>
      <c r="C6" s="2">
        <v>60</v>
      </c>
      <c r="D6" s="2"/>
      <c r="E6" s="2"/>
      <c r="F6" s="175"/>
      <c r="G6" s="2"/>
      <c r="H6" s="2"/>
      <c r="I6" s="262">
        <f t="shared" si="0"/>
        <v>0</v>
      </c>
    </row>
    <row r="7" spans="1:10" x14ac:dyDescent="0.2">
      <c r="B7" s="261" t="s">
        <v>1572</v>
      </c>
      <c r="C7" s="2">
        <v>10</v>
      </c>
      <c r="D7" s="2">
        <v>8000</v>
      </c>
      <c r="E7" s="2" t="s">
        <v>1573</v>
      </c>
      <c r="F7" s="175">
        <v>0.8</v>
      </c>
      <c r="G7" s="2">
        <v>25</v>
      </c>
      <c r="H7" s="2">
        <v>6</v>
      </c>
      <c r="I7" s="262">
        <f t="shared" si="0"/>
        <v>120</v>
      </c>
    </row>
    <row r="8" spans="1:10" x14ac:dyDescent="0.2">
      <c r="B8" s="261" t="s">
        <v>1568</v>
      </c>
      <c r="C8" s="2">
        <v>80</v>
      </c>
      <c r="D8" s="2">
        <v>1000</v>
      </c>
      <c r="E8" s="2" t="s">
        <v>1569</v>
      </c>
      <c r="F8" s="175">
        <v>0.2</v>
      </c>
      <c r="G8" s="2">
        <v>40</v>
      </c>
      <c r="H8" s="2">
        <v>3</v>
      </c>
      <c r="I8" s="262">
        <f t="shared" si="0"/>
        <v>24</v>
      </c>
    </row>
    <row r="9" spans="1:10" x14ac:dyDescent="0.2">
      <c r="B9" s="261" t="s">
        <v>1571</v>
      </c>
      <c r="C9" s="2">
        <v>100</v>
      </c>
      <c r="D9" s="2" t="s">
        <v>1574</v>
      </c>
      <c r="E9" s="2" t="s">
        <v>1569</v>
      </c>
      <c r="F9" s="175">
        <v>1.25</v>
      </c>
      <c r="G9" s="2">
        <v>10</v>
      </c>
      <c r="H9" s="2">
        <v>4</v>
      </c>
      <c r="I9" s="262">
        <f t="shared" si="0"/>
        <v>50</v>
      </c>
    </row>
    <row r="10" spans="1:10" x14ac:dyDescent="0.2">
      <c r="B10" s="261" t="s">
        <v>1571</v>
      </c>
      <c r="C10" s="2">
        <v>200</v>
      </c>
      <c r="D10" s="2">
        <v>3000</v>
      </c>
      <c r="E10" s="2" t="s">
        <v>1569</v>
      </c>
      <c r="F10" s="175">
        <v>2.5</v>
      </c>
      <c r="G10" s="2">
        <v>15</v>
      </c>
      <c r="H10" s="2">
        <v>1</v>
      </c>
      <c r="I10" s="262">
        <f t="shared" si="0"/>
        <v>37.5</v>
      </c>
    </row>
    <row r="11" spans="1:10" x14ac:dyDescent="0.2">
      <c r="B11" s="261" t="s">
        <v>1572</v>
      </c>
      <c r="C11" s="2">
        <v>25</v>
      </c>
      <c r="D11" s="2" t="s">
        <v>1574</v>
      </c>
      <c r="E11" s="2" t="s">
        <v>1573</v>
      </c>
      <c r="F11" s="175">
        <v>0.5</v>
      </c>
      <c r="G11" s="2">
        <v>10</v>
      </c>
      <c r="H11" s="2">
        <v>3</v>
      </c>
      <c r="I11" s="262">
        <f t="shared" si="0"/>
        <v>15</v>
      </c>
    </row>
    <row r="12" spans="1:10" x14ac:dyDescent="0.2">
      <c r="B12" s="261" t="s">
        <v>1568</v>
      </c>
      <c r="C12" s="2">
        <v>200</v>
      </c>
      <c r="D12" s="2">
        <v>3000</v>
      </c>
      <c r="E12" s="2" t="s">
        <v>1573</v>
      </c>
      <c r="F12" s="175">
        <v>5</v>
      </c>
      <c r="G12" s="2">
        <v>3</v>
      </c>
      <c r="H12" s="2">
        <v>2</v>
      </c>
      <c r="I12" s="262">
        <f t="shared" si="0"/>
        <v>30</v>
      </c>
    </row>
    <row r="13" spans="1:10" x14ac:dyDescent="0.2">
      <c r="B13" s="261" t="s">
        <v>1570</v>
      </c>
      <c r="C13" s="2">
        <v>100</v>
      </c>
      <c r="D13" s="2">
        <v>2000</v>
      </c>
      <c r="E13" s="2" t="s">
        <v>1573</v>
      </c>
      <c r="F13" s="175">
        <v>1.8</v>
      </c>
      <c r="G13" s="2">
        <v>20</v>
      </c>
      <c r="H13" s="2">
        <v>5</v>
      </c>
      <c r="I13" s="262">
        <f t="shared" si="0"/>
        <v>180</v>
      </c>
    </row>
    <row r="14" spans="1:10" x14ac:dyDescent="0.2">
      <c r="B14" s="261" t="s">
        <v>1568</v>
      </c>
      <c r="C14" s="2">
        <v>100</v>
      </c>
      <c r="D14" s="2" t="s">
        <v>1574</v>
      </c>
      <c r="E14" s="2" t="s">
        <v>1573</v>
      </c>
      <c r="F14" s="175">
        <v>0.25</v>
      </c>
      <c r="G14" s="2">
        <v>10</v>
      </c>
      <c r="H14" s="2">
        <v>5</v>
      </c>
      <c r="I14" s="262">
        <f t="shared" si="0"/>
        <v>12.5</v>
      </c>
    </row>
    <row r="15" spans="1:10" x14ac:dyDescent="0.2">
      <c r="B15" s="261" t="s">
        <v>1568</v>
      </c>
      <c r="C15" s="2">
        <v>10</v>
      </c>
      <c r="D15" s="2">
        <v>800</v>
      </c>
      <c r="E15" s="2" t="s">
        <v>1569</v>
      </c>
      <c r="F15" s="175">
        <v>0.2</v>
      </c>
      <c r="G15" s="2">
        <v>25</v>
      </c>
      <c r="H15" s="2">
        <v>2</v>
      </c>
      <c r="I15" s="262">
        <f t="shared" si="0"/>
        <v>10</v>
      </c>
    </row>
    <row r="16" spans="1:10" x14ac:dyDescent="0.2">
      <c r="B16" s="261" t="s">
        <v>1568</v>
      </c>
      <c r="C16" s="2">
        <v>60</v>
      </c>
      <c r="D16" s="2">
        <v>1000</v>
      </c>
      <c r="E16" s="2" t="s">
        <v>1573</v>
      </c>
      <c r="F16" s="175">
        <v>0.15</v>
      </c>
      <c r="G16" s="2">
        <v>25</v>
      </c>
      <c r="H16" s="2">
        <v>1</v>
      </c>
      <c r="I16" s="262">
        <f t="shared" si="0"/>
        <v>3.75</v>
      </c>
    </row>
    <row r="17" spans="2:10" x14ac:dyDescent="0.2">
      <c r="B17" s="261" t="s">
        <v>1568</v>
      </c>
      <c r="C17" s="2">
        <v>80</v>
      </c>
      <c r="D17" s="2">
        <v>1000</v>
      </c>
      <c r="E17" s="2" t="s">
        <v>1573</v>
      </c>
      <c r="F17" s="175">
        <v>0.2</v>
      </c>
      <c r="G17" s="2">
        <v>30</v>
      </c>
      <c r="H17" s="2">
        <v>2</v>
      </c>
      <c r="I17" s="262">
        <f t="shared" si="0"/>
        <v>12</v>
      </c>
    </row>
    <row r="18" spans="2:10" x14ac:dyDescent="0.2">
      <c r="B18" s="261" t="s">
        <v>1568</v>
      </c>
      <c r="C18" s="2">
        <v>100</v>
      </c>
      <c r="D18" s="2">
        <v>2000</v>
      </c>
      <c r="E18" s="2" t="s">
        <v>1569</v>
      </c>
      <c r="F18" s="175">
        <v>0.8</v>
      </c>
      <c r="G18" s="2">
        <v>10</v>
      </c>
      <c r="H18" s="2">
        <v>5</v>
      </c>
      <c r="I18" s="262">
        <f t="shared" si="0"/>
        <v>40</v>
      </c>
    </row>
    <row r="19" spans="2:10" ht="13.5" thickBot="1" x14ac:dyDescent="0.25">
      <c r="B19" s="263" t="s">
        <v>1568</v>
      </c>
      <c r="C19" s="79">
        <v>40</v>
      </c>
      <c r="D19" s="79">
        <v>1000</v>
      </c>
      <c r="E19" s="79" t="s">
        <v>1569</v>
      </c>
      <c r="F19" s="264">
        <v>0.1</v>
      </c>
      <c r="G19" s="79">
        <v>20</v>
      </c>
      <c r="H19" s="79">
        <v>5</v>
      </c>
      <c r="I19" s="262">
        <f t="shared" si="0"/>
        <v>10</v>
      </c>
    </row>
    <row r="20" spans="2:10" ht="13.5" thickTop="1" x14ac:dyDescent="0.2"/>
    <row r="21" spans="2:10" x14ac:dyDescent="0.2">
      <c r="B21" t="s">
        <v>1678</v>
      </c>
    </row>
    <row r="22" spans="2:10" ht="13.5" thickBot="1" x14ac:dyDescent="0.25"/>
    <row r="23" spans="2:10" ht="13.5" thickTop="1" x14ac:dyDescent="0.2">
      <c r="E23" s="265" t="s">
        <v>1564</v>
      </c>
      <c r="F23" s="266" t="s">
        <v>1576</v>
      </c>
    </row>
    <row r="24" spans="2:10" ht="13.5" thickBot="1" x14ac:dyDescent="0.25">
      <c r="D24" s="178" t="s">
        <v>1577</v>
      </c>
      <c r="E24" s="267" t="s">
        <v>1569</v>
      </c>
    </row>
    <row r="25" spans="2:10" ht="13.5" thickTop="1" x14ac:dyDescent="0.2"/>
    <row r="26" spans="2:10" x14ac:dyDescent="0.2">
      <c r="B26" s="62"/>
      <c r="C26" s="62"/>
      <c r="D26" s="268" t="str">
        <f>"The COUNT value of "&amp;E24&amp;" is : "</f>
        <v xml:space="preserve">The COUNT value of Horizon is : </v>
      </c>
      <c r="E26" s="300">
        <f>DCOUNT(B3:I19,D3,E23:E24)</f>
        <v>7</v>
      </c>
      <c r="F26" s="8" t="s">
        <v>1679</v>
      </c>
    </row>
    <row r="28" spans="2:10" ht="13.5" thickBot="1" x14ac:dyDescent="0.25">
      <c r="B28" s="9" t="s">
        <v>39</v>
      </c>
      <c r="C28" s="9"/>
      <c r="D28" s="9"/>
      <c r="E28" s="9"/>
      <c r="F28" s="9"/>
      <c r="G28" s="9"/>
      <c r="H28" s="9"/>
      <c r="I28" s="9"/>
      <c r="J28" s="9"/>
    </row>
    <row r="29" spans="2:10" x14ac:dyDescent="0.2">
      <c r="B29" t="s">
        <v>1680</v>
      </c>
    </row>
    <row r="30" spans="2:10" x14ac:dyDescent="0.2">
      <c r="B30" t="s">
        <v>1681</v>
      </c>
    </row>
    <row r="32" spans="2:10" ht="13.5" thickBot="1" x14ac:dyDescent="0.25">
      <c r="B32" s="9" t="s">
        <v>43</v>
      </c>
      <c r="C32" s="9"/>
      <c r="D32" s="9"/>
      <c r="E32" s="9"/>
      <c r="F32" s="9"/>
      <c r="G32" s="9"/>
      <c r="H32" s="9"/>
      <c r="I32" s="9"/>
      <c r="J32" s="9"/>
    </row>
    <row r="33" spans="2:10" x14ac:dyDescent="0.2">
      <c r="B33" s="10" t="s">
        <v>1682</v>
      </c>
    </row>
    <row r="34" spans="2:10" ht="18" customHeight="1" x14ac:dyDescent="0.2">
      <c r="B34" t="s">
        <v>1582</v>
      </c>
    </row>
    <row r="35" spans="2:10" x14ac:dyDescent="0.2">
      <c r="B35" t="s">
        <v>1583</v>
      </c>
    </row>
    <row r="36" spans="2:10" ht="18" customHeight="1" x14ac:dyDescent="0.2">
      <c r="B36" t="s">
        <v>1683</v>
      </c>
    </row>
    <row r="37" spans="2:10" ht="18" customHeight="1" x14ac:dyDescent="0.2">
      <c r="B37" t="s">
        <v>1585</v>
      </c>
    </row>
    <row r="38" spans="2:10" x14ac:dyDescent="0.2">
      <c r="B38" t="s">
        <v>1586</v>
      </c>
    </row>
    <row r="39" spans="2:10" x14ac:dyDescent="0.2">
      <c r="B39" t="s">
        <v>1587</v>
      </c>
    </row>
    <row r="40" spans="2:10" ht="18" customHeight="1" x14ac:dyDescent="0.2">
      <c r="B40" t="s">
        <v>1588</v>
      </c>
    </row>
    <row r="41" spans="2:10" x14ac:dyDescent="0.2">
      <c r="B41" t="s">
        <v>1589</v>
      </c>
    </row>
    <row r="43" spans="2:10" ht="13.5" thickBot="1" x14ac:dyDescent="0.25">
      <c r="B43" s="9" t="s">
        <v>45</v>
      </c>
      <c r="C43" s="9"/>
      <c r="D43" s="9"/>
      <c r="E43" s="9"/>
      <c r="F43" s="9"/>
      <c r="G43" s="9"/>
      <c r="H43" s="9"/>
      <c r="I43" s="9"/>
      <c r="J43" s="9"/>
    </row>
    <row r="44" spans="2:10" x14ac:dyDescent="0.2">
      <c r="B44" t="s">
        <v>46</v>
      </c>
    </row>
    <row r="46" spans="2:10" ht="13.5" thickBot="1" x14ac:dyDescent="0.25">
      <c r="B46" s="9" t="s">
        <v>1590</v>
      </c>
      <c r="C46" s="9"/>
      <c r="D46" s="9"/>
      <c r="E46" s="9"/>
      <c r="F46" s="9"/>
      <c r="G46" s="9"/>
      <c r="H46" s="9"/>
      <c r="I46" s="9"/>
      <c r="J46" s="9"/>
    </row>
    <row r="48" spans="2:10" x14ac:dyDescent="0.2">
      <c r="B48" s="270" t="s">
        <v>1684</v>
      </c>
    </row>
    <row r="49" spans="2:10" ht="13.5" thickBot="1" x14ac:dyDescent="0.25"/>
    <row r="50" spans="2:10" ht="26.25" thickTop="1" x14ac:dyDescent="0.2">
      <c r="E50" s="271" t="s">
        <v>1561</v>
      </c>
      <c r="F50" s="301" t="s">
        <v>1566</v>
      </c>
    </row>
    <row r="51" spans="2:10" ht="13.5" thickBot="1" x14ac:dyDescent="0.25">
      <c r="E51" s="48" t="s">
        <v>1568</v>
      </c>
      <c r="F51" s="50">
        <v>5</v>
      </c>
    </row>
    <row r="52" spans="2:10" ht="13.5" thickTop="1" x14ac:dyDescent="0.2"/>
    <row r="53" spans="2:10" x14ac:dyDescent="0.2">
      <c r="D53" s="178" t="s">
        <v>1685</v>
      </c>
      <c r="E53" s="300">
        <f>DCOUNT(B3:I19,H3,E50:F51)</f>
        <v>3</v>
      </c>
      <c r="F53" s="8" t="s">
        <v>1686</v>
      </c>
    </row>
    <row r="55" spans="2:10" x14ac:dyDescent="0.2">
      <c r="B55" t="s">
        <v>1687</v>
      </c>
    </row>
    <row r="57" spans="2:10" x14ac:dyDescent="0.2">
      <c r="E57" s="300">
        <f>DCOUNT(B3:I19,"Boxes In Stock",E50:F51)</f>
        <v>3</v>
      </c>
      <c r="F57" s="8" t="s">
        <v>1688</v>
      </c>
    </row>
    <row r="59" spans="2:10" ht="18" customHeight="1" x14ac:dyDescent="0.2">
      <c r="B59" s="273" t="s">
        <v>1689</v>
      </c>
      <c r="C59" s="274"/>
      <c r="D59" s="274"/>
      <c r="E59" s="274"/>
      <c r="F59" s="274"/>
      <c r="G59" s="274"/>
      <c r="H59" s="274"/>
      <c r="I59" s="274"/>
      <c r="J59" s="274"/>
    </row>
    <row r="60" spans="2:10" ht="13.5" thickBot="1" x14ac:dyDescent="0.25"/>
    <row r="61" spans="2:10" ht="13.5" thickTop="1" x14ac:dyDescent="0.2">
      <c r="E61" s="271" t="s">
        <v>1561</v>
      </c>
      <c r="F61" s="272" t="s">
        <v>1562</v>
      </c>
    </row>
    <row r="62" spans="2:10" ht="13.5" thickBot="1" x14ac:dyDescent="0.25">
      <c r="E62" s="48" t="s">
        <v>1568</v>
      </c>
      <c r="F62" s="50">
        <v>100</v>
      </c>
    </row>
    <row r="63" spans="2:10" ht="13.5" thickTop="1" x14ac:dyDescent="0.2"/>
    <row r="64" spans="2:10" x14ac:dyDescent="0.2">
      <c r="D64" s="178" t="s">
        <v>1690</v>
      </c>
      <c r="E64" s="300">
        <f>DCOUNT(B3:I19,"Boxes In Stock",E61:F62)</f>
        <v>2</v>
      </c>
      <c r="F64" s="8" t="s">
        <v>1691</v>
      </c>
    </row>
    <row r="66" spans="2:10" x14ac:dyDescent="0.2">
      <c r="B66" s="273" t="s">
        <v>1692</v>
      </c>
      <c r="C66" s="274"/>
      <c r="D66" s="274"/>
      <c r="E66" s="274"/>
      <c r="F66" s="274"/>
      <c r="G66" s="274"/>
      <c r="H66" s="274"/>
      <c r="I66" s="274"/>
      <c r="J66" s="274"/>
    </row>
    <row r="67" spans="2:10" ht="13.5" thickBot="1" x14ac:dyDescent="0.25"/>
    <row r="68" spans="2:10" ht="13.5" thickTop="1" x14ac:dyDescent="0.2">
      <c r="E68" s="271" t="s">
        <v>1561</v>
      </c>
      <c r="F68" s="302" t="s">
        <v>1562</v>
      </c>
      <c r="G68" s="272" t="s">
        <v>1562</v>
      </c>
    </row>
    <row r="69" spans="2:10" ht="13.5" thickBot="1" x14ac:dyDescent="0.25">
      <c r="E69" s="48" t="s">
        <v>1568</v>
      </c>
      <c r="F69" s="49" t="s">
        <v>1693</v>
      </c>
      <c r="G69" s="50" t="s">
        <v>1694</v>
      </c>
    </row>
    <row r="70" spans="2:10" ht="13.5" thickTop="1" x14ac:dyDescent="0.2"/>
    <row r="71" spans="2:10" x14ac:dyDescent="0.2">
      <c r="D71" s="178" t="s">
        <v>1690</v>
      </c>
      <c r="E71" s="300">
        <f>DCOUNT(B3:I19,"Boxes In Stock",E68:G69)</f>
        <v>4</v>
      </c>
      <c r="F71" s="8" t="s">
        <v>1695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0" r:id="rId5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1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36">
    <pageSetUpPr fitToPage="1"/>
  </sheetPr>
  <dimension ref="A1:J72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10" max="10" width="8.42578125" customWidth="1"/>
  </cols>
  <sheetData>
    <row r="1" spans="1:10" ht="18.75" thickBot="1" x14ac:dyDescent="0.3">
      <c r="A1" s="1" t="s">
        <v>1696</v>
      </c>
      <c r="B1" s="1"/>
      <c r="C1" s="1"/>
      <c r="D1" s="1"/>
      <c r="E1" s="1"/>
      <c r="F1" s="1"/>
      <c r="G1" s="1"/>
      <c r="H1" s="1"/>
      <c r="I1" s="1"/>
      <c r="J1" s="1"/>
    </row>
    <row r="2" spans="1:10" ht="14.25" thickTop="1" thickBot="1" x14ac:dyDescent="0.25">
      <c r="A2" s="62"/>
      <c r="B2" s="62"/>
      <c r="C2" s="62"/>
      <c r="D2" s="62"/>
      <c r="E2" s="62"/>
      <c r="F2" s="62"/>
      <c r="G2" s="62"/>
      <c r="H2" s="62"/>
      <c r="I2" s="299" t="s">
        <v>1560</v>
      </c>
    </row>
    <row r="3" spans="1:10" ht="26.25" thickTop="1" x14ac:dyDescent="0.2">
      <c r="A3" s="62"/>
      <c r="B3" s="258" t="s">
        <v>1561</v>
      </c>
      <c r="C3" s="259" t="s">
        <v>1562</v>
      </c>
      <c r="D3" s="259" t="s">
        <v>1563</v>
      </c>
      <c r="E3" s="259" t="s">
        <v>1564</v>
      </c>
      <c r="F3" s="259" t="s">
        <v>351</v>
      </c>
      <c r="G3" s="259" t="s">
        <v>1565</v>
      </c>
      <c r="H3" s="259" t="s">
        <v>1566</v>
      </c>
      <c r="I3" s="260" t="s">
        <v>1567</v>
      </c>
    </row>
    <row r="4" spans="1:10" x14ac:dyDescent="0.2">
      <c r="B4" s="261" t="s">
        <v>1568</v>
      </c>
      <c r="C4" s="2">
        <v>200</v>
      </c>
      <c r="D4" s="2">
        <v>3000</v>
      </c>
      <c r="E4" s="2" t="s">
        <v>1569</v>
      </c>
      <c r="F4" s="175">
        <v>4.5</v>
      </c>
      <c r="G4" s="2">
        <v>4</v>
      </c>
      <c r="H4" s="2">
        <v>3</v>
      </c>
      <c r="I4" s="262">
        <f t="shared" ref="I4:I19" si="0">F4*G4*H4</f>
        <v>54</v>
      </c>
    </row>
    <row r="5" spans="1:10" x14ac:dyDescent="0.2">
      <c r="B5" s="261" t="s">
        <v>1570</v>
      </c>
      <c r="C5" s="2">
        <v>100</v>
      </c>
      <c r="D5" s="2">
        <v>2000</v>
      </c>
      <c r="E5" s="2" t="s">
        <v>1569</v>
      </c>
      <c r="F5" s="175">
        <v>2</v>
      </c>
      <c r="G5" s="2">
        <v>15</v>
      </c>
      <c r="H5" s="2">
        <v>2</v>
      </c>
      <c r="I5" s="262">
        <f t="shared" si="0"/>
        <v>60</v>
      </c>
    </row>
    <row r="6" spans="1:10" x14ac:dyDescent="0.2">
      <c r="B6" s="261" t="s">
        <v>1571</v>
      </c>
      <c r="C6" s="2">
        <v>60</v>
      </c>
      <c r="D6" s="2"/>
      <c r="E6" s="2"/>
      <c r="F6" s="175"/>
      <c r="G6" s="2"/>
      <c r="H6" s="2"/>
      <c r="I6" s="262">
        <f t="shared" si="0"/>
        <v>0</v>
      </c>
    </row>
    <row r="7" spans="1:10" x14ac:dyDescent="0.2">
      <c r="B7" s="261" t="s">
        <v>1572</v>
      </c>
      <c r="C7" s="2">
        <v>10</v>
      </c>
      <c r="D7" s="2">
        <v>8000</v>
      </c>
      <c r="E7" s="2" t="s">
        <v>1573</v>
      </c>
      <c r="F7" s="175">
        <v>0.8</v>
      </c>
      <c r="G7" s="2">
        <v>25</v>
      </c>
      <c r="H7" s="2">
        <v>6</v>
      </c>
      <c r="I7" s="262">
        <f t="shared" si="0"/>
        <v>120</v>
      </c>
    </row>
    <row r="8" spans="1:10" x14ac:dyDescent="0.2">
      <c r="B8" s="261" t="s">
        <v>1568</v>
      </c>
      <c r="C8" s="2">
        <v>80</v>
      </c>
      <c r="D8" s="2">
        <v>1000</v>
      </c>
      <c r="E8" s="2" t="s">
        <v>1569</v>
      </c>
      <c r="F8" s="175">
        <v>0.2</v>
      </c>
      <c r="G8" s="2">
        <v>40</v>
      </c>
      <c r="H8" s="2">
        <v>3</v>
      </c>
      <c r="I8" s="262">
        <f t="shared" si="0"/>
        <v>24</v>
      </c>
    </row>
    <row r="9" spans="1:10" x14ac:dyDescent="0.2">
      <c r="B9" s="261" t="s">
        <v>1571</v>
      </c>
      <c r="C9" s="2">
        <v>100</v>
      </c>
      <c r="D9" s="2" t="s">
        <v>1574</v>
      </c>
      <c r="E9" s="2" t="s">
        <v>1569</v>
      </c>
      <c r="F9" s="175">
        <v>1.25</v>
      </c>
      <c r="G9" s="2">
        <v>10</v>
      </c>
      <c r="H9" s="2">
        <v>4</v>
      </c>
      <c r="I9" s="262">
        <f t="shared" si="0"/>
        <v>50</v>
      </c>
    </row>
    <row r="10" spans="1:10" x14ac:dyDescent="0.2">
      <c r="B10" s="261" t="s">
        <v>1571</v>
      </c>
      <c r="C10" s="2">
        <v>200</v>
      </c>
      <c r="D10" s="2">
        <v>3000</v>
      </c>
      <c r="E10" s="2" t="s">
        <v>1569</v>
      </c>
      <c r="F10" s="175">
        <v>2.5</v>
      </c>
      <c r="G10" s="2">
        <v>15</v>
      </c>
      <c r="H10" s="2">
        <v>1</v>
      </c>
      <c r="I10" s="262">
        <f t="shared" si="0"/>
        <v>37.5</v>
      </c>
    </row>
    <row r="11" spans="1:10" x14ac:dyDescent="0.2">
      <c r="B11" s="261" t="s">
        <v>1572</v>
      </c>
      <c r="C11" s="2">
        <v>25</v>
      </c>
      <c r="D11" s="2" t="s">
        <v>1574</v>
      </c>
      <c r="E11" s="2" t="s">
        <v>1573</v>
      </c>
      <c r="F11" s="175">
        <v>0.5</v>
      </c>
      <c r="G11" s="2">
        <v>10</v>
      </c>
      <c r="H11" s="2">
        <v>3</v>
      </c>
      <c r="I11" s="262">
        <f t="shared" si="0"/>
        <v>15</v>
      </c>
    </row>
    <row r="12" spans="1:10" x14ac:dyDescent="0.2">
      <c r="B12" s="261" t="s">
        <v>1568</v>
      </c>
      <c r="C12" s="2">
        <v>200</v>
      </c>
      <c r="D12" s="2">
        <v>3000</v>
      </c>
      <c r="E12" s="2" t="s">
        <v>1573</v>
      </c>
      <c r="F12" s="175">
        <v>5</v>
      </c>
      <c r="G12" s="2">
        <v>3</v>
      </c>
      <c r="H12" s="2">
        <v>2</v>
      </c>
      <c r="I12" s="262">
        <f t="shared" si="0"/>
        <v>30</v>
      </c>
    </row>
    <row r="13" spans="1:10" x14ac:dyDescent="0.2">
      <c r="B13" s="261" t="s">
        <v>1570</v>
      </c>
      <c r="C13" s="2">
        <v>100</v>
      </c>
      <c r="D13" s="2">
        <v>2000</v>
      </c>
      <c r="E13" s="2" t="s">
        <v>1573</v>
      </c>
      <c r="F13" s="175">
        <v>1.8</v>
      </c>
      <c r="G13" s="2">
        <v>20</v>
      </c>
      <c r="H13" s="2">
        <v>5</v>
      </c>
      <c r="I13" s="262">
        <f t="shared" si="0"/>
        <v>180</v>
      </c>
    </row>
    <row r="14" spans="1:10" x14ac:dyDescent="0.2">
      <c r="B14" s="261" t="s">
        <v>1568</v>
      </c>
      <c r="C14" s="2">
        <v>100</v>
      </c>
      <c r="D14" s="2" t="s">
        <v>1574</v>
      </c>
      <c r="E14" s="2" t="s">
        <v>1573</v>
      </c>
      <c r="F14" s="175">
        <v>0.25</v>
      </c>
      <c r="G14" s="2">
        <v>10</v>
      </c>
      <c r="H14" s="2">
        <v>5</v>
      </c>
      <c r="I14" s="262">
        <f t="shared" si="0"/>
        <v>12.5</v>
      </c>
    </row>
    <row r="15" spans="1:10" x14ac:dyDescent="0.2">
      <c r="B15" s="261" t="s">
        <v>1568</v>
      </c>
      <c r="C15" s="2">
        <v>10</v>
      </c>
      <c r="D15" s="2">
        <v>800</v>
      </c>
      <c r="E15" s="2" t="s">
        <v>1569</v>
      </c>
      <c r="F15" s="175">
        <v>0.2</v>
      </c>
      <c r="G15" s="2">
        <v>25</v>
      </c>
      <c r="H15" s="2">
        <v>2</v>
      </c>
      <c r="I15" s="262">
        <f t="shared" si="0"/>
        <v>10</v>
      </c>
    </row>
    <row r="16" spans="1:10" x14ac:dyDescent="0.2">
      <c r="B16" s="261" t="s">
        <v>1568</v>
      </c>
      <c r="C16" s="2">
        <v>60</v>
      </c>
      <c r="D16" s="2">
        <v>1000</v>
      </c>
      <c r="E16" s="2" t="s">
        <v>1573</v>
      </c>
      <c r="F16" s="175">
        <v>0.15</v>
      </c>
      <c r="G16" s="2">
        <v>25</v>
      </c>
      <c r="H16" s="2">
        <v>1</v>
      </c>
      <c r="I16" s="262">
        <f t="shared" si="0"/>
        <v>3.75</v>
      </c>
    </row>
    <row r="17" spans="2:10" x14ac:dyDescent="0.2">
      <c r="B17" s="261" t="s">
        <v>1568</v>
      </c>
      <c r="C17" s="2">
        <v>80</v>
      </c>
      <c r="D17" s="2">
        <v>1000</v>
      </c>
      <c r="E17" s="2" t="s">
        <v>1573</v>
      </c>
      <c r="F17" s="175">
        <v>0.2</v>
      </c>
      <c r="G17" s="2">
        <v>30</v>
      </c>
      <c r="H17" s="2">
        <v>2</v>
      </c>
      <c r="I17" s="262">
        <f t="shared" si="0"/>
        <v>12</v>
      </c>
    </row>
    <row r="18" spans="2:10" x14ac:dyDescent="0.2">
      <c r="B18" s="261" t="s">
        <v>1568</v>
      </c>
      <c r="C18" s="2">
        <v>100</v>
      </c>
      <c r="D18" s="2">
        <v>2000</v>
      </c>
      <c r="E18" s="2" t="s">
        <v>1569</v>
      </c>
      <c r="F18" s="175">
        <v>0.8</v>
      </c>
      <c r="G18" s="2">
        <v>10</v>
      </c>
      <c r="H18" s="2">
        <v>5</v>
      </c>
      <c r="I18" s="262">
        <f t="shared" si="0"/>
        <v>40</v>
      </c>
    </row>
    <row r="19" spans="2:10" ht="13.5" thickBot="1" x14ac:dyDescent="0.25">
      <c r="B19" s="263" t="s">
        <v>1568</v>
      </c>
      <c r="C19" s="79">
        <v>40</v>
      </c>
      <c r="D19" s="79">
        <v>1000</v>
      </c>
      <c r="E19" s="79" t="s">
        <v>1569</v>
      </c>
      <c r="F19" s="264">
        <v>0.1</v>
      </c>
      <c r="G19" s="79">
        <v>20</v>
      </c>
      <c r="H19" s="79">
        <v>5</v>
      </c>
      <c r="I19" s="262">
        <f t="shared" si="0"/>
        <v>10</v>
      </c>
    </row>
    <row r="20" spans="2:10" ht="13.5" thickTop="1" x14ac:dyDescent="0.2"/>
    <row r="21" spans="2:10" x14ac:dyDescent="0.2">
      <c r="B21" t="s">
        <v>1697</v>
      </c>
    </row>
    <row r="22" spans="2:10" ht="13.5" thickBot="1" x14ac:dyDescent="0.25"/>
    <row r="23" spans="2:10" ht="13.5" thickTop="1" x14ac:dyDescent="0.2">
      <c r="E23" s="265" t="s">
        <v>1564</v>
      </c>
      <c r="F23" s="266" t="s">
        <v>1576</v>
      </c>
    </row>
    <row r="24" spans="2:10" ht="13.5" thickBot="1" x14ac:dyDescent="0.25">
      <c r="D24" s="178" t="s">
        <v>1577</v>
      </c>
      <c r="E24" s="267" t="s">
        <v>1569</v>
      </c>
    </row>
    <row r="25" spans="2:10" ht="13.5" thickTop="1" x14ac:dyDescent="0.2"/>
    <row r="26" spans="2:10" x14ac:dyDescent="0.2">
      <c r="B26" s="62"/>
      <c r="C26" s="62"/>
      <c r="D26" s="268" t="str">
        <f>"The COUNT value of "&amp;E24&amp;" is : "</f>
        <v xml:space="preserve">The COUNT value of Horizon is : </v>
      </c>
      <c r="E26" s="300">
        <f>DCOUNTA(B3:I19,E3,E23:E24)</f>
        <v>8</v>
      </c>
      <c r="F26" s="8" t="s">
        <v>1698</v>
      </c>
    </row>
    <row r="28" spans="2:10" ht="13.5" thickBot="1" x14ac:dyDescent="0.25">
      <c r="B28" s="9" t="s">
        <v>39</v>
      </c>
      <c r="C28" s="9"/>
      <c r="D28" s="9"/>
      <c r="E28" s="9"/>
      <c r="F28" s="9"/>
      <c r="G28" s="9"/>
      <c r="H28" s="9"/>
      <c r="I28" s="9"/>
      <c r="J28" s="9"/>
    </row>
    <row r="29" spans="2:10" x14ac:dyDescent="0.2">
      <c r="B29" t="s">
        <v>1699</v>
      </c>
    </row>
    <row r="30" spans="2:10" x14ac:dyDescent="0.2">
      <c r="B30" t="s">
        <v>1700</v>
      </c>
    </row>
    <row r="32" spans="2:10" ht="13.5" thickBot="1" x14ac:dyDescent="0.25">
      <c r="B32" s="9" t="s">
        <v>43</v>
      </c>
      <c r="C32" s="9"/>
      <c r="D32" s="9"/>
      <c r="E32" s="9"/>
      <c r="F32" s="9"/>
      <c r="G32" s="9"/>
      <c r="H32" s="9"/>
      <c r="I32" s="9"/>
      <c r="J32" s="9"/>
    </row>
    <row r="33" spans="2:10" x14ac:dyDescent="0.2">
      <c r="B33" s="10" t="s">
        <v>1701</v>
      </c>
    </row>
    <row r="34" spans="2:10" ht="18" customHeight="1" x14ac:dyDescent="0.2">
      <c r="B34" t="s">
        <v>1582</v>
      </c>
    </row>
    <row r="35" spans="2:10" x14ac:dyDescent="0.2">
      <c r="B35" t="s">
        <v>1583</v>
      </c>
    </row>
    <row r="36" spans="2:10" ht="18" customHeight="1" x14ac:dyDescent="0.2">
      <c r="B36" t="s">
        <v>1683</v>
      </c>
    </row>
    <row r="37" spans="2:10" ht="18" customHeight="1" x14ac:dyDescent="0.2">
      <c r="B37" t="s">
        <v>1585</v>
      </c>
    </row>
    <row r="38" spans="2:10" x14ac:dyDescent="0.2">
      <c r="B38" t="s">
        <v>1586</v>
      </c>
    </row>
    <row r="39" spans="2:10" x14ac:dyDescent="0.2">
      <c r="B39" t="s">
        <v>1587</v>
      </c>
    </row>
    <row r="40" spans="2:10" ht="18" customHeight="1" x14ac:dyDescent="0.2">
      <c r="B40" t="s">
        <v>1588</v>
      </c>
    </row>
    <row r="41" spans="2:10" x14ac:dyDescent="0.2">
      <c r="B41" t="s">
        <v>1589</v>
      </c>
    </row>
    <row r="43" spans="2:10" ht="13.5" thickBot="1" x14ac:dyDescent="0.25">
      <c r="B43" s="9" t="s">
        <v>45</v>
      </c>
      <c r="C43" s="9"/>
      <c r="D43" s="9"/>
      <c r="E43" s="9"/>
      <c r="F43" s="9"/>
      <c r="G43" s="9"/>
      <c r="H43" s="9"/>
      <c r="I43" s="9"/>
      <c r="J43" s="9"/>
    </row>
    <row r="44" spans="2:10" x14ac:dyDescent="0.2">
      <c r="B44" t="s">
        <v>46</v>
      </c>
    </row>
    <row r="46" spans="2:10" ht="13.5" thickBot="1" x14ac:dyDescent="0.25">
      <c r="B46" s="9" t="s">
        <v>1590</v>
      </c>
      <c r="C46" s="9"/>
      <c r="D46" s="9"/>
      <c r="E46" s="9"/>
      <c r="F46" s="9"/>
      <c r="G46" s="9"/>
      <c r="H46" s="9"/>
      <c r="I46" s="9"/>
      <c r="J46" s="9"/>
    </row>
    <row r="48" spans="2:10" x14ac:dyDescent="0.2">
      <c r="B48" s="270" t="s">
        <v>1702</v>
      </c>
    </row>
    <row r="49" spans="2:10" ht="13.5" thickBot="1" x14ac:dyDescent="0.25"/>
    <row r="50" spans="2:10" ht="26.25" thickTop="1" x14ac:dyDescent="0.2">
      <c r="E50" s="271" t="s">
        <v>1561</v>
      </c>
      <c r="F50" s="301" t="s">
        <v>1563</v>
      </c>
    </row>
    <row r="51" spans="2:10" ht="13.5" thickBot="1" x14ac:dyDescent="0.25">
      <c r="E51" s="48" t="s">
        <v>1568</v>
      </c>
      <c r="F51" s="50" t="s">
        <v>1574</v>
      </c>
    </row>
    <row r="52" spans="2:10" ht="13.5" thickTop="1" x14ac:dyDescent="0.2"/>
    <row r="53" spans="2:10" x14ac:dyDescent="0.2">
      <c r="D53" s="178" t="s">
        <v>1685</v>
      </c>
      <c r="E53" s="300">
        <f>DCOUNTA(B3:I19,D3,E50:F51)</f>
        <v>1</v>
      </c>
      <c r="F53" s="8" t="s">
        <v>1703</v>
      </c>
    </row>
    <row r="55" spans="2:10" x14ac:dyDescent="0.2">
      <c r="B55" t="s">
        <v>1704</v>
      </c>
    </row>
    <row r="57" spans="2:10" x14ac:dyDescent="0.2">
      <c r="E57" s="300">
        <f>DCOUNTA(B3:I19,"Life Hours",E50:F51)</f>
        <v>1</v>
      </c>
      <c r="F57" s="8" t="s">
        <v>1705</v>
      </c>
    </row>
    <row r="59" spans="2:10" ht="18" customHeight="1" x14ac:dyDescent="0.2">
      <c r="B59" s="273" t="s">
        <v>1706</v>
      </c>
      <c r="C59" s="274"/>
      <c r="D59" s="274"/>
      <c r="E59" s="274"/>
      <c r="F59" s="274"/>
      <c r="G59" s="274"/>
      <c r="H59" s="274"/>
      <c r="I59" s="274"/>
      <c r="J59" s="274"/>
    </row>
    <row r="60" spans="2:10" ht="13.5" thickBot="1" x14ac:dyDescent="0.25"/>
    <row r="61" spans="2:10" ht="13.5" thickTop="1" x14ac:dyDescent="0.2">
      <c r="E61" s="271" t="s">
        <v>1561</v>
      </c>
      <c r="F61" s="272" t="s">
        <v>1564</v>
      </c>
    </row>
    <row r="62" spans="2:10" ht="13.5" thickBot="1" x14ac:dyDescent="0.25">
      <c r="E62" s="48" t="s">
        <v>1568</v>
      </c>
      <c r="F62" s="50" t="s">
        <v>1569</v>
      </c>
    </row>
    <row r="63" spans="2:10" ht="13.5" thickTop="1" x14ac:dyDescent="0.2"/>
    <row r="64" spans="2:10" x14ac:dyDescent="0.2">
      <c r="D64" s="178" t="s">
        <v>1690</v>
      </c>
      <c r="E64" s="300">
        <f>DCOUNTA(B3:I19,"Product",E61:F62)</f>
        <v>5</v>
      </c>
      <c r="F64" s="8" t="s">
        <v>1707</v>
      </c>
    </row>
    <row r="66" spans="2:10" x14ac:dyDescent="0.2">
      <c r="B66" s="273" t="s">
        <v>1708</v>
      </c>
      <c r="C66" s="274"/>
      <c r="D66" s="274"/>
      <c r="E66" s="274"/>
      <c r="F66" s="274"/>
      <c r="G66" s="274"/>
      <c r="H66" s="274"/>
      <c r="I66" s="274"/>
      <c r="J66" s="274"/>
    </row>
    <row r="67" spans="2:10" ht="13.5" thickBot="1" x14ac:dyDescent="0.25"/>
    <row r="68" spans="2:10" ht="13.5" thickTop="1" x14ac:dyDescent="0.2">
      <c r="E68" s="271" t="s">
        <v>1561</v>
      </c>
      <c r="F68" s="272" t="s">
        <v>1564</v>
      </c>
    </row>
    <row r="69" spans="2:10" x14ac:dyDescent="0.2">
      <c r="E69" s="44" t="s">
        <v>1571</v>
      </c>
      <c r="F69" s="45" t="s">
        <v>1569</v>
      </c>
    </row>
    <row r="70" spans="2:10" ht="13.5" thickBot="1" x14ac:dyDescent="0.25">
      <c r="E70" s="48" t="s">
        <v>1570</v>
      </c>
      <c r="F70" s="50" t="s">
        <v>1573</v>
      </c>
    </row>
    <row r="71" spans="2:10" ht="13.5" thickTop="1" x14ac:dyDescent="0.2"/>
    <row r="72" spans="2:10" x14ac:dyDescent="0.2">
      <c r="D72" s="178" t="s">
        <v>1690</v>
      </c>
      <c r="E72" s="300">
        <f>DCOUNTA(B3:I19,"Product",E68:F70)</f>
        <v>3</v>
      </c>
      <c r="F72" s="8" t="s">
        <v>1709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4" r:id="rId5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5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37">
    <pageSetUpPr fitToPage="1"/>
  </sheetPr>
  <dimension ref="A1:H33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4.7109375" customWidth="1"/>
    <col min="4" max="5" width="15.28515625" customWidth="1"/>
  </cols>
  <sheetData>
    <row r="1" spans="1:8" ht="18.75" thickBot="1" x14ac:dyDescent="0.3">
      <c r="A1" s="1" t="s">
        <v>1710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C3" s="7" t="s">
        <v>1711</v>
      </c>
      <c r="D3" s="7" t="s">
        <v>1712</v>
      </c>
    </row>
    <row r="4" spans="1:8" x14ac:dyDescent="0.2">
      <c r="C4" s="2">
        <v>0</v>
      </c>
      <c r="D4" s="223" t="str">
        <f t="shared" ref="D4:D14" si="0">DEC2BIN(C4)</f>
        <v>0</v>
      </c>
      <c r="E4" s="8" t="s">
        <v>1713</v>
      </c>
    </row>
    <row r="5" spans="1:8" x14ac:dyDescent="0.2">
      <c r="C5" s="2">
        <v>1</v>
      </c>
      <c r="D5" s="223" t="str">
        <f t="shared" si="0"/>
        <v>1</v>
      </c>
      <c r="E5" s="8" t="s">
        <v>1714</v>
      </c>
    </row>
    <row r="6" spans="1:8" x14ac:dyDescent="0.2">
      <c r="C6" s="2">
        <v>2</v>
      </c>
      <c r="D6" s="223" t="str">
        <f t="shared" si="0"/>
        <v>10</v>
      </c>
      <c r="E6" s="8" t="s">
        <v>1715</v>
      </c>
    </row>
    <row r="7" spans="1:8" x14ac:dyDescent="0.2">
      <c r="C7" s="2">
        <v>3</v>
      </c>
      <c r="D7" s="223" t="str">
        <f t="shared" si="0"/>
        <v>11</v>
      </c>
      <c r="E7" s="8" t="s">
        <v>1716</v>
      </c>
    </row>
    <row r="8" spans="1:8" x14ac:dyDescent="0.2">
      <c r="C8" s="2">
        <v>511</v>
      </c>
      <c r="D8" s="223" t="str">
        <f t="shared" si="0"/>
        <v>111111111</v>
      </c>
      <c r="E8" s="8" t="s">
        <v>1717</v>
      </c>
    </row>
    <row r="9" spans="1:8" x14ac:dyDescent="0.2">
      <c r="C9" s="2">
        <v>512</v>
      </c>
      <c r="D9" s="223" t="e">
        <f t="shared" si="0"/>
        <v>#NUM!</v>
      </c>
      <c r="E9" s="8" t="s">
        <v>1718</v>
      </c>
    </row>
    <row r="10" spans="1:8" x14ac:dyDescent="0.2">
      <c r="C10" s="2">
        <v>-1</v>
      </c>
      <c r="D10" s="223" t="str">
        <f t="shared" si="0"/>
        <v>1111111111</v>
      </c>
      <c r="E10" s="8" t="s">
        <v>1719</v>
      </c>
    </row>
    <row r="11" spans="1:8" x14ac:dyDescent="0.2">
      <c r="C11" s="2">
        <v>-2</v>
      </c>
      <c r="D11" s="223" t="str">
        <f t="shared" si="0"/>
        <v>1111111110</v>
      </c>
      <c r="E11" s="8" t="s">
        <v>1720</v>
      </c>
    </row>
    <row r="12" spans="1:8" x14ac:dyDescent="0.2">
      <c r="C12" s="2">
        <v>-3</v>
      </c>
      <c r="D12" s="223" t="str">
        <f t="shared" si="0"/>
        <v>1111111101</v>
      </c>
      <c r="E12" s="8" t="s">
        <v>1721</v>
      </c>
    </row>
    <row r="13" spans="1:8" x14ac:dyDescent="0.2">
      <c r="C13" s="2">
        <v>-511</v>
      </c>
      <c r="D13" s="223" t="str">
        <f t="shared" si="0"/>
        <v>1000000001</v>
      </c>
      <c r="E13" s="8" t="s">
        <v>1722</v>
      </c>
    </row>
    <row r="14" spans="1:8" x14ac:dyDescent="0.2">
      <c r="C14" s="2">
        <v>-512</v>
      </c>
      <c r="D14" s="223" t="str">
        <f t="shared" si="0"/>
        <v>1000000000</v>
      </c>
      <c r="E14" s="8" t="s">
        <v>1723</v>
      </c>
    </row>
    <row r="16" spans="1:8" x14ac:dyDescent="0.2">
      <c r="C16" s="7" t="s">
        <v>1711</v>
      </c>
      <c r="D16" s="5" t="s">
        <v>1724</v>
      </c>
      <c r="E16" s="7" t="s">
        <v>1712</v>
      </c>
    </row>
    <row r="17" spans="2:8" x14ac:dyDescent="0.2">
      <c r="C17" s="2">
        <v>1</v>
      </c>
      <c r="D17" s="2">
        <v>1</v>
      </c>
      <c r="E17" s="223" t="str">
        <f>DEC2BIN(C17,D17)</f>
        <v>1</v>
      </c>
      <c r="F17" s="8" t="s">
        <v>1725</v>
      </c>
    </row>
    <row r="18" spans="2:8" x14ac:dyDescent="0.2">
      <c r="C18" s="2">
        <v>1</v>
      </c>
      <c r="D18" s="2">
        <v>2</v>
      </c>
      <c r="E18" s="223" t="str">
        <f>DEC2BIN(C18,D18)</f>
        <v>01</v>
      </c>
      <c r="F18" s="8" t="s">
        <v>1726</v>
      </c>
    </row>
    <row r="19" spans="2:8" x14ac:dyDescent="0.2">
      <c r="C19" s="2">
        <v>1</v>
      </c>
      <c r="D19" s="2">
        <v>3</v>
      </c>
      <c r="E19" s="223" t="str">
        <f>DEC2BIN(C19,D19)</f>
        <v>001</v>
      </c>
      <c r="F19" s="8" t="s">
        <v>1727</v>
      </c>
    </row>
    <row r="20" spans="2:8" x14ac:dyDescent="0.2">
      <c r="C20" s="2">
        <v>1</v>
      </c>
      <c r="D20" s="2">
        <v>9</v>
      </c>
      <c r="E20" s="223" t="str">
        <f>DEC2BIN(C20,D20)</f>
        <v>000000001</v>
      </c>
      <c r="F20" s="8" t="s">
        <v>1728</v>
      </c>
    </row>
    <row r="21" spans="2:8" x14ac:dyDescent="0.2">
      <c r="C21" s="2">
        <v>-1</v>
      </c>
      <c r="D21" s="2">
        <v>1</v>
      </c>
      <c r="E21" s="223" t="str">
        <f>DEC2BIN(C21,D21)</f>
        <v>1111111111</v>
      </c>
      <c r="F21" s="8" t="s">
        <v>1729</v>
      </c>
    </row>
    <row r="23" spans="2:8" ht="13.5" thickBot="1" x14ac:dyDescent="0.25">
      <c r="B23" s="9" t="s">
        <v>39</v>
      </c>
      <c r="C23" s="9"/>
      <c r="D23" s="9"/>
      <c r="E23" s="9"/>
      <c r="F23" s="9"/>
      <c r="G23" s="9"/>
      <c r="H23" s="9"/>
    </row>
    <row r="24" spans="2:8" x14ac:dyDescent="0.2">
      <c r="B24" t="s">
        <v>1730</v>
      </c>
    </row>
    <row r="25" spans="2:8" x14ac:dyDescent="0.2">
      <c r="B25" t="s">
        <v>1731</v>
      </c>
    </row>
    <row r="26" spans="2:8" x14ac:dyDescent="0.2">
      <c r="B26" t="s">
        <v>1732</v>
      </c>
    </row>
    <row r="28" spans="2:8" ht="13.5" thickBot="1" x14ac:dyDescent="0.25">
      <c r="B28" s="9" t="s">
        <v>43</v>
      </c>
      <c r="C28" s="9"/>
      <c r="D28" s="9"/>
      <c r="E28" s="9"/>
      <c r="F28" s="9"/>
      <c r="G28" s="9"/>
      <c r="H28" s="9"/>
    </row>
    <row r="29" spans="2:8" x14ac:dyDescent="0.2">
      <c r="B29" s="10" t="s">
        <v>1733</v>
      </c>
    </row>
    <row r="30" spans="2:8" x14ac:dyDescent="0.2">
      <c r="B30" t="s">
        <v>1734</v>
      </c>
    </row>
    <row r="32" spans="2:8" ht="13.5" thickBot="1" x14ac:dyDescent="0.25">
      <c r="B32" s="9" t="s">
        <v>45</v>
      </c>
      <c r="C32" s="9"/>
      <c r="D32" s="9"/>
      <c r="E32" s="9"/>
      <c r="F32" s="9"/>
      <c r="G32" s="9"/>
      <c r="H32" s="9"/>
    </row>
    <row r="33" spans="2:2" x14ac:dyDescent="0.2">
      <c r="B33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537" r:id="rId4" name="Button 1">
              <controlPr defaultSize="0" print="0" autoFill="0" autoLine="0" autoPict="0">
                <anchor>
                  <from>
                    <xdr:col>6</xdr:col>
                    <xdr:colOff>333375</xdr:colOff>
                    <xdr:row>0</xdr:row>
                    <xdr:rowOff>38100</xdr:rowOff>
                  </from>
                  <to>
                    <xdr:col>7</xdr:col>
                    <xdr:colOff>209550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38" r:id="rId5" name="Button 2">
              <controlPr defaultSize="0" print="0" autoFill="0" autoLine="0" autoPict="0">
                <anchor>
                  <from>
                    <xdr:col>7</xdr:col>
                    <xdr:colOff>276225</xdr:colOff>
                    <xdr:row>0</xdr:row>
                    <xdr:rowOff>38100</xdr:rowOff>
                  </from>
                  <to>
                    <xdr:col>7</xdr:col>
                    <xdr:colOff>485775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39" r:id="rId6" name="Button 3">
              <controlPr defaultSize="0" print="0" autoFill="0" autoLine="0" autoPict="0">
                <anchor>
                  <from>
                    <xdr:col>6</xdr:col>
                    <xdr:colOff>57150</xdr:colOff>
                    <xdr:row>0</xdr:row>
                    <xdr:rowOff>38100</xdr:rowOff>
                  </from>
                  <to>
                    <xdr:col>6</xdr:col>
                    <xdr:colOff>266700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38">
    <pageSetUpPr fitToPage="1"/>
  </sheetPr>
  <dimension ref="A1:H39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5" width="15.28515625" customWidth="1"/>
    <col min="8" max="8" width="8.42578125" customWidth="1"/>
  </cols>
  <sheetData>
    <row r="1" spans="1:8" ht="18.75" thickBot="1" x14ac:dyDescent="0.3">
      <c r="A1" s="1" t="s">
        <v>1735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C3" s="5" t="s">
        <v>1711</v>
      </c>
      <c r="D3" s="5" t="s">
        <v>1736</v>
      </c>
    </row>
    <row r="4" spans="1:8" x14ac:dyDescent="0.2">
      <c r="C4" s="2">
        <v>0</v>
      </c>
      <c r="D4" s="223" t="str">
        <f t="shared" ref="D4:D20" si="0">DEC2HEX(C4)</f>
        <v>0</v>
      </c>
      <c r="E4" s="8" t="s">
        <v>1737</v>
      </c>
    </row>
    <row r="5" spans="1:8" x14ac:dyDescent="0.2">
      <c r="C5" s="2">
        <v>1</v>
      </c>
      <c r="D5" s="223" t="str">
        <f t="shared" si="0"/>
        <v>1</v>
      </c>
      <c r="E5" s="8" t="s">
        <v>1738</v>
      </c>
    </row>
    <row r="6" spans="1:8" x14ac:dyDescent="0.2">
      <c r="C6" s="2">
        <v>2</v>
      </c>
      <c r="D6" s="223" t="str">
        <f t="shared" si="0"/>
        <v>2</v>
      </c>
      <c r="E6" s="8" t="s">
        <v>1739</v>
      </c>
    </row>
    <row r="7" spans="1:8" x14ac:dyDescent="0.2">
      <c r="C7" s="2">
        <v>3</v>
      </c>
      <c r="D7" s="223" t="str">
        <f t="shared" si="0"/>
        <v>3</v>
      </c>
      <c r="E7" s="8" t="s">
        <v>1740</v>
      </c>
    </row>
    <row r="8" spans="1:8" x14ac:dyDescent="0.2">
      <c r="C8" s="2">
        <v>25</v>
      </c>
      <c r="D8" s="223" t="str">
        <f t="shared" si="0"/>
        <v>19</v>
      </c>
      <c r="E8" s="8" t="s">
        <v>1741</v>
      </c>
    </row>
    <row r="9" spans="1:8" x14ac:dyDescent="0.2">
      <c r="C9" s="2">
        <v>26</v>
      </c>
      <c r="D9" s="223" t="str">
        <f t="shared" si="0"/>
        <v>1A</v>
      </c>
      <c r="E9" s="8" t="s">
        <v>1742</v>
      </c>
    </row>
    <row r="10" spans="1:8" x14ac:dyDescent="0.2">
      <c r="C10" s="2">
        <v>27</v>
      </c>
      <c r="D10" s="223" t="str">
        <f t="shared" si="0"/>
        <v>1B</v>
      </c>
      <c r="E10" s="8" t="s">
        <v>1743</v>
      </c>
    </row>
    <row r="11" spans="1:8" x14ac:dyDescent="0.2">
      <c r="C11" s="2">
        <v>28</v>
      </c>
      <c r="D11" s="223" t="str">
        <f t="shared" si="0"/>
        <v>1C</v>
      </c>
      <c r="E11" s="8" t="s">
        <v>1744</v>
      </c>
    </row>
    <row r="12" spans="1:8" x14ac:dyDescent="0.2">
      <c r="C12" s="2">
        <v>-1</v>
      </c>
      <c r="D12" s="223" t="str">
        <f t="shared" si="0"/>
        <v>FFFFFFFFFF</v>
      </c>
      <c r="E12" s="8" t="s">
        <v>1745</v>
      </c>
    </row>
    <row r="13" spans="1:8" x14ac:dyDescent="0.2">
      <c r="C13" s="2">
        <v>-2</v>
      </c>
      <c r="D13" s="223" t="str">
        <f t="shared" si="0"/>
        <v>FFFFFFFFFE</v>
      </c>
      <c r="E13" s="8" t="s">
        <v>1746</v>
      </c>
    </row>
    <row r="14" spans="1:8" x14ac:dyDescent="0.2">
      <c r="C14" s="2">
        <v>-3</v>
      </c>
      <c r="D14" s="223" t="str">
        <f t="shared" si="0"/>
        <v>FFFFFFFFFD</v>
      </c>
      <c r="E14" s="8" t="s">
        <v>1747</v>
      </c>
    </row>
    <row r="15" spans="1:8" x14ac:dyDescent="0.2">
      <c r="C15" s="2">
        <v>-2</v>
      </c>
      <c r="D15" s="223" t="str">
        <f t="shared" si="0"/>
        <v>FFFFFFFFFE</v>
      </c>
      <c r="E15" s="8" t="s">
        <v>1748</v>
      </c>
    </row>
    <row r="16" spans="1:8" x14ac:dyDescent="0.2">
      <c r="C16" s="2">
        <v>-1</v>
      </c>
      <c r="D16" s="223" t="str">
        <f t="shared" si="0"/>
        <v>FFFFFFFFFF</v>
      </c>
      <c r="E16" s="8" t="s">
        <v>1749</v>
      </c>
    </row>
    <row r="17" spans="2:8" x14ac:dyDescent="0.2">
      <c r="C17" s="303">
        <v>549755813887</v>
      </c>
      <c r="D17" s="223" t="str">
        <f t="shared" si="0"/>
        <v>7FFFFFFFFF</v>
      </c>
      <c r="E17" s="8" t="s">
        <v>1750</v>
      </c>
    </row>
    <row r="18" spans="2:8" x14ac:dyDescent="0.2">
      <c r="C18" s="303">
        <v>-549755813888</v>
      </c>
      <c r="D18" s="223" t="str">
        <f t="shared" si="0"/>
        <v>8000000000</v>
      </c>
      <c r="E18" s="8" t="s">
        <v>1751</v>
      </c>
    </row>
    <row r="19" spans="2:8" x14ac:dyDescent="0.2">
      <c r="C19" s="303">
        <v>549755813888</v>
      </c>
      <c r="D19" s="223" t="e">
        <f t="shared" si="0"/>
        <v>#NUM!</v>
      </c>
      <c r="E19" s="8" t="s">
        <v>1752</v>
      </c>
    </row>
    <row r="20" spans="2:8" x14ac:dyDescent="0.2">
      <c r="C20" s="303">
        <v>-549755813889</v>
      </c>
      <c r="D20" s="223" t="e">
        <f t="shared" si="0"/>
        <v>#NUM!</v>
      </c>
      <c r="E20" s="8" t="s">
        <v>1753</v>
      </c>
    </row>
    <row r="22" spans="2:8" x14ac:dyDescent="0.2">
      <c r="C22" s="7" t="s">
        <v>1711</v>
      </c>
      <c r="D22" s="5" t="s">
        <v>1724</v>
      </c>
      <c r="E22" s="5" t="s">
        <v>1736</v>
      </c>
    </row>
    <row r="23" spans="2:8" x14ac:dyDescent="0.2">
      <c r="C23" s="2">
        <v>1</v>
      </c>
      <c r="D23" s="2">
        <v>1</v>
      </c>
      <c r="E23" s="223" t="str">
        <f>DEC2HEX(C23,D23)</f>
        <v>1</v>
      </c>
      <c r="F23" s="8" t="s">
        <v>1754</v>
      </c>
    </row>
    <row r="24" spans="2:8" x14ac:dyDescent="0.2">
      <c r="C24" s="2">
        <v>1</v>
      </c>
      <c r="D24" s="2">
        <v>2</v>
      </c>
      <c r="E24" s="223" t="str">
        <f>DEC2HEX(C24,D24)</f>
        <v>01</v>
      </c>
      <c r="F24" s="8" t="s">
        <v>1755</v>
      </c>
    </row>
    <row r="25" spans="2:8" x14ac:dyDescent="0.2">
      <c r="C25" s="2">
        <v>26</v>
      </c>
      <c r="D25" s="2">
        <v>3</v>
      </c>
      <c r="E25" s="223" t="str">
        <f>DEC2HEX(C25,D25)</f>
        <v>01A</v>
      </c>
      <c r="F25" s="8" t="s">
        <v>1756</v>
      </c>
    </row>
    <row r="26" spans="2:8" x14ac:dyDescent="0.2">
      <c r="C26" s="2">
        <v>26</v>
      </c>
      <c r="D26" s="2">
        <v>9</v>
      </c>
      <c r="E26" s="223" t="str">
        <f>DEC2HEX(C26,D26)</f>
        <v>00000001A</v>
      </c>
      <c r="F26" s="8" t="s">
        <v>1757</v>
      </c>
    </row>
    <row r="27" spans="2:8" x14ac:dyDescent="0.2">
      <c r="C27" s="2">
        <v>-26</v>
      </c>
      <c r="D27" s="2">
        <v>1</v>
      </c>
      <c r="E27" s="223" t="str">
        <f>DEC2HEX(C27,D27)</f>
        <v>FFFFFFFFE6</v>
      </c>
      <c r="F27" s="8" t="s">
        <v>1758</v>
      </c>
    </row>
    <row r="29" spans="2:8" ht="13.5" thickBot="1" x14ac:dyDescent="0.25">
      <c r="B29" s="9" t="s">
        <v>39</v>
      </c>
      <c r="C29" s="9"/>
      <c r="D29" s="9"/>
      <c r="E29" s="9"/>
      <c r="F29" s="9"/>
      <c r="G29" s="9"/>
      <c r="H29" s="9"/>
    </row>
    <row r="30" spans="2:8" x14ac:dyDescent="0.2">
      <c r="B30" t="s">
        <v>1759</v>
      </c>
    </row>
    <row r="31" spans="2:8" x14ac:dyDescent="0.2">
      <c r="B31" t="s">
        <v>1760</v>
      </c>
    </row>
    <row r="32" spans="2:8" x14ac:dyDescent="0.2">
      <c r="B32" t="s">
        <v>1732</v>
      </c>
    </row>
    <row r="34" spans="2:8" ht="13.5" thickBot="1" x14ac:dyDescent="0.25">
      <c r="B34" s="9" t="s">
        <v>43</v>
      </c>
      <c r="C34" s="9"/>
      <c r="D34" s="9"/>
      <c r="E34" s="9"/>
      <c r="F34" s="9"/>
      <c r="G34" s="9"/>
      <c r="H34" s="9"/>
    </row>
    <row r="35" spans="2:8" x14ac:dyDescent="0.2">
      <c r="B35" s="10" t="s">
        <v>1761</v>
      </c>
    </row>
    <row r="36" spans="2:8" x14ac:dyDescent="0.2">
      <c r="B36" t="s">
        <v>1734</v>
      </c>
    </row>
    <row r="38" spans="2:8" ht="13.5" thickBot="1" x14ac:dyDescent="0.25">
      <c r="B38" s="9" t="s">
        <v>45</v>
      </c>
      <c r="C38" s="9"/>
      <c r="D38" s="9"/>
      <c r="E38" s="9"/>
      <c r="F38" s="9"/>
      <c r="G38" s="9"/>
      <c r="H38" s="9"/>
    </row>
    <row r="39" spans="2:8" x14ac:dyDescent="0.2">
      <c r="B39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6561" r:id="rId4" name="Button 1">
              <controlPr defaultSize="0" print="0" autoFill="0" autoLine="0" autoPict="0">
                <anchor>
                  <from>
                    <xdr:col>6</xdr:col>
                    <xdr:colOff>285750</xdr:colOff>
                    <xdr:row>0</xdr:row>
                    <xdr:rowOff>38100</xdr:rowOff>
                  </from>
                  <to>
                    <xdr:col>7</xdr:col>
                    <xdr:colOff>152400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2" r:id="rId5" name="Button 2">
              <controlPr defaultSize="0" print="0" autoFill="0" autoLine="0" autoPict="0">
                <anchor>
                  <from>
                    <xdr:col>7</xdr:col>
                    <xdr:colOff>219075</xdr:colOff>
                    <xdr:row>0</xdr:row>
                    <xdr:rowOff>38100</xdr:rowOff>
                  </from>
                  <to>
                    <xdr:col>7</xdr:col>
                    <xdr:colOff>419100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3" r:id="rId6" name="Button 3">
              <controlPr defaultSize="0" print="0" autoFill="0" autoLine="0" autoPict="0">
                <anchor>
                  <from>
                    <xdr:col>6</xdr:col>
                    <xdr:colOff>19050</xdr:colOff>
                    <xdr:row>0</xdr:row>
                    <xdr:rowOff>38100</xdr:rowOff>
                  </from>
                  <to>
                    <xdr:col>6</xdr:col>
                    <xdr:colOff>228600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39">
    <pageSetUpPr fitToPage="1"/>
  </sheetPr>
  <dimension ref="A1:J37"/>
  <sheetViews>
    <sheetView showGridLines="0" workbookViewId="0">
      <selection activeCell="F30" activeCellId="4" sqref="F16 K30 G30 P30 F30"/>
    </sheetView>
  </sheetViews>
  <sheetFormatPr defaultRowHeight="12.75" x14ac:dyDescent="0.2"/>
  <cols>
    <col min="1" max="1" width="2.7109375" customWidth="1"/>
    <col min="4" max="4" width="9.85546875" customWidth="1"/>
    <col min="10" max="10" width="7.85546875" customWidth="1"/>
  </cols>
  <sheetData>
    <row r="1" spans="1:10" ht="18.75" thickBot="1" x14ac:dyDescent="0.3">
      <c r="A1" s="1" t="s">
        <v>1762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x14ac:dyDescent="0.2">
      <c r="C3" s="5" t="s">
        <v>1763</v>
      </c>
      <c r="D3" s="5" t="s">
        <v>1764</v>
      </c>
      <c r="E3" s="5" t="s">
        <v>1765</v>
      </c>
    </row>
    <row r="4" spans="1:10" x14ac:dyDescent="0.2">
      <c r="C4" s="2">
        <v>10</v>
      </c>
      <c r="D4" s="2">
        <v>20</v>
      </c>
      <c r="E4" s="3">
        <f t="shared" ref="E4:E10" si="0">DELTA(C4,D4)</f>
        <v>0</v>
      </c>
      <c r="F4" s="8" t="s">
        <v>1766</v>
      </c>
    </row>
    <row r="5" spans="1:10" x14ac:dyDescent="0.2">
      <c r="C5" s="2">
        <v>50</v>
      </c>
      <c r="D5" s="2">
        <v>50</v>
      </c>
      <c r="E5" s="3">
        <f t="shared" si="0"/>
        <v>1</v>
      </c>
      <c r="F5" s="8" t="s">
        <v>1767</v>
      </c>
    </row>
    <row r="6" spans="1:10" x14ac:dyDescent="0.2">
      <c r="C6" s="2">
        <v>17.5</v>
      </c>
      <c r="D6" s="2">
        <v>17.5</v>
      </c>
      <c r="E6" s="3">
        <f t="shared" si="0"/>
        <v>1</v>
      </c>
      <c r="F6" s="8" t="s">
        <v>1768</v>
      </c>
    </row>
    <row r="7" spans="1:10" x14ac:dyDescent="0.2">
      <c r="C7" s="2">
        <v>17.5</v>
      </c>
      <c r="D7" s="304">
        <v>17.5</v>
      </c>
      <c r="E7" s="3">
        <f t="shared" si="0"/>
        <v>1</v>
      </c>
      <c r="F7" s="8" t="s">
        <v>1769</v>
      </c>
    </row>
    <row r="8" spans="1:10" x14ac:dyDescent="0.2">
      <c r="C8" s="177">
        <v>0.17499999999999999</v>
      </c>
      <c r="D8" s="2">
        <v>0.17499999999999999</v>
      </c>
      <c r="E8" s="3">
        <f t="shared" si="0"/>
        <v>1</v>
      </c>
      <c r="F8" s="8" t="s">
        <v>1770</v>
      </c>
    </row>
    <row r="9" spans="1:10" x14ac:dyDescent="0.2">
      <c r="C9" s="2" t="s">
        <v>58</v>
      </c>
      <c r="D9" s="2" t="s">
        <v>58</v>
      </c>
      <c r="E9" s="3" t="e">
        <f t="shared" si="0"/>
        <v>#VALUE!</v>
      </c>
      <c r="F9" s="8" t="s">
        <v>1771</v>
      </c>
    </row>
    <row r="10" spans="1:10" x14ac:dyDescent="0.2">
      <c r="C10" s="2"/>
      <c r="D10" s="2"/>
      <c r="E10" s="3">
        <f t="shared" si="0"/>
        <v>1</v>
      </c>
      <c r="F10" s="8" t="s">
        <v>1772</v>
      </c>
    </row>
    <row r="12" spans="1:10" ht="13.5" thickBot="1" x14ac:dyDescent="0.25">
      <c r="B12" s="9" t="s">
        <v>39</v>
      </c>
      <c r="C12" s="9"/>
      <c r="D12" s="9"/>
      <c r="E12" s="9"/>
      <c r="F12" s="9"/>
      <c r="G12" s="9"/>
      <c r="H12" s="9"/>
      <c r="I12" s="9"/>
      <c r="J12" s="9"/>
    </row>
    <row r="13" spans="1:10" x14ac:dyDescent="0.2">
      <c r="B13" t="s">
        <v>1773</v>
      </c>
    </row>
    <row r="14" spans="1:10" x14ac:dyDescent="0.2">
      <c r="B14" t="s">
        <v>1774</v>
      </c>
    </row>
    <row r="15" spans="1:10" x14ac:dyDescent="0.2">
      <c r="B15" t="s">
        <v>1775</v>
      </c>
    </row>
    <row r="16" spans="1:10" x14ac:dyDescent="0.2">
      <c r="B16" t="s">
        <v>1776</v>
      </c>
    </row>
    <row r="17" spans="2:10" x14ac:dyDescent="0.2">
      <c r="B17" t="s">
        <v>1777</v>
      </c>
    </row>
    <row r="19" spans="2:10" ht="13.5" thickBot="1" x14ac:dyDescent="0.25">
      <c r="B19" s="9" t="s">
        <v>43</v>
      </c>
      <c r="C19" s="9"/>
      <c r="D19" s="9"/>
      <c r="E19" s="9"/>
      <c r="F19" s="9"/>
      <c r="G19" s="9"/>
      <c r="H19" s="9"/>
      <c r="I19" s="9"/>
      <c r="J19" s="9"/>
    </row>
    <row r="20" spans="2:10" x14ac:dyDescent="0.2">
      <c r="B20" s="10" t="s">
        <v>1778</v>
      </c>
    </row>
    <row r="22" spans="2:10" ht="13.5" thickBot="1" x14ac:dyDescent="0.25">
      <c r="B22" s="9" t="s">
        <v>45</v>
      </c>
      <c r="C22" s="9"/>
      <c r="D22" s="9"/>
      <c r="E22" s="9"/>
      <c r="F22" s="9"/>
      <c r="G22" s="9"/>
      <c r="H22" s="9"/>
      <c r="I22" s="9"/>
      <c r="J22" s="9"/>
    </row>
    <row r="23" spans="2:10" x14ac:dyDescent="0.2">
      <c r="B23" t="s">
        <v>46</v>
      </c>
    </row>
    <row r="25" spans="2:10" ht="13.5" thickBot="1" x14ac:dyDescent="0.25">
      <c r="B25" s="9" t="s">
        <v>85</v>
      </c>
      <c r="C25" s="9"/>
      <c r="D25" s="9"/>
      <c r="E25" s="9"/>
      <c r="F25" s="9"/>
      <c r="G25" s="9"/>
      <c r="H25" s="9"/>
      <c r="I25" s="9"/>
      <c r="J25" s="9"/>
    </row>
    <row r="26" spans="2:10" x14ac:dyDescent="0.2">
      <c r="B26" t="s">
        <v>1779</v>
      </c>
    </row>
    <row r="27" spans="2:10" x14ac:dyDescent="0.2">
      <c r="B27" t="s">
        <v>1780</v>
      </c>
    </row>
    <row r="29" spans="2:10" x14ac:dyDescent="0.2">
      <c r="C29" s="5" t="s">
        <v>1763</v>
      </c>
      <c r="D29" s="5" t="s">
        <v>1764</v>
      </c>
      <c r="E29" s="5" t="s">
        <v>1765</v>
      </c>
    </row>
    <row r="30" spans="2:10" x14ac:dyDescent="0.2">
      <c r="C30" s="2">
        <v>10</v>
      </c>
      <c r="D30" s="2">
        <v>20</v>
      </c>
      <c r="E30" s="3">
        <f t="shared" ref="E30:E36" si="1">DELTA(C30,D30)</f>
        <v>0</v>
      </c>
      <c r="F30" s="8" t="s">
        <v>1781</v>
      </c>
    </row>
    <row r="31" spans="2:10" x14ac:dyDescent="0.2">
      <c r="C31" s="2">
        <v>50</v>
      </c>
      <c r="D31" s="2">
        <v>50</v>
      </c>
      <c r="E31" s="3">
        <f t="shared" si="1"/>
        <v>1</v>
      </c>
      <c r="F31" s="8" t="s">
        <v>1782</v>
      </c>
    </row>
    <row r="32" spans="2:10" x14ac:dyDescent="0.2">
      <c r="C32" s="2">
        <v>30</v>
      </c>
      <c r="D32" s="2">
        <v>30</v>
      </c>
      <c r="E32" s="3">
        <f t="shared" si="1"/>
        <v>1</v>
      </c>
      <c r="F32" s="8" t="s">
        <v>1783</v>
      </c>
    </row>
    <row r="33" spans="3:6" x14ac:dyDescent="0.2">
      <c r="C33" s="2">
        <v>17.5</v>
      </c>
      <c r="D33" s="304">
        <v>17.5</v>
      </c>
      <c r="E33" s="3">
        <f t="shared" si="1"/>
        <v>1</v>
      </c>
      <c r="F33" s="8" t="s">
        <v>1784</v>
      </c>
    </row>
    <row r="34" spans="3:6" x14ac:dyDescent="0.2">
      <c r="C34" s="2">
        <v>12</v>
      </c>
      <c r="D34" s="2">
        <v>8</v>
      </c>
      <c r="E34" s="3">
        <f t="shared" si="1"/>
        <v>0</v>
      </c>
      <c r="F34" s="8" t="s">
        <v>1785</v>
      </c>
    </row>
    <row r="35" spans="3:6" x14ac:dyDescent="0.2">
      <c r="C35" s="2">
        <v>100</v>
      </c>
      <c r="D35" s="2">
        <v>100</v>
      </c>
      <c r="E35" s="3">
        <f t="shared" si="1"/>
        <v>1</v>
      </c>
      <c r="F35" s="8" t="s">
        <v>1786</v>
      </c>
    </row>
    <row r="36" spans="3:6" x14ac:dyDescent="0.2">
      <c r="C36" s="2">
        <v>150</v>
      </c>
      <c r="D36" s="2">
        <v>125</v>
      </c>
      <c r="E36" s="3">
        <f t="shared" si="1"/>
        <v>0</v>
      </c>
      <c r="F36" s="8" t="s">
        <v>1787</v>
      </c>
    </row>
    <row r="37" spans="3:6" x14ac:dyDescent="0.2">
      <c r="D37" s="57" t="s">
        <v>1788</v>
      </c>
      <c r="E37" s="3">
        <f>SUM(E30:E36)</f>
        <v>4</v>
      </c>
      <c r="F37" s="8" t="s">
        <v>1789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7585" r:id="rId4" name="Button 1">
              <controlPr defaultSize="0" print="0" autoFill="0" autoLine="0" autoPict="0">
                <anchor>
                  <from>
                    <xdr:col>8</xdr:col>
                    <xdr:colOff>323850</xdr:colOff>
                    <xdr:row>0</xdr:row>
                    <xdr:rowOff>38100</xdr:rowOff>
                  </from>
                  <to>
                    <xdr:col>9</xdr:col>
                    <xdr:colOff>190500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6" r:id="rId5" name="Button 2">
              <controlPr defaultSize="0" print="0" autoFill="0" autoLine="0" autoPict="0">
                <anchor>
                  <from>
                    <xdr:col>9</xdr:col>
                    <xdr:colOff>257175</xdr:colOff>
                    <xdr:row>0</xdr:row>
                    <xdr:rowOff>38100</xdr:rowOff>
                  </from>
                  <to>
                    <xdr:col>9</xdr:col>
                    <xdr:colOff>457200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7" r:id="rId6" name="Button 3">
              <controlPr defaultSize="0" print="0" autoFill="0" autoLine="0" autoPict="0">
                <anchor>
                  <from>
                    <xdr:col>8</xdr:col>
                    <xdr:colOff>57150</xdr:colOff>
                    <xdr:row>0</xdr:row>
                    <xdr:rowOff>38100</xdr:rowOff>
                  </from>
                  <to>
                    <xdr:col>8</xdr:col>
                    <xdr:colOff>266700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40">
    <pageSetUpPr fitToPage="1"/>
  </sheetPr>
  <dimension ref="A1:J91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10" max="10" width="8.42578125" customWidth="1"/>
  </cols>
  <sheetData>
    <row r="1" spans="1:10" ht="18.75" thickBot="1" x14ac:dyDescent="0.3">
      <c r="A1" s="1" t="s">
        <v>1790</v>
      </c>
      <c r="B1" s="1"/>
      <c r="C1" s="1"/>
      <c r="D1" s="1"/>
      <c r="E1" s="1"/>
      <c r="F1" s="1"/>
      <c r="G1" s="1"/>
      <c r="H1" s="1"/>
      <c r="I1" s="1"/>
      <c r="J1" s="1"/>
    </row>
    <row r="2" spans="1:10" ht="14.25" thickTop="1" thickBot="1" x14ac:dyDescent="0.25">
      <c r="A2" s="62"/>
      <c r="B2" s="62"/>
      <c r="C2" s="62"/>
      <c r="D2" s="62"/>
      <c r="E2" s="62"/>
      <c r="F2" s="62"/>
      <c r="G2" s="62"/>
      <c r="H2" s="62"/>
      <c r="I2" s="299" t="s">
        <v>1560</v>
      </c>
    </row>
    <row r="3" spans="1:10" ht="26.25" thickTop="1" x14ac:dyDescent="0.2">
      <c r="A3" s="62"/>
      <c r="B3" s="258" t="s">
        <v>1561</v>
      </c>
      <c r="C3" s="259" t="s">
        <v>1562</v>
      </c>
      <c r="D3" s="259" t="s">
        <v>1563</v>
      </c>
      <c r="E3" s="259" t="s">
        <v>1564</v>
      </c>
      <c r="F3" s="259" t="s">
        <v>351</v>
      </c>
      <c r="G3" s="259" t="s">
        <v>1565</v>
      </c>
      <c r="H3" s="259" t="s">
        <v>1566</v>
      </c>
      <c r="I3" s="260" t="s">
        <v>1567</v>
      </c>
    </row>
    <row r="4" spans="1:10" x14ac:dyDescent="0.2">
      <c r="B4" s="261" t="s">
        <v>1568</v>
      </c>
      <c r="C4" s="2">
        <v>200</v>
      </c>
      <c r="D4" s="2">
        <v>3000</v>
      </c>
      <c r="E4" s="2" t="s">
        <v>1569</v>
      </c>
      <c r="F4" s="175">
        <v>4.5</v>
      </c>
      <c r="G4" s="2">
        <v>4</v>
      </c>
      <c r="H4" s="2">
        <v>3</v>
      </c>
      <c r="I4" s="262">
        <f t="shared" ref="I4:I19" si="0">F4*G4*H4</f>
        <v>54</v>
      </c>
    </row>
    <row r="5" spans="1:10" x14ac:dyDescent="0.2">
      <c r="B5" s="261" t="s">
        <v>1570</v>
      </c>
      <c r="C5" s="2">
        <v>100</v>
      </c>
      <c r="D5" s="2">
        <v>2000</v>
      </c>
      <c r="E5" s="2" t="s">
        <v>1569</v>
      </c>
      <c r="F5" s="175">
        <v>2</v>
      </c>
      <c r="G5" s="2">
        <v>15</v>
      </c>
      <c r="H5" s="2">
        <v>2</v>
      </c>
      <c r="I5" s="262">
        <f t="shared" si="0"/>
        <v>60</v>
      </c>
    </row>
    <row r="6" spans="1:10" x14ac:dyDescent="0.2">
      <c r="B6" s="261" t="s">
        <v>1571</v>
      </c>
      <c r="C6" s="2">
        <v>60</v>
      </c>
      <c r="D6" s="2"/>
      <c r="E6" s="2"/>
      <c r="F6" s="175"/>
      <c r="G6" s="2"/>
      <c r="H6" s="2"/>
      <c r="I6" s="262">
        <f t="shared" si="0"/>
        <v>0</v>
      </c>
    </row>
    <row r="7" spans="1:10" x14ac:dyDescent="0.2">
      <c r="B7" s="261" t="s">
        <v>1572</v>
      </c>
      <c r="C7" s="2">
        <v>10</v>
      </c>
      <c r="D7" s="2">
        <v>8000</v>
      </c>
      <c r="E7" s="2" t="s">
        <v>1573</v>
      </c>
      <c r="F7" s="175">
        <v>0.8</v>
      </c>
      <c r="G7" s="2">
        <v>25</v>
      </c>
      <c r="H7" s="2">
        <v>6</v>
      </c>
      <c r="I7" s="262">
        <f t="shared" si="0"/>
        <v>120</v>
      </c>
    </row>
    <row r="8" spans="1:10" x14ac:dyDescent="0.2">
      <c r="B8" s="261" t="s">
        <v>1568</v>
      </c>
      <c r="C8" s="2">
        <v>80</v>
      </c>
      <c r="D8" s="2">
        <v>1000</v>
      </c>
      <c r="E8" s="2" t="s">
        <v>1569</v>
      </c>
      <c r="F8" s="175">
        <v>0.2</v>
      </c>
      <c r="G8" s="2">
        <v>40</v>
      </c>
      <c r="H8" s="2">
        <v>3</v>
      </c>
      <c r="I8" s="262">
        <f t="shared" si="0"/>
        <v>24</v>
      </c>
    </row>
    <row r="9" spans="1:10" x14ac:dyDescent="0.2">
      <c r="B9" s="261" t="s">
        <v>1571</v>
      </c>
      <c r="C9" s="2">
        <v>100</v>
      </c>
      <c r="D9" s="2" t="s">
        <v>1574</v>
      </c>
      <c r="E9" s="2" t="s">
        <v>1569</v>
      </c>
      <c r="F9" s="175">
        <v>1.25</v>
      </c>
      <c r="G9" s="2">
        <v>10</v>
      </c>
      <c r="H9" s="2">
        <v>4</v>
      </c>
      <c r="I9" s="262">
        <f t="shared" si="0"/>
        <v>50</v>
      </c>
    </row>
    <row r="10" spans="1:10" x14ac:dyDescent="0.2">
      <c r="B10" s="261" t="s">
        <v>1571</v>
      </c>
      <c r="C10" s="2">
        <v>200</v>
      </c>
      <c r="D10" s="2">
        <v>3000</v>
      </c>
      <c r="E10" s="2" t="s">
        <v>1569</v>
      </c>
      <c r="F10" s="175">
        <v>2.5</v>
      </c>
      <c r="G10" s="2">
        <v>15</v>
      </c>
      <c r="H10" s="2">
        <v>1</v>
      </c>
      <c r="I10" s="262">
        <f t="shared" si="0"/>
        <v>37.5</v>
      </c>
    </row>
    <row r="11" spans="1:10" x14ac:dyDescent="0.2">
      <c r="B11" s="261" t="s">
        <v>1572</v>
      </c>
      <c r="C11" s="2">
        <v>25</v>
      </c>
      <c r="D11" s="2" t="s">
        <v>1574</v>
      </c>
      <c r="E11" s="2" t="s">
        <v>1573</v>
      </c>
      <c r="F11" s="175">
        <v>0.5</v>
      </c>
      <c r="G11" s="2">
        <v>10</v>
      </c>
      <c r="H11" s="2">
        <v>3</v>
      </c>
      <c r="I11" s="262">
        <f t="shared" si="0"/>
        <v>15</v>
      </c>
    </row>
    <row r="12" spans="1:10" x14ac:dyDescent="0.2">
      <c r="B12" s="261" t="s">
        <v>1568</v>
      </c>
      <c r="C12" s="2">
        <v>200</v>
      </c>
      <c r="D12" s="2">
        <v>3000</v>
      </c>
      <c r="E12" s="2" t="s">
        <v>1573</v>
      </c>
      <c r="F12" s="175">
        <v>5</v>
      </c>
      <c r="G12" s="2">
        <v>3</v>
      </c>
      <c r="H12" s="2">
        <v>2</v>
      </c>
      <c r="I12" s="262">
        <f t="shared" si="0"/>
        <v>30</v>
      </c>
    </row>
    <row r="13" spans="1:10" x14ac:dyDescent="0.2">
      <c r="B13" s="261" t="s">
        <v>1570</v>
      </c>
      <c r="C13" s="2">
        <v>100</v>
      </c>
      <c r="D13" s="2">
        <v>2000</v>
      </c>
      <c r="E13" s="2" t="s">
        <v>1573</v>
      </c>
      <c r="F13" s="175">
        <v>1.8</v>
      </c>
      <c r="G13" s="2">
        <v>20</v>
      </c>
      <c r="H13" s="2">
        <v>5</v>
      </c>
      <c r="I13" s="262">
        <f t="shared" si="0"/>
        <v>180</v>
      </c>
    </row>
    <row r="14" spans="1:10" x14ac:dyDescent="0.2">
      <c r="B14" s="261" t="s">
        <v>1568</v>
      </c>
      <c r="C14" s="2">
        <v>100</v>
      </c>
      <c r="D14" s="2" t="s">
        <v>1574</v>
      </c>
      <c r="E14" s="2" t="s">
        <v>1573</v>
      </c>
      <c r="F14" s="175">
        <v>0.25</v>
      </c>
      <c r="G14" s="2">
        <v>10</v>
      </c>
      <c r="H14" s="2">
        <v>5</v>
      </c>
      <c r="I14" s="262">
        <f t="shared" si="0"/>
        <v>12.5</v>
      </c>
    </row>
    <row r="15" spans="1:10" x14ac:dyDescent="0.2">
      <c r="B15" s="261" t="s">
        <v>1568</v>
      </c>
      <c r="C15" s="2">
        <v>10</v>
      </c>
      <c r="D15" s="2">
        <v>800</v>
      </c>
      <c r="E15" s="2" t="s">
        <v>1569</v>
      </c>
      <c r="F15" s="175">
        <v>0.2</v>
      </c>
      <c r="G15" s="2">
        <v>25</v>
      </c>
      <c r="H15" s="2">
        <v>2</v>
      </c>
      <c r="I15" s="262">
        <f t="shared" si="0"/>
        <v>10</v>
      </c>
    </row>
    <row r="16" spans="1:10" x14ac:dyDescent="0.2">
      <c r="B16" s="261" t="s">
        <v>1568</v>
      </c>
      <c r="C16" s="2">
        <v>60</v>
      </c>
      <c r="D16" s="2">
        <v>1000</v>
      </c>
      <c r="E16" s="2" t="s">
        <v>1573</v>
      </c>
      <c r="F16" s="175">
        <v>0.15</v>
      </c>
      <c r="G16" s="2">
        <v>25</v>
      </c>
      <c r="H16" s="2">
        <v>1</v>
      </c>
      <c r="I16" s="262">
        <f t="shared" si="0"/>
        <v>3.75</v>
      </c>
    </row>
    <row r="17" spans="2:10" x14ac:dyDescent="0.2">
      <c r="B17" s="261" t="s">
        <v>1568</v>
      </c>
      <c r="C17" s="2">
        <v>80</v>
      </c>
      <c r="D17" s="2">
        <v>1000</v>
      </c>
      <c r="E17" s="2" t="s">
        <v>1573</v>
      </c>
      <c r="F17" s="175">
        <v>0.2</v>
      </c>
      <c r="G17" s="2">
        <v>30</v>
      </c>
      <c r="H17" s="2">
        <v>2</v>
      </c>
      <c r="I17" s="262">
        <f t="shared" si="0"/>
        <v>12</v>
      </c>
    </row>
    <row r="18" spans="2:10" x14ac:dyDescent="0.2">
      <c r="B18" s="261" t="s">
        <v>1568</v>
      </c>
      <c r="C18" s="2">
        <v>100</v>
      </c>
      <c r="D18" s="2">
        <v>2000</v>
      </c>
      <c r="E18" s="2" t="s">
        <v>1569</v>
      </c>
      <c r="F18" s="175">
        <v>0.8</v>
      </c>
      <c r="G18" s="2">
        <v>10</v>
      </c>
      <c r="H18" s="2">
        <v>5</v>
      </c>
      <c r="I18" s="262">
        <f t="shared" si="0"/>
        <v>40</v>
      </c>
    </row>
    <row r="19" spans="2:10" ht="13.5" thickBot="1" x14ac:dyDescent="0.25">
      <c r="B19" s="263" t="s">
        <v>1568</v>
      </c>
      <c r="C19" s="79">
        <v>40</v>
      </c>
      <c r="D19" s="79">
        <v>1000</v>
      </c>
      <c r="E19" s="79" t="s">
        <v>1569</v>
      </c>
      <c r="F19" s="264">
        <v>0.1</v>
      </c>
      <c r="G19" s="79">
        <v>20</v>
      </c>
      <c r="H19" s="79">
        <v>5</v>
      </c>
      <c r="I19" s="262">
        <f t="shared" si="0"/>
        <v>10</v>
      </c>
    </row>
    <row r="20" spans="2:10" ht="13.5" thickTop="1" x14ac:dyDescent="0.2"/>
    <row r="21" spans="2:10" x14ac:dyDescent="0.2">
      <c r="B21" t="s">
        <v>1791</v>
      </c>
    </row>
    <row r="22" spans="2:10" ht="13.5" thickBot="1" x14ac:dyDescent="0.25"/>
    <row r="23" spans="2:10" ht="26.25" thickTop="1" x14ac:dyDescent="0.2">
      <c r="C23" s="305" t="s">
        <v>1561</v>
      </c>
      <c r="D23" s="306" t="s">
        <v>1562</v>
      </c>
      <c r="E23" s="306" t="s">
        <v>1563</v>
      </c>
      <c r="F23" s="307" t="s">
        <v>1564</v>
      </c>
    </row>
    <row r="24" spans="2:10" ht="13.5" thickBot="1" x14ac:dyDescent="0.25">
      <c r="C24" s="308" t="s">
        <v>1568</v>
      </c>
      <c r="D24" s="309">
        <v>100</v>
      </c>
      <c r="E24" s="309"/>
      <c r="F24" s="310" t="s">
        <v>1569</v>
      </c>
    </row>
    <row r="25" spans="2:10" ht="13.5" thickTop="1" x14ac:dyDescent="0.2"/>
    <row r="26" spans="2:10" x14ac:dyDescent="0.2">
      <c r="E26" s="178" t="s">
        <v>1792</v>
      </c>
      <c r="F26" s="3">
        <f>DGET(B3:I19,H3,C23:F24)</f>
        <v>5</v>
      </c>
      <c r="G26" s="8" t="s">
        <v>1793</v>
      </c>
    </row>
    <row r="28" spans="2:10" ht="13.5" thickBot="1" x14ac:dyDescent="0.25">
      <c r="B28" s="9" t="s">
        <v>39</v>
      </c>
      <c r="C28" s="9"/>
      <c r="D28" s="9"/>
      <c r="E28" s="9"/>
      <c r="F28" s="9"/>
      <c r="G28" s="9"/>
      <c r="H28" s="9"/>
      <c r="I28" s="9"/>
      <c r="J28" s="9"/>
    </row>
    <row r="29" spans="2:10" x14ac:dyDescent="0.2">
      <c r="B29" t="s">
        <v>1794</v>
      </c>
    </row>
    <row r="30" spans="2:10" x14ac:dyDescent="0.2">
      <c r="B30" t="s">
        <v>1795</v>
      </c>
    </row>
    <row r="31" spans="2:10" x14ac:dyDescent="0.2">
      <c r="B31" t="s">
        <v>1796</v>
      </c>
    </row>
    <row r="33" spans="2:10" ht="13.5" thickBot="1" x14ac:dyDescent="0.25">
      <c r="B33" s="9" t="s">
        <v>43</v>
      </c>
      <c r="C33" s="9"/>
      <c r="D33" s="9"/>
      <c r="E33" s="9"/>
      <c r="F33" s="9"/>
      <c r="G33" s="9"/>
      <c r="H33" s="9"/>
      <c r="I33" s="9"/>
      <c r="J33" s="9"/>
    </row>
    <row r="34" spans="2:10" x14ac:dyDescent="0.2">
      <c r="B34" s="10" t="s">
        <v>1797</v>
      </c>
    </row>
    <row r="35" spans="2:10" ht="18" customHeight="1" x14ac:dyDescent="0.2">
      <c r="B35" t="s">
        <v>1582</v>
      </c>
    </row>
    <row r="36" spans="2:10" x14ac:dyDescent="0.2">
      <c r="B36" t="s">
        <v>1583</v>
      </c>
    </row>
    <row r="37" spans="2:10" ht="18" customHeight="1" x14ac:dyDescent="0.2">
      <c r="B37" t="s">
        <v>1798</v>
      </c>
    </row>
    <row r="38" spans="2:10" ht="18" customHeight="1" x14ac:dyDescent="0.2">
      <c r="B38" t="s">
        <v>1585</v>
      </c>
    </row>
    <row r="39" spans="2:10" x14ac:dyDescent="0.2">
      <c r="B39" t="s">
        <v>1586</v>
      </c>
    </row>
    <row r="40" spans="2:10" x14ac:dyDescent="0.2">
      <c r="B40" t="s">
        <v>1587</v>
      </c>
    </row>
    <row r="41" spans="2:10" ht="18" customHeight="1" x14ac:dyDescent="0.2">
      <c r="B41" t="s">
        <v>1799</v>
      </c>
    </row>
    <row r="42" spans="2:10" x14ac:dyDescent="0.2">
      <c r="B42" t="s">
        <v>1589</v>
      </c>
    </row>
    <row r="44" spans="2:10" ht="13.5" thickBot="1" x14ac:dyDescent="0.25">
      <c r="B44" s="9" t="s">
        <v>45</v>
      </c>
      <c r="C44" s="9"/>
      <c r="D44" s="9"/>
      <c r="E44" s="9"/>
      <c r="F44" s="9"/>
      <c r="G44" s="9"/>
      <c r="H44" s="9"/>
      <c r="I44" s="9"/>
      <c r="J44" s="9"/>
    </row>
    <row r="45" spans="2:10" x14ac:dyDescent="0.2">
      <c r="B45" t="s">
        <v>46</v>
      </c>
    </row>
    <row r="47" spans="2:10" ht="13.5" thickBot="1" x14ac:dyDescent="0.25">
      <c r="B47" s="9" t="s">
        <v>286</v>
      </c>
      <c r="C47" s="9"/>
      <c r="D47" s="9"/>
      <c r="E47" s="9"/>
      <c r="F47" s="9"/>
      <c r="G47" s="9"/>
      <c r="H47" s="9"/>
      <c r="I47" s="9"/>
      <c r="J47" s="9"/>
    </row>
    <row r="48" spans="2:10" x14ac:dyDescent="0.2">
      <c r="B48" s="311" t="s">
        <v>1800</v>
      </c>
      <c r="C48" s="312"/>
      <c r="D48" s="312"/>
      <c r="E48" s="312"/>
      <c r="F48" s="312"/>
      <c r="G48" s="312"/>
      <c r="H48" s="312"/>
      <c r="I48" s="312"/>
      <c r="J48" s="312"/>
    </row>
    <row r="50" spans="2:10" x14ac:dyDescent="0.2">
      <c r="B50" t="s">
        <v>1791</v>
      </c>
    </row>
    <row r="51" spans="2:10" ht="13.5" thickBot="1" x14ac:dyDescent="0.25"/>
    <row r="52" spans="2:10" ht="26.25" thickTop="1" x14ac:dyDescent="0.2">
      <c r="C52" s="305" t="s">
        <v>1561</v>
      </c>
      <c r="D52" s="306" t="s">
        <v>1562</v>
      </c>
      <c r="E52" s="306" t="s">
        <v>1563</v>
      </c>
      <c r="F52" s="307" t="s">
        <v>1564</v>
      </c>
    </row>
    <row r="53" spans="2:10" ht="13.5" thickBot="1" x14ac:dyDescent="0.25">
      <c r="C53" s="308" t="s">
        <v>1568</v>
      </c>
      <c r="D53" s="309">
        <v>100</v>
      </c>
      <c r="E53" s="309"/>
      <c r="F53" s="310" t="s">
        <v>1569</v>
      </c>
    </row>
    <row r="54" spans="2:10" ht="13.5" thickTop="1" x14ac:dyDescent="0.2"/>
    <row r="55" spans="2:10" x14ac:dyDescent="0.2">
      <c r="E55" s="178" t="s">
        <v>1792</v>
      </c>
      <c r="F55" s="3">
        <f>DGET(B3:I19,H3,C52:F53)</f>
        <v>5</v>
      </c>
      <c r="G55" s="8" t="s">
        <v>1801</v>
      </c>
    </row>
    <row r="58" spans="2:10" ht="13.5" thickBot="1" x14ac:dyDescent="0.25">
      <c r="B58" s="9" t="s">
        <v>305</v>
      </c>
      <c r="C58" s="9"/>
      <c r="D58" s="9"/>
      <c r="E58" s="9"/>
      <c r="F58" s="9"/>
      <c r="G58" s="9"/>
      <c r="H58" s="9"/>
      <c r="I58" s="9"/>
      <c r="J58" s="9"/>
    </row>
    <row r="59" spans="2:10" x14ac:dyDescent="0.2">
      <c r="B59" s="311" t="s">
        <v>1802</v>
      </c>
      <c r="C59" s="312"/>
      <c r="D59" s="312"/>
      <c r="E59" s="312"/>
      <c r="F59" s="312"/>
      <c r="G59" s="312"/>
      <c r="H59" s="312"/>
      <c r="I59" s="312"/>
      <c r="J59" s="312"/>
    </row>
    <row r="61" spans="2:10" x14ac:dyDescent="0.2">
      <c r="B61" t="s">
        <v>1791</v>
      </c>
    </row>
    <row r="62" spans="2:10" ht="13.5" thickBot="1" x14ac:dyDescent="0.25"/>
    <row r="63" spans="2:10" ht="26.25" thickTop="1" x14ac:dyDescent="0.2">
      <c r="C63" s="305" t="s">
        <v>1561</v>
      </c>
      <c r="D63" s="306" t="s">
        <v>1562</v>
      </c>
      <c r="E63" s="306" t="s">
        <v>1563</v>
      </c>
      <c r="F63" s="307" t="s">
        <v>1564</v>
      </c>
    </row>
    <row r="64" spans="2:10" ht="13.5" thickBot="1" x14ac:dyDescent="0.25">
      <c r="C64" s="308" t="s">
        <v>1568</v>
      </c>
      <c r="D64" s="309">
        <v>100</v>
      </c>
      <c r="E64" s="309"/>
      <c r="F64" s="310"/>
    </row>
    <row r="65" spans="2:10" ht="13.5" thickTop="1" x14ac:dyDescent="0.2"/>
    <row r="66" spans="2:10" x14ac:dyDescent="0.2">
      <c r="E66" s="178" t="s">
        <v>1792</v>
      </c>
      <c r="F66" s="3" t="e">
        <f>DGET(B3:I19,H3,C63:F64)</f>
        <v>#NUM!</v>
      </c>
      <c r="G66" s="8" t="s">
        <v>1803</v>
      </c>
    </row>
    <row r="69" spans="2:10" ht="13.5" thickBot="1" x14ac:dyDescent="0.25">
      <c r="B69" s="9" t="s">
        <v>323</v>
      </c>
      <c r="C69" s="9"/>
      <c r="D69" s="9"/>
      <c r="E69" s="9"/>
      <c r="F69" s="9"/>
      <c r="G69" s="9"/>
      <c r="H69" s="9"/>
      <c r="I69" s="9"/>
      <c r="J69" s="9"/>
    </row>
    <row r="70" spans="2:10" x14ac:dyDescent="0.2">
      <c r="B70" s="311" t="s">
        <v>1804</v>
      </c>
      <c r="C70" s="312"/>
      <c r="D70" s="312"/>
      <c r="E70" s="312"/>
      <c r="F70" s="312"/>
      <c r="G70" s="312"/>
      <c r="H70" s="312"/>
      <c r="I70" s="312"/>
      <c r="J70" s="312"/>
    </row>
    <row r="72" spans="2:10" x14ac:dyDescent="0.2">
      <c r="B72" t="s">
        <v>1791</v>
      </c>
    </row>
    <row r="73" spans="2:10" ht="13.5" thickBot="1" x14ac:dyDescent="0.25"/>
    <row r="74" spans="2:10" ht="26.25" thickTop="1" x14ac:dyDescent="0.2">
      <c r="C74" s="305" t="s">
        <v>1561</v>
      </c>
      <c r="D74" s="306" t="s">
        <v>1562</v>
      </c>
      <c r="E74" s="306" t="s">
        <v>1563</v>
      </c>
      <c r="F74" s="307" t="s">
        <v>1564</v>
      </c>
    </row>
    <row r="75" spans="2:10" ht="13.5" thickBot="1" x14ac:dyDescent="0.25">
      <c r="C75" s="308" t="s">
        <v>1568</v>
      </c>
      <c r="D75" s="309">
        <v>9999</v>
      </c>
      <c r="E75" s="309"/>
      <c r="F75" s="310"/>
    </row>
    <row r="76" spans="2:10" ht="13.5" thickTop="1" x14ac:dyDescent="0.2"/>
    <row r="77" spans="2:10" x14ac:dyDescent="0.2">
      <c r="E77" s="178" t="s">
        <v>1792</v>
      </c>
      <c r="F77" s="3" t="e">
        <f>DGET(B3:I19,H3,C74:F75)</f>
        <v>#VALUE!</v>
      </c>
      <c r="G77" s="8" t="s">
        <v>1805</v>
      </c>
    </row>
    <row r="80" spans="2:10" ht="13.5" thickBot="1" x14ac:dyDescent="0.25">
      <c r="B80" s="9" t="s">
        <v>822</v>
      </c>
      <c r="C80" s="9"/>
      <c r="D80" s="9"/>
      <c r="E80" s="9"/>
      <c r="F80" s="9"/>
      <c r="G80" s="9"/>
      <c r="H80" s="9"/>
      <c r="I80" s="9"/>
      <c r="J80" s="9"/>
    </row>
    <row r="81" spans="2:10" x14ac:dyDescent="0.2">
      <c r="B81" s="311" t="s">
        <v>1806</v>
      </c>
      <c r="C81" s="312"/>
      <c r="D81" s="312"/>
      <c r="E81" s="312"/>
      <c r="F81" s="312"/>
      <c r="G81" s="312"/>
      <c r="H81" s="312"/>
      <c r="I81" s="312"/>
      <c r="J81" s="312"/>
    </row>
    <row r="83" spans="2:10" x14ac:dyDescent="0.2">
      <c r="B83" t="s">
        <v>1791</v>
      </c>
    </row>
    <row r="84" spans="2:10" ht="13.5" thickBot="1" x14ac:dyDescent="0.25"/>
    <row r="85" spans="2:10" ht="26.25" thickTop="1" x14ac:dyDescent="0.2">
      <c r="C85" s="305" t="s">
        <v>1561</v>
      </c>
      <c r="D85" s="306" t="s">
        <v>1562</v>
      </c>
      <c r="E85" s="306" t="s">
        <v>1563</v>
      </c>
      <c r="F85" s="307" t="s">
        <v>1564</v>
      </c>
    </row>
    <row r="86" spans="2:10" ht="13.5" thickBot="1" x14ac:dyDescent="0.25">
      <c r="C86" s="308" t="s">
        <v>1568</v>
      </c>
      <c r="D86" s="309">
        <v>9999</v>
      </c>
      <c r="E86" s="309"/>
      <c r="F86" s="310"/>
    </row>
    <row r="87" spans="2:10" ht="13.5" thickTop="1" x14ac:dyDescent="0.2"/>
    <row r="88" spans="2:10" x14ac:dyDescent="0.2">
      <c r="E88" s="178" t="s">
        <v>1792</v>
      </c>
      <c r="F88" s="3" t="e">
        <f>DGET(B3:I19,H3,C85:F86)</f>
        <v>#VALUE!</v>
      </c>
      <c r="G88" s="8" t="s">
        <v>1807</v>
      </c>
    </row>
    <row r="90" spans="2:10" x14ac:dyDescent="0.2">
      <c r="E90" s="313"/>
      <c r="F90" s="314" t="str">
        <f>IF(ISERR(F88),CHOOSE(ERROR.TYPE(F88)/3,"No such product.","Duplicates products found."),"One product found.")</f>
        <v>No such product.</v>
      </c>
      <c r="G90" s="315"/>
    </row>
    <row r="91" spans="2:10" x14ac:dyDescent="0.2">
      <c r="F91" s="316" t="s">
        <v>1808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8609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0" r:id="rId5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1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42">
    <pageSetUpPr fitToPage="1"/>
  </sheetPr>
  <dimension ref="A1:J70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10" max="10" width="8.42578125" customWidth="1"/>
  </cols>
  <sheetData>
    <row r="1" spans="1:10" ht="18.75" thickBot="1" x14ac:dyDescent="0.3">
      <c r="A1" s="1" t="s">
        <v>1809</v>
      </c>
      <c r="B1" s="1"/>
      <c r="C1" s="1"/>
      <c r="D1" s="1"/>
      <c r="E1" s="1"/>
      <c r="F1" s="1"/>
      <c r="G1" s="1"/>
      <c r="H1" s="1"/>
      <c r="I1" s="1"/>
      <c r="J1" s="1"/>
    </row>
    <row r="2" spans="1:10" ht="14.25" thickTop="1" thickBot="1" x14ac:dyDescent="0.25">
      <c r="A2" s="62"/>
      <c r="B2" s="62"/>
      <c r="C2" s="62"/>
      <c r="D2" s="62"/>
      <c r="E2" s="62"/>
      <c r="F2" s="62"/>
      <c r="G2" s="62"/>
      <c r="H2" s="62"/>
      <c r="I2" s="299" t="s">
        <v>1560</v>
      </c>
    </row>
    <row r="3" spans="1:10" ht="26.25" thickTop="1" x14ac:dyDescent="0.2">
      <c r="A3" s="62"/>
      <c r="B3" s="258" t="s">
        <v>1561</v>
      </c>
      <c r="C3" s="259" t="s">
        <v>1562</v>
      </c>
      <c r="D3" s="259" t="s">
        <v>1563</v>
      </c>
      <c r="E3" s="259" t="s">
        <v>1564</v>
      </c>
      <c r="F3" s="259" t="s">
        <v>351</v>
      </c>
      <c r="G3" s="259" t="s">
        <v>1565</v>
      </c>
      <c r="H3" s="259" t="s">
        <v>1566</v>
      </c>
      <c r="I3" s="260" t="s">
        <v>1567</v>
      </c>
    </row>
    <row r="4" spans="1:10" x14ac:dyDescent="0.2">
      <c r="B4" s="261" t="s">
        <v>1568</v>
      </c>
      <c r="C4" s="2">
        <v>200</v>
      </c>
      <c r="D4" s="2">
        <v>3000</v>
      </c>
      <c r="E4" s="2" t="s">
        <v>1569</v>
      </c>
      <c r="F4" s="175">
        <v>4.5</v>
      </c>
      <c r="G4" s="2">
        <v>4</v>
      </c>
      <c r="H4" s="2">
        <v>3</v>
      </c>
      <c r="I4" s="262">
        <f t="shared" ref="I4:I19" si="0">F4*G4*H4</f>
        <v>54</v>
      </c>
    </row>
    <row r="5" spans="1:10" x14ac:dyDescent="0.2">
      <c r="B5" s="261" t="s">
        <v>1570</v>
      </c>
      <c r="C5" s="2">
        <v>100</v>
      </c>
      <c r="D5" s="2">
        <v>2000</v>
      </c>
      <c r="E5" s="2" t="s">
        <v>1569</v>
      </c>
      <c r="F5" s="175">
        <v>2</v>
      </c>
      <c r="G5" s="2">
        <v>15</v>
      </c>
      <c r="H5" s="2">
        <v>2</v>
      </c>
      <c r="I5" s="262">
        <f t="shared" si="0"/>
        <v>60</v>
      </c>
    </row>
    <row r="6" spans="1:10" x14ac:dyDescent="0.2">
      <c r="B6" s="261" t="s">
        <v>1571</v>
      </c>
      <c r="C6" s="2">
        <v>60</v>
      </c>
      <c r="D6" s="2"/>
      <c r="E6" s="2"/>
      <c r="F6" s="175"/>
      <c r="G6" s="2"/>
      <c r="H6" s="2"/>
      <c r="I6" s="262">
        <f t="shared" si="0"/>
        <v>0</v>
      </c>
    </row>
    <row r="7" spans="1:10" x14ac:dyDescent="0.2">
      <c r="B7" s="261" t="s">
        <v>1572</v>
      </c>
      <c r="C7" s="2">
        <v>10</v>
      </c>
      <c r="D7" s="2">
        <v>8000</v>
      </c>
      <c r="E7" s="2" t="s">
        <v>1573</v>
      </c>
      <c r="F7" s="175">
        <v>0.8</v>
      </c>
      <c r="G7" s="2">
        <v>25</v>
      </c>
      <c r="H7" s="2">
        <v>6</v>
      </c>
      <c r="I7" s="262">
        <f t="shared" si="0"/>
        <v>120</v>
      </c>
    </row>
    <row r="8" spans="1:10" x14ac:dyDescent="0.2">
      <c r="B8" s="261" t="s">
        <v>1568</v>
      </c>
      <c r="C8" s="2">
        <v>80</v>
      </c>
      <c r="D8" s="2">
        <v>1000</v>
      </c>
      <c r="E8" s="2" t="s">
        <v>1569</v>
      </c>
      <c r="F8" s="175">
        <v>0.2</v>
      </c>
      <c r="G8" s="2">
        <v>40</v>
      </c>
      <c r="H8" s="2">
        <v>3</v>
      </c>
      <c r="I8" s="262">
        <f t="shared" si="0"/>
        <v>24</v>
      </c>
    </row>
    <row r="9" spans="1:10" x14ac:dyDescent="0.2">
      <c r="B9" s="261" t="s">
        <v>1571</v>
      </c>
      <c r="C9" s="2">
        <v>100</v>
      </c>
      <c r="D9" s="2" t="s">
        <v>1574</v>
      </c>
      <c r="E9" s="2" t="s">
        <v>1569</v>
      </c>
      <c r="F9" s="175">
        <v>1.25</v>
      </c>
      <c r="G9" s="2">
        <v>10</v>
      </c>
      <c r="H9" s="2">
        <v>4</v>
      </c>
      <c r="I9" s="262">
        <f t="shared" si="0"/>
        <v>50</v>
      </c>
    </row>
    <row r="10" spans="1:10" x14ac:dyDescent="0.2">
      <c r="B10" s="261" t="s">
        <v>1571</v>
      </c>
      <c r="C10" s="2">
        <v>200</v>
      </c>
      <c r="D10" s="2">
        <v>3000</v>
      </c>
      <c r="E10" s="2" t="s">
        <v>1569</v>
      </c>
      <c r="F10" s="175">
        <v>2.5</v>
      </c>
      <c r="G10" s="2">
        <v>15</v>
      </c>
      <c r="H10" s="2">
        <v>1</v>
      </c>
      <c r="I10" s="262">
        <f t="shared" si="0"/>
        <v>37.5</v>
      </c>
    </row>
    <row r="11" spans="1:10" x14ac:dyDescent="0.2">
      <c r="B11" s="261" t="s">
        <v>1572</v>
      </c>
      <c r="C11" s="2">
        <v>25</v>
      </c>
      <c r="D11" s="2" t="s">
        <v>1574</v>
      </c>
      <c r="E11" s="2" t="s">
        <v>1573</v>
      </c>
      <c r="F11" s="175">
        <v>0.5</v>
      </c>
      <c r="G11" s="2">
        <v>10</v>
      </c>
      <c r="H11" s="2">
        <v>3</v>
      </c>
      <c r="I11" s="262">
        <f t="shared" si="0"/>
        <v>15</v>
      </c>
    </row>
    <row r="12" spans="1:10" x14ac:dyDescent="0.2">
      <c r="B12" s="261" t="s">
        <v>1568</v>
      </c>
      <c r="C12" s="2">
        <v>200</v>
      </c>
      <c r="D12" s="2">
        <v>3000</v>
      </c>
      <c r="E12" s="2" t="s">
        <v>1573</v>
      </c>
      <c r="F12" s="175">
        <v>5</v>
      </c>
      <c r="G12" s="2">
        <v>3</v>
      </c>
      <c r="H12" s="2">
        <v>2</v>
      </c>
      <c r="I12" s="262">
        <f t="shared" si="0"/>
        <v>30</v>
      </c>
    </row>
    <row r="13" spans="1:10" x14ac:dyDescent="0.2">
      <c r="B13" s="261" t="s">
        <v>1570</v>
      </c>
      <c r="C13" s="2">
        <v>100</v>
      </c>
      <c r="D13" s="2">
        <v>2000</v>
      </c>
      <c r="E13" s="2" t="s">
        <v>1573</v>
      </c>
      <c r="F13" s="175">
        <v>1.8</v>
      </c>
      <c r="G13" s="2">
        <v>20</v>
      </c>
      <c r="H13" s="2">
        <v>5</v>
      </c>
      <c r="I13" s="262">
        <f t="shared" si="0"/>
        <v>180</v>
      </c>
    </row>
    <row r="14" spans="1:10" x14ac:dyDescent="0.2">
      <c r="B14" s="261" t="s">
        <v>1568</v>
      </c>
      <c r="C14" s="2">
        <v>100</v>
      </c>
      <c r="D14" s="2" t="s">
        <v>1574</v>
      </c>
      <c r="E14" s="2" t="s">
        <v>1573</v>
      </c>
      <c r="F14" s="175">
        <v>0.25</v>
      </c>
      <c r="G14" s="2">
        <v>10</v>
      </c>
      <c r="H14" s="2">
        <v>5</v>
      </c>
      <c r="I14" s="262">
        <f t="shared" si="0"/>
        <v>12.5</v>
      </c>
    </row>
    <row r="15" spans="1:10" x14ac:dyDescent="0.2">
      <c r="B15" s="261" t="s">
        <v>1568</v>
      </c>
      <c r="C15" s="2">
        <v>10</v>
      </c>
      <c r="D15" s="2">
        <v>800</v>
      </c>
      <c r="E15" s="2" t="s">
        <v>1569</v>
      </c>
      <c r="F15" s="175">
        <v>0.2</v>
      </c>
      <c r="G15" s="2">
        <v>25</v>
      </c>
      <c r="H15" s="2">
        <v>2</v>
      </c>
      <c r="I15" s="262">
        <f t="shared" si="0"/>
        <v>10</v>
      </c>
    </row>
    <row r="16" spans="1:10" x14ac:dyDescent="0.2">
      <c r="B16" s="261" t="s">
        <v>1568</v>
      </c>
      <c r="C16" s="2">
        <v>60</v>
      </c>
      <c r="D16" s="2">
        <v>1000</v>
      </c>
      <c r="E16" s="2" t="s">
        <v>1573</v>
      </c>
      <c r="F16" s="175">
        <v>0.15</v>
      </c>
      <c r="G16" s="2">
        <v>25</v>
      </c>
      <c r="H16" s="2">
        <v>1</v>
      </c>
      <c r="I16" s="262">
        <f t="shared" si="0"/>
        <v>3.75</v>
      </c>
    </row>
    <row r="17" spans="2:10" x14ac:dyDescent="0.2">
      <c r="B17" s="261" t="s">
        <v>1568</v>
      </c>
      <c r="C17" s="2">
        <v>80</v>
      </c>
      <c r="D17" s="2">
        <v>1000</v>
      </c>
      <c r="E17" s="2" t="s">
        <v>1573</v>
      </c>
      <c r="F17" s="175">
        <v>0.2</v>
      </c>
      <c r="G17" s="2">
        <v>30</v>
      </c>
      <c r="H17" s="2">
        <v>2</v>
      </c>
      <c r="I17" s="262">
        <f t="shared" si="0"/>
        <v>12</v>
      </c>
    </row>
    <row r="18" spans="2:10" x14ac:dyDescent="0.2">
      <c r="B18" s="261" t="s">
        <v>1568</v>
      </c>
      <c r="C18" s="2">
        <v>100</v>
      </c>
      <c r="D18" s="2">
        <v>2000</v>
      </c>
      <c r="E18" s="2" t="s">
        <v>1569</v>
      </c>
      <c r="F18" s="175">
        <v>0.8</v>
      </c>
      <c r="G18" s="2">
        <v>10</v>
      </c>
      <c r="H18" s="2">
        <v>5</v>
      </c>
      <c r="I18" s="262">
        <f t="shared" si="0"/>
        <v>40</v>
      </c>
    </row>
    <row r="19" spans="2:10" ht="13.5" thickBot="1" x14ac:dyDescent="0.25">
      <c r="B19" s="263" t="s">
        <v>1568</v>
      </c>
      <c r="C19" s="79">
        <v>40</v>
      </c>
      <c r="D19" s="79">
        <v>1000</v>
      </c>
      <c r="E19" s="79" t="s">
        <v>1569</v>
      </c>
      <c r="F19" s="264">
        <v>0.1</v>
      </c>
      <c r="G19" s="79">
        <v>20</v>
      </c>
      <c r="H19" s="79">
        <v>5</v>
      </c>
      <c r="I19" s="262">
        <f t="shared" si="0"/>
        <v>10</v>
      </c>
    </row>
    <row r="20" spans="2:10" ht="13.5" thickTop="1" x14ac:dyDescent="0.2"/>
    <row r="21" spans="2:10" x14ac:dyDescent="0.2">
      <c r="B21" t="s">
        <v>1810</v>
      </c>
    </row>
    <row r="22" spans="2:10" ht="13.5" thickBot="1" x14ac:dyDescent="0.25"/>
    <row r="23" spans="2:10" ht="13.5" thickTop="1" x14ac:dyDescent="0.2">
      <c r="E23" s="265" t="s">
        <v>1564</v>
      </c>
      <c r="F23" s="266" t="s">
        <v>1576</v>
      </c>
    </row>
    <row r="24" spans="2:10" ht="13.5" thickBot="1" x14ac:dyDescent="0.25">
      <c r="D24" s="178" t="s">
        <v>1577</v>
      </c>
      <c r="E24" s="267" t="s">
        <v>1569</v>
      </c>
    </row>
    <row r="25" spans="2:10" ht="13.5" thickTop="1" x14ac:dyDescent="0.2"/>
    <row r="26" spans="2:10" x14ac:dyDescent="0.2">
      <c r="B26" s="62"/>
      <c r="C26" s="62"/>
      <c r="D26" s="268" t="str">
        <f>"The MIN value of "&amp;E24&amp;" is : "</f>
        <v xml:space="preserve">The MIN value of Horizon is : </v>
      </c>
      <c r="E26" s="269">
        <f>DMIN(B3:I19,I3,E23:E24)</f>
        <v>10</v>
      </c>
      <c r="F26" s="8" t="s">
        <v>1811</v>
      </c>
    </row>
    <row r="28" spans="2:10" ht="13.5" thickBot="1" x14ac:dyDescent="0.25">
      <c r="B28" s="9" t="s">
        <v>39</v>
      </c>
      <c r="C28" s="9"/>
      <c r="D28" s="9"/>
      <c r="E28" s="9"/>
      <c r="F28" s="9"/>
      <c r="G28" s="9"/>
      <c r="H28" s="9"/>
      <c r="I28" s="9"/>
      <c r="J28" s="9"/>
    </row>
    <row r="29" spans="2:10" x14ac:dyDescent="0.2">
      <c r="B29" t="s">
        <v>1812</v>
      </c>
    </row>
    <row r="31" spans="2:10" ht="13.5" thickBot="1" x14ac:dyDescent="0.25">
      <c r="B31" s="9" t="s">
        <v>43</v>
      </c>
      <c r="C31" s="9"/>
      <c r="D31" s="9"/>
      <c r="E31" s="9"/>
      <c r="F31" s="9"/>
      <c r="G31" s="9"/>
      <c r="H31" s="9"/>
      <c r="I31" s="9"/>
      <c r="J31" s="9"/>
    </row>
    <row r="32" spans="2:10" x14ac:dyDescent="0.2">
      <c r="B32" s="10" t="s">
        <v>1813</v>
      </c>
    </row>
    <row r="33" spans="2:10" ht="18" customHeight="1" x14ac:dyDescent="0.2">
      <c r="B33" t="s">
        <v>1582</v>
      </c>
    </row>
    <row r="34" spans="2:10" x14ac:dyDescent="0.2">
      <c r="B34" t="s">
        <v>1583</v>
      </c>
    </row>
    <row r="35" spans="2:10" ht="18" customHeight="1" x14ac:dyDescent="0.2">
      <c r="B35" t="s">
        <v>1814</v>
      </c>
    </row>
    <row r="36" spans="2:10" ht="18" customHeight="1" x14ac:dyDescent="0.2">
      <c r="B36" t="s">
        <v>1585</v>
      </c>
    </row>
    <row r="37" spans="2:10" x14ac:dyDescent="0.2">
      <c r="B37" t="s">
        <v>1586</v>
      </c>
    </row>
    <row r="38" spans="2:10" x14ac:dyDescent="0.2">
      <c r="B38" t="s">
        <v>1587</v>
      </c>
    </row>
    <row r="39" spans="2:10" ht="18" customHeight="1" x14ac:dyDescent="0.2">
      <c r="B39" t="s">
        <v>1588</v>
      </c>
    </row>
    <row r="40" spans="2:10" x14ac:dyDescent="0.2">
      <c r="B40" t="s">
        <v>1589</v>
      </c>
    </row>
    <row r="42" spans="2:10" ht="13.5" thickBot="1" x14ac:dyDescent="0.25">
      <c r="B42" s="9" t="s">
        <v>45</v>
      </c>
      <c r="C42" s="9"/>
      <c r="D42" s="9"/>
      <c r="E42" s="9"/>
      <c r="F42" s="9"/>
      <c r="G42" s="9"/>
      <c r="H42" s="9"/>
      <c r="I42" s="9"/>
      <c r="J42" s="9"/>
    </row>
    <row r="43" spans="2:10" x14ac:dyDescent="0.2">
      <c r="B43" t="s">
        <v>46</v>
      </c>
    </row>
    <row r="45" spans="2:10" ht="13.5" thickBot="1" x14ac:dyDescent="0.25">
      <c r="B45" s="9" t="s">
        <v>1590</v>
      </c>
      <c r="C45" s="9"/>
      <c r="D45" s="9"/>
      <c r="E45" s="9"/>
      <c r="F45" s="9"/>
      <c r="G45" s="9"/>
      <c r="H45" s="9"/>
      <c r="I45" s="9"/>
      <c r="J45" s="9"/>
    </row>
    <row r="47" spans="2:10" x14ac:dyDescent="0.2">
      <c r="B47" s="270" t="s">
        <v>1815</v>
      </c>
    </row>
    <row r="48" spans="2:10" ht="13.5" thickBot="1" x14ac:dyDescent="0.25"/>
    <row r="49" spans="2:10" ht="13.5" thickTop="1" x14ac:dyDescent="0.2">
      <c r="E49" s="271" t="s">
        <v>1561</v>
      </c>
      <c r="F49" s="272" t="s">
        <v>1564</v>
      </c>
    </row>
    <row r="50" spans="2:10" ht="13.5" thickBot="1" x14ac:dyDescent="0.25">
      <c r="E50" s="48" t="s">
        <v>1568</v>
      </c>
      <c r="F50" s="50" t="s">
        <v>1578</v>
      </c>
    </row>
    <row r="51" spans="2:10" ht="13.5" thickTop="1" x14ac:dyDescent="0.2"/>
    <row r="52" spans="2:10" x14ac:dyDescent="0.2">
      <c r="D52" s="178" t="s">
        <v>1816</v>
      </c>
      <c r="E52" s="269">
        <f>DMIN(B3:I19,I3,E49:F50)</f>
        <v>3.75</v>
      </c>
      <c r="F52" s="8" t="s">
        <v>1817</v>
      </c>
    </row>
    <row r="54" spans="2:10" x14ac:dyDescent="0.2">
      <c r="B54" t="s">
        <v>1818</v>
      </c>
    </row>
    <row r="56" spans="2:10" x14ac:dyDescent="0.2">
      <c r="E56" s="269">
        <f>DMIN(B3:I19,"Value Of Stock",E49:F50)</f>
        <v>3.75</v>
      </c>
      <c r="F56" s="8" t="s">
        <v>1819</v>
      </c>
    </row>
    <row r="58" spans="2:10" ht="18" customHeight="1" x14ac:dyDescent="0.2">
      <c r="B58" s="273" t="s">
        <v>1820</v>
      </c>
      <c r="C58" s="274"/>
      <c r="D58" s="274"/>
      <c r="E58" s="274"/>
      <c r="F58" s="274"/>
      <c r="G58" s="274"/>
      <c r="H58" s="274"/>
      <c r="I58" s="274"/>
      <c r="J58" s="274"/>
    </row>
    <row r="59" spans="2:10" ht="13.5" thickBot="1" x14ac:dyDescent="0.25"/>
    <row r="60" spans="2:10" ht="13.5" thickTop="1" x14ac:dyDescent="0.2">
      <c r="E60" s="271" t="s">
        <v>1561</v>
      </c>
      <c r="F60" s="272" t="s">
        <v>1562</v>
      </c>
    </row>
    <row r="61" spans="2:10" ht="13.5" thickBot="1" x14ac:dyDescent="0.25">
      <c r="E61" s="48" t="s">
        <v>1568</v>
      </c>
      <c r="F61" s="50">
        <v>100</v>
      </c>
    </row>
    <row r="62" spans="2:10" ht="13.5" thickTop="1" x14ac:dyDescent="0.2"/>
    <row r="63" spans="2:10" x14ac:dyDescent="0.2">
      <c r="D63" s="178" t="s">
        <v>1821</v>
      </c>
      <c r="E63" s="269">
        <f>DMIN(B3:I19,"Value Of Stock",E60:F61)</f>
        <v>12.5</v>
      </c>
      <c r="F63" s="8" t="s">
        <v>1822</v>
      </c>
    </row>
    <row r="65" spans="2:10" x14ac:dyDescent="0.2">
      <c r="B65" s="273" t="s">
        <v>1823</v>
      </c>
      <c r="C65" s="274"/>
      <c r="D65" s="274"/>
      <c r="E65" s="274"/>
      <c r="F65" s="274"/>
      <c r="G65" s="274"/>
      <c r="H65" s="274"/>
      <c r="I65" s="274"/>
      <c r="J65" s="274"/>
    </row>
    <row r="66" spans="2:10" ht="13.5" thickBot="1" x14ac:dyDescent="0.25"/>
    <row r="67" spans="2:10" ht="13.5" thickTop="1" x14ac:dyDescent="0.2">
      <c r="E67" s="271" t="s">
        <v>1561</v>
      </c>
      <c r="F67" s="302" t="s">
        <v>1562</v>
      </c>
      <c r="G67" s="272" t="s">
        <v>1562</v>
      </c>
    </row>
    <row r="68" spans="2:10" ht="13.5" thickBot="1" x14ac:dyDescent="0.25">
      <c r="E68" s="48" t="s">
        <v>1568</v>
      </c>
      <c r="F68" s="49" t="s">
        <v>1693</v>
      </c>
      <c r="G68" s="50" t="s">
        <v>1694</v>
      </c>
    </row>
    <row r="69" spans="2:10" ht="13.5" thickTop="1" x14ac:dyDescent="0.2"/>
    <row r="70" spans="2:10" x14ac:dyDescent="0.2">
      <c r="D70" s="178" t="s">
        <v>1821</v>
      </c>
      <c r="E70" s="269">
        <f>DMIN(B3:I19,"Value Of Stock",E67:G68)</f>
        <v>12</v>
      </c>
      <c r="F70" s="8" t="s">
        <v>1824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87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9633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34" r:id="rId5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35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41">
    <pageSetUpPr fitToPage="1"/>
  </sheetPr>
  <dimension ref="A1:J70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10" max="10" width="8.42578125" customWidth="1"/>
  </cols>
  <sheetData>
    <row r="1" spans="1:10" ht="18.75" thickBot="1" x14ac:dyDescent="0.3">
      <c r="A1" s="1" t="s">
        <v>1825</v>
      </c>
      <c r="B1" s="1"/>
      <c r="C1" s="1"/>
      <c r="D1" s="1"/>
      <c r="E1" s="1"/>
      <c r="F1" s="1"/>
      <c r="G1" s="1"/>
      <c r="H1" s="1"/>
      <c r="I1" s="1"/>
      <c r="J1" s="1"/>
    </row>
    <row r="2" spans="1:10" ht="14.25" thickTop="1" thickBot="1" x14ac:dyDescent="0.25">
      <c r="A2" s="62"/>
      <c r="B2" s="62"/>
      <c r="C2" s="62"/>
      <c r="D2" s="62"/>
      <c r="E2" s="62"/>
      <c r="F2" s="62"/>
      <c r="G2" s="62"/>
      <c r="H2" s="62"/>
      <c r="I2" s="299" t="s">
        <v>1560</v>
      </c>
    </row>
    <row r="3" spans="1:10" ht="26.25" thickTop="1" x14ac:dyDescent="0.2">
      <c r="A3" s="62"/>
      <c r="B3" s="258" t="s">
        <v>1561</v>
      </c>
      <c r="C3" s="259" t="s">
        <v>1562</v>
      </c>
      <c r="D3" s="259" t="s">
        <v>1563</v>
      </c>
      <c r="E3" s="259" t="s">
        <v>1564</v>
      </c>
      <c r="F3" s="259" t="s">
        <v>351</v>
      </c>
      <c r="G3" s="259" t="s">
        <v>1565</v>
      </c>
      <c r="H3" s="259" t="s">
        <v>1566</v>
      </c>
      <c r="I3" s="260" t="s">
        <v>1567</v>
      </c>
    </row>
    <row r="4" spans="1:10" x14ac:dyDescent="0.2">
      <c r="B4" s="261" t="s">
        <v>1568</v>
      </c>
      <c r="C4" s="2">
        <v>200</v>
      </c>
      <c r="D4" s="2">
        <v>3000</v>
      </c>
      <c r="E4" s="2" t="s">
        <v>1569</v>
      </c>
      <c r="F4" s="175">
        <v>4.5</v>
      </c>
      <c r="G4" s="2">
        <v>4</v>
      </c>
      <c r="H4" s="2">
        <v>3</v>
      </c>
      <c r="I4" s="262">
        <f t="shared" ref="I4:I19" si="0">F4*G4*H4</f>
        <v>54</v>
      </c>
    </row>
    <row r="5" spans="1:10" x14ac:dyDescent="0.2">
      <c r="B5" s="261" t="s">
        <v>1570</v>
      </c>
      <c r="C5" s="2">
        <v>100</v>
      </c>
      <c r="D5" s="2">
        <v>2000</v>
      </c>
      <c r="E5" s="2" t="s">
        <v>1569</v>
      </c>
      <c r="F5" s="175">
        <v>2</v>
      </c>
      <c r="G5" s="2">
        <v>15</v>
      </c>
      <c r="H5" s="2">
        <v>2</v>
      </c>
      <c r="I5" s="262">
        <f t="shared" si="0"/>
        <v>60</v>
      </c>
    </row>
    <row r="6" spans="1:10" x14ac:dyDescent="0.2">
      <c r="B6" s="261" t="s">
        <v>1571</v>
      </c>
      <c r="C6" s="2">
        <v>60</v>
      </c>
      <c r="D6" s="2"/>
      <c r="E6" s="2"/>
      <c r="F6" s="175"/>
      <c r="G6" s="2"/>
      <c r="H6" s="2"/>
      <c r="I6" s="262">
        <f t="shared" si="0"/>
        <v>0</v>
      </c>
    </row>
    <row r="7" spans="1:10" x14ac:dyDescent="0.2">
      <c r="B7" s="261" t="s">
        <v>1572</v>
      </c>
      <c r="C7" s="2">
        <v>10</v>
      </c>
      <c r="D7" s="2">
        <v>8000</v>
      </c>
      <c r="E7" s="2" t="s">
        <v>1573</v>
      </c>
      <c r="F7" s="175">
        <v>0.8</v>
      </c>
      <c r="G7" s="2">
        <v>25</v>
      </c>
      <c r="H7" s="2">
        <v>6</v>
      </c>
      <c r="I7" s="262">
        <f t="shared" si="0"/>
        <v>120</v>
      </c>
    </row>
    <row r="8" spans="1:10" x14ac:dyDescent="0.2">
      <c r="B8" s="261" t="s">
        <v>1568</v>
      </c>
      <c r="C8" s="2">
        <v>80</v>
      </c>
      <c r="D8" s="2">
        <v>1000</v>
      </c>
      <c r="E8" s="2" t="s">
        <v>1569</v>
      </c>
      <c r="F8" s="175">
        <v>0.2</v>
      </c>
      <c r="G8" s="2">
        <v>40</v>
      </c>
      <c r="H8" s="2">
        <v>3</v>
      </c>
      <c r="I8" s="262">
        <f t="shared" si="0"/>
        <v>24</v>
      </c>
    </row>
    <row r="9" spans="1:10" x14ac:dyDescent="0.2">
      <c r="B9" s="261" t="s">
        <v>1571</v>
      </c>
      <c r="C9" s="2">
        <v>100</v>
      </c>
      <c r="D9" s="2" t="s">
        <v>1574</v>
      </c>
      <c r="E9" s="2" t="s">
        <v>1569</v>
      </c>
      <c r="F9" s="175">
        <v>1.25</v>
      </c>
      <c r="G9" s="2">
        <v>10</v>
      </c>
      <c r="H9" s="2">
        <v>4</v>
      </c>
      <c r="I9" s="262">
        <f t="shared" si="0"/>
        <v>50</v>
      </c>
    </row>
    <row r="10" spans="1:10" x14ac:dyDescent="0.2">
      <c r="B10" s="261" t="s">
        <v>1571</v>
      </c>
      <c r="C10" s="2">
        <v>200</v>
      </c>
      <c r="D10" s="2">
        <v>3000</v>
      </c>
      <c r="E10" s="2" t="s">
        <v>1569</v>
      </c>
      <c r="F10" s="175">
        <v>2.5</v>
      </c>
      <c r="G10" s="2">
        <v>15</v>
      </c>
      <c r="H10" s="2">
        <v>0</v>
      </c>
      <c r="I10" s="262">
        <f t="shared" si="0"/>
        <v>0</v>
      </c>
    </row>
    <row r="11" spans="1:10" x14ac:dyDescent="0.2">
      <c r="B11" s="261" t="s">
        <v>1572</v>
      </c>
      <c r="C11" s="2">
        <v>25</v>
      </c>
      <c r="D11" s="2" t="s">
        <v>1574</v>
      </c>
      <c r="E11" s="2" t="s">
        <v>1573</v>
      </c>
      <c r="F11" s="175">
        <v>0.5</v>
      </c>
      <c r="G11" s="2">
        <v>10</v>
      </c>
      <c r="H11" s="2">
        <v>3</v>
      </c>
      <c r="I11" s="262">
        <f t="shared" si="0"/>
        <v>15</v>
      </c>
    </row>
    <row r="12" spans="1:10" x14ac:dyDescent="0.2">
      <c r="B12" s="261" t="s">
        <v>1568</v>
      </c>
      <c r="C12" s="2">
        <v>200</v>
      </c>
      <c r="D12" s="2">
        <v>3000</v>
      </c>
      <c r="E12" s="2" t="s">
        <v>1573</v>
      </c>
      <c r="F12" s="175">
        <v>5</v>
      </c>
      <c r="G12" s="2">
        <v>3</v>
      </c>
      <c r="H12" s="2">
        <v>2</v>
      </c>
      <c r="I12" s="262">
        <f t="shared" si="0"/>
        <v>30</v>
      </c>
    </row>
    <row r="13" spans="1:10" x14ac:dyDescent="0.2">
      <c r="B13" s="261" t="s">
        <v>1570</v>
      </c>
      <c r="C13" s="2">
        <v>100</v>
      </c>
      <c r="D13" s="2">
        <v>2000</v>
      </c>
      <c r="E13" s="2" t="s">
        <v>1573</v>
      </c>
      <c r="F13" s="175">
        <v>1.8</v>
      </c>
      <c r="G13" s="2">
        <v>20</v>
      </c>
      <c r="H13" s="2">
        <v>5</v>
      </c>
      <c r="I13" s="262">
        <f t="shared" si="0"/>
        <v>180</v>
      </c>
    </row>
    <row r="14" spans="1:10" x14ac:dyDescent="0.2">
      <c r="B14" s="261" t="s">
        <v>1568</v>
      </c>
      <c r="C14" s="2">
        <v>100</v>
      </c>
      <c r="D14" s="2" t="s">
        <v>1574</v>
      </c>
      <c r="E14" s="2" t="s">
        <v>1573</v>
      </c>
      <c r="F14" s="175">
        <v>0.25</v>
      </c>
      <c r="G14" s="2">
        <v>10</v>
      </c>
      <c r="H14" s="2">
        <v>5</v>
      </c>
      <c r="I14" s="262">
        <f t="shared" si="0"/>
        <v>12.5</v>
      </c>
    </row>
    <row r="15" spans="1:10" x14ac:dyDescent="0.2">
      <c r="B15" s="261" t="s">
        <v>1568</v>
      </c>
      <c r="C15" s="2">
        <v>10</v>
      </c>
      <c r="D15" s="2">
        <v>800</v>
      </c>
      <c r="E15" s="2" t="s">
        <v>1569</v>
      </c>
      <c r="F15" s="175">
        <v>0.2</v>
      </c>
      <c r="G15" s="2">
        <v>25</v>
      </c>
      <c r="H15" s="2">
        <v>2</v>
      </c>
      <c r="I15" s="262">
        <f t="shared" si="0"/>
        <v>10</v>
      </c>
    </row>
    <row r="16" spans="1:10" x14ac:dyDescent="0.2">
      <c r="B16" s="261" t="s">
        <v>1568</v>
      </c>
      <c r="C16" s="2">
        <v>60</v>
      </c>
      <c r="D16" s="2">
        <v>1000</v>
      </c>
      <c r="E16" s="2" t="s">
        <v>1573</v>
      </c>
      <c r="F16" s="175">
        <v>0.15</v>
      </c>
      <c r="G16" s="2">
        <v>25</v>
      </c>
      <c r="H16" s="2">
        <v>0</v>
      </c>
      <c r="I16" s="262">
        <f t="shared" si="0"/>
        <v>0</v>
      </c>
    </row>
    <row r="17" spans="2:10" x14ac:dyDescent="0.2">
      <c r="B17" s="261" t="s">
        <v>1568</v>
      </c>
      <c r="C17" s="2">
        <v>80</v>
      </c>
      <c r="D17" s="2">
        <v>1000</v>
      </c>
      <c r="E17" s="2" t="s">
        <v>1573</v>
      </c>
      <c r="F17" s="175">
        <v>0.2</v>
      </c>
      <c r="G17" s="2">
        <v>30</v>
      </c>
      <c r="H17" s="2">
        <v>2</v>
      </c>
      <c r="I17" s="262">
        <f t="shared" si="0"/>
        <v>12</v>
      </c>
    </row>
    <row r="18" spans="2:10" x14ac:dyDescent="0.2">
      <c r="B18" s="261" t="s">
        <v>1568</v>
      </c>
      <c r="C18" s="2">
        <v>100</v>
      </c>
      <c r="D18" s="2">
        <v>2000</v>
      </c>
      <c r="E18" s="2" t="s">
        <v>1569</v>
      </c>
      <c r="F18" s="175">
        <v>0.8</v>
      </c>
      <c r="G18" s="2">
        <v>10</v>
      </c>
      <c r="H18" s="2">
        <v>5</v>
      </c>
      <c r="I18" s="262">
        <f t="shared" si="0"/>
        <v>40</v>
      </c>
    </row>
    <row r="19" spans="2:10" ht="13.5" thickBot="1" x14ac:dyDescent="0.25">
      <c r="B19" s="263" t="s">
        <v>1568</v>
      </c>
      <c r="C19" s="79">
        <v>40</v>
      </c>
      <c r="D19" s="79">
        <v>1000</v>
      </c>
      <c r="E19" s="79" t="s">
        <v>1569</v>
      </c>
      <c r="F19" s="264">
        <v>0.1</v>
      </c>
      <c r="G19" s="79">
        <v>20</v>
      </c>
      <c r="H19" s="79">
        <v>5</v>
      </c>
      <c r="I19" s="262">
        <f t="shared" si="0"/>
        <v>10</v>
      </c>
    </row>
    <row r="20" spans="2:10" ht="13.5" thickTop="1" x14ac:dyDescent="0.2"/>
    <row r="21" spans="2:10" x14ac:dyDescent="0.2">
      <c r="B21" t="s">
        <v>1826</v>
      </c>
    </row>
    <row r="22" spans="2:10" ht="13.5" thickBot="1" x14ac:dyDescent="0.25"/>
    <row r="23" spans="2:10" ht="13.5" thickTop="1" x14ac:dyDescent="0.2">
      <c r="E23" s="265" t="s">
        <v>1564</v>
      </c>
      <c r="F23" s="266" t="s">
        <v>1576</v>
      </c>
    </row>
    <row r="24" spans="2:10" ht="13.5" thickBot="1" x14ac:dyDescent="0.25">
      <c r="D24" s="178" t="s">
        <v>1577</v>
      </c>
      <c r="E24" s="267" t="s">
        <v>1569</v>
      </c>
    </row>
    <row r="25" spans="2:10" ht="13.5" thickTop="1" x14ac:dyDescent="0.2"/>
    <row r="26" spans="2:10" x14ac:dyDescent="0.2">
      <c r="B26" s="62"/>
      <c r="C26" s="62"/>
      <c r="D26" s="268" t="str">
        <f>"The MAX value of "&amp;E24&amp;" is : "</f>
        <v xml:space="preserve">The MAX value of Horizon is : </v>
      </c>
      <c r="E26" s="269">
        <f>DMAX(B3:I19,I3,E23:E24)</f>
        <v>60</v>
      </c>
      <c r="F26" s="8" t="s">
        <v>1827</v>
      </c>
    </row>
    <row r="28" spans="2:10" ht="13.5" thickBot="1" x14ac:dyDescent="0.25">
      <c r="B28" s="9" t="s">
        <v>39</v>
      </c>
      <c r="C28" s="9"/>
      <c r="D28" s="9"/>
      <c r="E28" s="9"/>
      <c r="F28" s="9"/>
      <c r="G28" s="9"/>
      <c r="H28" s="9"/>
      <c r="I28" s="9"/>
      <c r="J28" s="9"/>
    </row>
    <row r="29" spans="2:10" x14ac:dyDescent="0.2">
      <c r="B29" t="s">
        <v>1828</v>
      </c>
    </row>
    <row r="31" spans="2:10" ht="13.5" thickBot="1" x14ac:dyDescent="0.25">
      <c r="B31" s="9" t="s">
        <v>43</v>
      </c>
      <c r="C31" s="9"/>
      <c r="D31" s="9"/>
      <c r="E31" s="9"/>
      <c r="F31" s="9"/>
      <c r="G31" s="9"/>
      <c r="H31" s="9"/>
      <c r="I31" s="9"/>
      <c r="J31" s="9"/>
    </row>
    <row r="32" spans="2:10" x14ac:dyDescent="0.2">
      <c r="B32" s="10" t="s">
        <v>1829</v>
      </c>
    </row>
    <row r="33" spans="2:10" ht="18" customHeight="1" x14ac:dyDescent="0.2">
      <c r="B33" t="s">
        <v>1582</v>
      </c>
    </row>
    <row r="34" spans="2:10" x14ac:dyDescent="0.2">
      <c r="B34" t="s">
        <v>1583</v>
      </c>
    </row>
    <row r="35" spans="2:10" ht="18" customHeight="1" x14ac:dyDescent="0.2">
      <c r="B35" t="s">
        <v>1830</v>
      </c>
    </row>
    <row r="36" spans="2:10" ht="18" customHeight="1" x14ac:dyDescent="0.2">
      <c r="B36" t="s">
        <v>1585</v>
      </c>
    </row>
    <row r="37" spans="2:10" x14ac:dyDescent="0.2">
      <c r="B37" t="s">
        <v>1586</v>
      </c>
    </row>
    <row r="38" spans="2:10" x14ac:dyDescent="0.2">
      <c r="B38" t="s">
        <v>1587</v>
      </c>
    </row>
    <row r="39" spans="2:10" ht="18" customHeight="1" x14ac:dyDescent="0.2">
      <c r="B39" t="s">
        <v>1588</v>
      </c>
    </row>
    <row r="40" spans="2:10" x14ac:dyDescent="0.2">
      <c r="B40" t="s">
        <v>1589</v>
      </c>
    </row>
    <row r="42" spans="2:10" ht="13.5" thickBot="1" x14ac:dyDescent="0.25">
      <c r="B42" s="9" t="s">
        <v>45</v>
      </c>
      <c r="C42" s="9"/>
      <c r="D42" s="9"/>
      <c r="E42" s="9"/>
      <c r="F42" s="9"/>
      <c r="G42" s="9"/>
      <c r="H42" s="9"/>
      <c r="I42" s="9"/>
      <c r="J42" s="9"/>
    </row>
    <row r="43" spans="2:10" x14ac:dyDescent="0.2">
      <c r="B43" t="s">
        <v>46</v>
      </c>
    </row>
    <row r="45" spans="2:10" ht="13.5" thickBot="1" x14ac:dyDescent="0.25">
      <c r="B45" s="9" t="s">
        <v>1590</v>
      </c>
      <c r="C45" s="9"/>
      <c r="D45" s="9"/>
      <c r="E45" s="9"/>
      <c r="F45" s="9"/>
      <c r="G45" s="9"/>
      <c r="H45" s="9"/>
      <c r="I45" s="9"/>
      <c r="J45" s="9"/>
    </row>
    <row r="47" spans="2:10" x14ac:dyDescent="0.2">
      <c r="B47" s="270" t="s">
        <v>1831</v>
      </c>
    </row>
    <row r="48" spans="2:10" ht="13.5" thickBot="1" x14ac:dyDescent="0.25"/>
    <row r="49" spans="2:10" ht="13.5" thickTop="1" x14ac:dyDescent="0.2">
      <c r="E49" s="271" t="s">
        <v>1561</v>
      </c>
      <c r="F49" s="272" t="s">
        <v>1564</v>
      </c>
    </row>
    <row r="50" spans="2:10" ht="13.5" thickBot="1" x14ac:dyDescent="0.25">
      <c r="E50" s="48" t="s">
        <v>1568</v>
      </c>
      <c r="F50" s="50" t="s">
        <v>1578</v>
      </c>
    </row>
    <row r="51" spans="2:10" ht="13.5" thickTop="1" x14ac:dyDescent="0.2"/>
    <row r="52" spans="2:10" x14ac:dyDescent="0.2">
      <c r="D52" s="178" t="s">
        <v>1832</v>
      </c>
      <c r="E52" s="269">
        <f>DMAX(B3:I19,I3,E49:F50)</f>
        <v>30</v>
      </c>
      <c r="F52" s="8" t="s">
        <v>1833</v>
      </c>
    </row>
    <row r="54" spans="2:10" x14ac:dyDescent="0.2">
      <c r="B54" t="s">
        <v>1818</v>
      </c>
    </row>
    <row r="56" spans="2:10" x14ac:dyDescent="0.2">
      <c r="E56" s="269">
        <f>DMAX(B3:I19,"Value Of Stock",E49:F50)</f>
        <v>30</v>
      </c>
      <c r="F56" s="8" t="s">
        <v>1834</v>
      </c>
    </row>
    <row r="58" spans="2:10" ht="18" customHeight="1" x14ac:dyDescent="0.2">
      <c r="B58" s="273" t="s">
        <v>1835</v>
      </c>
      <c r="C58" s="274"/>
      <c r="D58" s="274"/>
      <c r="E58" s="274"/>
      <c r="F58" s="274"/>
      <c r="G58" s="274"/>
      <c r="H58" s="274"/>
      <c r="I58" s="274"/>
      <c r="J58" s="274"/>
    </row>
    <row r="59" spans="2:10" ht="13.5" thickBot="1" x14ac:dyDescent="0.25"/>
    <row r="60" spans="2:10" ht="13.5" thickTop="1" x14ac:dyDescent="0.2">
      <c r="E60" s="271" t="s">
        <v>1561</v>
      </c>
      <c r="F60" s="272" t="s">
        <v>1562</v>
      </c>
    </row>
    <row r="61" spans="2:10" ht="13.5" thickBot="1" x14ac:dyDescent="0.25">
      <c r="E61" s="48" t="s">
        <v>1568</v>
      </c>
      <c r="F61" s="50">
        <v>100</v>
      </c>
    </row>
    <row r="62" spans="2:10" ht="13.5" thickTop="1" x14ac:dyDescent="0.2"/>
    <row r="63" spans="2:10" x14ac:dyDescent="0.2">
      <c r="D63" s="178" t="s">
        <v>1836</v>
      </c>
      <c r="E63" s="269">
        <f>DMAX(B3:I19,"Value Of Stock",E60:F61)</f>
        <v>40</v>
      </c>
      <c r="F63" s="8" t="s">
        <v>1837</v>
      </c>
    </row>
    <row r="65" spans="2:10" x14ac:dyDescent="0.2">
      <c r="B65" s="273" t="s">
        <v>1838</v>
      </c>
      <c r="C65" s="274"/>
      <c r="D65" s="274"/>
      <c r="E65" s="274"/>
      <c r="F65" s="274"/>
      <c r="G65" s="274"/>
      <c r="H65" s="274"/>
      <c r="I65" s="274"/>
      <c r="J65" s="274"/>
    </row>
    <row r="66" spans="2:10" ht="13.5" thickBot="1" x14ac:dyDescent="0.25"/>
    <row r="67" spans="2:10" ht="13.5" thickTop="1" x14ac:dyDescent="0.2">
      <c r="E67" s="271" t="s">
        <v>1561</v>
      </c>
      <c r="F67" s="272" t="s">
        <v>1562</v>
      </c>
    </row>
    <row r="68" spans="2:10" ht="13.5" thickBot="1" x14ac:dyDescent="0.25">
      <c r="E68" s="48" t="s">
        <v>1568</v>
      </c>
      <c r="F68" s="50" t="s">
        <v>1598</v>
      </c>
    </row>
    <row r="69" spans="2:10" ht="13.5" thickTop="1" x14ac:dyDescent="0.2"/>
    <row r="70" spans="2:10" x14ac:dyDescent="0.2">
      <c r="D70" s="178" t="s">
        <v>1836</v>
      </c>
      <c r="E70" s="269">
        <f>DMAX(B3:I19,"Value Of Stock",E67:F68)</f>
        <v>24</v>
      </c>
      <c r="F70" s="8" t="s">
        <v>1839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87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657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8" r:id="rId5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9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44">
    <pageSetUpPr fitToPage="1"/>
  </sheetPr>
  <dimension ref="A1:J70"/>
  <sheetViews>
    <sheetView showGridLines="0" workbookViewId="0">
      <pane ySplit="1" topLeftCell="A20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10" max="10" width="8.42578125" customWidth="1"/>
  </cols>
  <sheetData>
    <row r="1" spans="1:10" ht="18.75" thickBot="1" x14ac:dyDescent="0.3">
      <c r="A1" s="1" t="s">
        <v>1840</v>
      </c>
      <c r="B1" s="1"/>
      <c r="C1" s="1"/>
      <c r="D1" s="1"/>
      <c r="E1" s="1"/>
      <c r="F1" s="1"/>
      <c r="G1" s="1"/>
      <c r="H1" s="1"/>
      <c r="I1" s="1"/>
      <c r="J1" s="1"/>
    </row>
    <row r="2" spans="1:10" ht="14.25" thickTop="1" thickBot="1" x14ac:dyDescent="0.25">
      <c r="A2" s="62"/>
      <c r="B2" s="62"/>
      <c r="C2" s="62"/>
      <c r="D2" s="62"/>
      <c r="E2" s="62"/>
      <c r="F2" s="62"/>
      <c r="G2" s="62"/>
      <c r="H2" s="62"/>
      <c r="I2" s="299" t="s">
        <v>1560</v>
      </c>
    </row>
    <row r="3" spans="1:10" ht="26.25" thickTop="1" x14ac:dyDescent="0.2">
      <c r="A3" s="62"/>
      <c r="B3" s="258" t="s">
        <v>1561</v>
      </c>
      <c r="C3" s="259" t="s">
        <v>1562</v>
      </c>
      <c r="D3" s="259" t="s">
        <v>1563</v>
      </c>
      <c r="E3" s="259" t="s">
        <v>1564</v>
      </c>
      <c r="F3" s="259" t="s">
        <v>351</v>
      </c>
      <c r="G3" s="259" t="s">
        <v>1565</v>
      </c>
      <c r="H3" s="259" t="s">
        <v>1566</v>
      </c>
      <c r="I3" s="260" t="s">
        <v>1567</v>
      </c>
    </row>
    <row r="4" spans="1:10" x14ac:dyDescent="0.2">
      <c r="B4" s="261" t="s">
        <v>1568</v>
      </c>
      <c r="C4" s="2">
        <v>200</v>
      </c>
      <c r="D4" s="2">
        <v>3000</v>
      </c>
      <c r="E4" s="2" t="s">
        <v>1569</v>
      </c>
      <c r="F4" s="175">
        <v>4.5</v>
      </c>
      <c r="G4" s="2">
        <v>4</v>
      </c>
      <c r="H4" s="2">
        <v>3</v>
      </c>
      <c r="I4" s="262">
        <f t="shared" ref="I4:I19" si="0">F4*G4*H4</f>
        <v>54</v>
      </c>
    </row>
    <row r="5" spans="1:10" x14ac:dyDescent="0.2">
      <c r="B5" s="261" t="s">
        <v>1570</v>
      </c>
      <c r="C5" s="2">
        <v>100</v>
      </c>
      <c r="D5" s="2">
        <v>2000</v>
      </c>
      <c r="E5" s="2" t="s">
        <v>1569</v>
      </c>
      <c r="F5" s="175">
        <v>2</v>
      </c>
      <c r="G5" s="2">
        <v>15</v>
      </c>
      <c r="H5" s="2">
        <v>2</v>
      </c>
      <c r="I5" s="262">
        <f t="shared" si="0"/>
        <v>60</v>
      </c>
    </row>
    <row r="6" spans="1:10" x14ac:dyDescent="0.2">
      <c r="B6" s="261" t="s">
        <v>1571</v>
      </c>
      <c r="C6" s="2">
        <v>60</v>
      </c>
      <c r="D6" s="2"/>
      <c r="E6" s="2"/>
      <c r="F6" s="175"/>
      <c r="G6" s="2"/>
      <c r="H6" s="2"/>
      <c r="I6" s="262">
        <f t="shared" si="0"/>
        <v>0</v>
      </c>
    </row>
    <row r="7" spans="1:10" x14ac:dyDescent="0.2">
      <c r="B7" s="261" t="s">
        <v>1572</v>
      </c>
      <c r="C7" s="2">
        <v>10</v>
      </c>
      <c r="D7" s="2">
        <v>8000</v>
      </c>
      <c r="E7" s="2" t="s">
        <v>1573</v>
      </c>
      <c r="F7" s="175">
        <v>0.8</v>
      </c>
      <c r="G7" s="2">
        <v>25</v>
      </c>
      <c r="H7" s="2">
        <v>6</v>
      </c>
      <c r="I7" s="262">
        <f t="shared" si="0"/>
        <v>120</v>
      </c>
    </row>
    <row r="8" spans="1:10" x14ac:dyDescent="0.2">
      <c r="B8" s="261" t="s">
        <v>1568</v>
      </c>
      <c r="C8" s="2">
        <v>80</v>
      </c>
      <c r="D8" s="2">
        <v>1000</v>
      </c>
      <c r="E8" s="2" t="s">
        <v>1569</v>
      </c>
      <c r="F8" s="175">
        <v>0.2</v>
      </c>
      <c r="G8" s="2">
        <v>40</v>
      </c>
      <c r="H8" s="2">
        <v>3</v>
      </c>
      <c r="I8" s="262">
        <f t="shared" si="0"/>
        <v>24</v>
      </c>
    </row>
    <row r="9" spans="1:10" x14ac:dyDescent="0.2">
      <c r="B9" s="261" t="s">
        <v>1571</v>
      </c>
      <c r="C9" s="2">
        <v>100</v>
      </c>
      <c r="D9" s="2" t="s">
        <v>1574</v>
      </c>
      <c r="E9" s="2" t="s">
        <v>1569</v>
      </c>
      <c r="F9" s="175">
        <v>1.25</v>
      </c>
      <c r="G9" s="2">
        <v>10</v>
      </c>
      <c r="H9" s="2">
        <v>4</v>
      </c>
      <c r="I9" s="262">
        <f t="shared" si="0"/>
        <v>50</v>
      </c>
    </row>
    <row r="10" spans="1:10" x14ac:dyDescent="0.2">
      <c r="B10" s="261" t="s">
        <v>1571</v>
      </c>
      <c r="C10" s="2">
        <v>200</v>
      </c>
      <c r="D10" s="2">
        <v>3000</v>
      </c>
      <c r="E10" s="2" t="s">
        <v>1569</v>
      </c>
      <c r="F10" s="175">
        <v>2.5</v>
      </c>
      <c r="G10" s="2">
        <v>15</v>
      </c>
      <c r="H10" s="2">
        <v>0</v>
      </c>
      <c r="I10" s="262">
        <f t="shared" si="0"/>
        <v>0</v>
      </c>
    </row>
    <row r="11" spans="1:10" x14ac:dyDescent="0.2">
      <c r="B11" s="261" t="s">
        <v>1572</v>
      </c>
      <c r="C11" s="2">
        <v>25</v>
      </c>
      <c r="D11" s="2" t="s">
        <v>1574</v>
      </c>
      <c r="E11" s="2" t="s">
        <v>1573</v>
      </c>
      <c r="F11" s="175">
        <v>0.5</v>
      </c>
      <c r="G11" s="2">
        <v>10</v>
      </c>
      <c r="H11" s="2">
        <v>3</v>
      </c>
      <c r="I11" s="262">
        <f t="shared" si="0"/>
        <v>15</v>
      </c>
    </row>
    <row r="12" spans="1:10" x14ac:dyDescent="0.2">
      <c r="B12" s="261" t="s">
        <v>1568</v>
      </c>
      <c r="C12" s="2">
        <v>200</v>
      </c>
      <c r="D12" s="2">
        <v>3000</v>
      </c>
      <c r="E12" s="2" t="s">
        <v>1573</v>
      </c>
      <c r="F12" s="175">
        <v>5</v>
      </c>
      <c r="G12" s="2">
        <v>3</v>
      </c>
      <c r="H12" s="2">
        <v>2</v>
      </c>
      <c r="I12" s="262">
        <f t="shared" si="0"/>
        <v>30</v>
      </c>
    </row>
    <row r="13" spans="1:10" x14ac:dyDescent="0.2">
      <c r="B13" s="261" t="s">
        <v>1570</v>
      </c>
      <c r="C13" s="2">
        <v>100</v>
      </c>
      <c r="D13" s="2">
        <v>2000</v>
      </c>
      <c r="E13" s="2" t="s">
        <v>1573</v>
      </c>
      <c r="F13" s="175">
        <v>1.8</v>
      </c>
      <c r="G13" s="2">
        <v>20</v>
      </c>
      <c r="H13" s="2">
        <v>5</v>
      </c>
      <c r="I13" s="262">
        <f t="shared" si="0"/>
        <v>180</v>
      </c>
    </row>
    <row r="14" spans="1:10" x14ac:dyDescent="0.2">
      <c r="B14" s="261" t="s">
        <v>1568</v>
      </c>
      <c r="C14" s="2">
        <v>100</v>
      </c>
      <c r="D14" s="2" t="s">
        <v>1574</v>
      </c>
      <c r="E14" s="2" t="s">
        <v>1573</v>
      </c>
      <c r="F14" s="175">
        <v>0.25</v>
      </c>
      <c r="G14" s="2">
        <v>10</v>
      </c>
      <c r="H14" s="2">
        <v>5</v>
      </c>
      <c r="I14" s="262">
        <f t="shared" si="0"/>
        <v>12.5</v>
      </c>
    </row>
    <row r="15" spans="1:10" x14ac:dyDescent="0.2">
      <c r="B15" s="261" t="s">
        <v>1568</v>
      </c>
      <c r="C15" s="2">
        <v>10</v>
      </c>
      <c r="D15" s="2">
        <v>800</v>
      </c>
      <c r="E15" s="2" t="s">
        <v>1569</v>
      </c>
      <c r="F15" s="175">
        <v>0.2</v>
      </c>
      <c r="G15" s="2">
        <v>25</v>
      </c>
      <c r="H15" s="2">
        <v>2</v>
      </c>
      <c r="I15" s="262">
        <f t="shared" si="0"/>
        <v>10</v>
      </c>
    </row>
    <row r="16" spans="1:10" x14ac:dyDescent="0.2">
      <c r="B16" s="261" t="s">
        <v>1568</v>
      </c>
      <c r="C16" s="2">
        <v>60</v>
      </c>
      <c r="D16" s="2">
        <v>1000</v>
      </c>
      <c r="E16" s="2" t="s">
        <v>1573</v>
      </c>
      <c r="F16" s="175">
        <v>0.15</v>
      </c>
      <c r="G16" s="2">
        <v>25</v>
      </c>
      <c r="H16" s="2">
        <v>0</v>
      </c>
      <c r="I16" s="262">
        <f t="shared" si="0"/>
        <v>0</v>
      </c>
    </row>
    <row r="17" spans="2:10" x14ac:dyDescent="0.2">
      <c r="B17" s="261" t="s">
        <v>1568</v>
      </c>
      <c r="C17" s="2">
        <v>80</v>
      </c>
      <c r="D17" s="2">
        <v>1000</v>
      </c>
      <c r="E17" s="2" t="s">
        <v>1573</v>
      </c>
      <c r="F17" s="175">
        <v>0.2</v>
      </c>
      <c r="G17" s="2">
        <v>30</v>
      </c>
      <c r="H17" s="2">
        <v>2</v>
      </c>
      <c r="I17" s="262">
        <f t="shared" si="0"/>
        <v>12</v>
      </c>
    </row>
    <row r="18" spans="2:10" x14ac:dyDescent="0.2">
      <c r="B18" s="261" t="s">
        <v>1568</v>
      </c>
      <c r="C18" s="2">
        <v>100</v>
      </c>
      <c r="D18" s="2">
        <v>2000</v>
      </c>
      <c r="E18" s="2" t="s">
        <v>1569</v>
      </c>
      <c r="F18" s="175">
        <v>0.8</v>
      </c>
      <c r="G18" s="2">
        <v>10</v>
      </c>
      <c r="H18" s="2">
        <v>5</v>
      </c>
      <c r="I18" s="262">
        <f t="shared" si="0"/>
        <v>40</v>
      </c>
    </row>
    <row r="19" spans="2:10" ht="13.5" thickBot="1" x14ac:dyDescent="0.25">
      <c r="B19" s="263" t="s">
        <v>1568</v>
      </c>
      <c r="C19" s="79">
        <v>40</v>
      </c>
      <c r="D19" s="79">
        <v>1000</v>
      </c>
      <c r="E19" s="79" t="s">
        <v>1569</v>
      </c>
      <c r="F19" s="264">
        <v>0.1</v>
      </c>
      <c r="G19" s="79">
        <v>20</v>
      </c>
      <c r="H19" s="79">
        <v>5</v>
      </c>
      <c r="I19" s="262">
        <f t="shared" si="0"/>
        <v>10</v>
      </c>
    </row>
    <row r="20" spans="2:10" ht="13.5" thickTop="1" x14ac:dyDescent="0.2"/>
    <row r="21" spans="2:10" x14ac:dyDescent="0.2">
      <c r="B21" t="s">
        <v>1841</v>
      </c>
    </row>
    <row r="22" spans="2:10" ht="13.5" thickBot="1" x14ac:dyDescent="0.25"/>
    <row r="23" spans="2:10" ht="13.5" thickTop="1" x14ac:dyDescent="0.2">
      <c r="E23" s="265" t="s">
        <v>1564</v>
      </c>
      <c r="F23" s="266" t="s">
        <v>1576</v>
      </c>
    </row>
    <row r="24" spans="2:10" ht="13.5" thickBot="1" x14ac:dyDescent="0.25">
      <c r="D24" s="178" t="s">
        <v>1577</v>
      </c>
      <c r="E24" s="267" t="s">
        <v>1569</v>
      </c>
    </row>
    <row r="25" spans="2:10" ht="13.5" thickTop="1" x14ac:dyDescent="0.2"/>
    <row r="26" spans="2:10" x14ac:dyDescent="0.2">
      <c r="B26" s="62"/>
      <c r="C26" s="62"/>
      <c r="D26" s="268" t="str">
        <f>"The stock value of "&amp;E24&amp;" is : "</f>
        <v xml:space="preserve">The stock value of Horizon is : </v>
      </c>
      <c r="E26" s="269">
        <f>DSUM(B3:I19,I3,E23:E24)</f>
        <v>248</v>
      </c>
      <c r="F26" s="8" t="s">
        <v>1842</v>
      </c>
    </row>
    <row r="28" spans="2:10" ht="13.5" thickBot="1" x14ac:dyDescent="0.25">
      <c r="B28" s="9" t="s">
        <v>39</v>
      </c>
      <c r="C28" s="9"/>
      <c r="D28" s="9"/>
      <c r="E28" s="9"/>
      <c r="F28" s="9"/>
      <c r="G28" s="9"/>
      <c r="H28" s="9"/>
      <c r="I28" s="9"/>
      <c r="J28" s="9"/>
    </row>
    <row r="29" spans="2:10" x14ac:dyDescent="0.2">
      <c r="B29" t="s">
        <v>1843</v>
      </c>
    </row>
    <row r="31" spans="2:10" ht="13.5" thickBot="1" x14ac:dyDescent="0.25">
      <c r="B31" s="9" t="s">
        <v>43</v>
      </c>
      <c r="C31" s="9"/>
      <c r="D31" s="9"/>
      <c r="E31" s="9"/>
      <c r="F31" s="9"/>
      <c r="G31" s="9"/>
      <c r="H31" s="9"/>
      <c r="I31" s="9"/>
      <c r="J31" s="9"/>
    </row>
    <row r="32" spans="2:10" x14ac:dyDescent="0.2">
      <c r="B32" s="10" t="s">
        <v>1844</v>
      </c>
    </row>
    <row r="33" spans="2:10" ht="18" customHeight="1" x14ac:dyDescent="0.2">
      <c r="B33" t="s">
        <v>1582</v>
      </c>
    </row>
    <row r="34" spans="2:10" x14ac:dyDescent="0.2">
      <c r="B34" t="s">
        <v>1583</v>
      </c>
    </row>
    <row r="35" spans="2:10" ht="18" customHeight="1" x14ac:dyDescent="0.2">
      <c r="B35" t="s">
        <v>1845</v>
      </c>
    </row>
    <row r="36" spans="2:10" ht="18" customHeight="1" x14ac:dyDescent="0.2">
      <c r="B36" t="s">
        <v>1585</v>
      </c>
    </row>
    <row r="37" spans="2:10" x14ac:dyDescent="0.2">
      <c r="B37" t="s">
        <v>1586</v>
      </c>
    </row>
    <row r="38" spans="2:10" x14ac:dyDescent="0.2">
      <c r="B38" t="s">
        <v>1587</v>
      </c>
    </row>
    <row r="39" spans="2:10" ht="18" customHeight="1" x14ac:dyDescent="0.2">
      <c r="B39" t="s">
        <v>1588</v>
      </c>
    </row>
    <row r="40" spans="2:10" x14ac:dyDescent="0.2">
      <c r="B40" t="s">
        <v>1589</v>
      </c>
    </row>
    <row r="42" spans="2:10" ht="13.5" thickBot="1" x14ac:dyDescent="0.25">
      <c r="B42" s="9" t="s">
        <v>45</v>
      </c>
      <c r="C42" s="9"/>
      <c r="D42" s="9"/>
      <c r="E42" s="9"/>
      <c r="F42" s="9"/>
      <c r="G42" s="9"/>
      <c r="H42" s="9"/>
      <c r="I42" s="9"/>
      <c r="J42" s="9"/>
    </row>
    <row r="43" spans="2:10" x14ac:dyDescent="0.2">
      <c r="B43" t="s">
        <v>46</v>
      </c>
    </row>
    <row r="45" spans="2:10" ht="13.5" thickBot="1" x14ac:dyDescent="0.25">
      <c r="B45" s="9" t="s">
        <v>1590</v>
      </c>
      <c r="C45" s="9"/>
      <c r="D45" s="9"/>
      <c r="E45" s="9"/>
      <c r="F45" s="9"/>
      <c r="G45" s="9"/>
      <c r="H45" s="9"/>
      <c r="I45" s="9"/>
      <c r="J45" s="9"/>
    </row>
    <row r="47" spans="2:10" x14ac:dyDescent="0.2">
      <c r="B47" s="270" t="s">
        <v>1846</v>
      </c>
    </row>
    <row r="48" spans="2:10" ht="13.5" thickBot="1" x14ac:dyDescent="0.25"/>
    <row r="49" spans="2:10" ht="13.5" thickTop="1" x14ac:dyDescent="0.2">
      <c r="E49" s="271" t="s">
        <v>1561</v>
      </c>
      <c r="F49" s="272" t="s">
        <v>1564</v>
      </c>
    </row>
    <row r="50" spans="2:10" ht="13.5" thickBot="1" x14ac:dyDescent="0.25">
      <c r="E50" s="48" t="s">
        <v>1568</v>
      </c>
      <c r="F50" s="50" t="s">
        <v>1578</v>
      </c>
    </row>
    <row r="51" spans="2:10" ht="13.5" thickTop="1" x14ac:dyDescent="0.2"/>
    <row r="52" spans="2:10" x14ac:dyDescent="0.2">
      <c r="D52" s="178" t="s">
        <v>1847</v>
      </c>
      <c r="E52" s="269">
        <f>DSUM(B3:I19,I3,E49:F50)</f>
        <v>54.5</v>
      </c>
      <c r="F52" s="8" t="s">
        <v>1848</v>
      </c>
    </row>
    <row r="54" spans="2:10" x14ac:dyDescent="0.2">
      <c r="B54" t="s">
        <v>1818</v>
      </c>
    </row>
    <row r="56" spans="2:10" x14ac:dyDescent="0.2">
      <c r="E56" s="269">
        <f>DSUM(B3:I19,"Value Of Stock",E49:F50)</f>
        <v>54.5</v>
      </c>
      <c r="F56" s="8" t="s">
        <v>1849</v>
      </c>
    </row>
    <row r="58" spans="2:10" ht="18" customHeight="1" x14ac:dyDescent="0.2">
      <c r="B58" s="273" t="s">
        <v>1850</v>
      </c>
      <c r="C58" s="274"/>
      <c r="D58" s="274"/>
      <c r="E58" s="274"/>
      <c r="F58" s="274"/>
      <c r="G58" s="274"/>
      <c r="H58" s="274"/>
      <c r="I58" s="274"/>
      <c r="J58" s="274"/>
    </row>
    <row r="59" spans="2:10" ht="13.5" thickBot="1" x14ac:dyDescent="0.25"/>
    <row r="60" spans="2:10" ht="13.5" thickTop="1" x14ac:dyDescent="0.2">
      <c r="E60" s="271" t="s">
        <v>1561</v>
      </c>
      <c r="F60" s="272" t="s">
        <v>1562</v>
      </c>
    </row>
    <row r="61" spans="2:10" ht="13.5" thickBot="1" x14ac:dyDescent="0.25">
      <c r="E61" s="48" t="s">
        <v>1568</v>
      </c>
      <c r="F61" s="50">
        <v>100</v>
      </c>
    </row>
    <row r="62" spans="2:10" ht="13.5" thickTop="1" x14ac:dyDescent="0.2"/>
    <row r="63" spans="2:10" x14ac:dyDescent="0.2">
      <c r="D63" s="178" t="s">
        <v>1851</v>
      </c>
      <c r="E63" s="269">
        <f>DSUM(B3:I19,"Value Of Stock",E60:F61)</f>
        <v>52.5</v>
      </c>
      <c r="F63" s="8" t="s">
        <v>1852</v>
      </c>
    </row>
    <row r="65" spans="2:10" x14ac:dyDescent="0.2">
      <c r="B65" s="273" t="s">
        <v>1853</v>
      </c>
      <c r="C65" s="274"/>
      <c r="D65" s="274"/>
      <c r="E65" s="274"/>
      <c r="F65" s="274"/>
      <c r="G65" s="274"/>
      <c r="H65" s="274"/>
      <c r="I65" s="274"/>
      <c r="J65" s="274"/>
    </row>
    <row r="66" spans="2:10" ht="13.5" thickBot="1" x14ac:dyDescent="0.25"/>
    <row r="67" spans="2:10" ht="13.5" thickTop="1" x14ac:dyDescent="0.2">
      <c r="E67" s="271" t="s">
        <v>1561</v>
      </c>
      <c r="F67" s="272" t="s">
        <v>1562</v>
      </c>
    </row>
    <row r="68" spans="2:10" ht="13.5" thickBot="1" x14ac:dyDescent="0.25">
      <c r="E68" s="48" t="s">
        <v>1568</v>
      </c>
      <c r="F68" s="50" t="s">
        <v>1598</v>
      </c>
    </row>
    <row r="69" spans="2:10" ht="13.5" thickTop="1" x14ac:dyDescent="0.2"/>
    <row r="70" spans="2:10" x14ac:dyDescent="0.2">
      <c r="D70" s="178" t="s">
        <v>1851</v>
      </c>
      <c r="E70" s="269">
        <f>DSUM(B3:I19,"Value Of Stock",E67:F68)</f>
        <v>56</v>
      </c>
      <c r="F70" s="8" t="s">
        <v>1854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81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2" r:id="rId5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3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45">
    <pageSetUpPr fitToPage="1"/>
  </sheetPr>
  <dimension ref="A1:F8"/>
  <sheetViews>
    <sheetView showGridLines="0" workbookViewId="0">
      <selection activeCell="F30" activeCellId="4" sqref="F16 K30 G30 P30 F30"/>
    </sheetView>
  </sheetViews>
  <sheetFormatPr defaultColWidth="8.85546875" defaultRowHeight="12.75" x14ac:dyDescent="0.2"/>
  <sheetData>
    <row r="1" spans="1:6" x14ac:dyDescent="0.2">
      <c r="A1" t="s">
        <v>1855</v>
      </c>
    </row>
    <row r="2" spans="1:6" x14ac:dyDescent="0.2">
      <c r="A2" t="s">
        <v>1856</v>
      </c>
    </row>
    <row r="4" spans="1:6" x14ac:dyDescent="0.2">
      <c r="C4" s="5" t="s">
        <v>12</v>
      </c>
      <c r="D4" s="5" t="s">
        <v>13</v>
      </c>
      <c r="E4" s="5" t="s">
        <v>14</v>
      </c>
      <c r="F4" s="5" t="s">
        <v>15</v>
      </c>
    </row>
    <row r="5" spans="1:6" x14ac:dyDescent="0.2">
      <c r="B5" s="5" t="s">
        <v>118</v>
      </c>
      <c r="C5" s="2">
        <v>1000</v>
      </c>
      <c r="D5" s="2">
        <v>2000</v>
      </c>
      <c r="E5" s="2">
        <v>3000</v>
      </c>
      <c r="F5" s="3">
        <f>SUM(C5:E5)</f>
        <v>6000</v>
      </c>
    </row>
    <row r="6" spans="1:6" x14ac:dyDescent="0.2">
      <c r="B6" s="5" t="s">
        <v>120</v>
      </c>
      <c r="C6" s="2">
        <v>4000</v>
      </c>
      <c r="D6" s="2">
        <v>5000</v>
      </c>
      <c r="E6" s="2">
        <v>6000</v>
      </c>
      <c r="F6" s="3">
        <f>SUM(C6:E6)</f>
        <v>15000</v>
      </c>
    </row>
    <row r="7" spans="1:6" x14ac:dyDescent="0.2">
      <c r="B7" s="5" t="s">
        <v>121</v>
      </c>
      <c r="C7" s="2">
        <v>7000</v>
      </c>
      <c r="D7" s="2">
        <v>8000</v>
      </c>
      <c r="E7" s="2">
        <v>9000</v>
      </c>
      <c r="F7" s="3">
        <f>SUM(C7:E7)</f>
        <v>24000</v>
      </c>
    </row>
    <row r="8" spans="1:6" x14ac:dyDescent="0.2">
      <c r="B8" s="5" t="s">
        <v>15</v>
      </c>
      <c r="C8" s="3">
        <f>SUM(C5:C7)</f>
        <v>12000</v>
      </c>
      <c r="D8" s="3">
        <f>SUM(D5:D7)</f>
        <v>15000</v>
      </c>
      <c r="E8" s="3">
        <f>SUM(E5:E7)</f>
        <v>18000</v>
      </c>
      <c r="F8" s="3">
        <f>SUM(C8:E8)</f>
        <v>45000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2705" r:id="rId4" name="Button 1">
              <controlPr defaultSize="0" print="0" autoFill="0" autoLine="0" autoPict="0">
                <anchor>
                  <from>
                    <xdr:col>7</xdr:col>
                    <xdr:colOff>561975</xdr:colOff>
                    <xdr:row>0</xdr:row>
                    <xdr:rowOff>38100</xdr:rowOff>
                  </from>
                  <to>
                    <xdr:col>8</xdr:col>
                    <xdr:colOff>438150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6" r:id="rId5" name="Button 2">
              <controlPr defaultSize="0" print="0" autoFill="0" autoLine="0" autoPict="0">
                <anchor>
                  <from>
                    <xdr:col>8</xdr:col>
                    <xdr:colOff>504825</xdr:colOff>
                    <xdr:row>0</xdr:row>
                    <xdr:rowOff>38100</xdr:rowOff>
                  </from>
                  <to>
                    <xdr:col>9</xdr:col>
                    <xdr:colOff>114300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7" r:id="rId6" name="Button 3">
              <controlPr defaultSize="0" print="0" autoFill="0" autoLine="0" autoPict="0">
                <anchor>
                  <from>
                    <xdr:col>7</xdr:col>
                    <xdr:colOff>295275</xdr:colOff>
                    <xdr:row>0</xdr:row>
                    <xdr:rowOff>38100</xdr:rowOff>
                  </from>
                  <to>
                    <xdr:col>7</xdr:col>
                    <xdr:colOff>495300</xdr:colOff>
                    <xdr:row>1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6">
    <pageSetUpPr fitToPage="1"/>
  </sheetPr>
  <dimension ref="A1:G50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10.85546875" customWidth="1"/>
    <col min="3" max="3" width="13.42578125" customWidth="1"/>
    <col min="4" max="4" width="11.42578125" customWidth="1"/>
    <col min="5" max="5" width="16.7109375" customWidth="1"/>
    <col min="6" max="6" width="17" customWidth="1"/>
    <col min="7" max="7" width="12.140625" customWidth="1"/>
  </cols>
  <sheetData>
    <row r="1" spans="1:7" ht="18.75" thickBot="1" x14ac:dyDescent="0.3">
      <c r="A1" s="1" t="s">
        <v>1857</v>
      </c>
      <c r="B1" s="1"/>
      <c r="C1" s="1"/>
      <c r="D1" s="1"/>
      <c r="E1" s="1"/>
      <c r="F1" s="1"/>
      <c r="G1" s="1"/>
    </row>
    <row r="2" spans="1:7" ht="13.5" thickTop="1" x14ac:dyDescent="0.2"/>
    <row r="3" spans="1:7" x14ac:dyDescent="0.2">
      <c r="C3" s="36" t="s">
        <v>1858</v>
      </c>
      <c r="D3" s="36" t="s">
        <v>1859</v>
      </c>
      <c r="E3" s="36" t="s">
        <v>1860</v>
      </c>
    </row>
    <row r="4" spans="1:7" x14ac:dyDescent="0.2">
      <c r="C4" s="16">
        <v>35796</v>
      </c>
      <c r="D4" s="2">
        <v>3</v>
      </c>
      <c r="E4" s="61">
        <f>EDATE(C4,D4)</f>
        <v>35886</v>
      </c>
      <c r="F4" s="8" t="s">
        <v>1861</v>
      </c>
    </row>
    <row r="5" spans="1:7" x14ac:dyDescent="0.2">
      <c r="C5" s="16">
        <v>35797</v>
      </c>
      <c r="D5" s="2">
        <v>3</v>
      </c>
      <c r="E5" s="61">
        <f>EDATE(C5,D5)</f>
        <v>35887</v>
      </c>
      <c r="F5" s="8" t="s">
        <v>1862</v>
      </c>
    </row>
    <row r="6" spans="1:7" x14ac:dyDescent="0.2">
      <c r="C6" s="16">
        <v>35797</v>
      </c>
      <c r="D6" s="2">
        <v>-3</v>
      </c>
      <c r="E6" s="61">
        <f>EDATE(C6,D6)</f>
        <v>35705</v>
      </c>
      <c r="F6" s="8" t="s">
        <v>1863</v>
      </c>
    </row>
    <row r="8" spans="1:7" ht="13.5" thickBot="1" x14ac:dyDescent="0.25">
      <c r="B8" s="9" t="s">
        <v>64</v>
      </c>
      <c r="C8" s="9"/>
      <c r="D8" s="9"/>
      <c r="E8" s="9"/>
      <c r="F8" s="9"/>
      <c r="G8" s="9"/>
    </row>
    <row r="9" spans="1:7" x14ac:dyDescent="0.2">
      <c r="B9" t="s">
        <v>1864</v>
      </c>
    </row>
    <row r="10" spans="1:7" x14ac:dyDescent="0.2">
      <c r="B10" t="s">
        <v>1865</v>
      </c>
    </row>
    <row r="12" spans="1:7" ht="13.5" thickBot="1" x14ac:dyDescent="0.25">
      <c r="B12" s="9" t="s">
        <v>43</v>
      </c>
      <c r="C12" s="9"/>
      <c r="D12" s="9"/>
      <c r="E12" s="9"/>
      <c r="F12" s="9"/>
      <c r="G12" s="9"/>
    </row>
    <row r="13" spans="1:7" x14ac:dyDescent="0.2">
      <c r="B13" t="s">
        <v>1866</v>
      </c>
    </row>
    <row r="15" spans="1:7" ht="13.5" thickBot="1" x14ac:dyDescent="0.25">
      <c r="B15" s="9" t="s">
        <v>45</v>
      </c>
      <c r="C15" s="9"/>
      <c r="D15" s="9"/>
      <c r="E15" s="9"/>
      <c r="F15" s="9"/>
      <c r="G15" s="9"/>
    </row>
    <row r="16" spans="1:7" x14ac:dyDescent="0.2">
      <c r="B16" t="s">
        <v>1867</v>
      </c>
    </row>
    <row r="17" spans="2:7" x14ac:dyDescent="0.2">
      <c r="B17" t="s">
        <v>1868</v>
      </c>
    </row>
    <row r="19" spans="2:7" ht="13.5" thickBot="1" x14ac:dyDescent="0.25">
      <c r="B19" s="9" t="s">
        <v>85</v>
      </c>
      <c r="C19" s="9"/>
      <c r="D19" s="9"/>
      <c r="E19" s="9"/>
      <c r="F19" s="9"/>
      <c r="G19" s="9"/>
    </row>
    <row r="20" spans="2:7" x14ac:dyDescent="0.2">
      <c r="B20" t="s">
        <v>1869</v>
      </c>
    </row>
    <row r="21" spans="2:7" x14ac:dyDescent="0.2">
      <c r="B21" t="s">
        <v>1870</v>
      </c>
    </row>
    <row r="22" spans="2:7" x14ac:dyDescent="0.2">
      <c r="B22" t="s">
        <v>1871</v>
      </c>
    </row>
    <row r="23" spans="2:7" x14ac:dyDescent="0.2">
      <c r="B23" t="s">
        <v>1872</v>
      </c>
    </row>
    <row r="24" spans="2:7" x14ac:dyDescent="0.2">
      <c r="B24" t="s">
        <v>1873</v>
      </c>
    </row>
    <row r="26" spans="2:7" x14ac:dyDescent="0.2">
      <c r="C26" s="5" t="s">
        <v>665</v>
      </c>
      <c r="D26" s="5" t="s">
        <v>667</v>
      </c>
      <c r="E26" s="5" t="s">
        <v>666</v>
      </c>
    </row>
    <row r="27" spans="2:7" x14ac:dyDescent="0.2">
      <c r="C27" s="317">
        <v>35801</v>
      </c>
      <c r="D27" s="2">
        <v>3</v>
      </c>
      <c r="E27" s="318">
        <f t="shared" ref="E27:E33" si="0">EDATE(C27,D27)</f>
        <v>35891</v>
      </c>
      <c r="F27" s="8" t="s">
        <v>1874</v>
      </c>
    </row>
    <row r="28" spans="2:7" x14ac:dyDescent="0.2">
      <c r="C28" s="317">
        <v>35807</v>
      </c>
      <c r="D28" s="2">
        <v>3</v>
      </c>
      <c r="E28" s="318">
        <f t="shared" si="0"/>
        <v>35897</v>
      </c>
      <c r="F28" s="8" t="s">
        <v>1875</v>
      </c>
    </row>
    <row r="29" spans="2:7" x14ac:dyDescent="0.2">
      <c r="C29" s="317">
        <v>35804</v>
      </c>
      <c r="D29" s="2">
        <v>4</v>
      </c>
      <c r="E29" s="318">
        <f t="shared" si="0"/>
        <v>35924</v>
      </c>
      <c r="F29" s="8" t="s">
        <v>1876</v>
      </c>
    </row>
    <row r="30" spans="2:7" x14ac:dyDescent="0.2">
      <c r="C30" s="317">
        <v>35804</v>
      </c>
      <c r="D30" s="2">
        <v>3</v>
      </c>
      <c r="E30" s="318">
        <f t="shared" si="0"/>
        <v>35894</v>
      </c>
      <c r="F30" s="8" t="s">
        <v>1877</v>
      </c>
    </row>
    <row r="31" spans="2:7" x14ac:dyDescent="0.2">
      <c r="C31" s="317">
        <v>35814</v>
      </c>
      <c r="D31" s="2">
        <v>3</v>
      </c>
      <c r="E31" s="318">
        <f t="shared" si="0"/>
        <v>35904</v>
      </c>
      <c r="F31" s="8" t="s">
        <v>1878</v>
      </c>
    </row>
    <row r="32" spans="2:7" x14ac:dyDescent="0.2">
      <c r="C32" s="317">
        <v>35821</v>
      </c>
      <c r="D32" s="2">
        <v>3</v>
      </c>
      <c r="E32" s="318">
        <f t="shared" si="0"/>
        <v>35911</v>
      </c>
      <c r="F32" s="8" t="s">
        <v>1879</v>
      </c>
    </row>
    <row r="33" spans="2:6" x14ac:dyDescent="0.2">
      <c r="C33" s="317">
        <v>35807</v>
      </c>
      <c r="D33" s="2">
        <v>3</v>
      </c>
      <c r="E33" s="318">
        <f t="shared" si="0"/>
        <v>35897</v>
      </c>
      <c r="F33" s="8" t="s">
        <v>1880</v>
      </c>
    </row>
    <row r="36" spans="2:6" x14ac:dyDescent="0.2">
      <c r="B36" t="s">
        <v>1881</v>
      </c>
    </row>
    <row r="37" spans="2:6" x14ac:dyDescent="0.2">
      <c r="B37" t="s">
        <v>1882</v>
      </c>
    </row>
    <row r="38" spans="2:6" x14ac:dyDescent="0.2">
      <c r="B38" t="s">
        <v>1883</v>
      </c>
    </row>
    <row r="39" spans="2:6" x14ac:dyDescent="0.2">
      <c r="B39" t="s">
        <v>1884</v>
      </c>
    </row>
    <row r="41" spans="2:6" x14ac:dyDescent="0.2">
      <c r="C41" s="5" t="s">
        <v>665</v>
      </c>
      <c r="D41" s="5" t="s">
        <v>667</v>
      </c>
      <c r="E41" s="5" t="s">
        <v>666</v>
      </c>
    </row>
    <row r="42" spans="2:6" x14ac:dyDescent="0.2">
      <c r="C42" s="317">
        <v>35801</v>
      </c>
      <c r="D42" s="2">
        <v>3</v>
      </c>
      <c r="E42" s="318">
        <f t="shared" ref="E42:E48" si="1">EDATE(C42,D42)-IF(WEEKDAY(EDATE(C42,D42),2)&gt;5,WEEKDAY(EDATE(C42,D42),2)-5,0)</f>
        <v>35891</v>
      </c>
    </row>
    <row r="43" spans="2:6" x14ac:dyDescent="0.2">
      <c r="C43" s="317">
        <v>35807</v>
      </c>
      <c r="D43" s="2">
        <v>3</v>
      </c>
      <c r="E43" s="318">
        <f t="shared" si="1"/>
        <v>35895</v>
      </c>
    </row>
    <row r="44" spans="2:6" x14ac:dyDescent="0.2">
      <c r="C44" s="317">
        <v>35804</v>
      </c>
      <c r="D44" s="2">
        <v>4</v>
      </c>
      <c r="E44" s="318">
        <f t="shared" si="1"/>
        <v>35923</v>
      </c>
    </row>
    <row r="45" spans="2:6" x14ac:dyDescent="0.2">
      <c r="C45" s="317">
        <v>35804</v>
      </c>
      <c r="D45" s="2">
        <v>3</v>
      </c>
      <c r="E45" s="318">
        <f t="shared" si="1"/>
        <v>35894</v>
      </c>
    </row>
    <row r="46" spans="2:6" x14ac:dyDescent="0.2">
      <c r="C46" s="317">
        <v>35814</v>
      </c>
      <c r="D46" s="2">
        <v>3</v>
      </c>
      <c r="E46" s="318">
        <f t="shared" si="1"/>
        <v>35902</v>
      </c>
    </row>
    <row r="47" spans="2:6" x14ac:dyDescent="0.2">
      <c r="C47" s="317">
        <v>35821</v>
      </c>
      <c r="D47" s="2">
        <v>3</v>
      </c>
      <c r="E47" s="318">
        <f t="shared" si="1"/>
        <v>35909</v>
      </c>
    </row>
    <row r="48" spans="2:6" x14ac:dyDescent="0.2">
      <c r="C48" s="317">
        <v>35807</v>
      </c>
      <c r="D48" s="2">
        <v>3</v>
      </c>
      <c r="E48" s="318">
        <f t="shared" si="1"/>
        <v>35895</v>
      </c>
    </row>
    <row r="50" spans="2:2" x14ac:dyDescent="0.2">
      <c r="B50" s="8" t="s">
        <v>1885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3729" r:id="rId4" name="Button 1">
              <controlPr defaultSize="0" print="0" autoFill="0" autoLine="0" autoPict="0">
                <anchor>
                  <from>
                    <xdr:col>5</xdr:col>
                    <xdr:colOff>1038225</xdr:colOff>
                    <xdr:row>0</xdr:row>
                    <xdr:rowOff>38100</xdr:rowOff>
                  </from>
                  <to>
                    <xdr:col>6</xdr:col>
                    <xdr:colOff>371475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0" r:id="rId5" name="Button 2">
              <controlPr defaultSize="0" print="0" autoFill="0" autoLine="0" autoPict="0">
                <anchor>
                  <from>
                    <xdr:col>6</xdr:col>
                    <xdr:colOff>438150</xdr:colOff>
                    <xdr:row>0</xdr:row>
                    <xdr:rowOff>38100</xdr:rowOff>
                  </from>
                  <to>
                    <xdr:col>6</xdr:col>
                    <xdr:colOff>638175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1" r:id="rId6" name="Button 3">
              <controlPr defaultSize="0" print="0" autoFill="0" autoLine="0" autoPict="0">
                <anchor>
                  <from>
                    <xdr:col>5</xdr:col>
                    <xdr:colOff>771525</xdr:colOff>
                    <xdr:row>0</xdr:row>
                    <xdr:rowOff>38100</xdr:rowOff>
                  </from>
                  <to>
                    <xdr:col>5</xdr:col>
                    <xdr:colOff>971550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47">
    <pageSetUpPr fitToPage="1"/>
  </sheetPr>
  <dimension ref="A1:G17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9.28515625" customWidth="1"/>
    <col min="3" max="3" width="11" customWidth="1"/>
    <col min="4" max="4" width="16.28515625" customWidth="1"/>
    <col min="5" max="5" width="12.85546875" customWidth="1"/>
    <col min="6" max="6" width="19" customWidth="1"/>
    <col min="7" max="7" width="16.28515625" customWidth="1"/>
  </cols>
  <sheetData>
    <row r="1" spans="1:7" ht="18.75" thickBot="1" x14ac:dyDescent="0.3">
      <c r="A1" s="1" t="s">
        <v>1886</v>
      </c>
      <c r="B1" s="1"/>
      <c r="C1" s="1"/>
      <c r="D1" s="1"/>
      <c r="E1" s="1"/>
      <c r="F1" s="1"/>
      <c r="G1" s="1"/>
    </row>
    <row r="2" spans="1:7" ht="13.5" thickTop="1" x14ac:dyDescent="0.2"/>
    <row r="3" spans="1:7" x14ac:dyDescent="0.2">
      <c r="C3" s="5" t="s">
        <v>1601</v>
      </c>
      <c r="D3" s="5" t="s">
        <v>1859</v>
      </c>
      <c r="E3" s="5" t="s">
        <v>1887</v>
      </c>
    </row>
    <row r="4" spans="1:7" x14ac:dyDescent="0.2">
      <c r="B4" s="4"/>
      <c r="C4" s="16">
        <v>35800</v>
      </c>
      <c r="D4" s="2">
        <v>2</v>
      </c>
      <c r="E4" s="300">
        <f>EOMONTH(C4,D4)</f>
        <v>35885</v>
      </c>
      <c r="F4" s="32" t="s">
        <v>1888</v>
      </c>
    </row>
    <row r="5" spans="1:7" x14ac:dyDescent="0.2">
      <c r="B5" s="4"/>
      <c r="C5" s="16">
        <v>35800</v>
      </c>
      <c r="D5" s="2">
        <v>2</v>
      </c>
      <c r="E5" s="61">
        <f>EOMONTH(C5,D5)</f>
        <v>35885</v>
      </c>
      <c r="F5" s="32" t="s">
        <v>1889</v>
      </c>
    </row>
    <row r="6" spans="1:7" x14ac:dyDescent="0.2">
      <c r="C6" s="16">
        <v>35800</v>
      </c>
      <c r="D6" s="2">
        <v>-2</v>
      </c>
      <c r="E6" s="61">
        <f>EOMONTH(C6,D6)</f>
        <v>35764</v>
      </c>
      <c r="F6" s="32" t="s">
        <v>1890</v>
      </c>
    </row>
    <row r="8" spans="1:7" ht="13.5" thickBot="1" x14ac:dyDescent="0.25">
      <c r="B8" s="9" t="s">
        <v>64</v>
      </c>
      <c r="C8" s="9"/>
      <c r="D8" s="9"/>
      <c r="E8" s="9"/>
      <c r="F8" s="9"/>
      <c r="G8" s="9"/>
    </row>
    <row r="9" spans="1:7" x14ac:dyDescent="0.2">
      <c r="B9" t="s">
        <v>1891</v>
      </c>
    </row>
    <row r="10" spans="1:7" x14ac:dyDescent="0.2">
      <c r="B10" t="s">
        <v>1892</v>
      </c>
    </row>
    <row r="12" spans="1:7" ht="13.5" thickBot="1" x14ac:dyDescent="0.25">
      <c r="B12" s="9" t="s">
        <v>43</v>
      </c>
      <c r="C12" s="9"/>
      <c r="D12" s="9"/>
      <c r="E12" s="9"/>
      <c r="F12" s="9"/>
      <c r="G12" s="9"/>
    </row>
    <row r="13" spans="1:7" x14ac:dyDescent="0.2">
      <c r="B13" t="s">
        <v>1893</v>
      </c>
    </row>
    <row r="15" spans="1:7" ht="13.5" thickBot="1" x14ac:dyDescent="0.25">
      <c r="B15" s="9" t="s">
        <v>45</v>
      </c>
      <c r="C15" s="9"/>
      <c r="D15" s="9"/>
      <c r="E15" s="9"/>
      <c r="F15" s="9"/>
      <c r="G15" s="9"/>
    </row>
    <row r="16" spans="1:7" x14ac:dyDescent="0.2">
      <c r="B16" t="s">
        <v>1867</v>
      </c>
    </row>
    <row r="17" spans="2:2" x14ac:dyDescent="0.2">
      <c r="B17" t="s">
        <v>1868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4753" r:id="rId4" name="Button 1">
              <controlPr defaultSize="0" print="0" autoFill="0" autoLine="0" autoPict="0">
                <anchor>
                  <from>
                    <xdr:col>5</xdr:col>
                    <xdr:colOff>1228725</xdr:colOff>
                    <xdr:row>0</xdr:row>
                    <xdr:rowOff>38100</xdr:rowOff>
                  </from>
                  <to>
                    <xdr:col>6</xdr:col>
                    <xdr:colOff>428625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4" r:id="rId5" name="Button 2">
              <controlPr defaultSize="0" print="0" autoFill="0" autoLine="0" autoPict="0">
                <anchor>
                  <from>
                    <xdr:col>6</xdr:col>
                    <xdr:colOff>495300</xdr:colOff>
                    <xdr:row>0</xdr:row>
                    <xdr:rowOff>38100</xdr:rowOff>
                  </from>
                  <to>
                    <xdr:col>6</xdr:col>
                    <xdr:colOff>695325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5" r:id="rId6" name="Button 3">
              <controlPr defaultSize="0" print="0" autoFill="0" autoLine="0" autoPict="0">
                <anchor>
                  <from>
                    <xdr:col>5</xdr:col>
                    <xdr:colOff>962025</xdr:colOff>
                    <xdr:row>0</xdr:row>
                    <xdr:rowOff>38100</xdr:rowOff>
                  </from>
                  <to>
                    <xdr:col>5</xdr:col>
                    <xdr:colOff>1162050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48">
    <pageSetUpPr fitToPage="1"/>
  </sheetPr>
  <dimension ref="A1:G21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5" max="6" width="14.85546875" customWidth="1"/>
    <col min="7" max="7" width="22.140625" customWidth="1"/>
  </cols>
  <sheetData>
    <row r="1" spans="1:7" ht="18.75" thickBot="1" x14ac:dyDescent="0.3">
      <c r="A1" s="1" t="s">
        <v>1894</v>
      </c>
      <c r="B1" s="1"/>
      <c r="C1" s="1"/>
      <c r="D1" s="1"/>
      <c r="E1" s="1"/>
      <c r="F1" s="1"/>
      <c r="G1" s="1"/>
    </row>
    <row r="2" spans="1:7" ht="13.5" thickTop="1" x14ac:dyDescent="0.2"/>
    <row r="3" spans="1:7" x14ac:dyDescent="0.2">
      <c r="C3" s="152" t="s">
        <v>1895</v>
      </c>
      <c r="D3" s="152"/>
      <c r="E3" s="5" t="s">
        <v>1896</v>
      </c>
      <c r="F3" s="5" t="s">
        <v>1897</v>
      </c>
    </row>
    <row r="4" spans="1:7" x14ac:dyDescent="0.2">
      <c r="C4" s="2">
        <v>10</v>
      </c>
      <c r="D4" s="2">
        <v>0</v>
      </c>
      <c r="E4" s="143" t="e">
        <f>C4/D4</f>
        <v>#DIV/0!</v>
      </c>
      <c r="F4" s="3">
        <f>ERROR.TYPE(E4)</f>
        <v>2</v>
      </c>
      <c r="G4" s="26" t="s">
        <v>1898</v>
      </c>
    </row>
    <row r="5" spans="1:7" x14ac:dyDescent="0.2">
      <c r="C5" s="2">
        <v>10</v>
      </c>
      <c r="D5" s="2">
        <v>3</v>
      </c>
      <c r="E5" s="143" t="e">
        <f>C5+ALAN</f>
        <v>#NAME?</v>
      </c>
      <c r="F5" s="3">
        <f>ERROR.TYPE(E5)</f>
        <v>5</v>
      </c>
      <c r="G5" s="26" t="s">
        <v>1899</v>
      </c>
    </row>
    <row r="6" spans="1:7" x14ac:dyDescent="0.2">
      <c r="C6" s="2">
        <v>10</v>
      </c>
      <c r="D6" s="2">
        <v>3</v>
      </c>
      <c r="E6" s="143" t="e">
        <f>C6+D6+#REF!</f>
        <v>#REF!</v>
      </c>
      <c r="F6" s="3">
        <f>ERROR.TYPE(E6)</f>
        <v>4</v>
      </c>
      <c r="G6" s="26" t="s">
        <v>1900</v>
      </c>
    </row>
    <row r="7" spans="1:7" x14ac:dyDescent="0.2">
      <c r="C7" s="17">
        <v>0.41666666666666669</v>
      </c>
      <c r="D7" s="17">
        <v>0.54166666666666663</v>
      </c>
      <c r="E7" s="319">
        <f>C7-D7</f>
        <v>-0.12499999999999994</v>
      </c>
      <c r="F7" s="3" t="e">
        <f>ERROR.TYPE(E7)</f>
        <v>#N/A</v>
      </c>
      <c r="G7" s="26" t="s">
        <v>1901</v>
      </c>
    </row>
    <row r="10" spans="1:7" ht="13.5" thickBot="1" x14ac:dyDescent="0.25">
      <c r="B10" s="9" t="s">
        <v>64</v>
      </c>
      <c r="C10" s="9"/>
      <c r="D10" s="9"/>
      <c r="E10" s="9"/>
      <c r="F10" s="9"/>
      <c r="G10" s="9"/>
    </row>
    <row r="11" spans="1:7" x14ac:dyDescent="0.2">
      <c r="B11" t="s">
        <v>1902</v>
      </c>
    </row>
    <row r="13" spans="1:7" ht="13.5" thickBot="1" x14ac:dyDescent="0.25">
      <c r="B13" s="9" t="s">
        <v>43</v>
      </c>
      <c r="C13" s="9"/>
      <c r="D13" s="9"/>
      <c r="E13" s="9"/>
      <c r="F13" s="9"/>
      <c r="G13" s="9"/>
    </row>
    <row r="14" spans="1:7" x14ac:dyDescent="0.2">
      <c r="B14" t="s">
        <v>1903</v>
      </c>
    </row>
    <row r="15" spans="1:7" x14ac:dyDescent="0.2">
      <c r="B15" t="s">
        <v>1904</v>
      </c>
    </row>
    <row r="17" spans="2:7" ht="13.5" thickBot="1" x14ac:dyDescent="0.25">
      <c r="B17" s="9" t="s">
        <v>45</v>
      </c>
      <c r="C17" s="9"/>
      <c r="D17" s="9"/>
      <c r="E17" s="9"/>
      <c r="F17" s="9"/>
      <c r="G17" s="9"/>
    </row>
    <row r="18" spans="2:7" x14ac:dyDescent="0.2">
      <c r="B18" t="s">
        <v>1905</v>
      </c>
    </row>
    <row r="20" spans="2:7" ht="13.5" thickBot="1" x14ac:dyDescent="0.25">
      <c r="B20" s="9" t="s">
        <v>85</v>
      </c>
      <c r="C20" s="9"/>
      <c r="D20" s="9"/>
      <c r="E20" s="9"/>
      <c r="F20" s="9"/>
      <c r="G20" s="9"/>
    </row>
    <row r="21" spans="2:7" x14ac:dyDescent="0.2">
      <c r="B21" t="s">
        <v>1906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5777" r:id="rId4" name="Button 1">
              <controlPr defaultSize="0" print="0" autoFill="0" autoLine="0" autoPict="0">
                <anchor>
                  <from>
                    <xdr:col>6</xdr:col>
                    <xdr:colOff>771525</xdr:colOff>
                    <xdr:row>0</xdr:row>
                    <xdr:rowOff>38100</xdr:rowOff>
                  </from>
                  <to>
                    <xdr:col>6</xdr:col>
                    <xdr:colOff>1238250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8" r:id="rId5" name="Button 2">
              <controlPr defaultSize="0" print="0" autoFill="0" autoLine="0" autoPict="0">
                <anchor>
                  <from>
                    <xdr:col>6</xdr:col>
                    <xdr:colOff>1304925</xdr:colOff>
                    <xdr:row>0</xdr:row>
                    <xdr:rowOff>38100</xdr:rowOff>
                  </from>
                  <to>
                    <xdr:col>7</xdr:col>
                    <xdr:colOff>28575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9" r:id="rId6" name="Button 3">
              <controlPr defaultSize="0" print="0" autoFill="0" autoLine="0" autoPict="0">
                <anchor>
                  <from>
                    <xdr:col>6</xdr:col>
                    <xdr:colOff>504825</xdr:colOff>
                    <xdr:row>0</xdr:row>
                    <xdr:rowOff>38100</xdr:rowOff>
                  </from>
                  <to>
                    <xdr:col>6</xdr:col>
                    <xdr:colOff>704850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50">
    <pageSetUpPr fitToPage="1"/>
  </sheetPr>
  <dimension ref="A1:J33"/>
  <sheetViews>
    <sheetView showGridLines="0" workbookViewId="0">
      <pane ySplit="1" topLeftCell="A20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10" max="10" width="8.5703125" customWidth="1"/>
  </cols>
  <sheetData>
    <row r="1" spans="1:10" ht="18.75" thickBot="1" x14ac:dyDescent="0.3">
      <c r="A1" s="1" t="s">
        <v>1907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x14ac:dyDescent="0.2">
      <c r="C3" s="5" t="s">
        <v>1908</v>
      </c>
      <c r="D3" s="5" t="s">
        <v>1909</v>
      </c>
      <c r="E3" s="5" t="s">
        <v>549</v>
      </c>
    </row>
    <row r="4" spans="1:10" x14ac:dyDescent="0.2">
      <c r="C4" s="2" t="s">
        <v>58</v>
      </c>
      <c r="D4" s="2" t="s">
        <v>58</v>
      </c>
      <c r="E4" s="3" t="b">
        <f>EXACT(C4,D4)</f>
        <v>1</v>
      </c>
      <c r="F4" s="8" t="s">
        <v>1910</v>
      </c>
    </row>
    <row r="5" spans="1:10" x14ac:dyDescent="0.2">
      <c r="C5" s="2" t="s">
        <v>58</v>
      </c>
      <c r="D5" s="2" t="s">
        <v>501</v>
      </c>
      <c r="E5" s="3" t="b">
        <f>EXACT(C5,D5)</f>
        <v>0</v>
      </c>
      <c r="F5" s="8" t="s">
        <v>1911</v>
      </c>
    </row>
    <row r="6" spans="1:10" x14ac:dyDescent="0.2">
      <c r="C6" s="2" t="s">
        <v>58</v>
      </c>
      <c r="D6" s="2" t="s">
        <v>1912</v>
      </c>
      <c r="E6" s="3" t="b">
        <f>EXACT(C6,D6)</f>
        <v>0</v>
      </c>
      <c r="F6" s="8" t="s">
        <v>1913</v>
      </c>
    </row>
    <row r="8" spans="1:10" ht="13.5" thickBot="1" x14ac:dyDescent="0.25">
      <c r="B8" s="9" t="s">
        <v>64</v>
      </c>
      <c r="C8" s="9"/>
      <c r="D8" s="9"/>
      <c r="E8" s="9"/>
      <c r="F8" s="9"/>
      <c r="G8" s="9"/>
      <c r="H8" s="9"/>
      <c r="I8" s="9"/>
      <c r="J8" s="9"/>
    </row>
    <row r="9" spans="1:10" x14ac:dyDescent="0.2">
      <c r="B9" t="s">
        <v>1914</v>
      </c>
    </row>
    <row r="10" spans="1:10" x14ac:dyDescent="0.2">
      <c r="B10" t="s">
        <v>1915</v>
      </c>
    </row>
    <row r="11" spans="1:10" x14ac:dyDescent="0.2">
      <c r="B11" t="s">
        <v>1916</v>
      </c>
    </row>
    <row r="13" spans="1:10" ht="13.5" thickBot="1" x14ac:dyDescent="0.25">
      <c r="B13" s="9" t="s">
        <v>43</v>
      </c>
      <c r="C13" s="9"/>
      <c r="D13" s="9"/>
      <c r="E13" s="9"/>
      <c r="F13" s="9"/>
      <c r="G13" s="9"/>
      <c r="H13" s="9"/>
      <c r="I13" s="9"/>
      <c r="J13" s="9"/>
    </row>
    <row r="14" spans="1:10" x14ac:dyDescent="0.2">
      <c r="B14" t="s">
        <v>1917</v>
      </c>
    </row>
    <row r="15" spans="1:10" x14ac:dyDescent="0.2">
      <c r="B15" t="s">
        <v>1918</v>
      </c>
    </row>
    <row r="17" spans="2:10" ht="13.5" thickBot="1" x14ac:dyDescent="0.25">
      <c r="B17" s="9" t="s">
        <v>45</v>
      </c>
      <c r="C17" s="9"/>
      <c r="D17" s="9"/>
      <c r="E17" s="9"/>
      <c r="F17" s="9"/>
      <c r="G17" s="9"/>
      <c r="H17" s="9"/>
      <c r="I17" s="9"/>
      <c r="J17" s="9"/>
    </row>
    <row r="18" spans="2:10" x14ac:dyDescent="0.2">
      <c r="B18" t="s">
        <v>1919</v>
      </c>
    </row>
    <row r="19" spans="2:10" x14ac:dyDescent="0.2">
      <c r="B19" t="s">
        <v>1920</v>
      </c>
    </row>
    <row r="21" spans="2:10" ht="13.5" thickBot="1" x14ac:dyDescent="0.25">
      <c r="B21" s="9" t="s">
        <v>85</v>
      </c>
      <c r="C21" s="9"/>
      <c r="D21" s="9"/>
      <c r="E21" s="9"/>
      <c r="F21" s="9"/>
      <c r="G21" s="9"/>
      <c r="H21" s="9"/>
      <c r="I21" s="9"/>
      <c r="J21" s="9"/>
    </row>
    <row r="22" spans="2:10" x14ac:dyDescent="0.2">
      <c r="B22" t="s">
        <v>1921</v>
      </c>
    </row>
    <row r="23" spans="2:10" x14ac:dyDescent="0.2">
      <c r="B23" t="s">
        <v>1922</v>
      </c>
    </row>
    <row r="24" spans="2:10" x14ac:dyDescent="0.2">
      <c r="B24" t="s">
        <v>1923</v>
      </c>
    </row>
    <row r="25" spans="2:10" x14ac:dyDescent="0.2">
      <c r="B25" t="s">
        <v>1924</v>
      </c>
    </row>
    <row r="26" spans="2:10" x14ac:dyDescent="0.2">
      <c r="B26" t="s">
        <v>1925</v>
      </c>
    </row>
    <row r="28" spans="2:10" x14ac:dyDescent="0.2">
      <c r="B28" s="320"/>
      <c r="C28" s="321"/>
      <c r="D28" s="322" t="s">
        <v>1926</v>
      </c>
      <c r="E28" s="323" t="s">
        <v>1927</v>
      </c>
    </row>
    <row r="29" spans="2:10" x14ac:dyDescent="0.2">
      <c r="B29" s="320"/>
      <c r="C29" s="321"/>
      <c r="D29" s="322" t="s">
        <v>1928</v>
      </c>
      <c r="E29" s="324" t="str">
        <f>IF(EXACT(E28,CHAR(66)&amp;CHAR(108)&amp;CHAR(117)&amp;CHAR(101)),"Yes","No")</f>
        <v>No</v>
      </c>
    </row>
    <row r="31" spans="2:10" x14ac:dyDescent="0.2">
      <c r="B31" t="s">
        <v>1929</v>
      </c>
    </row>
    <row r="32" spans="2:10" x14ac:dyDescent="0.2">
      <c r="B32" t="s">
        <v>1930</v>
      </c>
    </row>
    <row r="33" spans="2:2" x14ac:dyDescent="0.2">
      <c r="B33" t="s">
        <v>1931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6801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2" r:id="rId5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3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51">
    <pageSetUpPr fitToPage="1"/>
  </sheetPr>
  <dimension ref="A1:H20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4" max="4" width="24.5703125" customWidth="1"/>
    <col min="5" max="5" width="12" customWidth="1"/>
    <col min="8" max="8" width="8.28515625" customWidth="1"/>
  </cols>
  <sheetData>
    <row r="1" spans="1:8" ht="18.75" thickBot="1" x14ac:dyDescent="0.3">
      <c r="A1" s="1" t="s">
        <v>1932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C3" s="5" t="s">
        <v>467</v>
      </c>
      <c r="D3" s="5" t="s">
        <v>1933</v>
      </c>
    </row>
    <row r="4" spans="1:8" x14ac:dyDescent="0.2">
      <c r="C4" s="11">
        <v>3</v>
      </c>
      <c r="D4" s="135">
        <f>FACT(C4)</f>
        <v>6</v>
      </c>
      <c r="E4" s="32" t="s">
        <v>1934</v>
      </c>
    </row>
    <row r="5" spans="1:8" x14ac:dyDescent="0.2">
      <c r="C5" s="11">
        <v>3.5</v>
      </c>
      <c r="D5" s="135">
        <f>FACT(C5)</f>
        <v>6</v>
      </c>
      <c r="E5" s="32" t="s">
        <v>1935</v>
      </c>
    </row>
    <row r="6" spans="1:8" x14ac:dyDescent="0.2">
      <c r="C6" s="11">
        <v>5</v>
      </c>
      <c r="D6" s="135">
        <f>FACT(C6)</f>
        <v>120</v>
      </c>
      <c r="E6" s="32" t="s">
        <v>1936</v>
      </c>
    </row>
    <row r="7" spans="1:8" x14ac:dyDescent="0.2">
      <c r="C7" s="11">
        <v>10</v>
      </c>
      <c r="D7" s="135">
        <f>FACT(C7)</f>
        <v>3628800</v>
      </c>
      <c r="E7" s="32" t="s">
        <v>1937</v>
      </c>
    </row>
    <row r="8" spans="1:8" x14ac:dyDescent="0.2">
      <c r="C8" s="11">
        <v>20</v>
      </c>
      <c r="D8" s="135">
        <f>FACT(C8)</f>
        <v>2.43290200817664E+18</v>
      </c>
      <c r="E8" s="32" t="s">
        <v>1938</v>
      </c>
    </row>
    <row r="10" spans="1:8" ht="13.5" thickBot="1" x14ac:dyDescent="0.25">
      <c r="B10" s="9" t="s">
        <v>39</v>
      </c>
      <c r="C10" s="9"/>
      <c r="D10" s="9"/>
      <c r="E10" s="9"/>
      <c r="F10" s="9"/>
      <c r="G10" s="9"/>
      <c r="H10" s="9"/>
    </row>
    <row r="11" spans="1:8" x14ac:dyDescent="0.2">
      <c r="B11" t="s">
        <v>1939</v>
      </c>
    </row>
    <row r="12" spans="1:8" x14ac:dyDescent="0.2">
      <c r="B12" t="s">
        <v>1940</v>
      </c>
    </row>
    <row r="13" spans="1:8" x14ac:dyDescent="0.2">
      <c r="B13" t="s">
        <v>1941</v>
      </c>
    </row>
    <row r="14" spans="1:8" x14ac:dyDescent="0.2">
      <c r="B14" t="s">
        <v>1942</v>
      </c>
    </row>
    <row r="16" spans="1:8" ht="13.5" thickBot="1" x14ac:dyDescent="0.25">
      <c r="B16" s="9" t="s">
        <v>43</v>
      </c>
      <c r="C16" s="9"/>
      <c r="D16" s="9"/>
      <c r="E16" s="9"/>
      <c r="F16" s="9"/>
      <c r="G16" s="9"/>
      <c r="H16" s="9"/>
    </row>
    <row r="17" spans="2:8" x14ac:dyDescent="0.2">
      <c r="B17" s="10" t="s">
        <v>1943</v>
      </c>
    </row>
    <row r="19" spans="2:8" ht="13.5" thickBot="1" x14ac:dyDescent="0.25">
      <c r="B19" s="9" t="s">
        <v>1944</v>
      </c>
      <c r="C19" s="9"/>
      <c r="D19" s="9"/>
      <c r="E19" s="9"/>
      <c r="F19" s="9"/>
      <c r="G19" s="9"/>
      <c r="H19" s="9"/>
    </row>
    <row r="20" spans="2:8" x14ac:dyDescent="0.2">
      <c r="B20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7825" r:id="rId4" name="Button 1">
              <controlPr defaultSize="0" print="0" autoFill="0" autoLine="0" autoPict="0">
                <anchor>
                  <from>
                    <xdr:col>6</xdr:col>
                    <xdr:colOff>323850</xdr:colOff>
                    <xdr:row>0</xdr:row>
                    <xdr:rowOff>38100</xdr:rowOff>
                  </from>
                  <to>
                    <xdr:col>7</xdr:col>
                    <xdr:colOff>190500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6" r:id="rId5" name="Button 2">
              <controlPr defaultSize="0" print="0" autoFill="0" autoLine="0" autoPict="0">
                <anchor>
                  <from>
                    <xdr:col>7</xdr:col>
                    <xdr:colOff>257175</xdr:colOff>
                    <xdr:row>0</xdr:row>
                    <xdr:rowOff>38100</xdr:rowOff>
                  </from>
                  <to>
                    <xdr:col>7</xdr:col>
                    <xdr:colOff>457200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7" r:id="rId6" name="Button 3">
              <controlPr defaultSize="0" print="0" autoFill="0" autoLine="0" autoPict="0">
                <anchor>
                  <from>
                    <xdr:col>6</xdr:col>
                    <xdr:colOff>57150</xdr:colOff>
                    <xdr:row>0</xdr:row>
                    <xdr:rowOff>38100</xdr:rowOff>
                  </from>
                  <to>
                    <xdr:col>6</xdr:col>
                    <xdr:colOff>266700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53">
    <pageSetUpPr fitToPage="1"/>
  </sheetPr>
  <dimension ref="A1:J29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10" max="10" width="8.42578125" customWidth="1"/>
  </cols>
  <sheetData>
    <row r="1" spans="1:10" ht="18.75" thickBot="1" x14ac:dyDescent="0.3">
      <c r="A1" s="1" t="s">
        <v>1945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ht="25.5" x14ac:dyDescent="0.2">
      <c r="C3" s="21" t="s">
        <v>200</v>
      </c>
      <c r="D3" s="21" t="s">
        <v>201</v>
      </c>
    </row>
    <row r="4" spans="1:10" x14ac:dyDescent="0.2">
      <c r="C4" s="2">
        <v>10</v>
      </c>
      <c r="D4" s="3" t="str">
        <f>FIXED(C4)</f>
        <v>10.00</v>
      </c>
      <c r="E4" s="8" t="s">
        <v>1946</v>
      </c>
    </row>
    <row r="5" spans="1:10" x14ac:dyDescent="0.2">
      <c r="C5" s="2">
        <v>10</v>
      </c>
      <c r="D5" s="3" t="str">
        <f>FIXED(C5,0)</f>
        <v>10</v>
      </c>
      <c r="E5" s="8" t="s">
        <v>1947</v>
      </c>
    </row>
    <row r="6" spans="1:10" x14ac:dyDescent="0.2">
      <c r="C6" s="2">
        <v>10</v>
      </c>
      <c r="D6" s="3" t="str">
        <f>FIXED(C6,1)</f>
        <v>10.0</v>
      </c>
      <c r="E6" s="8" t="s">
        <v>1948</v>
      </c>
    </row>
    <row r="7" spans="1:10" x14ac:dyDescent="0.2">
      <c r="C7" s="2">
        <v>10</v>
      </c>
      <c r="D7" s="3" t="str">
        <f>FIXED(C7,2)</f>
        <v>10.00</v>
      </c>
      <c r="E7" s="8" t="s">
        <v>1949</v>
      </c>
    </row>
    <row r="8" spans="1:10" x14ac:dyDescent="0.2">
      <c r="C8" s="2">
        <v>10.25</v>
      </c>
      <c r="D8" s="3" t="str">
        <f>FIXED(C8)</f>
        <v>10.25</v>
      </c>
      <c r="E8" s="8" t="s">
        <v>1950</v>
      </c>
    </row>
    <row r="9" spans="1:10" x14ac:dyDescent="0.2">
      <c r="C9" s="2">
        <v>10.25</v>
      </c>
      <c r="D9" s="3" t="str">
        <f>FIXED(C9,0)</f>
        <v>10</v>
      </c>
      <c r="E9" s="8" t="s">
        <v>1951</v>
      </c>
    </row>
    <row r="10" spans="1:10" x14ac:dyDescent="0.2">
      <c r="C10" s="2">
        <v>10.25</v>
      </c>
      <c r="D10" s="3" t="str">
        <f>FIXED(C10,1)</f>
        <v>10.3</v>
      </c>
      <c r="E10" s="8" t="s">
        <v>1952</v>
      </c>
    </row>
    <row r="11" spans="1:10" x14ac:dyDescent="0.2">
      <c r="C11" s="2">
        <v>10.25</v>
      </c>
      <c r="D11" s="3" t="str">
        <f>FIXED(C11,2)</f>
        <v>10.25</v>
      </c>
      <c r="E11" s="8" t="s">
        <v>1953</v>
      </c>
    </row>
    <row r="12" spans="1:10" x14ac:dyDescent="0.2">
      <c r="C12" s="2">
        <v>1000</v>
      </c>
      <c r="D12" s="3" t="str">
        <f>FIXED(C12)</f>
        <v>1,000.00</v>
      </c>
      <c r="E12" s="8" t="s">
        <v>1954</v>
      </c>
    </row>
    <row r="13" spans="1:10" x14ac:dyDescent="0.2">
      <c r="C13" s="2">
        <v>1000.23</v>
      </c>
      <c r="D13" s="3" t="str">
        <f>FIXED(C13,0)</f>
        <v>1,000</v>
      </c>
      <c r="E13" s="8" t="s">
        <v>1955</v>
      </c>
    </row>
    <row r="14" spans="1:10" x14ac:dyDescent="0.2">
      <c r="C14" s="2">
        <v>1000.23</v>
      </c>
      <c r="D14" s="3" t="str">
        <f>FIXED(C14,0,TRUE)</f>
        <v>1000</v>
      </c>
      <c r="E14" s="8" t="s">
        <v>1956</v>
      </c>
    </row>
    <row r="16" spans="1:10" ht="13.5" thickBot="1" x14ac:dyDescent="0.25">
      <c r="B16" s="9" t="s">
        <v>39</v>
      </c>
      <c r="C16" s="9"/>
      <c r="D16" s="9"/>
      <c r="E16" s="9"/>
      <c r="F16" s="9"/>
      <c r="G16" s="9"/>
      <c r="H16" s="9"/>
      <c r="I16" s="9"/>
      <c r="J16" s="9"/>
    </row>
    <row r="17" spans="2:10" x14ac:dyDescent="0.2">
      <c r="B17" t="s">
        <v>1957</v>
      </c>
    </row>
    <row r="18" spans="2:10" x14ac:dyDescent="0.2">
      <c r="B18" t="s">
        <v>1958</v>
      </c>
    </row>
    <row r="19" spans="2:10" x14ac:dyDescent="0.2">
      <c r="B19" t="s">
        <v>1959</v>
      </c>
    </row>
    <row r="21" spans="2:10" ht="13.5" thickBot="1" x14ac:dyDescent="0.25">
      <c r="B21" s="9" t="s">
        <v>43</v>
      </c>
      <c r="C21" s="9"/>
      <c r="D21" s="9"/>
      <c r="E21" s="9"/>
      <c r="F21" s="9"/>
      <c r="G21" s="9"/>
      <c r="H21" s="9"/>
      <c r="I21" s="9"/>
      <c r="J21" s="9"/>
    </row>
    <row r="22" spans="2:10" x14ac:dyDescent="0.2">
      <c r="B22" s="10" t="s">
        <v>1960</v>
      </c>
    </row>
    <row r="23" spans="2:10" x14ac:dyDescent="0.2">
      <c r="B23" t="s">
        <v>1961</v>
      </c>
    </row>
    <row r="24" spans="2:10" x14ac:dyDescent="0.2">
      <c r="B24" t="s">
        <v>1962</v>
      </c>
    </row>
    <row r="25" spans="2:10" x14ac:dyDescent="0.2">
      <c r="B25" t="s">
        <v>1963</v>
      </c>
    </row>
    <row r="27" spans="2:10" ht="13.5" thickBot="1" x14ac:dyDescent="0.25">
      <c r="B27" s="9" t="s">
        <v>45</v>
      </c>
      <c r="C27" s="9"/>
      <c r="D27" s="9"/>
      <c r="E27" s="9"/>
      <c r="F27" s="9"/>
      <c r="G27" s="9"/>
      <c r="H27" s="9"/>
      <c r="I27" s="9"/>
      <c r="J27" s="9"/>
    </row>
    <row r="28" spans="2:10" x14ac:dyDescent="0.2">
      <c r="B28" t="s">
        <v>46</v>
      </c>
    </row>
    <row r="29" spans="2:10" x14ac:dyDescent="0.2">
      <c r="B29" t="s">
        <v>1964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8849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0" r:id="rId5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1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54">
    <pageSetUpPr fitToPage="1"/>
  </sheetPr>
  <dimension ref="A1:H30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4" max="4" width="13.42578125" customWidth="1"/>
    <col min="5" max="5" width="16.140625" customWidth="1"/>
    <col min="6" max="6" width="11.28515625" customWidth="1"/>
    <col min="8" max="8" width="12.5703125" customWidth="1"/>
  </cols>
  <sheetData>
    <row r="1" spans="1:8" ht="18.75" thickBot="1" x14ac:dyDescent="0.3">
      <c r="A1" s="1" t="s">
        <v>1965</v>
      </c>
      <c r="B1" s="1"/>
      <c r="C1" s="1"/>
      <c r="D1" s="1"/>
      <c r="E1" s="1"/>
      <c r="F1" s="58"/>
      <c r="G1" s="1"/>
      <c r="H1" s="1"/>
    </row>
    <row r="2" spans="1:8" ht="13.5" thickTop="1" x14ac:dyDescent="0.2"/>
    <row r="3" spans="1:8" x14ac:dyDescent="0.2">
      <c r="C3" s="59" t="s">
        <v>467</v>
      </c>
      <c r="D3" s="59" t="s">
        <v>1966</v>
      </c>
    </row>
    <row r="4" spans="1:8" x14ac:dyDescent="0.2">
      <c r="C4" s="2">
        <v>1.5</v>
      </c>
      <c r="D4" s="3">
        <f>FLOOR(C4,1)</f>
        <v>1</v>
      </c>
      <c r="E4" s="8" t="s">
        <v>1967</v>
      </c>
    </row>
    <row r="5" spans="1:8" x14ac:dyDescent="0.2">
      <c r="C5" s="2">
        <v>2.2999999999999998</v>
      </c>
      <c r="D5" s="3">
        <f>FLOOR(C5,1)</f>
        <v>2</v>
      </c>
      <c r="E5" s="8" t="s">
        <v>1968</v>
      </c>
    </row>
    <row r="6" spans="1:8" x14ac:dyDescent="0.2">
      <c r="C6" s="2">
        <v>2.9</v>
      </c>
      <c r="D6" s="3">
        <f>FLOOR(C6,1)</f>
        <v>2</v>
      </c>
      <c r="E6" s="8" t="s">
        <v>1969</v>
      </c>
    </row>
    <row r="7" spans="1:8" x14ac:dyDescent="0.2">
      <c r="C7" s="2">
        <v>123</v>
      </c>
      <c r="D7" s="3">
        <f>FLOOR(C7,50)</f>
        <v>100</v>
      </c>
      <c r="E7" s="8" t="s">
        <v>1970</v>
      </c>
    </row>
    <row r="8" spans="1:8" x14ac:dyDescent="0.2">
      <c r="C8" s="2">
        <v>145</v>
      </c>
      <c r="D8" s="3">
        <f>FLOOR(C8,50)</f>
        <v>100</v>
      </c>
      <c r="E8" s="8" t="s">
        <v>1971</v>
      </c>
    </row>
    <row r="9" spans="1:8" x14ac:dyDescent="0.2">
      <c r="C9" s="2">
        <v>175</v>
      </c>
      <c r="D9" s="3">
        <f>FLOOR(C9,50)</f>
        <v>150</v>
      </c>
      <c r="E9" s="8" t="s">
        <v>1972</v>
      </c>
    </row>
    <row r="11" spans="1:8" ht="13.5" thickBot="1" x14ac:dyDescent="0.25">
      <c r="B11" s="9" t="s">
        <v>39</v>
      </c>
      <c r="C11" s="9"/>
      <c r="D11" s="9"/>
      <c r="E11" s="9"/>
      <c r="F11" s="9"/>
      <c r="G11" s="9"/>
      <c r="H11" s="9"/>
    </row>
    <row r="12" spans="1:8" x14ac:dyDescent="0.2">
      <c r="B12" t="s">
        <v>1973</v>
      </c>
    </row>
    <row r="14" spans="1:8" ht="13.5" thickBot="1" x14ac:dyDescent="0.25">
      <c r="B14" s="9" t="s">
        <v>43</v>
      </c>
      <c r="C14" s="9"/>
      <c r="D14" s="9"/>
      <c r="E14" s="9"/>
      <c r="F14" s="9"/>
      <c r="G14" s="9"/>
      <c r="H14" s="9"/>
    </row>
    <row r="15" spans="1:8" x14ac:dyDescent="0.2">
      <c r="B15" s="10" t="s">
        <v>1974</v>
      </c>
    </row>
    <row r="17" spans="2:8" ht="13.5" thickBot="1" x14ac:dyDescent="0.25">
      <c r="B17" s="9" t="s">
        <v>45</v>
      </c>
      <c r="C17" s="9"/>
      <c r="D17" s="9"/>
      <c r="E17" s="9"/>
      <c r="F17" s="9"/>
      <c r="G17" s="9"/>
      <c r="H17" s="9"/>
    </row>
    <row r="18" spans="2:8" x14ac:dyDescent="0.2">
      <c r="B18" t="s">
        <v>46</v>
      </c>
    </row>
    <row r="20" spans="2:8" ht="13.5" thickBot="1" x14ac:dyDescent="0.25">
      <c r="B20" s="9" t="s">
        <v>85</v>
      </c>
      <c r="C20" s="9"/>
      <c r="D20" s="9"/>
      <c r="E20" s="9"/>
      <c r="F20" s="9"/>
      <c r="G20" s="9"/>
      <c r="H20" s="9"/>
    </row>
    <row r="21" spans="2:8" x14ac:dyDescent="0.2">
      <c r="B21" t="s">
        <v>1975</v>
      </c>
    </row>
    <row r="22" spans="2:8" x14ac:dyDescent="0.2">
      <c r="B22" t="s">
        <v>1976</v>
      </c>
    </row>
    <row r="23" spans="2:8" x14ac:dyDescent="0.2">
      <c r="B23" t="s">
        <v>1977</v>
      </c>
    </row>
    <row r="24" spans="2:8" x14ac:dyDescent="0.2">
      <c r="B24" t="s">
        <v>1978</v>
      </c>
    </row>
    <row r="26" spans="2:8" x14ac:dyDescent="0.2">
      <c r="C26" s="59" t="s">
        <v>769</v>
      </c>
      <c r="D26" s="59" t="s">
        <v>1979</v>
      </c>
      <c r="E26" s="60" t="s">
        <v>1980</v>
      </c>
      <c r="F26" s="59" t="s">
        <v>1981</v>
      </c>
    </row>
    <row r="27" spans="2:8" x14ac:dyDescent="0.2">
      <c r="C27" s="2" t="s">
        <v>118</v>
      </c>
      <c r="D27" s="18">
        <v>23500</v>
      </c>
      <c r="E27" s="55">
        <f>FLOOR(D27,1000)</f>
        <v>23000</v>
      </c>
      <c r="F27" s="55">
        <f>E27*1%</f>
        <v>230</v>
      </c>
    </row>
    <row r="28" spans="2:8" x14ac:dyDescent="0.2">
      <c r="C28" s="2" t="s">
        <v>120</v>
      </c>
      <c r="D28" s="18">
        <v>56890</v>
      </c>
      <c r="E28" s="55">
        <f>FLOOR(D28,1000)</f>
        <v>56000</v>
      </c>
      <c r="F28" s="55">
        <f>E28*1%</f>
        <v>560</v>
      </c>
    </row>
    <row r="29" spans="2:8" x14ac:dyDescent="0.2">
      <c r="C29" s="2" t="s">
        <v>121</v>
      </c>
      <c r="D29" s="18">
        <v>18125</v>
      </c>
      <c r="E29" s="55">
        <f>FLOOR(D29,1000)</f>
        <v>18000</v>
      </c>
      <c r="F29" s="55">
        <f>E29*1%</f>
        <v>180</v>
      </c>
    </row>
    <row r="30" spans="2:8" x14ac:dyDescent="0.2">
      <c r="E30" s="19" t="s">
        <v>1982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9873" r:id="rId4" name="Button 1">
              <controlPr defaultSize="0" print="0" autoFill="0" autoLine="0" autoPict="0">
                <anchor>
                  <from>
                    <xdr:col>7</xdr:col>
                    <xdr:colOff>104775</xdr:colOff>
                    <xdr:row>0</xdr:row>
                    <xdr:rowOff>38100</xdr:rowOff>
                  </from>
                  <to>
                    <xdr:col>7</xdr:col>
                    <xdr:colOff>571500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4" r:id="rId5" name="Button 2">
              <controlPr defaultSize="0" print="0" autoFill="0" autoLine="0" autoPict="0">
                <anchor>
                  <from>
                    <xdr:col>7</xdr:col>
                    <xdr:colOff>638175</xdr:colOff>
                    <xdr:row>0</xdr:row>
                    <xdr:rowOff>38100</xdr:rowOff>
                  </from>
                  <to>
                    <xdr:col>8</xdr:col>
                    <xdr:colOff>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5" r:id="rId6" name="Button 3">
              <controlPr defaultSize="0" print="0" autoFill="0" autoLine="0" autoPict="0">
                <anchor>
                  <from>
                    <xdr:col>6</xdr:col>
                    <xdr:colOff>447675</xdr:colOff>
                    <xdr:row>0</xdr:row>
                    <xdr:rowOff>38100</xdr:rowOff>
                  </from>
                  <to>
                    <xdr:col>7</xdr:col>
                    <xdr:colOff>38100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55">
    <pageSetUpPr fitToPage="1"/>
  </sheetPr>
  <dimension ref="A1:I44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1.5703125" customWidth="1"/>
    <col min="4" max="4" width="12.28515625" customWidth="1"/>
    <col min="5" max="5" width="11.140625" customWidth="1"/>
    <col min="9" max="9" width="10.28515625" customWidth="1"/>
  </cols>
  <sheetData>
    <row r="1" spans="1:9" ht="18.75" thickBot="1" x14ac:dyDescent="0.3">
      <c r="A1" s="1" t="s">
        <v>1983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E3" s="5" t="s">
        <v>1468</v>
      </c>
      <c r="F3" s="5" t="s">
        <v>371</v>
      </c>
    </row>
    <row r="4" spans="1:9" x14ac:dyDescent="0.2">
      <c r="E4" s="2">
        <v>1</v>
      </c>
      <c r="F4" s="18">
        <v>1000</v>
      </c>
    </row>
    <row r="5" spans="1:9" x14ac:dyDescent="0.2">
      <c r="E5" s="2">
        <v>2</v>
      </c>
      <c r="F5" s="18">
        <v>2000</v>
      </c>
    </row>
    <row r="6" spans="1:9" x14ac:dyDescent="0.2">
      <c r="E6" s="2">
        <v>3</v>
      </c>
      <c r="F6" s="18">
        <v>2500</v>
      </c>
    </row>
    <row r="7" spans="1:9" x14ac:dyDescent="0.2">
      <c r="E7" s="2">
        <v>4</v>
      </c>
      <c r="F7" s="18">
        <v>3500</v>
      </c>
    </row>
    <row r="8" spans="1:9" x14ac:dyDescent="0.2">
      <c r="E8" s="2">
        <v>5</v>
      </c>
      <c r="F8" s="18">
        <v>3800</v>
      </c>
    </row>
    <row r="9" spans="1:9" x14ac:dyDescent="0.2">
      <c r="E9" s="2">
        <v>6</v>
      </c>
      <c r="F9" s="18">
        <v>4000</v>
      </c>
    </row>
    <row r="11" spans="1:9" x14ac:dyDescent="0.2">
      <c r="B11" s="7"/>
      <c r="C11" s="7"/>
      <c r="D11" s="57" t="s">
        <v>1984</v>
      </c>
      <c r="E11" s="2">
        <v>12</v>
      </c>
    </row>
    <row r="12" spans="1:9" x14ac:dyDescent="0.2">
      <c r="B12" s="7"/>
      <c r="C12" s="7"/>
      <c r="D12" s="57" t="s">
        <v>1985</v>
      </c>
      <c r="E12" s="55">
        <f>FORECAST(E11,F4:F9,E4:E9)</f>
        <v>7997.1428571428569</v>
      </c>
      <c r="F12" s="8" t="s">
        <v>1986</v>
      </c>
    </row>
    <row r="14" spans="1:9" ht="13.5" thickBot="1" x14ac:dyDescent="0.25">
      <c r="B14" s="9" t="s">
        <v>39</v>
      </c>
      <c r="C14" s="9"/>
      <c r="D14" s="9"/>
      <c r="E14" s="9"/>
      <c r="F14" s="9"/>
      <c r="G14" s="9"/>
      <c r="H14" s="9"/>
      <c r="I14" s="9"/>
    </row>
    <row r="15" spans="1:9" x14ac:dyDescent="0.2">
      <c r="B15" t="s">
        <v>1987</v>
      </c>
    </row>
    <row r="16" spans="1:9" x14ac:dyDescent="0.2">
      <c r="B16" t="s">
        <v>1988</v>
      </c>
    </row>
    <row r="17" spans="2:9" x14ac:dyDescent="0.2">
      <c r="B17" t="s">
        <v>1989</v>
      </c>
    </row>
    <row r="18" spans="2:9" x14ac:dyDescent="0.2">
      <c r="B18" t="s">
        <v>1990</v>
      </c>
    </row>
    <row r="19" spans="2:9" x14ac:dyDescent="0.2">
      <c r="B19" t="s">
        <v>1991</v>
      </c>
    </row>
    <row r="20" spans="2:9" x14ac:dyDescent="0.2">
      <c r="B20" s="10"/>
    </row>
    <row r="21" spans="2:9" ht="13.5" thickBot="1" x14ac:dyDescent="0.25">
      <c r="B21" s="9" t="s">
        <v>43</v>
      </c>
      <c r="C21" s="9"/>
      <c r="D21" s="9"/>
      <c r="E21" s="9"/>
      <c r="F21" s="9"/>
      <c r="G21" s="9"/>
      <c r="H21" s="9"/>
      <c r="I21" s="9"/>
    </row>
    <row r="22" spans="2:9" x14ac:dyDescent="0.2">
      <c r="B22" s="10" t="s">
        <v>1992</v>
      </c>
    </row>
    <row r="23" spans="2:9" x14ac:dyDescent="0.2">
      <c r="B23" t="s">
        <v>1993</v>
      </c>
    </row>
    <row r="24" spans="2:9" x14ac:dyDescent="0.2">
      <c r="B24" t="s">
        <v>1994</v>
      </c>
    </row>
    <row r="25" spans="2:9" x14ac:dyDescent="0.2">
      <c r="B25" t="s">
        <v>1995</v>
      </c>
    </row>
    <row r="26" spans="2:9" x14ac:dyDescent="0.2">
      <c r="B26" t="s">
        <v>1996</v>
      </c>
    </row>
    <row r="28" spans="2:9" ht="13.5" thickBot="1" x14ac:dyDescent="0.25">
      <c r="B28" s="9" t="s">
        <v>45</v>
      </c>
      <c r="C28" s="9"/>
      <c r="D28" s="9"/>
      <c r="E28" s="9"/>
      <c r="F28" s="9"/>
      <c r="G28" s="9"/>
      <c r="H28" s="9"/>
      <c r="I28" s="9"/>
    </row>
    <row r="29" spans="2:9" x14ac:dyDescent="0.2">
      <c r="B29" t="s">
        <v>46</v>
      </c>
    </row>
    <row r="31" spans="2:9" ht="13.5" thickBot="1" x14ac:dyDescent="0.25">
      <c r="B31" s="9" t="s">
        <v>85</v>
      </c>
      <c r="C31" s="9"/>
      <c r="D31" s="9"/>
      <c r="E31" s="9"/>
      <c r="F31" s="9"/>
      <c r="G31" s="9"/>
      <c r="H31" s="9"/>
      <c r="I31" s="9"/>
    </row>
    <row r="32" spans="2:9" x14ac:dyDescent="0.2">
      <c r="B32" t="s">
        <v>1997</v>
      </c>
    </row>
    <row r="33" spans="2:6" x14ac:dyDescent="0.2">
      <c r="B33" t="s">
        <v>1998</v>
      </c>
    </row>
    <row r="34" spans="2:6" x14ac:dyDescent="0.2">
      <c r="B34" t="s">
        <v>1999</v>
      </c>
    </row>
    <row r="35" spans="2:6" x14ac:dyDescent="0.2">
      <c r="B35" t="s">
        <v>2000</v>
      </c>
    </row>
    <row r="36" spans="2:6" x14ac:dyDescent="0.2">
      <c r="B36" t="s">
        <v>2001</v>
      </c>
    </row>
    <row r="38" spans="2:6" ht="38.25" x14ac:dyDescent="0.2">
      <c r="C38" s="5" t="s">
        <v>1372</v>
      </c>
      <c r="D38" s="21" t="s">
        <v>2002</v>
      </c>
      <c r="E38" s="21" t="s">
        <v>2003</v>
      </c>
    </row>
    <row r="39" spans="2:6" x14ac:dyDescent="0.2">
      <c r="C39" s="5">
        <v>1996</v>
      </c>
      <c r="D39" s="2">
        <v>10</v>
      </c>
      <c r="E39" s="18">
        <v>5000</v>
      </c>
    </row>
    <row r="40" spans="2:6" x14ac:dyDescent="0.2">
      <c r="C40" s="5">
        <v>1997</v>
      </c>
      <c r="D40" s="2">
        <v>20</v>
      </c>
      <c r="E40" s="18">
        <v>8000</v>
      </c>
    </row>
    <row r="41" spans="2:6" x14ac:dyDescent="0.2">
      <c r="C41" s="5">
        <v>1998</v>
      </c>
      <c r="D41" s="2">
        <v>30</v>
      </c>
      <c r="E41" s="18">
        <v>8500</v>
      </c>
    </row>
    <row r="43" spans="2:6" x14ac:dyDescent="0.2">
      <c r="B43" s="22"/>
      <c r="C43" s="24"/>
      <c r="D43" s="23" t="s">
        <v>2004</v>
      </c>
      <c r="E43" s="2">
        <v>40</v>
      </c>
    </row>
    <row r="44" spans="2:6" x14ac:dyDescent="0.2">
      <c r="B44" s="22"/>
      <c r="C44" s="24"/>
      <c r="D44" s="23" t="s">
        <v>2005</v>
      </c>
      <c r="E44" s="325">
        <f>FORECAST(E43,E39:E41,D39:D41)</f>
        <v>10666.666666666668</v>
      </c>
      <c r="F44" s="8" t="s">
        <v>2006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0897" r:id="rId4" name="Button 1">
              <controlPr defaultSize="0" print="0" autoFill="0" autoLine="0" autoPict="0">
                <anchor>
                  <from>
                    <xdr:col>7</xdr:col>
                    <xdr:colOff>438150</xdr:colOff>
                    <xdr:row>0</xdr:row>
                    <xdr:rowOff>38100</xdr:rowOff>
                  </from>
                  <to>
                    <xdr:col>8</xdr:col>
                    <xdr:colOff>295275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8" r:id="rId5" name="Button 2">
              <controlPr defaultSize="0" print="0" autoFill="0" autoLine="0" autoPict="0">
                <anchor>
                  <from>
                    <xdr:col>8</xdr:col>
                    <xdr:colOff>361950</xdr:colOff>
                    <xdr:row>0</xdr:row>
                    <xdr:rowOff>38100</xdr:rowOff>
                  </from>
                  <to>
                    <xdr:col>8</xdr:col>
                    <xdr:colOff>561975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9" r:id="rId6" name="Button 3">
              <controlPr defaultSize="0" print="0" autoFill="0" autoLine="0" autoPict="0">
                <anchor>
                  <from>
                    <xdr:col>7</xdr:col>
                    <xdr:colOff>161925</xdr:colOff>
                    <xdr:row>0</xdr:row>
                    <xdr:rowOff>38100</xdr:rowOff>
                  </from>
                  <to>
                    <xdr:col>7</xdr:col>
                    <xdr:colOff>371475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56">
    <pageSetUpPr fitToPage="1"/>
  </sheetPr>
  <dimension ref="A1:I110"/>
  <sheetViews>
    <sheetView showGridLines="0" workbookViewId="0">
      <pane ySplit="1" topLeftCell="A20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11" customWidth="1"/>
    <col min="3" max="4" width="10.7109375" customWidth="1"/>
    <col min="9" max="9" width="11.5703125" customWidth="1"/>
  </cols>
  <sheetData>
    <row r="1" spans="1:9" ht="18.75" thickBot="1" x14ac:dyDescent="0.3">
      <c r="A1" s="1" t="s">
        <v>2007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D3" s="5" t="s">
        <v>12</v>
      </c>
      <c r="E3" s="5" t="s">
        <v>13</v>
      </c>
      <c r="F3" s="5" t="s">
        <v>14</v>
      </c>
    </row>
    <row r="4" spans="1:9" x14ac:dyDescent="0.2">
      <c r="C4" s="5" t="s">
        <v>16</v>
      </c>
      <c r="D4" s="18">
        <v>5000</v>
      </c>
      <c r="E4" s="18">
        <v>6000</v>
      </c>
      <c r="F4" s="18">
        <v>4500</v>
      </c>
    </row>
    <row r="5" spans="1:9" x14ac:dyDescent="0.2">
      <c r="C5" s="5" t="s">
        <v>17</v>
      </c>
      <c r="D5" s="18">
        <v>5800</v>
      </c>
      <c r="E5" s="18">
        <v>7000</v>
      </c>
      <c r="F5" s="18">
        <v>3000</v>
      </c>
    </row>
    <row r="6" spans="1:9" x14ac:dyDescent="0.2">
      <c r="C6" s="5" t="s">
        <v>18</v>
      </c>
      <c r="D6" s="18">
        <v>3500</v>
      </c>
      <c r="E6" s="18">
        <v>2000</v>
      </c>
      <c r="F6" s="18">
        <v>10000</v>
      </c>
    </row>
    <row r="7" spans="1:9" x14ac:dyDescent="0.2">
      <c r="C7" s="5" t="s">
        <v>19</v>
      </c>
      <c r="D7" s="18">
        <v>12000</v>
      </c>
      <c r="E7" s="18">
        <v>4000</v>
      </c>
      <c r="F7" s="18">
        <v>6000</v>
      </c>
    </row>
    <row r="9" spans="1:9" x14ac:dyDescent="0.2">
      <c r="B9" s="22"/>
      <c r="C9" s="24"/>
      <c r="D9" s="35" t="str">
        <f>"Sales "&amp;TEXT(E9,"£#,###")&amp;" and below."</f>
        <v>Sales £4,000 and below.</v>
      </c>
      <c r="E9" s="281">
        <v>4000</v>
      </c>
      <c r="F9" s="3">
        <f t="array" ref="F9:F11">FREQUENCY(D4:F7,E9:E11)</f>
        <v>4</v>
      </c>
      <c r="G9" s="8" t="s">
        <v>2008</v>
      </c>
    </row>
    <row r="10" spans="1:9" x14ac:dyDescent="0.2">
      <c r="B10" s="22"/>
      <c r="C10" s="24"/>
      <c r="D10" s="35" t="str">
        <f>"Sales above "&amp;TEXT(E9,"£#,###")&amp;" up to "&amp;TEXT(E10,"£#,### ")</f>
        <v xml:space="preserve">Sales above £4,000 up to £6,000 </v>
      </c>
      <c r="E10" s="281">
        <v>6000</v>
      </c>
      <c r="F10" s="3">
        <v>5</v>
      </c>
      <c r="G10" s="8" t="s">
        <v>2008</v>
      </c>
    </row>
    <row r="11" spans="1:9" x14ac:dyDescent="0.2">
      <c r="B11" s="22"/>
      <c r="C11" s="24"/>
      <c r="D11" s="35" t="str">
        <f>"Sales above "&amp;TEXT(E10,"£#,### ")</f>
        <v xml:space="preserve">Sales above £6,000 </v>
      </c>
      <c r="E11" s="281">
        <v>999999</v>
      </c>
      <c r="F11" s="3">
        <v>3</v>
      </c>
      <c r="G11" s="8" t="s">
        <v>2008</v>
      </c>
    </row>
    <row r="13" spans="1:9" ht="13.5" thickBot="1" x14ac:dyDescent="0.25">
      <c r="B13" s="9" t="s">
        <v>39</v>
      </c>
      <c r="C13" s="9"/>
      <c r="D13" s="9"/>
      <c r="E13" s="9"/>
      <c r="F13" s="9"/>
      <c r="G13" s="9"/>
      <c r="H13" s="9"/>
      <c r="I13" s="9"/>
    </row>
    <row r="14" spans="1:9" x14ac:dyDescent="0.2">
      <c r="B14" t="s">
        <v>2009</v>
      </c>
    </row>
    <row r="15" spans="1:9" x14ac:dyDescent="0.2">
      <c r="B15" t="s">
        <v>2010</v>
      </c>
    </row>
    <row r="16" spans="1:9" x14ac:dyDescent="0.2">
      <c r="B16" t="s">
        <v>2011</v>
      </c>
    </row>
    <row r="18" spans="2:9" ht="13.5" thickBot="1" x14ac:dyDescent="0.25">
      <c r="B18" s="9" t="s">
        <v>43</v>
      </c>
      <c r="C18" s="9"/>
      <c r="D18" s="9"/>
      <c r="E18" s="9"/>
      <c r="F18" s="9"/>
      <c r="G18" s="9"/>
      <c r="H18" s="9"/>
      <c r="I18" s="9"/>
    </row>
    <row r="19" spans="2:9" x14ac:dyDescent="0.2">
      <c r="B19" s="10" t="s">
        <v>2012</v>
      </c>
    </row>
    <row r="21" spans="2:9" ht="13.5" thickBot="1" x14ac:dyDescent="0.25">
      <c r="B21" s="9" t="s">
        <v>45</v>
      </c>
      <c r="C21" s="9"/>
      <c r="D21" s="9"/>
      <c r="E21" s="9"/>
      <c r="F21" s="9"/>
      <c r="G21" s="9"/>
      <c r="H21" s="9"/>
      <c r="I21" s="9"/>
    </row>
    <row r="22" spans="2:9" x14ac:dyDescent="0.2">
      <c r="B22" t="s">
        <v>46</v>
      </c>
    </row>
    <row r="24" spans="2:9" ht="13.5" thickBot="1" x14ac:dyDescent="0.25">
      <c r="B24" s="9" t="s">
        <v>286</v>
      </c>
      <c r="C24" s="9"/>
      <c r="D24" s="9"/>
      <c r="E24" s="9"/>
      <c r="F24" s="9"/>
      <c r="G24" s="9"/>
      <c r="H24" s="9"/>
      <c r="I24" s="9"/>
    </row>
    <row r="25" spans="2:9" x14ac:dyDescent="0.2">
      <c r="B25" t="s">
        <v>2013</v>
      </c>
    </row>
    <row r="26" spans="2:9" x14ac:dyDescent="0.2">
      <c r="B26" t="s">
        <v>2014</v>
      </c>
    </row>
    <row r="27" spans="2:9" x14ac:dyDescent="0.2">
      <c r="B27" t="s">
        <v>2015</v>
      </c>
    </row>
    <row r="29" spans="2:9" x14ac:dyDescent="0.2">
      <c r="C29" s="5" t="s">
        <v>2016</v>
      </c>
      <c r="E29" s="22"/>
      <c r="F29" s="24"/>
      <c r="G29" s="24"/>
      <c r="H29" s="23" t="s">
        <v>2017</v>
      </c>
    </row>
    <row r="30" spans="2:9" x14ac:dyDescent="0.2">
      <c r="B30" s="5" t="s">
        <v>2018</v>
      </c>
      <c r="C30" s="326">
        <v>20.47</v>
      </c>
      <c r="E30" s="22"/>
      <c r="F30" s="24"/>
      <c r="G30" s="24"/>
      <c r="H30" s="23" t="s">
        <v>2019</v>
      </c>
      <c r="I30" s="3">
        <f t="array" ref="I30:I32">FREQUENCY(C30:C38,C41:C43)</f>
        <v>2</v>
      </c>
    </row>
    <row r="31" spans="2:9" x14ac:dyDescent="0.2">
      <c r="B31" s="5" t="s">
        <v>2020</v>
      </c>
      <c r="C31" s="326">
        <v>22.83</v>
      </c>
      <c r="E31" s="22"/>
      <c r="F31" s="24"/>
      <c r="G31" s="24"/>
      <c r="H31" s="23" t="s">
        <v>2021</v>
      </c>
      <c r="I31" s="3">
        <v>4</v>
      </c>
    </row>
    <row r="32" spans="2:9" x14ac:dyDescent="0.2">
      <c r="B32" s="5" t="s">
        <v>2022</v>
      </c>
      <c r="C32" s="326">
        <v>15.74</v>
      </c>
      <c r="E32" s="22"/>
      <c r="F32" s="24"/>
      <c r="G32" s="24"/>
      <c r="H32" s="23" t="s">
        <v>2023</v>
      </c>
      <c r="I32" s="3">
        <v>3</v>
      </c>
    </row>
    <row r="33" spans="2:9" x14ac:dyDescent="0.2">
      <c r="B33" s="5" t="s">
        <v>2024</v>
      </c>
      <c r="C33" s="326">
        <v>10.8</v>
      </c>
      <c r="I33" s="32" t="s">
        <v>2025</v>
      </c>
    </row>
    <row r="34" spans="2:9" x14ac:dyDescent="0.2">
      <c r="B34" s="5" t="s">
        <v>2026</v>
      </c>
      <c r="C34" s="326">
        <v>8.2799999999999994</v>
      </c>
      <c r="I34" s="32" t="s">
        <v>2025</v>
      </c>
    </row>
    <row r="35" spans="2:9" x14ac:dyDescent="0.2">
      <c r="B35" s="5" t="s">
        <v>2027</v>
      </c>
      <c r="C35" s="326">
        <v>20.66</v>
      </c>
      <c r="I35" s="32" t="s">
        <v>2025</v>
      </c>
    </row>
    <row r="36" spans="2:9" x14ac:dyDescent="0.2">
      <c r="B36" s="5" t="s">
        <v>2028</v>
      </c>
      <c r="C36" s="326">
        <v>17.36</v>
      </c>
    </row>
    <row r="37" spans="2:9" x14ac:dyDescent="0.2">
      <c r="B37" s="5" t="s">
        <v>2029</v>
      </c>
      <c r="C37" s="326">
        <v>16.670000000000002</v>
      </c>
    </row>
    <row r="38" spans="2:9" x14ac:dyDescent="0.2">
      <c r="B38" s="5" t="s">
        <v>2030</v>
      </c>
      <c r="C38" s="326">
        <v>18.010000000000002</v>
      </c>
    </row>
    <row r="40" spans="2:9" x14ac:dyDescent="0.2">
      <c r="B40" s="22"/>
      <c r="C40" s="23" t="s">
        <v>2031</v>
      </c>
      <c r="E40" s="105"/>
    </row>
    <row r="41" spans="2:9" x14ac:dyDescent="0.2">
      <c r="B41" s="4"/>
      <c r="C41" s="2">
        <v>15</v>
      </c>
    </row>
    <row r="42" spans="2:9" x14ac:dyDescent="0.2">
      <c r="B42" s="4"/>
      <c r="C42" s="2">
        <v>20</v>
      </c>
    </row>
    <row r="43" spans="2:9" x14ac:dyDescent="0.2">
      <c r="B43" s="4"/>
      <c r="C43" s="2">
        <v>100</v>
      </c>
    </row>
    <row r="45" spans="2:9" ht="12" customHeight="1" x14ac:dyDescent="0.2"/>
    <row r="46" spans="2:9" ht="12" customHeight="1" thickBot="1" x14ac:dyDescent="0.25">
      <c r="B46" s="9" t="s">
        <v>305</v>
      </c>
      <c r="C46" s="9"/>
      <c r="D46" s="9"/>
      <c r="E46" s="9"/>
      <c r="F46" s="9"/>
      <c r="G46" s="9"/>
      <c r="H46" s="9"/>
      <c r="I46" s="9"/>
    </row>
    <row r="47" spans="2:9" ht="12" customHeight="1" x14ac:dyDescent="0.2">
      <c r="B47" t="s">
        <v>2032</v>
      </c>
    </row>
    <row r="48" spans="2:9" ht="12" customHeight="1" x14ac:dyDescent="0.2">
      <c r="B48" t="s">
        <v>2033</v>
      </c>
    </row>
    <row r="49" spans="2:5" ht="12" customHeight="1" x14ac:dyDescent="0.2">
      <c r="B49" t="s">
        <v>2034</v>
      </c>
    </row>
    <row r="50" spans="2:5" ht="12" customHeight="1" x14ac:dyDescent="0.2">
      <c r="B50" t="s">
        <v>2035</v>
      </c>
    </row>
    <row r="51" spans="2:5" ht="12" customHeight="1" x14ac:dyDescent="0.2">
      <c r="B51" t="s">
        <v>2036</v>
      </c>
    </row>
    <row r="52" spans="2:5" ht="12" customHeight="1" x14ac:dyDescent="0.2">
      <c r="B52" t="s">
        <v>2037</v>
      </c>
    </row>
    <row r="53" spans="2:5" ht="12" customHeight="1" x14ac:dyDescent="0.2"/>
    <row r="54" spans="2:5" ht="12" customHeight="1" x14ac:dyDescent="0.2">
      <c r="B54" t="s">
        <v>2038</v>
      </c>
    </row>
    <row r="55" spans="2:5" ht="12" customHeight="1" x14ac:dyDescent="0.2">
      <c r="B55" t="s">
        <v>2039</v>
      </c>
    </row>
    <row r="56" spans="2:5" ht="12" customHeight="1" x14ac:dyDescent="0.2">
      <c r="B56" t="s">
        <v>2040</v>
      </c>
    </row>
    <row r="57" spans="2:5" ht="12" customHeight="1" x14ac:dyDescent="0.2">
      <c r="B57" t="s">
        <v>2041</v>
      </c>
    </row>
    <row r="58" spans="2:5" ht="12" customHeight="1" x14ac:dyDescent="0.2"/>
    <row r="59" spans="2:5" ht="12" customHeight="1" x14ac:dyDescent="0.2">
      <c r="C59" s="5" t="s">
        <v>2042</v>
      </c>
      <c r="D59" s="5" t="s">
        <v>2043</v>
      </c>
    </row>
    <row r="60" spans="2:5" ht="12" customHeight="1" x14ac:dyDescent="0.2">
      <c r="B60" s="5" t="s">
        <v>2044</v>
      </c>
      <c r="C60" s="2" t="s">
        <v>1443</v>
      </c>
      <c r="D60" s="3">
        <f t="array" ref="D60:D64">FREQUENCY(CODE(UPPER(B67:I71)),CODE(UPPER(C60:C64)))</f>
        <v>6</v>
      </c>
      <c r="E60" s="129" t="s">
        <v>2045</v>
      </c>
    </row>
    <row r="61" spans="2:5" ht="12" customHeight="1" x14ac:dyDescent="0.2">
      <c r="B61" s="5" t="s">
        <v>2046</v>
      </c>
      <c r="C61" s="2" t="s">
        <v>2047</v>
      </c>
      <c r="D61" s="3">
        <v>8</v>
      </c>
      <c r="E61" s="129" t="s">
        <v>2045</v>
      </c>
    </row>
    <row r="62" spans="2:5" ht="12" customHeight="1" x14ac:dyDescent="0.2">
      <c r="B62" s="5" t="s">
        <v>28</v>
      </c>
      <c r="C62" s="2" t="s">
        <v>766</v>
      </c>
      <c r="D62" s="3">
        <v>9</v>
      </c>
      <c r="E62" s="129" t="s">
        <v>2045</v>
      </c>
    </row>
    <row r="63" spans="2:5" ht="12" customHeight="1" x14ac:dyDescent="0.2">
      <c r="B63" s="5" t="s">
        <v>2048</v>
      </c>
      <c r="C63" s="2" t="s">
        <v>1447</v>
      </c>
      <c r="D63" s="3">
        <v>8</v>
      </c>
      <c r="E63" s="129" t="s">
        <v>2045</v>
      </c>
    </row>
    <row r="64" spans="2:5" ht="12" customHeight="1" x14ac:dyDescent="0.2">
      <c r="B64" s="5" t="s">
        <v>2049</v>
      </c>
      <c r="C64" s="2" t="s">
        <v>2050</v>
      </c>
      <c r="D64" s="3">
        <v>9</v>
      </c>
      <c r="E64" s="129" t="s">
        <v>2045</v>
      </c>
    </row>
    <row r="65" spans="2:9" ht="12" customHeight="1" x14ac:dyDescent="0.2"/>
    <row r="66" spans="2:9" ht="12" customHeight="1" x14ac:dyDescent="0.2">
      <c r="B66" s="209" t="s">
        <v>2051</v>
      </c>
      <c r="C66" s="209"/>
    </row>
    <row r="67" spans="2:9" ht="12" customHeight="1" x14ac:dyDescent="0.2">
      <c r="B67" s="2" t="s">
        <v>2047</v>
      </c>
      <c r="C67" s="2" t="s">
        <v>2050</v>
      </c>
      <c r="D67" s="2" t="s">
        <v>2047</v>
      </c>
      <c r="E67" s="2" t="s">
        <v>766</v>
      </c>
      <c r="F67" s="2" t="s">
        <v>1460</v>
      </c>
      <c r="G67" s="2" t="s">
        <v>766</v>
      </c>
      <c r="H67" s="2" t="s">
        <v>2050</v>
      </c>
      <c r="I67" s="2" t="s">
        <v>2050</v>
      </c>
    </row>
    <row r="68" spans="2:9" ht="12" customHeight="1" x14ac:dyDescent="0.2">
      <c r="B68" s="2" t="s">
        <v>2047</v>
      </c>
      <c r="C68" s="2" t="s">
        <v>1447</v>
      </c>
      <c r="D68" s="2" t="s">
        <v>250</v>
      </c>
      <c r="E68" s="2" t="s">
        <v>2050</v>
      </c>
      <c r="F68" s="2" t="s">
        <v>766</v>
      </c>
      <c r="G68" s="2" t="s">
        <v>1447</v>
      </c>
      <c r="H68" s="2" t="s">
        <v>2047</v>
      </c>
      <c r="I68" s="2" t="s">
        <v>1445</v>
      </c>
    </row>
    <row r="69" spans="2:9" ht="12" customHeight="1" x14ac:dyDescent="0.2">
      <c r="B69" s="2" t="s">
        <v>766</v>
      </c>
      <c r="C69" s="2" t="s">
        <v>2047</v>
      </c>
      <c r="D69" s="2" t="s">
        <v>1443</v>
      </c>
      <c r="E69" s="2" t="s">
        <v>1447</v>
      </c>
      <c r="F69" s="2" t="s">
        <v>1460</v>
      </c>
      <c r="G69" s="2" t="s">
        <v>1443</v>
      </c>
      <c r="H69" s="2" t="s">
        <v>2050</v>
      </c>
      <c r="I69" s="2" t="s">
        <v>766</v>
      </c>
    </row>
    <row r="70" spans="2:9" ht="12" customHeight="1" x14ac:dyDescent="0.2">
      <c r="B70" s="2" t="s">
        <v>766</v>
      </c>
      <c r="C70" s="2" t="s">
        <v>1443</v>
      </c>
      <c r="D70" s="2" t="s">
        <v>1445</v>
      </c>
      <c r="E70" s="2" t="s">
        <v>2047</v>
      </c>
      <c r="F70" s="2" t="s">
        <v>2050</v>
      </c>
      <c r="G70" s="2" t="s">
        <v>1447</v>
      </c>
      <c r="H70" s="2" t="s">
        <v>250</v>
      </c>
      <c r="I70" s="2" t="s">
        <v>1443</v>
      </c>
    </row>
    <row r="71" spans="2:9" ht="12" customHeight="1" x14ac:dyDescent="0.2">
      <c r="B71" s="2" t="s">
        <v>2047</v>
      </c>
      <c r="C71" s="2" t="s">
        <v>243</v>
      </c>
      <c r="D71" s="2" t="s">
        <v>1447</v>
      </c>
      <c r="E71" s="2" t="s">
        <v>1447</v>
      </c>
      <c r="F71" s="2" t="s">
        <v>766</v>
      </c>
      <c r="G71" s="2" t="s">
        <v>2047</v>
      </c>
      <c r="H71" s="2" t="s">
        <v>1443</v>
      </c>
      <c r="I71" s="2" t="s">
        <v>2050</v>
      </c>
    </row>
    <row r="72" spans="2:9" ht="12" customHeight="1" x14ac:dyDescent="0.2"/>
    <row r="73" spans="2:9" ht="12" customHeight="1" x14ac:dyDescent="0.2"/>
    <row r="74" spans="2:9" ht="12" customHeight="1" x14ac:dyDescent="0.2"/>
    <row r="75" spans="2:9" ht="12" customHeight="1" x14ac:dyDescent="0.2"/>
    <row r="76" spans="2:9" ht="12" customHeight="1" x14ac:dyDescent="0.2"/>
    <row r="77" spans="2:9" ht="12" customHeight="1" x14ac:dyDescent="0.2"/>
    <row r="78" spans="2:9" ht="12" customHeight="1" x14ac:dyDescent="0.2"/>
    <row r="79" spans="2:9" ht="12" customHeight="1" x14ac:dyDescent="0.2"/>
    <row r="80" spans="2:9" ht="12" customHeight="1" x14ac:dyDescent="0.2"/>
    <row r="81" ht="12" customHeight="1" x14ac:dyDescent="0.2"/>
    <row r="82" ht="12" customHeight="1" x14ac:dyDescent="0.2"/>
    <row r="83" ht="12" customHeight="1" x14ac:dyDescent="0.2"/>
    <row r="84" ht="12" customHeight="1" x14ac:dyDescent="0.2"/>
    <row r="85" ht="12" customHeight="1" x14ac:dyDescent="0.2"/>
    <row r="86" ht="12" customHeight="1" x14ac:dyDescent="0.2"/>
    <row r="87" ht="12" customHeight="1" x14ac:dyDescent="0.2"/>
    <row r="88" ht="12" customHeight="1" x14ac:dyDescent="0.2"/>
    <row r="89" ht="12" customHeight="1" x14ac:dyDescent="0.2"/>
    <row r="90" ht="12" customHeight="1" x14ac:dyDescent="0.2"/>
    <row r="91" ht="12" customHeight="1" x14ac:dyDescent="0.2"/>
    <row r="92" ht="12" customHeight="1" x14ac:dyDescent="0.2"/>
    <row r="93" ht="12" customHeight="1" x14ac:dyDescent="0.2"/>
    <row r="94" ht="12" customHeight="1" x14ac:dyDescent="0.2"/>
    <row r="95" ht="12" customHeight="1" x14ac:dyDescent="0.2"/>
    <row r="96" ht="12" customHeight="1" x14ac:dyDescent="0.2"/>
    <row r="97" ht="12" customHeight="1" x14ac:dyDescent="0.2"/>
    <row r="98" ht="12" customHeight="1" x14ac:dyDescent="0.2"/>
    <row r="99" ht="12" customHeight="1" x14ac:dyDescent="0.2"/>
    <row r="100" ht="12" customHeight="1" x14ac:dyDescent="0.2"/>
    <row r="101" ht="12" customHeight="1" x14ac:dyDescent="0.2"/>
    <row r="102" ht="12" customHeight="1" x14ac:dyDescent="0.2"/>
    <row r="103" ht="12" customHeight="1" x14ac:dyDescent="0.2"/>
    <row r="104" ht="12" customHeight="1" x14ac:dyDescent="0.2"/>
    <row r="105" ht="12" customHeight="1" x14ac:dyDescent="0.2"/>
    <row r="106" ht="12" customHeight="1" x14ac:dyDescent="0.2"/>
    <row r="107" ht="12" customHeight="1" x14ac:dyDescent="0.2"/>
    <row r="108" ht="12" customHeight="1" x14ac:dyDescent="0.2"/>
    <row r="109" ht="12" customHeight="1" x14ac:dyDescent="0.2"/>
    <row r="110" ht="12" customHeight="1" x14ac:dyDescent="0.2"/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rowBreaks count="1" manualBreakCount="1">
    <brk id="44" max="65535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21" r:id="rId4" name="Button 1">
              <controlPr defaultSize="0" print="0" autoFill="0" autoLine="0" autoPict="0">
                <anchor>
                  <from>
                    <xdr:col>8</xdr:col>
                    <xdr:colOff>9525</xdr:colOff>
                    <xdr:row>0</xdr:row>
                    <xdr:rowOff>38100</xdr:rowOff>
                  </from>
                  <to>
                    <xdr:col>8</xdr:col>
                    <xdr:colOff>476250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2" r:id="rId5" name="Button 2">
              <controlPr defaultSize="0" print="0" autoFill="0" autoLine="0" autoPict="0">
                <anchor>
                  <from>
                    <xdr:col>8</xdr:col>
                    <xdr:colOff>542925</xdr:colOff>
                    <xdr:row>0</xdr:row>
                    <xdr:rowOff>38100</xdr:rowOff>
                  </from>
                  <to>
                    <xdr:col>8</xdr:col>
                    <xdr:colOff>742950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3" r:id="rId6" name="Button 3">
              <controlPr defaultSize="0" print="0" autoFill="0" autoLine="0" autoPict="0">
                <anchor>
                  <from>
                    <xdr:col>7</xdr:col>
                    <xdr:colOff>342900</xdr:colOff>
                    <xdr:row>0</xdr:row>
                    <xdr:rowOff>38100</xdr:rowOff>
                  </from>
                  <to>
                    <xdr:col>7</xdr:col>
                    <xdr:colOff>552450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57">
    <pageSetUpPr fitToPage="1"/>
  </sheetPr>
  <dimension ref="A1:I72"/>
  <sheetViews>
    <sheetView showGridLines="0" workbookViewId="0">
      <pane ySplit="1" topLeftCell="A26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3" max="3" width="10.85546875" customWidth="1"/>
  </cols>
  <sheetData>
    <row r="1" spans="1:9" ht="18.75" thickBot="1" x14ac:dyDescent="0.3">
      <c r="A1" s="1" t="s">
        <v>2052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B3" t="s">
        <v>2053</v>
      </c>
    </row>
    <row r="4" spans="1:9" x14ac:dyDescent="0.2">
      <c r="B4" t="s">
        <v>2054</v>
      </c>
    </row>
    <row r="6" spans="1:9" x14ac:dyDescent="0.2">
      <c r="B6" t="s">
        <v>2055</v>
      </c>
    </row>
    <row r="8" spans="1:9" x14ac:dyDescent="0.2">
      <c r="C8" t="s">
        <v>229</v>
      </c>
    </row>
    <row r="9" spans="1:9" x14ac:dyDescent="0.2">
      <c r="B9" s="190"/>
      <c r="C9" s="327" t="s">
        <v>2056</v>
      </c>
      <c r="D9" s="327" t="s">
        <v>2057</v>
      </c>
      <c r="E9" s="327" t="s">
        <v>2058</v>
      </c>
      <c r="F9" s="327" t="s">
        <v>2059</v>
      </c>
      <c r="G9" s="327" t="s">
        <v>2060</v>
      </c>
      <c r="H9" s="327" t="s">
        <v>2061</v>
      </c>
      <c r="I9" s="327" t="s">
        <v>2062</v>
      </c>
    </row>
    <row r="10" spans="1:9" x14ac:dyDescent="0.2">
      <c r="B10" s="327" t="s">
        <v>2063</v>
      </c>
      <c r="C10" s="328">
        <v>3</v>
      </c>
      <c r="D10" s="328">
        <v>36</v>
      </c>
      <c r="E10" s="328">
        <v>5</v>
      </c>
      <c r="F10" s="328">
        <v>3</v>
      </c>
      <c r="G10" s="328">
        <v>2</v>
      </c>
      <c r="H10" s="328">
        <v>41</v>
      </c>
      <c r="I10" s="328">
        <v>45</v>
      </c>
    </row>
    <row r="11" spans="1:9" x14ac:dyDescent="0.2">
      <c r="B11" s="327" t="s">
        <v>2064</v>
      </c>
      <c r="C11" s="328">
        <v>6</v>
      </c>
      <c r="D11" s="328">
        <v>3</v>
      </c>
      <c r="E11" s="328">
        <v>19</v>
      </c>
      <c r="F11" s="328">
        <v>37</v>
      </c>
      <c r="G11" s="328">
        <v>23</v>
      </c>
      <c r="H11" s="328">
        <v>15</v>
      </c>
      <c r="I11" s="328">
        <v>4</v>
      </c>
    </row>
    <row r="12" spans="1:9" x14ac:dyDescent="0.2">
      <c r="B12" s="327" t="s">
        <v>2065</v>
      </c>
      <c r="C12" s="328">
        <v>15</v>
      </c>
      <c r="D12" s="328">
        <v>44</v>
      </c>
      <c r="E12" s="328">
        <v>35</v>
      </c>
      <c r="F12" s="328">
        <v>20</v>
      </c>
      <c r="G12" s="328">
        <v>47</v>
      </c>
      <c r="H12" s="328">
        <v>29</v>
      </c>
      <c r="I12" s="328">
        <v>44</v>
      </c>
    </row>
    <row r="13" spans="1:9" x14ac:dyDescent="0.2">
      <c r="B13" s="327" t="s">
        <v>2066</v>
      </c>
      <c r="C13" s="328">
        <v>32</v>
      </c>
      <c r="D13" s="328">
        <v>15</v>
      </c>
      <c r="E13" s="328">
        <v>32</v>
      </c>
      <c r="F13" s="328">
        <v>46</v>
      </c>
      <c r="G13" s="328">
        <v>6</v>
      </c>
      <c r="H13" s="328">
        <v>45</v>
      </c>
      <c r="I13" s="328">
        <v>23</v>
      </c>
    </row>
    <row r="14" spans="1:9" x14ac:dyDescent="0.2">
      <c r="B14" s="327" t="s">
        <v>2067</v>
      </c>
      <c r="C14" s="328">
        <v>37</v>
      </c>
      <c r="D14" s="328">
        <v>31</v>
      </c>
      <c r="E14" s="328">
        <v>13</v>
      </c>
      <c r="F14" s="328">
        <v>22</v>
      </c>
      <c r="G14" s="328">
        <v>49</v>
      </c>
      <c r="H14" s="328">
        <v>13</v>
      </c>
      <c r="I14" s="328">
        <v>43</v>
      </c>
    </row>
    <row r="15" spans="1:9" x14ac:dyDescent="0.2">
      <c r="B15" s="327" t="s">
        <v>2068</v>
      </c>
      <c r="C15" s="328">
        <v>5</v>
      </c>
      <c r="D15" s="328">
        <v>22</v>
      </c>
      <c r="E15" s="328">
        <v>30</v>
      </c>
      <c r="F15" s="328">
        <v>8</v>
      </c>
      <c r="G15" s="328">
        <v>49</v>
      </c>
      <c r="H15" s="328">
        <v>11</v>
      </c>
      <c r="I15" s="328">
        <v>46</v>
      </c>
    </row>
    <row r="16" spans="1:9" x14ac:dyDescent="0.2">
      <c r="B16" s="327" t="s">
        <v>2069</v>
      </c>
      <c r="C16" s="328">
        <v>17</v>
      </c>
      <c r="D16" s="328">
        <v>13</v>
      </c>
      <c r="E16" s="328">
        <v>15</v>
      </c>
      <c r="F16" s="328">
        <v>25</v>
      </c>
      <c r="G16" s="328">
        <v>18</v>
      </c>
      <c r="H16" s="328">
        <v>17</v>
      </c>
      <c r="I16" s="328">
        <v>1</v>
      </c>
    </row>
    <row r="19" spans="2:9" x14ac:dyDescent="0.2">
      <c r="B19" t="s">
        <v>2070</v>
      </c>
    </row>
    <row r="20" spans="2:9" x14ac:dyDescent="0.2">
      <c r="B20" t="s">
        <v>2071</v>
      </c>
    </row>
    <row r="22" spans="2:9" x14ac:dyDescent="0.2">
      <c r="B22" t="s">
        <v>924</v>
      </c>
    </row>
    <row r="23" spans="2:9" ht="22.5" x14ac:dyDescent="0.2">
      <c r="B23" s="329" t="s">
        <v>2072</v>
      </c>
      <c r="C23" s="329" t="s">
        <v>2073</v>
      </c>
    </row>
    <row r="24" spans="2:9" x14ac:dyDescent="0.2">
      <c r="B24" s="327">
        <v>1</v>
      </c>
      <c r="C24" s="330">
        <f t="array" ref="C24:C72">FREQUENCY(C10:I16,B24:B72)</f>
        <v>1</v>
      </c>
      <c r="D24" s="8" t="s">
        <v>2074</v>
      </c>
    </row>
    <row r="25" spans="2:9" x14ac:dyDescent="0.2">
      <c r="B25" s="327">
        <v>2</v>
      </c>
      <c r="C25" s="330">
        <v>1</v>
      </c>
      <c r="D25" s="8" t="s">
        <v>2074</v>
      </c>
    </row>
    <row r="26" spans="2:9" x14ac:dyDescent="0.2">
      <c r="B26" s="327">
        <v>3</v>
      </c>
      <c r="C26" s="330">
        <v>3</v>
      </c>
      <c r="D26" s="8" t="s">
        <v>2074</v>
      </c>
    </row>
    <row r="27" spans="2:9" x14ac:dyDescent="0.2">
      <c r="B27" s="327">
        <v>4</v>
      </c>
      <c r="C27" s="330">
        <v>1</v>
      </c>
      <c r="D27" s="8" t="s">
        <v>2074</v>
      </c>
    </row>
    <row r="28" spans="2:9" x14ac:dyDescent="0.2">
      <c r="B28" s="327">
        <v>5</v>
      </c>
      <c r="C28" s="330">
        <v>2</v>
      </c>
    </row>
    <row r="29" spans="2:9" x14ac:dyDescent="0.2">
      <c r="B29" s="327">
        <v>6</v>
      </c>
      <c r="C29" s="330">
        <v>2</v>
      </c>
    </row>
    <row r="30" spans="2:9" x14ac:dyDescent="0.2">
      <c r="B30" s="327">
        <v>7</v>
      </c>
      <c r="C30" s="330">
        <v>0</v>
      </c>
    </row>
    <row r="31" spans="2:9" ht="13.5" thickBot="1" x14ac:dyDescent="0.25">
      <c r="B31" s="327">
        <v>8</v>
      </c>
      <c r="C31" s="330">
        <v>1</v>
      </c>
    </row>
    <row r="32" spans="2:9" x14ac:dyDescent="0.2">
      <c r="B32" s="327">
        <v>9</v>
      </c>
      <c r="C32" s="330">
        <v>0</v>
      </c>
      <c r="E32" s="331" t="s">
        <v>2075</v>
      </c>
      <c r="F32" s="332"/>
      <c r="G32" s="332"/>
      <c r="H32" s="332"/>
      <c r="I32" s="333"/>
    </row>
    <row r="33" spans="2:9" x14ac:dyDescent="0.2">
      <c r="B33" s="327">
        <v>10</v>
      </c>
      <c r="C33" s="330">
        <v>0</v>
      </c>
      <c r="E33" s="334" t="s">
        <v>2076</v>
      </c>
      <c r="F33" s="335"/>
      <c r="G33" s="335"/>
      <c r="H33" s="335"/>
      <c r="I33" s="336"/>
    </row>
    <row r="34" spans="2:9" x14ac:dyDescent="0.2">
      <c r="B34" s="327">
        <v>11</v>
      </c>
      <c r="C34" s="330">
        <v>1</v>
      </c>
      <c r="E34" s="334" t="s">
        <v>2077</v>
      </c>
      <c r="F34" s="335"/>
      <c r="G34" s="335"/>
      <c r="H34" s="335"/>
      <c r="I34" s="336"/>
    </row>
    <row r="35" spans="2:9" x14ac:dyDescent="0.2">
      <c r="B35" s="327">
        <v>12</v>
      </c>
      <c r="C35" s="330">
        <v>0</v>
      </c>
      <c r="E35" s="334" t="s">
        <v>2078</v>
      </c>
      <c r="F35" s="335"/>
      <c r="G35" s="335"/>
      <c r="H35" s="335"/>
      <c r="I35" s="336"/>
    </row>
    <row r="36" spans="2:9" x14ac:dyDescent="0.2">
      <c r="B36" s="327">
        <v>13</v>
      </c>
      <c r="C36" s="330">
        <v>3</v>
      </c>
      <c r="E36" s="334" t="s">
        <v>2079</v>
      </c>
      <c r="F36" s="335"/>
      <c r="G36" s="335"/>
      <c r="H36" s="335"/>
      <c r="I36" s="336"/>
    </row>
    <row r="37" spans="2:9" x14ac:dyDescent="0.2">
      <c r="B37" s="327">
        <v>14</v>
      </c>
      <c r="C37" s="330">
        <v>0</v>
      </c>
      <c r="E37" s="334"/>
      <c r="F37" s="335"/>
      <c r="G37" s="335"/>
      <c r="H37" s="335"/>
      <c r="I37" s="336"/>
    </row>
    <row r="38" spans="2:9" x14ac:dyDescent="0.2">
      <c r="B38" s="327">
        <v>15</v>
      </c>
      <c r="C38" s="330">
        <v>4</v>
      </c>
      <c r="E38" s="334"/>
      <c r="F38" s="337" t="s">
        <v>2080</v>
      </c>
      <c r="G38" s="324">
        <f t="array" ref="G38">SUM(1/COUNTIF(C10:I16,C10:I16))</f>
        <v>30.999999999999996</v>
      </c>
      <c r="H38" s="335"/>
      <c r="I38" s="336"/>
    </row>
    <row r="39" spans="2:9" ht="13.5" thickBot="1" x14ac:dyDescent="0.25">
      <c r="B39" s="327">
        <v>16</v>
      </c>
      <c r="C39" s="330">
        <v>0</v>
      </c>
      <c r="E39" s="338"/>
      <c r="F39" s="339"/>
      <c r="G39" s="339"/>
      <c r="H39" s="339"/>
      <c r="I39" s="340"/>
    </row>
    <row r="40" spans="2:9" x14ac:dyDescent="0.2">
      <c r="B40" s="327">
        <v>17</v>
      </c>
      <c r="C40" s="330">
        <v>2</v>
      </c>
      <c r="F40" s="8" t="s">
        <v>2081</v>
      </c>
    </row>
    <row r="41" spans="2:9" x14ac:dyDescent="0.2">
      <c r="B41" s="327">
        <v>18</v>
      </c>
      <c r="C41" s="330">
        <v>1</v>
      </c>
      <c r="G41" s="4"/>
    </row>
    <row r="42" spans="2:9" x14ac:dyDescent="0.2">
      <c r="B42" s="327">
        <v>19</v>
      </c>
      <c r="C42" s="330">
        <v>1</v>
      </c>
    </row>
    <row r="43" spans="2:9" x14ac:dyDescent="0.2">
      <c r="B43" s="327">
        <v>20</v>
      </c>
      <c r="C43" s="330">
        <v>1</v>
      </c>
    </row>
    <row r="44" spans="2:9" x14ac:dyDescent="0.2">
      <c r="B44" s="327">
        <v>21</v>
      </c>
      <c r="C44" s="330">
        <v>0</v>
      </c>
    </row>
    <row r="45" spans="2:9" x14ac:dyDescent="0.2">
      <c r="B45" s="327">
        <v>22</v>
      </c>
      <c r="C45" s="330">
        <v>2</v>
      </c>
    </row>
    <row r="46" spans="2:9" x14ac:dyDescent="0.2">
      <c r="B46" s="327">
        <v>23</v>
      </c>
      <c r="C46" s="330">
        <v>2</v>
      </c>
    </row>
    <row r="47" spans="2:9" x14ac:dyDescent="0.2">
      <c r="B47" s="327">
        <v>24</v>
      </c>
      <c r="C47" s="330">
        <v>0</v>
      </c>
    </row>
    <row r="48" spans="2:9" x14ac:dyDescent="0.2">
      <c r="B48" s="327">
        <v>25</v>
      </c>
      <c r="C48" s="330">
        <v>1</v>
      </c>
    </row>
    <row r="49" spans="2:3" x14ac:dyDescent="0.2">
      <c r="B49" s="327">
        <v>26</v>
      </c>
      <c r="C49" s="330">
        <v>0</v>
      </c>
    </row>
    <row r="50" spans="2:3" x14ac:dyDescent="0.2">
      <c r="B50" s="327">
        <v>27</v>
      </c>
      <c r="C50" s="330">
        <v>0</v>
      </c>
    </row>
    <row r="51" spans="2:3" x14ac:dyDescent="0.2">
      <c r="B51" s="327">
        <v>28</v>
      </c>
      <c r="C51" s="330">
        <v>0</v>
      </c>
    </row>
    <row r="52" spans="2:3" x14ac:dyDescent="0.2">
      <c r="B52" s="327">
        <v>29</v>
      </c>
      <c r="C52" s="330">
        <v>1</v>
      </c>
    </row>
    <row r="53" spans="2:3" x14ac:dyDescent="0.2">
      <c r="B53" s="327">
        <v>30</v>
      </c>
      <c r="C53" s="330">
        <v>1</v>
      </c>
    </row>
    <row r="54" spans="2:3" x14ac:dyDescent="0.2">
      <c r="B54" s="327">
        <v>31</v>
      </c>
      <c r="C54" s="330">
        <v>1</v>
      </c>
    </row>
    <row r="55" spans="2:3" x14ac:dyDescent="0.2">
      <c r="B55" s="327">
        <v>32</v>
      </c>
      <c r="C55" s="330">
        <v>2</v>
      </c>
    </row>
    <row r="56" spans="2:3" x14ac:dyDescent="0.2">
      <c r="B56" s="327">
        <v>33</v>
      </c>
      <c r="C56" s="330">
        <v>0</v>
      </c>
    </row>
    <row r="57" spans="2:3" x14ac:dyDescent="0.2">
      <c r="B57" s="327">
        <v>34</v>
      </c>
      <c r="C57" s="330">
        <v>0</v>
      </c>
    </row>
    <row r="58" spans="2:3" x14ac:dyDescent="0.2">
      <c r="B58" s="327">
        <v>35</v>
      </c>
      <c r="C58" s="330">
        <v>1</v>
      </c>
    </row>
    <row r="59" spans="2:3" x14ac:dyDescent="0.2">
      <c r="B59" s="327">
        <v>36</v>
      </c>
      <c r="C59" s="330">
        <v>1</v>
      </c>
    </row>
    <row r="60" spans="2:3" x14ac:dyDescent="0.2">
      <c r="B60" s="327">
        <v>37</v>
      </c>
      <c r="C60" s="330">
        <v>2</v>
      </c>
    </row>
    <row r="61" spans="2:3" x14ac:dyDescent="0.2">
      <c r="B61" s="327">
        <v>38</v>
      </c>
      <c r="C61" s="330">
        <v>0</v>
      </c>
    </row>
    <row r="62" spans="2:3" x14ac:dyDescent="0.2">
      <c r="B62" s="327">
        <v>39</v>
      </c>
      <c r="C62" s="330">
        <v>0</v>
      </c>
    </row>
    <row r="63" spans="2:3" x14ac:dyDescent="0.2">
      <c r="B63" s="327">
        <v>40</v>
      </c>
      <c r="C63" s="330">
        <v>0</v>
      </c>
    </row>
    <row r="64" spans="2:3" x14ac:dyDescent="0.2">
      <c r="B64" s="327">
        <v>41</v>
      </c>
      <c r="C64" s="330">
        <v>1</v>
      </c>
    </row>
    <row r="65" spans="2:3" x14ac:dyDescent="0.2">
      <c r="B65" s="327">
        <v>42</v>
      </c>
      <c r="C65" s="330">
        <v>0</v>
      </c>
    </row>
    <row r="66" spans="2:3" x14ac:dyDescent="0.2">
      <c r="B66" s="327">
        <v>43</v>
      </c>
      <c r="C66" s="330">
        <v>1</v>
      </c>
    </row>
    <row r="67" spans="2:3" x14ac:dyDescent="0.2">
      <c r="B67" s="327">
        <v>44</v>
      </c>
      <c r="C67" s="330">
        <v>2</v>
      </c>
    </row>
    <row r="68" spans="2:3" x14ac:dyDescent="0.2">
      <c r="B68" s="327">
        <v>45</v>
      </c>
      <c r="C68" s="330">
        <v>2</v>
      </c>
    </row>
    <row r="69" spans="2:3" x14ac:dyDescent="0.2">
      <c r="B69" s="327">
        <v>46</v>
      </c>
      <c r="C69" s="330">
        <v>2</v>
      </c>
    </row>
    <row r="70" spans="2:3" x14ac:dyDescent="0.2">
      <c r="B70" s="327">
        <v>47</v>
      </c>
      <c r="C70" s="330">
        <v>1</v>
      </c>
    </row>
    <row r="71" spans="2:3" x14ac:dyDescent="0.2">
      <c r="B71" s="327">
        <v>48</v>
      </c>
      <c r="C71" s="330">
        <v>0</v>
      </c>
    </row>
    <row r="72" spans="2:3" x14ac:dyDescent="0.2">
      <c r="B72" s="327">
        <v>49</v>
      </c>
      <c r="C72" s="330">
        <v>2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horizontalDpi="0" verticalDpi="0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2945" r:id="rId4" name="Button 1">
              <controlPr defaultSize="0" print="0" autoFill="0" autoLine="0" autoPict="0">
                <anchor>
                  <from>
                    <xdr:col>7</xdr:col>
                    <xdr:colOff>438150</xdr:colOff>
                    <xdr:row>0</xdr:row>
                    <xdr:rowOff>38100</xdr:rowOff>
                  </from>
                  <to>
                    <xdr:col>8</xdr:col>
                    <xdr:colOff>314325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6" r:id="rId5" name="Button 2">
              <controlPr defaultSize="0" print="0" autoFill="0" autoLine="0" autoPict="0">
                <anchor>
                  <from>
                    <xdr:col>8</xdr:col>
                    <xdr:colOff>381000</xdr:colOff>
                    <xdr:row>0</xdr:row>
                    <xdr:rowOff>38100</xdr:rowOff>
                  </from>
                  <to>
                    <xdr:col>8</xdr:col>
                    <xdr:colOff>590550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7" r:id="rId6" name="Button 3">
              <controlPr defaultSize="0" print="0" autoFill="0" autoLine="0" autoPict="0">
                <anchor>
                  <from>
                    <xdr:col>7</xdr:col>
                    <xdr:colOff>171450</xdr:colOff>
                    <xdr:row>0</xdr:row>
                    <xdr:rowOff>38100</xdr:rowOff>
                  </from>
                  <to>
                    <xdr:col>7</xdr:col>
                    <xdr:colOff>381000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58">
    <pageSetUpPr fitToPage="1"/>
  </sheetPr>
  <dimension ref="A1:I24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5" max="5" width="13.5703125" customWidth="1"/>
  </cols>
  <sheetData>
    <row r="1" spans="1:9" ht="18.75" thickBot="1" x14ac:dyDescent="0.3">
      <c r="A1" s="1" t="s">
        <v>2082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ht="25.5" x14ac:dyDescent="0.2">
      <c r="C3" s="152" t="s">
        <v>2083</v>
      </c>
      <c r="D3" s="152"/>
      <c r="E3" s="21" t="s">
        <v>2084</v>
      </c>
    </row>
    <row r="4" spans="1:9" x14ac:dyDescent="0.2">
      <c r="C4" s="2">
        <v>6</v>
      </c>
      <c r="D4" s="2">
        <v>15</v>
      </c>
      <c r="E4" s="3">
        <f>GCD(C4,D4)</f>
        <v>3</v>
      </c>
      <c r="F4" s="8" t="s">
        <v>2085</v>
      </c>
    </row>
    <row r="5" spans="1:9" x14ac:dyDescent="0.2">
      <c r="C5" s="2">
        <v>28</v>
      </c>
      <c r="D5" s="2">
        <v>49</v>
      </c>
      <c r="E5" s="3">
        <f>GCD(C5,D5)</f>
        <v>7</v>
      </c>
      <c r="F5" s="8" t="s">
        <v>2086</v>
      </c>
    </row>
    <row r="6" spans="1:9" x14ac:dyDescent="0.2">
      <c r="C6" s="2">
        <v>5</v>
      </c>
      <c r="D6" s="2">
        <v>99</v>
      </c>
      <c r="E6" s="3">
        <f>GCD(C6,D6)</f>
        <v>1</v>
      </c>
      <c r="F6" s="8" t="s">
        <v>2087</v>
      </c>
    </row>
    <row r="8" spans="1:9" ht="25.5" x14ac:dyDescent="0.2">
      <c r="C8" s="152" t="s">
        <v>2083</v>
      </c>
      <c r="D8" s="152"/>
      <c r="E8" s="152"/>
      <c r="F8" s="21" t="s">
        <v>2084</v>
      </c>
    </row>
    <row r="9" spans="1:9" x14ac:dyDescent="0.2">
      <c r="C9" s="2">
        <v>18</v>
      </c>
      <c r="D9" s="2">
        <v>72</v>
      </c>
      <c r="E9" s="2">
        <v>96</v>
      </c>
      <c r="F9" s="3">
        <f>GCD(C9,D9,E9)</f>
        <v>6</v>
      </c>
      <c r="G9" s="8" t="s">
        <v>2088</v>
      </c>
    </row>
    <row r="10" spans="1:9" x14ac:dyDescent="0.2">
      <c r="C10" s="2">
        <v>300</v>
      </c>
      <c r="D10" s="2">
        <v>500</v>
      </c>
      <c r="E10" s="2">
        <v>200</v>
      </c>
      <c r="F10" s="3">
        <f>GCD(C10,D10,E10)</f>
        <v>100</v>
      </c>
      <c r="G10" s="8" t="s">
        <v>2089</v>
      </c>
    </row>
    <row r="11" spans="1:9" x14ac:dyDescent="0.2">
      <c r="C11" s="2">
        <v>2.5</v>
      </c>
      <c r="D11" s="2">
        <v>4</v>
      </c>
      <c r="E11" s="2">
        <v>6</v>
      </c>
      <c r="F11" s="3">
        <f>GCD(C11,D11,E11)</f>
        <v>2</v>
      </c>
      <c r="G11" s="8" t="s">
        <v>2090</v>
      </c>
    </row>
    <row r="13" spans="1:9" ht="13.5" thickBot="1" x14ac:dyDescent="0.25">
      <c r="B13" s="9" t="s">
        <v>39</v>
      </c>
      <c r="C13" s="9"/>
      <c r="D13" s="9"/>
      <c r="E13" s="9"/>
      <c r="F13" s="9"/>
      <c r="G13" s="9"/>
      <c r="H13" s="9"/>
      <c r="I13" s="9"/>
    </row>
    <row r="14" spans="1:9" x14ac:dyDescent="0.2">
      <c r="B14" t="s">
        <v>2091</v>
      </c>
    </row>
    <row r="15" spans="1:9" x14ac:dyDescent="0.2">
      <c r="B15" t="s">
        <v>2092</v>
      </c>
    </row>
    <row r="16" spans="1:9" x14ac:dyDescent="0.2">
      <c r="B16" t="s">
        <v>2093</v>
      </c>
    </row>
    <row r="17" spans="2:9" x14ac:dyDescent="0.2">
      <c r="B17" t="s">
        <v>2094</v>
      </c>
    </row>
    <row r="18" spans="2:9" x14ac:dyDescent="0.2">
      <c r="B18" t="s">
        <v>2095</v>
      </c>
    </row>
    <row r="20" spans="2:9" ht="13.5" thickBot="1" x14ac:dyDescent="0.25">
      <c r="B20" s="9" t="s">
        <v>43</v>
      </c>
      <c r="C20" s="9"/>
      <c r="D20" s="9"/>
      <c r="E20" s="9"/>
      <c r="F20" s="9"/>
      <c r="G20" s="9"/>
      <c r="H20" s="9"/>
      <c r="I20" s="9"/>
    </row>
    <row r="21" spans="2:9" x14ac:dyDescent="0.2">
      <c r="B21" s="10" t="s">
        <v>2096</v>
      </c>
    </row>
    <row r="23" spans="2:9" ht="13.5" thickBot="1" x14ac:dyDescent="0.25">
      <c r="B23" s="9" t="s">
        <v>45</v>
      </c>
      <c r="C23" s="9"/>
      <c r="D23" s="9"/>
      <c r="E23" s="9"/>
      <c r="F23" s="9"/>
      <c r="G23" s="9"/>
      <c r="H23" s="9"/>
      <c r="I23" s="9"/>
    </row>
    <row r="24" spans="2:9" x14ac:dyDescent="0.2">
      <c r="B24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3969" r:id="rId4" name="Button 1">
              <controlPr defaultSize="0" print="0" autoFill="0" autoLine="0" autoPict="0">
                <anchor>
                  <from>
                    <xdr:col>8</xdr:col>
                    <xdr:colOff>76200</xdr:colOff>
                    <xdr:row>0</xdr:row>
                    <xdr:rowOff>38100</xdr:rowOff>
                  </from>
                  <to>
                    <xdr:col>8</xdr:col>
                    <xdr:colOff>552450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0" r:id="rId5" name="Button 2">
              <controlPr defaultSize="0" print="0" autoFill="0" autoLine="0" autoPict="0">
                <anchor>
                  <from>
                    <xdr:col>9</xdr:col>
                    <xdr:colOff>19050</xdr:colOff>
                    <xdr:row>0</xdr:row>
                    <xdr:rowOff>38100</xdr:rowOff>
                  </from>
                  <to>
                    <xdr:col>9</xdr:col>
                    <xdr:colOff>228600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1" r:id="rId6" name="Button 3">
              <controlPr defaultSize="0" print="0" autoFill="0" autoLine="0" autoPict="0">
                <anchor>
                  <from>
                    <xdr:col>7</xdr:col>
                    <xdr:colOff>409575</xdr:colOff>
                    <xdr:row>0</xdr:row>
                    <xdr:rowOff>38100</xdr:rowOff>
                  </from>
                  <to>
                    <xdr:col>8</xdr:col>
                    <xdr:colOff>9525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59">
    <pageSetUpPr fitToPage="1"/>
  </sheetPr>
  <dimension ref="A1:J33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10" max="10" width="8.85546875" customWidth="1"/>
  </cols>
  <sheetData>
    <row r="1" spans="1:10" ht="18.75" thickBot="1" x14ac:dyDescent="0.3">
      <c r="A1" s="1" t="s">
        <v>2097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x14ac:dyDescent="0.2">
      <c r="C3" s="5" t="s">
        <v>1763</v>
      </c>
      <c r="D3" s="5" t="s">
        <v>1764</v>
      </c>
      <c r="E3" s="5" t="s">
        <v>2097</v>
      </c>
    </row>
    <row r="4" spans="1:10" x14ac:dyDescent="0.2">
      <c r="C4" s="2">
        <v>10</v>
      </c>
      <c r="D4" s="2">
        <v>20</v>
      </c>
      <c r="E4" s="3">
        <f t="shared" ref="E4:E10" si="0">GESTEP(C4,D4)</f>
        <v>0</v>
      </c>
      <c r="F4" s="8" t="s">
        <v>2098</v>
      </c>
    </row>
    <row r="5" spans="1:10" x14ac:dyDescent="0.2">
      <c r="C5" s="2">
        <v>50</v>
      </c>
      <c r="D5" s="2">
        <v>20</v>
      </c>
      <c r="E5" s="3">
        <f t="shared" si="0"/>
        <v>1</v>
      </c>
      <c r="F5" s="8" t="s">
        <v>2099</v>
      </c>
    </row>
    <row r="6" spans="1:10" x14ac:dyDescent="0.2">
      <c r="C6" s="2">
        <v>99</v>
      </c>
      <c r="D6" s="2">
        <v>100</v>
      </c>
      <c r="E6" s="3">
        <f t="shared" si="0"/>
        <v>0</v>
      </c>
      <c r="F6" s="8" t="s">
        <v>2100</v>
      </c>
    </row>
    <row r="7" spans="1:10" x14ac:dyDescent="0.2">
      <c r="C7" s="2">
        <v>100</v>
      </c>
      <c r="D7" s="2">
        <v>100</v>
      </c>
      <c r="E7" s="3">
        <f t="shared" si="0"/>
        <v>1</v>
      </c>
      <c r="F7" s="8" t="s">
        <v>2101</v>
      </c>
    </row>
    <row r="8" spans="1:10" x14ac:dyDescent="0.2">
      <c r="C8" s="2">
        <v>101</v>
      </c>
      <c r="D8" s="2">
        <v>100</v>
      </c>
      <c r="E8" s="3">
        <f t="shared" si="0"/>
        <v>1</v>
      </c>
      <c r="F8" s="8" t="s">
        <v>2102</v>
      </c>
    </row>
    <row r="9" spans="1:10" x14ac:dyDescent="0.2">
      <c r="C9" s="2">
        <v>2</v>
      </c>
      <c r="D9" s="2"/>
      <c r="E9" s="3">
        <f t="shared" si="0"/>
        <v>1</v>
      </c>
      <c r="F9" s="8" t="s">
        <v>2103</v>
      </c>
    </row>
    <row r="10" spans="1:10" x14ac:dyDescent="0.2">
      <c r="C10" s="2"/>
      <c r="D10" s="2">
        <v>2</v>
      </c>
      <c r="E10" s="3">
        <f t="shared" si="0"/>
        <v>0</v>
      </c>
      <c r="F10" s="8" t="s">
        <v>2104</v>
      </c>
    </row>
    <row r="12" spans="1:10" ht="13.5" thickBot="1" x14ac:dyDescent="0.25">
      <c r="B12" s="9" t="s">
        <v>39</v>
      </c>
      <c r="C12" s="9"/>
      <c r="D12" s="9"/>
      <c r="E12" s="9"/>
      <c r="F12" s="9"/>
      <c r="G12" s="9"/>
      <c r="H12" s="9"/>
      <c r="I12" s="9"/>
      <c r="J12" s="9"/>
    </row>
    <row r="13" spans="1:10" x14ac:dyDescent="0.2">
      <c r="B13" t="s">
        <v>2105</v>
      </c>
    </row>
    <row r="14" spans="1:10" x14ac:dyDescent="0.2">
      <c r="B14" t="s">
        <v>2106</v>
      </c>
    </row>
    <row r="16" spans="1:10" ht="13.5" thickBot="1" x14ac:dyDescent="0.25">
      <c r="B16" s="9" t="s">
        <v>43</v>
      </c>
      <c r="C16" s="9"/>
      <c r="D16" s="9"/>
      <c r="E16" s="9"/>
      <c r="F16" s="9"/>
      <c r="G16" s="9"/>
      <c r="H16" s="9"/>
      <c r="I16" s="9"/>
      <c r="J16" s="9"/>
    </row>
    <row r="17" spans="2:10" x14ac:dyDescent="0.2">
      <c r="B17" s="10" t="s">
        <v>2107</v>
      </c>
    </row>
    <row r="19" spans="2:10" ht="13.5" thickBot="1" x14ac:dyDescent="0.25">
      <c r="B19" s="9" t="s">
        <v>45</v>
      </c>
      <c r="C19" s="9"/>
      <c r="D19" s="9"/>
      <c r="E19" s="9"/>
      <c r="F19" s="9"/>
      <c r="G19" s="9"/>
      <c r="H19" s="9"/>
      <c r="I19" s="9"/>
      <c r="J19" s="9"/>
    </row>
    <row r="20" spans="2:10" x14ac:dyDescent="0.2">
      <c r="B20" t="s">
        <v>46</v>
      </c>
    </row>
    <row r="22" spans="2:10" ht="13.5" thickBot="1" x14ac:dyDescent="0.25">
      <c r="B22" s="9" t="s">
        <v>85</v>
      </c>
      <c r="C22" s="9"/>
      <c r="D22" s="9"/>
      <c r="E22" s="9"/>
      <c r="F22" s="9"/>
      <c r="G22" s="9"/>
      <c r="H22" s="9"/>
      <c r="I22" s="9"/>
      <c r="J22" s="9"/>
    </row>
    <row r="23" spans="2:10" x14ac:dyDescent="0.2">
      <c r="B23" t="s">
        <v>2108</v>
      </c>
    </row>
    <row r="24" spans="2:10" x14ac:dyDescent="0.2">
      <c r="B24" t="s">
        <v>2109</v>
      </c>
    </row>
    <row r="26" spans="2:10" x14ac:dyDescent="0.2">
      <c r="C26" s="5" t="s">
        <v>769</v>
      </c>
      <c r="D26" s="5" t="s">
        <v>371</v>
      </c>
      <c r="E26" s="5" t="s">
        <v>2110</v>
      </c>
      <c r="F26" s="5" t="s">
        <v>2097</v>
      </c>
    </row>
    <row r="27" spans="2:10" x14ac:dyDescent="0.2">
      <c r="C27" s="5" t="s">
        <v>118</v>
      </c>
      <c r="D27" s="18">
        <v>3000</v>
      </c>
      <c r="E27" s="18">
        <v>4000</v>
      </c>
      <c r="F27" s="3">
        <f>GESTEP(D27,E27)</f>
        <v>0</v>
      </c>
      <c r="G27" s="8" t="s">
        <v>2111</v>
      </c>
    </row>
    <row r="28" spans="2:10" x14ac:dyDescent="0.2">
      <c r="C28" s="5" t="s">
        <v>120</v>
      </c>
      <c r="D28" s="18">
        <v>5000</v>
      </c>
      <c r="E28" s="18">
        <v>4000</v>
      </c>
      <c r="F28" s="3">
        <f>GESTEP(D28,E28)</f>
        <v>1</v>
      </c>
      <c r="G28" s="8" t="s">
        <v>2112</v>
      </c>
    </row>
    <row r="29" spans="2:10" x14ac:dyDescent="0.2">
      <c r="C29" s="5" t="s">
        <v>121</v>
      </c>
      <c r="D29" s="18">
        <v>1000</v>
      </c>
      <c r="E29" s="18">
        <v>2000</v>
      </c>
      <c r="F29" s="3">
        <f>GESTEP(D29,E29)</f>
        <v>0</v>
      </c>
      <c r="G29" s="8" t="s">
        <v>2113</v>
      </c>
    </row>
    <row r="30" spans="2:10" x14ac:dyDescent="0.2">
      <c r="C30" s="5" t="s">
        <v>122</v>
      </c>
      <c r="D30" s="18">
        <v>2000</v>
      </c>
      <c r="E30" s="18">
        <v>2000</v>
      </c>
      <c r="F30" s="3">
        <f>GESTEP(D30,E30)</f>
        <v>1</v>
      </c>
      <c r="G30" s="8" t="s">
        <v>2114</v>
      </c>
    </row>
    <row r="31" spans="2:10" x14ac:dyDescent="0.2">
      <c r="C31" s="5" t="s">
        <v>300</v>
      </c>
      <c r="D31" s="18">
        <v>8000</v>
      </c>
      <c r="E31" s="18">
        <v>7000</v>
      </c>
      <c r="F31" s="3">
        <f>GESTEP(D31,E31)</f>
        <v>1</v>
      </c>
      <c r="G31" s="8" t="s">
        <v>2115</v>
      </c>
    </row>
    <row r="33" spans="4:7" x14ac:dyDescent="0.2">
      <c r="D33" s="7"/>
      <c r="E33" s="57" t="s">
        <v>2116</v>
      </c>
      <c r="F33" s="3">
        <f>SUM(F27:F31)</f>
        <v>3</v>
      </c>
      <c r="G33" s="8" t="s">
        <v>2117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8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4993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4" r:id="rId5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5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61">
    <pageSetUpPr fitToPage="1"/>
  </sheetPr>
  <dimension ref="A1:G31"/>
  <sheetViews>
    <sheetView showGridLines="0" workbookViewId="0">
      <pane ySplit="1" topLeftCell="A11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5.28515625" customWidth="1"/>
    <col min="4" max="4" width="20.42578125" customWidth="1"/>
    <col min="5" max="5" width="15.28515625" customWidth="1"/>
    <col min="7" max="7" width="12.28515625" customWidth="1"/>
  </cols>
  <sheetData>
    <row r="1" spans="1:7" ht="18.75" thickBot="1" x14ac:dyDescent="0.3">
      <c r="A1" s="1" t="s">
        <v>2118</v>
      </c>
      <c r="B1" s="1"/>
      <c r="C1" s="1"/>
      <c r="D1" s="1"/>
      <c r="E1" s="1"/>
      <c r="F1" s="1"/>
      <c r="G1" s="1"/>
    </row>
    <row r="2" spans="1:7" ht="13.5" thickTop="1" x14ac:dyDescent="0.2"/>
    <row r="3" spans="1:7" x14ac:dyDescent="0.2">
      <c r="C3" s="5" t="s">
        <v>1736</v>
      </c>
      <c r="D3" s="5" t="s">
        <v>1711</v>
      </c>
    </row>
    <row r="4" spans="1:7" x14ac:dyDescent="0.2">
      <c r="C4" s="2">
        <v>0</v>
      </c>
      <c r="D4" s="223">
        <f t="shared" ref="D4:D14" si="0">HEX2DEC(C4)</f>
        <v>0</v>
      </c>
      <c r="E4" s="8" t="s">
        <v>2119</v>
      </c>
    </row>
    <row r="5" spans="1:7" x14ac:dyDescent="0.2">
      <c r="C5" s="2">
        <v>1</v>
      </c>
      <c r="D5" s="223">
        <f t="shared" si="0"/>
        <v>1</v>
      </c>
      <c r="E5" s="8" t="s">
        <v>2120</v>
      </c>
    </row>
    <row r="6" spans="1:7" x14ac:dyDescent="0.2">
      <c r="C6" s="2">
        <v>2</v>
      </c>
      <c r="D6" s="223">
        <f t="shared" si="0"/>
        <v>2</v>
      </c>
      <c r="E6" s="8" t="s">
        <v>2121</v>
      </c>
    </row>
    <row r="7" spans="1:7" x14ac:dyDescent="0.2">
      <c r="C7" s="2">
        <v>3</v>
      </c>
      <c r="D7" s="223">
        <f t="shared" si="0"/>
        <v>3</v>
      </c>
      <c r="E7" s="8" t="s">
        <v>2122</v>
      </c>
    </row>
    <row r="8" spans="1:7" x14ac:dyDescent="0.2">
      <c r="C8" s="2" t="s">
        <v>2123</v>
      </c>
      <c r="D8" s="223">
        <f t="shared" si="0"/>
        <v>26</v>
      </c>
      <c r="E8" s="8" t="s">
        <v>2124</v>
      </c>
    </row>
    <row r="9" spans="1:7" x14ac:dyDescent="0.2">
      <c r="C9" s="2" t="s">
        <v>2125</v>
      </c>
      <c r="D9" s="223">
        <f t="shared" si="0"/>
        <v>27</v>
      </c>
      <c r="E9" s="8" t="s">
        <v>2126</v>
      </c>
    </row>
    <row r="10" spans="1:7" x14ac:dyDescent="0.2">
      <c r="C10" s="2" t="s">
        <v>2127</v>
      </c>
      <c r="D10" s="341">
        <f t="shared" si="0"/>
        <v>549755813887</v>
      </c>
      <c r="E10" s="8" t="s">
        <v>2128</v>
      </c>
    </row>
    <row r="11" spans="1:7" x14ac:dyDescent="0.2">
      <c r="C11" s="2">
        <v>8000000000</v>
      </c>
      <c r="D11" s="341">
        <f t="shared" si="0"/>
        <v>-549755813888</v>
      </c>
      <c r="E11" s="8" t="s">
        <v>2129</v>
      </c>
    </row>
    <row r="12" spans="1:7" x14ac:dyDescent="0.2">
      <c r="C12" s="2" t="s">
        <v>2130</v>
      </c>
      <c r="D12" s="223">
        <f t="shared" si="0"/>
        <v>-1</v>
      </c>
      <c r="E12" s="8" t="s">
        <v>2131</v>
      </c>
    </row>
    <row r="13" spans="1:7" x14ac:dyDescent="0.2">
      <c r="C13" s="2" t="s">
        <v>2132</v>
      </c>
      <c r="D13" s="223">
        <f t="shared" si="0"/>
        <v>-2</v>
      </c>
      <c r="E13" s="8" t="s">
        <v>2133</v>
      </c>
    </row>
    <row r="14" spans="1:7" x14ac:dyDescent="0.2">
      <c r="C14" s="2" t="s">
        <v>2134</v>
      </c>
      <c r="D14" s="223">
        <f t="shared" si="0"/>
        <v>-3</v>
      </c>
      <c r="E14" s="8" t="s">
        <v>2135</v>
      </c>
    </row>
    <row r="16" spans="1:7" ht="13.5" thickBot="1" x14ac:dyDescent="0.25">
      <c r="B16" s="9" t="s">
        <v>39</v>
      </c>
      <c r="C16" s="9"/>
      <c r="D16" s="9"/>
      <c r="E16" s="9"/>
      <c r="F16" s="9"/>
      <c r="G16" s="9"/>
    </row>
    <row r="17" spans="2:7" x14ac:dyDescent="0.2">
      <c r="B17" t="s">
        <v>2136</v>
      </c>
    </row>
    <row r="19" spans="2:7" ht="13.5" thickBot="1" x14ac:dyDescent="0.25">
      <c r="B19" s="9" t="s">
        <v>43</v>
      </c>
      <c r="C19" s="9"/>
      <c r="D19" s="9"/>
      <c r="E19" s="9"/>
      <c r="F19" s="9"/>
      <c r="G19" s="9"/>
    </row>
    <row r="20" spans="2:7" x14ac:dyDescent="0.2">
      <c r="B20" s="10" t="s">
        <v>2137</v>
      </c>
    </row>
    <row r="22" spans="2:7" ht="13.5" thickBot="1" x14ac:dyDescent="0.25">
      <c r="B22" s="9" t="s">
        <v>45</v>
      </c>
      <c r="C22" s="9"/>
      <c r="D22" s="9"/>
      <c r="E22" s="9"/>
      <c r="F22" s="9"/>
      <c r="G22" s="9"/>
    </row>
    <row r="23" spans="2:7" x14ac:dyDescent="0.2">
      <c r="B23" t="s">
        <v>46</v>
      </c>
    </row>
    <row r="25" spans="2:7" ht="13.5" thickBot="1" x14ac:dyDescent="0.25">
      <c r="B25" s="9" t="s">
        <v>85</v>
      </c>
      <c r="C25" s="9"/>
      <c r="D25" s="9"/>
      <c r="E25" s="9"/>
      <c r="F25" s="9"/>
      <c r="G25" s="9"/>
    </row>
    <row r="26" spans="2:7" x14ac:dyDescent="0.2">
      <c r="B26" t="s">
        <v>2138</v>
      </c>
    </row>
    <row r="28" spans="2:7" x14ac:dyDescent="0.2">
      <c r="C28" s="5" t="s">
        <v>1736</v>
      </c>
    </row>
    <row r="29" spans="2:7" x14ac:dyDescent="0.2">
      <c r="B29" s="5" t="s">
        <v>2139</v>
      </c>
      <c r="C29" s="2" t="s">
        <v>1389</v>
      </c>
    </row>
    <row r="30" spans="2:7" x14ac:dyDescent="0.2">
      <c r="B30" s="5" t="s">
        <v>2140</v>
      </c>
      <c r="C30" s="2" t="s">
        <v>2123</v>
      </c>
    </row>
    <row r="31" spans="2:7" x14ac:dyDescent="0.2">
      <c r="B31" s="5" t="s">
        <v>549</v>
      </c>
      <c r="C31" s="3" t="str">
        <f>DEC2HEX(HEX2DEC(C29)+HEX2DEC(C30))</f>
        <v>29</v>
      </c>
      <c r="D31" s="8" t="s">
        <v>2141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6017" r:id="rId4" name="Button 1">
              <controlPr defaultSize="0" print="0" autoFill="0" autoLine="0" autoPict="0">
                <anchor>
                  <from>
                    <xdr:col>5</xdr:col>
                    <xdr:colOff>552450</xdr:colOff>
                    <xdr:row>0</xdr:row>
                    <xdr:rowOff>38100</xdr:rowOff>
                  </from>
                  <to>
                    <xdr:col>6</xdr:col>
                    <xdr:colOff>409575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18" r:id="rId5" name="Button 2">
              <controlPr defaultSize="0" print="0" autoFill="0" autoLine="0" autoPict="0">
                <anchor>
                  <from>
                    <xdr:col>6</xdr:col>
                    <xdr:colOff>476250</xdr:colOff>
                    <xdr:row>0</xdr:row>
                    <xdr:rowOff>38100</xdr:rowOff>
                  </from>
                  <to>
                    <xdr:col>6</xdr:col>
                    <xdr:colOff>676275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19" r:id="rId6" name="Button 3">
              <controlPr defaultSize="0" print="0" autoFill="0" autoLine="0" autoPict="0">
                <anchor>
                  <from>
                    <xdr:col>5</xdr:col>
                    <xdr:colOff>276225</xdr:colOff>
                    <xdr:row>0</xdr:row>
                    <xdr:rowOff>38100</xdr:rowOff>
                  </from>
                  <to>
                    <xdr:col>5</xdr:col>
                    <xdr:colOff>485775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63">
    <pageSetUpPr fitToPage="1"/>
  </sheetPr>
  <dimension ref="A1:I14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3.28515625" customWidth="1"/>
    <col min="3" max="3" width="14.140625" customWidth="1"/>
    <col min="5" max="5" width="12.42578125" customWidth="1"/>
    <col min="9" max="9" width="8.7109375" customWidth="1"/>
  </cols>
  <sheetData>
    <row r="1" spans="1:9" ht="18.75" thickBot="1" x14ac:dyDescent="0.3">
      <c r="A1" s="1" t="s">
        <v>2142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5" t="s">
        <v>467</v>
      </c>
      <c r="D3" s="5" t="s">
        <v>1374</v>
      </c>
    </row>
    <row r="4" spans="1:9" x14ac:dyDescent="0.2">
      <c r="C4" s="17">
        <v>0.88541666666666663</v>
      </c>
      <c r="D4" s="3">
        <f>HOUR(C4)</f>
        <v>21</v>
      </c>
      <c r="E4" s="26" t="s">
        <v>2143</v>
      </c>
    </row>
    <row r="5" spans="1:9" x14ac:dyDescent="0.2">
      <c r="C5" s="2">
        <v>0.25</v>
      </c>
      <c r="D5" s="3">
        <f>HOUR(C5)</f>
        <v>6</v>
      </c>
      <c r="E5" s="26" t="s">
        <v>2144</v>
      </c>
    </row>
    <row r="7" spans="1:9" ht="13.5" thickBot="1" x14ac:dyDescent="0.25">
      <c r="B7" s="9" t="s">
        <v>64</v>
      </c>
      <c r="C7" s="9"/>
      <c r="D7" s="9"/>
      <c r="E7" s="9"/>
      <c r="F7" s="9"/>
      <c r="G7" s="9"/>
      <c r="H7" s="9"/>
      <c r="I7" s="9"/>
    </row>
    <row r="8" spans="1:9" x14ac:dyDescent="0.2">
      <c r="B8" t="s">
        <v>2145</v>
      </c>
    </row>
    <row r="10" spans="1:9" ht="13.5" thickBot="1" x14ac:dyDescent="0.25">
      <c r="B10" s="9" t="s">
        <v>43</v>
      </c>
      <c r="C10" s="9"/>
      <c r="D10" s="9"/>
      <c r="E10" s="9"/>
      <c r="F10" s="9"/>
      <c r="G10" s="9"/>
      <c r="H10" s="9"/>
      <c r="I10" s="9"/>
    </row>
    <row r="11" spans="1:9" x14ac:dyDescent="0.2">
      <c r="B11" t="s">
        <v>2146</v>
      </c>
    </row>
    <row r="13" spans="1:9" ht="13.5" thickBot="1" x14ac:dyDescent="0.25">
      <c r="B13" s="9" t="s">
        <v>45</v>
      </c>
      <c r="C13" s="9"/>
      <c r="D13" s="9"/>
      <c r="E13" s="9"/>
      <c r="F13" s="9"/>
      <c r="G13" s="9"/>
      <c r="H13" s="9"/>
      <c r="I13" s="9"/>
    </row>
    <row r="14" spans="1:9" x14ac:dyDescent="0.2">
      <c r="B14" t="s">
        <v>2147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7041" r:id="rId4" name="Button 1">
              <controlPr defaultSize="0" print="0" autoFill="0" autoLine="0" autoPict="0">
                <anchor>
                  <from>
                    <xdr:col>7</xdr:col>
                    <xdr:colOff>361950</xdr:colOff>
                    <xdr:row>0</xdr:row>
                    <xdr:rowOff>38100</xdr:rowOff>
                  </from>
                  <to>
                    <xdr:col>8</xdr:col>
                    <xdr:colOff>219075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2" r:id="rId5" name="Button 2">
              <controlPr defaultSize="0" print="0" autoFill="0" autoLine="0" autoPict="0">
                <anchor>
                  <from>
                    <xdr:col>8</xdr:col>
                    <xdr:colOff>295275</xdr:colOff>
                    <xdr:row>0</xdr:row>
                    <xdr:rowOff>38100</xdr:rowOff>
                  </from>
                  <to>
                    <xdr:col>8</xdr:col>
                    <xdr:colOff>495300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3" r:id="rId6" name="Button 3">
              <controlPr defaultSize="0" print="0" autoFill="0" autoLine="0" autoPict="0">
                <anchor>
                  <from>
                    <xdr:col>7</xdr:col>
                    <xdr:colOff>85725</xdr:colOff>
                    <xdr:row>0</xdr:row>
                    <xdr:rowOff>38100</xdr:rowOff>
                  </from>
                  <to>
                    <xdr:col>7</xdr:col>
                    <xdr:colOff>295275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64">
    <pageSetUpPr fitToPage="1"/>
  </sheetPr>
  <dimension ref="A1:I62"/>
  <sheetViews>
    <sheetView showGridLines="0" workbookViewId="0">
      <pane ySplit="1" topLeftCell="A38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5" max="5" width="11.5703125" customWidth="1"/>
    <col min="6" max="6" width="12.7109375" customWidth="1"/>
  </cols>
  <sheetData>
    <row r="1" spans="1:9" ht="18.75" thickBot="1" x14ac:dyDescent="0.3">
      <c r="A1" s="1" t="s">
        <v>2148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B3" s="5" t="s">
        <v>769</v>
      </c>
      <c r="C3" s="5" t="s">
        <v>371</v>
      </c>
      <c r="D3" s="5" t="s">
        <v>2110</v>
      </c>
      <c r="E3" s="5" t="s">
        <v>549</v>
      </c>
    </row>
    <row r="4" spans="1:9" x14ac:dyDescent="0.2">
      <c r="B4" s="2" t="s">
        <v>118</v>
      </c>
      <c r="C4" s="2">
        <v>1000</v>
      </c>
      <c r="D4" s="2">
        <v>5000</v>
      </c>
      <c r="E4" s="3" t="str">
        <f>IF(C4&gt;=D4,"Achieved","Not Achieved")</f>
        <v>Not Achieved</v>
      </c>
      <c r="F4" s="8" t="s">
        <v>2149</v>
      </c>
    </row>
    <row r="5" spans="1:9" x14ac:dyDescent="0.2">
      <c r="B5" s="2" t="s">
        <v>120</v>
      </c>
      <c r="C5" s="2">
        <v>6000</v>
      </c>
      <c r="D5" s="2">
        <v>5000</v>
      </c>
      <c r="E5" s="3" t="str">
        <f>IF(C5&gt;=D5,"Achieved","Not Achieved")</f>
        <v>Achieved</v>
      </c>
      <c r="F5" s="8" t="s">
        <v>2150</v>
      </c>
    </row>
    <row r="6" spans="1:9" x14ac:dyDescent="0.2">
      <c r="B6" s="2" t="s">
        <v>121</v>
      </c>
      <c r="C6" s="2">
        <v>2000</v>
      </c>
      <c r="D6" s="2">
        <v>4000</v>
      </c>
      <c r="E6" s="3" t="str">
        <f>IF(C6&gt;=D6,"Achieved","Not Achieved")</f>
        <v>Not Achieved</v>
      </c>
      <c r="F6" s="8" t="s">
        <v>2151</v>
      </c>
    </row>
    <row r="8" spans="1:9" ht="13.5" thickBot="1" x14ac:dyDescent="0.25">
      <c r="B8" s="9" t="s">
        <v>64</v>
      </c>
      <c r="C8" s="9"/>
      <c r="D8" s="9"/>
      <c r="E8" s="9"/>
      <c r="F8" s="9"/>
      <c r="G8" s="9"/>
      <c r="H8" s="9"/>
      <c r="I8" s="9"/>
    </row>
    <row r="9" spans="1:9" x14ac:dyDescent="0.2">
      <c r="B9" t="s">
        <v>2152</v>
      </c>
    </row>
    <row r="10" spans="1:9" x14ac:dyDescent="0.2">
      <c r="B10" t="s">
        <v>2153</v>
      </c>
    </row>
    <row r="11" spans="1:9" x14ac:dyDescent="0.2">
      <c r="B11" t="s">
        <v>2154</v>
      </c>
    </row>
    <row r="12" spans="1:9" x14ac:dyDescent="0.2">
      <c r="B12" t="s">
        <v>2155</v>
      </c>
    </row>
    <row r="14" spans="1:9" ht="13.5" thickBot="1" x14ac:dyDescent="0.25">
      <c r="B14" s="9" t="s">
        <v>43</v>
      </c>
      <c r="C14" s="9"/>
      <c r="D14" s="9"/>
      <c r="E14" s="9"/>
      <c r="F14" s="9"/>
      <c r="G14" s="9"/>
      <c r="H14" s="9"/>
      <c r="I14" s="9"/>
    </row>
    <row r="15" spans="1:9" x14ac:dyDescent="0.2">
      <c r="B15" t="s">
        <v>2156</v>
      </c>
    </row>
    <row r="16" spans="1:9" x14ac:dyDescent="0.2">
      <c r="B16" t="s">
        <v>2157</v>
      </c>
    </row>
    <row r="17" spans="2:9" x14ac:dyDescent="0.2">
      <c r="B17" t="s">
        <v>2158</v>
      </c>
    </row>
    <row r="19" spans="2:9" ht="13.5" thickBot="1" x14ac:dyDescent="0.25">
      <c r="B19" s="9" t="s">
        <v>45</v>
      </c>
      <c r="C19" s="9"/>
      <c r="D19" s="9"/>
      <c r="E19" s="9"/>
      <c r="F19" s="9"/>
      <c r="G19" s="9"/>
      <c r="H19" s="9"/>
      <c r="I19" s="9"/>
    </row>
    <row r="20" spans="2:9" x14ac:dyDescent="0.2">
      <c r="B20" t="s">
        <v>1190</v>
      </c>
    </row>
    <row r="22" spans="2:9" ht="13.5" thickBot="1" x14ac:dyDescent="0.25">
      <c r="B22" s="9" t="s">
        <v>286</v>
      </c>
      <c r="C22" s="9"/>
      <c r="D22" s="9"/>
      <c r="E22" s="9"/>
      <c r="F22" s="9"/>
      <c r="G22" s="9"/>
      <c r="H22" s="9"/>
      <c r="I22" s="9"/>
    </row>
    <row r="23" spans="2:9" x14ac:dyDescent="0.2">
      <c r="B23" t="s">
        <v>2159</v>
      </c>
    </row>
    <row r="24" spans="2:9" x14ac:dyDescent="0.2">
      <c r="B24" t="s">
        <v>2160</v>
      </c>
    </row>
    <row r="25" spans="2:9" x14ac:dyDescent="0.2">
      <c r="B25" t="s">
        <v>2161</v>
      </c>
    </row>
    <row r="26" spans="2:9" x14ac:dyDescent="0.2">
      <c r="B26" t="s">
        <v>2162</v>
      </c>
    </row>
    <row r="27" spans="2:9" x14ac:dyDescent="0.2">
      <c r="B27" t="s">
        <v>2163</v>
      </c>
    </row>
    <row r="28" spans="2:9" x14ac:dyDescent="0.2">
      <c r="B28" t="s">
        <v>2164</v>
      </c>
    </row>
    <row r="30" spans="2:9" x14ac:dyDescent="0.2">
      <c r="B30" s="5" t="s">
        <v>769</v>
      </c>
      <c r="C30" s="5" t="s">
        <v>371</v>
      </c>
      <c r="D30" s="5" t="s">
        <v>2110</v>
      </c>
      <c r="E30" s="5" t="s">
        <v>549</v>
      </c>
    </row>
    <row r="31" spans="2:9" x14ac:dyDescent="0.2">
      <c r="B31" s="2" t="s">
        <v>118</v>
      </c>
      <c r="C31" s="2">
        <v>1000</v>
      </c>
      <c r="D31" s="2">
        <v>5000</v>
      </c>
      <c r="E31" s="3" t="str">
        <f>IF(C31&gt;=D31,"Achieved","Not Achieved")</f>
        <v>Not Achieved</v>
      </c>
      <c r="F31" s="8" t="s">
        <v>2165</v>
      </c>
    </row>
    <row r="32" spans="2:9" x14ac:dyDescent="0.2">
      <c r="B32" s="2" t="s">
        <v>120</v>
      </c>
      <c r="C32" s="2">
        <v>6000</v>
      </c>
      <c r="D32" s="2">
        <v>5000</v>
      </c>
      <c r="E32" s="3" t="str">
        <f>IF(C32&gt;=D32,"Achieved","Not Achieved")</f>
        <v>Achieved</v>
      </c>
      <c r="F32" s="8" t="s">
        <v>2166</v>
      </c>
    </row>
    <row r="33" spans="2:9" x14ac:dyDescent="0.2">
      <c r="B33" s="2" t="s">
        <v>121</v>
      </c>
      <c r="C33" s="2">
        <v>2000</v>
      </c>
      <c r="D33" s="2">
        <v>4000</v>
      </c>
      <c r="E33" s="3" t="str">
        <f>IF(C33&gt;=D33,"Achieved","Not Achieved")</f>
        <v>Not Achieved</v>
      </c>
      <c r="F33" s="8" t="s">
        <v>2167</v>
      </c>
    </row>
    <row r="36" spans="2:9" ht="13.5" thickBot="1" x14ac:dyDescent="0.25">
      <c r="B36" s="9" t="s">
        <v>305</v>
      </c>
      <c r="C36" s="9"/>
      <c r="D36" s="9"/>
      <c r="E36" s="9"/>
      <c r="F36" s="9"/>
      <c r="G36" s="9"/>
      <c r="H36" s="9"/>
      <c r="I36" s="9"/>
    </row>
    <row r="37" spans="2:9" x14ac:dyDescent="0.2">
      <c r="B37" t="s">
        <v>2168</v>
      </c>
    </row>
    <row r="38" spans="2:9" x14ac:dyDescent="0.2">
      <c r="B38" t="s">
        <v>2169</v>
      </c>
    </row>
    <row r="39" spans="2:9" x14ac:dyDescent="0.2">
      <c r="B39" t="s">
        <v>2170</v>
      </c>
    </row>
    <row r="40" spans="2:9" x14ac:dyDescent="0.2">
      <c r="B40" t="s">
        <v>2171</v>
      </c>
    </row>
    <row r="42" spans="2:9" x14ac:dyDescent="0.2">
      <c r="B42" s="5" t="s">
        <v>769</v>
      </c>
      <c r="C42" s="5" t="s">
        <v>371</v>
      </c>
      <c r="D42" s="5" t="s">
        <v>2110</v>
      </c>
      <c r="E42" s="5" t="s">
        <v>1981</v>
      </c>
    </row>
    <row r="43" spans="2:9" x14ac:dyDescent="0.2">
      <c r="B43" s="2" t="s">
        <v>118</v>
      </c>
      <c r="C43" s="2">
        <v>1000</v>
      </c>
      <c r="D43" s="2">
        <v>5000</v>
      </c>
      <c r="E43" s="3">
        <f>IF(C43&gt;=D43,C43*10%,C43*5%)</f>
        <v>50</v>
      </c>
      <c r="F43" s="8" t="s">
        <v>2172</v>
      </c>
    </row>
    <row r="44" spans="2:9" x14ac:dyDescent="0.2">
      <c r="B44" s="2" t="s">
        <v>120</v>
      </c>
      <c r="C44" s="2">
        <v>6000</v>
      </c>
      <c r="D44" s="2">
        <v>5000</v>
      </c>
      <c r="E44" s="3">
        <f>IF(C44&gt;=D44,C44*10%,C44*5%)</f>
        <v>600</v>
      </c>
      <c r="F44" s="8" t="s">
        <v>2173</v>
      </c>
    </row>
    <row r="45" spans="2:9" x14ac:dyDescent="0.2">
      <c r="B45" s="2" t="s">
        <v>121</v>
      </c>
      <c r="C45" s="2">
        <v>2000</v>
      </c>
      <c r="D45" s="2">
        <v>4000</v>
      </c>
      <c r="E45" s="3">
        <f>IF(C45&gt;=D45,C45*10%,C45*5%)</f>
        <v>100</v>
      </c>
      <c r="F45" s="8" t="s">
        <v>2174</v>
      </c>
    </row>
    <row r="48" spans="2:9" ht="13.5" thickBot="1" x14ac:dyDescent="0.25">
      <c r="B48" s="9" t="s">
        <v>323</v>
      </c>
      <c r="C48" s="9"/>
      <c r="D48" s="9"/>
      <c r="E48" s="9"/>
      <c r="F48" s="9"/>
      <c r="G48" s="9"/>
      <c r="H48" s="9"/>
      <c r="I48" s="9"/>
    </row>
    <row r="49" spans="2:6" x14ac:dyDescent="0.2">
      <c r="B49" t="s">
        <v>2175</v>
      </c>
    </row>
    <row r="50" spans="2:6" x14ac:dyDescent="0.2">
      <c r="B50" t="s">
        <v>2176</v>
      </c>
    </row>
    <row r="51" spans="2:6" x14ac:dyDescent="0.2">
      <c r="B51" t="s">
        <v>2177</v>
      </c>
    </row>
    <row r="52" spans="2:6" x14ac:dyDescent="0.2">
      <c r="B52" t="s">
        <v>2178</v>
      </c>
    </row>
    <row r="53" spans="2:6" x14ac:dyDescent="0.2">
      <c r="B53" t="s">
        <v>2179</v>
      </c>
    </row>
    <row r="54" spans="2:6" x14ac:dyDescent="0.2">
      <c r="B54" t="s">
        <v>2180</v>
      </c>
    </row>
    <row r="56" spans="2:6" x14ac:dyDescent="0.2">
      <c r="B56" s="342"/>
      <c r="C56" s="342" t="s">
        <v>2181</v>
      </c>
      <c r="D56" s="342" t="s">
        <v>2182</v>
      </c>
    </row>
    <row r="57" spans="2:6" x14ac:dyDescent="0.2">
      <c r="B57" s="343" t="s">
        <v>1561</v>
      </c>
      <c r="C57" s="343" t="s">
        <v>2183</v>
      </c>
      <c r="D57" s="343" t="s">
        <v>2184</v>
      </c>
      <c r="E57" s="5" t="s">
        <v>352</v>
      </c>
      <c r="F57" s="5" t="s">
        <v>15</v>
      </c>
    </row>
    <row r="58" spans="2:6" x14ac:dyDescent="0.2">
      <c r="B58" s="2" t="s">
        <v>90</v>
      </c>
      <c r="C58" s="2" t="s">
        <v>2185</v>
      </c>
      <c r="D58" s="344">
        <v>2000</v>
      </c>
      <c r="E58" s="345">
        <f>IF(AND(C58="Yes",D58&gt;=1000),D58*10%,0)</f>
        <v>200</v>
      </c>
      <c r="F58" s="345">
        <f>D58-E58</f>
        <v>1800</v>
      </c>
    </row>
    <row r="59" spans="2:6" x14ac:dyDescent="0.2">
      <c r="B59" s="2" t="s">
        <v>91</v>
      </c>
      <c r="C59" s="2" t="s">
        <v>35</v>
      </c>
      <c r="D59" s="344">
        <v>2000</v>
      </c>
      <c r="E59" s="345">
        <f>IF(AND(C59="Yes",D59&gt;=1000),D59*10%,0)</f>
        <v>0</v>
      </c>
      <c r="F59" s="345">
        <f>D59-E59</f>
        <v>2000</v>
      </c>
    </row>
    <row r="60" spans="2:6" x14ac:dyDescent="0.2">
      <c r="B60" s="2" t="s">
        <v>1057</v>
      </c>
      <c r="C60" s="2" t="s">
        <v>2185</v>
      </c>
      <c r="D60" s="344">
        <v>500</v>
      </c>
      <c r="E60" s="345">
        <f>IF(AND(C60="Yes",D60&gt;=1000),D60*10%,0)</f>
        <v>0</v>
      </c>
      <c r="F60" s="345">
        <f>D60-E60</f>
        <v>500</v>
      </c>
    </row>
    <row r="61" spans="2:6" x14ac:dyDescent="0.2">
      <c r="B61" s="2" t="s">
        <v>2186</v>
      </c>
      <c r="C61" s="2" t="s">
        <v>2185</v>
      </c>
      <c r="D61" s="344">
        <v>3000</v>
      </c>
      <c r="E61" s="345">
        <f>IF(AND(C61="Yes",D61&gt;=1000),D61*10%,0)</f>
        <v>300</v>
      </c>
      <c r="F61" s="345">
        <f>D61-E61</f>
        <v>2700</v>
      </c>
    </row>
    <row r="62" spans="2:6" x14ac:dyDescent="0.2">
      <c r="E62" s="26" t="s">
        <v>2187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8065" r:id="rId4" name="Button 1">
              <controlPr defaultSize="0" print="0" autoFill="0" autoLine="0" autoPict="0">
                <anchor>
                  <from>
                    <xdr:col>7</xdr:col>
                    <xdr:colOff>561975</xdr:colOff>
                    <xdr:row>0</xdr:row>
                    <xdr:rowOff>38100</xdr:rowOff>
                  </from>
                  <to>
                    <xdr:col>8</xdr:col>
                    <xdr:colOff>438150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66" r:id="rId5" name="Button 2">
              <controlPr defaultSize="0" print="0" autoFill="0" autoLine="0" autoPict="0">
                <anchor>
                  <from>
                    <xdr:col>8</xdr:col>
                    <xdr:colOff>504825</xdr:colOff>
                    <xdr:row>0</xdr:row>
                    <xdr:rowOff>38100</xdr:rowOff>
                  </from>
                  <to>
                    <xdr:col>9</xdr:col>
                    <xdr:colOff>95250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67" r:id="rId6" name="Button 3">
              <controlPr defaultSize="0" print="0" autoFill="0" autoLine="0" autoPict="0">
                <anchor>
                  <from>
                    <xdr:col>7</xdr:col>
                    <xdr:colOff>285750</xdr:colOff>
                    <xdr:row>0</xdr:row>
                    <xdr:rowOff>38100</xdr:rowOff>
                  </from>
                  <to>
                    <xdr:col>7</xdr:col>
                    <xdr:colOff>495300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65">
    <pageSetUpPr fitToPage="1"/>
  </sheetPr>
  <dimension ref="A1:I106"/>
  <sheetViews>
    <sheetView showGridLines="0" workbookViewId="0">
      <pane ySplit="1" topLeftCell="A5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10.7109375" customWidth="1"/>
    <col min="3" max="3" width="9.85546875" customWidth="1"/>
    <col min="6" max="6" width="9.7109375" customWidth="1"/>
    <col min="9" max="9" width="14.85546875" customWidth="1"/>
  </cols>
  <sheetData>
    <row r="1" spans="1:9" ht="18.75" thickBot="1" x14ac:dyDescent="0.3">
      <c r="A1" s="1" t="s">
        <v>2188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346" t="s">
        <v>2189</v>
      </c>
      <c r="D3" s="346"/>
      <c r="E3" s="346"/>
      <c r="F3" s="346"/>
      <c r="G3" s="346"/>
    </row>
    <row r="5" spans="1:9" x14ac:dyDescent="0.2">
      <c r="D5" s="152" t="s">
        <v>2190</v>
      </c>
      <c r="E5" s="152"/>
      <c r="F5" s="152"/>
      <c r="G5" s="152"/>
    </row>
    <row r="6" spans="1:9" x14ac:dyDescent="0.2">
      <c r="C6" s="36" t="s">
        <v>2191</v>
      </c>
      <c r="D6" s="5">
        <v>1</v>
      </c>
      <c r="E6" s="5">
        <v>2</v>
      </c>
      <c r="F6" s="5">
        <v>3</v>
      </c>
      <c r="G6" s="5">
        <v>4</v>
      </c>
    </row>
    <row r="7" spans="1:9" ht="12" customHeight="1" x14ac:dyDescent="0.2">
      <c r="C7" s="5">
        <v>1</v>
      </c>
      <c r="D7" s="18">
        <v>500</v>
      </c>
      <c r="E7" s="18">
        <v>300</v>
      </c>
      <c r="F7" s="18">
        <v>250</v>
      </c>
      <c r="G7" s="18">
        <v>200</v>
      </c>
    </row>
    <row r="8" spans="1:9" x14ac:dyDescent="0.2">
      <c r="C8" s="5">
        <v>2</v>
      </c>
      <c r="D8" s="18">
        <v>600</v>
      </c>
      <c r="E8" s="18">
        <v>400</v>
      </c>
      <c r="F8" s="18">
        <v>300</v>
      </c>
      <c r="G8" s="18">
        <v>250</v>
      </c>
    </row>
    <row r="9" spans="1:9" x14ac:dyDescent="0.2">
      <c r="C9" s="5">
        <v>3</v>
      </c>
      <c r="D9" s="18">
        <v>700</v>
      </c>
      <c r="E9" s="18">
        <v>500</v>
      </c>
      <c r="F9" s="18">
        <v>350</v>
      </c>
      <c r="G9" s="18">
        <v>300</v>
      </c>
    </row>
    <row r="11" spans="1:9" x14ac:dyDescent="0.2">
      <c r="D11" s="22"/>
      <c r="E11" s="24"/>
      <c r="F11" s="35" t="s">
        <v>2192</v>
      </c>
      <c r="G11" s="2">
        <v>2</v>
      </c>
    </row>
    <row r="12" spans="1:9" x14ac:dyDescent="0.2">
      <c r="D12" s="22"/>
      <c r="E12" s="24"/>
      <c r="F12" s="35" t="s">
        <v>2193</v>
      </c>
      <c r="G12" s="2">
        <v>4</v>
      </c>
    </row>
    <row r="14" spans="1:9" x14ac:dyDescent="0.2">
      <c r="E14" s="22"/>
      <c r="F14" s="35" t="s">
        <v>2194</v>
      </c>
      <c r="G14" s="3">
        <f>INDEX(D7:G9,G11,G12)</f>
        <v>250</v>
      </c>
      <c r="H14" s="8" t="s">
        <v>2195</v>
      </c>
    </row>
    <row r="16" spans="1:9" ht="13.5" thickBot="1" x14ac:dyDescent="0.25">
      <c r="B16" s="9" t="s">
        <v>39</v>
      </c>
      <c r="C16" s="9"/>
      <c r="D16" s="9"/>
      <c r="E16" s="9"/>
      <c r="F16" s="9"/>
      <c r="G16" s="9"/>
      <c r="H16" s="9"/>
      <c r="I16" s="9"/>
    </row>
    <row r="17" spans="2:9" x14ac:dyDescent="0.2">
      <c r="B17" t="s">
        <v>2196</v>
      </c>
    </row>
    <row r="18" spans="2:9" x14ac:dyDescent="0.2">
      <c r="B18" t="s">
        <v>2197</v>
      </c>
    </row>
    <row r="19" spans="2:9" x14ac:dyDescent="0.2">
      <c r="B19" t="s">
        <v>2198</v>
      </c>
    </row>
    <row r="21" spans="2:9" ht="13.5" thickBot="1" x14ac:dyDescent="0.25">
      <c r="B21" s="9" t="s">
        <v>43</v>
      </c>
      <c r="C21" s="9"/>
      <c r="D21" s="9"/>
      <c r="E21" s="9"/>
      <c r="F21" s="9"/>
      <c r="G21" s="9"/>
      <c r="H21" s="9"/>
      <c r="I21" s="9"/>
    </row>
    <row r="22" spans="2:9" x14ac:dyDescent="0.2">
      <c r="B22" t="s">
        <v>2199</v>
      </c>
    </row>
    <row r="24" spans="2:9" ht="13.5" thickBot="1" x14ac:dyDescent="0.25">
      <c r="B24" s="9" t="s">
        <v>2200</v>
      </c>
      <c r="C24" s="9"/>
      <c r="D24" s="9"/>
      <c r="E24" s="9"/>
      <c r="F24" s="9"/>
      <c r="G24" s="9"/>
      <c r="H24" s="9"/>
      <c r="I24" s="9"/>
    </row>
    <row r="25" spans="2:9" x14ac:dyDescent="0.2">
      <c r="B25" s="10" t="s">
        <v>2201</v>
      </c>
    </row>
    <row r="26" spans="2:9" x14ac:dyDescent="0.2">
      <c r="B26" t="s">
        <v>2202</v>
      </c>
    </row>
    <row r="27" spans="2:9" x14ac:dyDescent="0.2">
      <c r="B27" t="s">
        <v>2203</v>
      </c>
    </row>
    <row r="28" spans="2:9" x14ac:dyDescent="0.2">
      <c r="B28" t="s">
        <v>2204</v>
      </c>
    </row>
    <row r="29" spans="2:9" x14ac:dyDescent="0.2">
      <c r="B29" t="s">
        <v>2205</v>
      </c>
    </row>
    <row r="31" spans="2:9" x14ac:dyDescent="0.2">
      <c r="D31" s="5" t="s">
        <v>2206</v>
      </c>
    </row>
    <row r="32" spans="2:9" x14ac:dyDescent="0.2">
      <c r="D32" s="2" t="s">
        <v>1266</v>
      </c>
    </row>
    <row r="33" spans="2:9" x14ac:dyDescent="0.2">
      <c r="D33" s="2" t="s">
        <v>989</v>
      </c>
    </row>
    <row r="34" spans="2:9" x14ac:dyDescent="0.2">
      <c r="D34" s="2" t="s">
        <v>1267</v>
      </c>
      <c r="F34" s="5" t="s">
        <v>2207</v>
      </c>
      <c r="G34" s="2" t="s">
        <v>2208</v>
      </c>
      <c r="H34" s="2" t="s">
        <v>2209</v>
      </c>
      <c r="I34" s="2" t="s">
        <v>2210</v>
      </c>
    </row>
    <row r="36" spans="2:9" x14ac:dyDescent="0.2">
      <c r="B36" s="22"/>
      <c r="C36" s="23" t="s">
        <v>2211</v>
      </c>
      <c r="D36" s="2">
        <v>2</v>
      </c>
      <c r="F36" s="22"/>
      <c r="G36" s="23" t="s">
        <v>2211</v>
      </c>
      <c r="H36" s="2">
        <v>2</v>
      </c>
    </row>
    <row r="37" spans="2:9" x14ac:dyDescent="0.2">
      <c r="B37" s="22"/>
      <c r="C37" s="23" t="s">
        <v>2212</v>
      </c>
      <c r="D37" s="3" t="str">
        <f>INDEX(D32:D34,D36)</f>
        <v>Green</v>
      </c>
      <c r="F37" s="22"/>
      <c r="G37" s="23" t="s">
        <v>2213</v>
      </c>
      <c r="H37" s="3" t="str">
        <f>INDEX(G34:I34,H36)</f>
        <v>Medium</v>
      </c>
    </row>
    <row r="38" spans="2:9" x14ac:dyDescent="0.2">
      <c r="D38" s="32" t="s">
        <v>2214</v>
      </c>
      <c r="H38" s="32" t="s">
        <v>2215</v>
      </c>
    </row>
    <row r="40" spans="2:9" ht="13.5" thickBot="1" x14ac:dyDescent="0.25">
      <c r="B40" s="9" t="s">
        <v>2216</v>
      </c>
      <c r="C40" s="9"/>
      <c r="D40" s="9"/>
      <c r="E40" s="9"/>
      <c r="F40" s="9"/>
      <c r="G40" s="9"/>
      <c r="H40" s="9"/>
      <c r="I40" s="9"/>
    </row>
    <row r="41" spans="2:9" x14ac:dyDescent="0.2">
      <c r="B41" s="10" t="s">
        <v>2217</v>
      </c>
    </row>
    <row r="42" spans="2:9" x14ac:dyDescent="0.2">
      <c r="B42" t="s">
        <v>2218</v>
      </c>
    </row>
    <row r="44" spans="2:9" x14ac:dyDescent="0.2">
      <c r="C44" s="5" t="s">
        <v>2219</v>
      </c>
      <c r="D44" s="5" t="s">
        <v>2220</v>
      </c>
      <c r="E44" s="5" t="s">
        <v>2221</v>
      </c>
      <c r="F44" s="5" t="s">
        <v>2222</v>
      </c>
    </row>
    <row r="45" spans="2:9" x14ac:dyDescent="0.2">
      <c r="C45" s="5" t="s">
        <v>2223</v>
      </c>
      <c r="D45" s="2" t="s">
        <v>2224</v>
      </c>
      <c r="E45" s="2" t="s">
        <v>2225</v>
      </c>
      <c r="F45" s="2" t="s">
        <v>2226</v>
      </c>
    </row>
    <row r="46" spans="2:9" x14ac:dyDescent="0.2">
      <c r="C46" s="5" t="s">
        <v>2227</v>
      </c>
      <c r="D46" s="2" t="s">
        <v>2228</v>
      </c>
      <c r="E46" s="2" t="s">
        <v>2229</v>
      </c>
      <c r="F46" s="2" t="s">
        <v>2230</v>
      </c>
    </row>
    <row r="47" spans="2:9" x14ac:dyDescent="0.2">
      <c r="C47" s="5" t="s">
        <v>2231</v>
      </c>
      <c r="D47" s="2" t="s">
        <v>2232</v>
      </c>
      <c r="E47" s="2" t="s">
        <v>2233</v>
      </c>
      <c r="F47" s="2" t="s">
        <v>2234</v>
      </c>
    </row>
    <row r="48" spans="2:9" x14ac:dyDescent="0.2">
      <c r="C48" s="5" t="s">
        <v>2235</v>
      </c>
      <c r="D48" s="2" t="s">
        <v>2236</v>
      </c>
      <c r="E48" s="2" t="s">
        <v>2237</v>
      </c>
      <c r="F48" s="2" t="s">
        <v>2238</v>
      </c>
    </row>
    <row r="50" spans="2:9" x14ac:dyDescent="0.2">
      <c r="C50" s="22"/>
      <c r="D50" s="24"/>
      <c r="E50" s="35" t="s">
        <v>2239</v>
      </c>
      <c r="F50" s="2">
        <v>2</v>
      </c>
    </row>
    <row r="51" spans="2:9" x14ac:dyDescent="0.2">
      <c r="C51" s="22"/>
      <c r="D51" s="24"/>
      <c r="E51" s="35" t="s">
        <v>2240</v>
      </c>
      <c r="F51" s="2">
        <v>3</v>
      </c>
    </row>
    <row r="53" spans="2:9" x14ac:dyDescent="0.2">
      <c r="C53" s="22"/>
      <c r="D53" s="24"/>
      <c r="E53" s="35" t="s">
        <v>277</v>
      </c>
      <c r="F53" s="3" t="str">
        <f>INDEX(D45:F48,F50,F51)</f>
        <v>Paris</v>
      </c>
      <c r="G53" s="8" t="s">
        <v>2241</v>
      </c>
    </row>
    <row r="56" spans="2:9" ht="13.5" thickBot="1" x14ac:dyDescent="0.25">
      <c r="B56" s="9" t="s">
        <v>2242</v>
      </c>
      <c r="C56" s="9"/>
      <c r="D56" s="9"/>
      <c r="E56" s="9"/>
      <c r="F56" s="9"/>
      <c r="G56" s="9"/>
      <c r="H56" s="9"/>
      <c r="I56" s="9"/>
    </row>
    <row r="57" spans="2:9" x14ac:dyDescent="0.2">
      <c r="B57" s="10" t="s">
        <v>2243</v>
      </c>
    </row>
    <row r="58" spans="2:9" x14ac:dyDescent="0.2">
      <c r="B58" t="s">
        <v>2244</v>
      </c>
    </row>
    <row r="59" spans="2:9" x14ac:dyDescent="0.2">
      <c r="B59" t="s">
        <v>2245</v>
      </c>
    </row>
    <row r="60" spans="2:9" x14ac:dyDescent="0.2">
      <c r="B60" s="10"/>
    </row>
    <row r="61" spans="2:9" x14ac:dyDescent="0.2">
      <c r="B61" t="s">
        <v>2246</v>
      </c>
    </row>
    <row r="62" spans="2:9" x14ac:dyDescent="0.2">
      <c r="B62" s="10"/>
    </row>
    <row r="63" spans="2:9" x14ac:dyDescent="0.2">
      <c r="B63" t="s">
        <v>2247</v>
      </c>
    </row>
    <row r="64" spans="2:9" x14ac:dyDescent="0.2">
      <c r="B64" t="s">
        <v>2248</v>
      </c>
    </row>
    <row r="66" spans="3:7" x14ac:dyDescent="0.2">
      <c r="C66" s="52" t="s">
        <v>2249</v>
      </c>
      <c r="D66" s="5" t="s">
        <v>2250</v>
      </c>
      <c r="E66" s="5" t="s">
        <v>2251</v>
      </c>
      <c r="F66" s="5" t="s">
        <v>2252</v>
      </c>
      <c r="G66" s="5" t="s">
        <v>2253</v>
      </c>
    </row>
    <row r="67" spans="3:7" x14ac:dyDescent="0.2">
      <c r="C67" s="5" t="s">
        <v>89</v>
      </c>
      <c r="D67" s="18">
        <v>1000</v>
      </c>
      <c r="E67" s="18">
        <v>2000</v>
      </c>
      <c r="F67" s="18">
        <v>3000</v>
      </c>
      <c r="G67" s="18">
        <v>4000</v>
      </c>
    </row>
    <row r="68" spans="3:7" x14ac:dyDescent="0.2">
      <c r="C68" s="5" t="s">
        <v>90</v>
      </c>
      <c r="D68" s="18">
        <v>5000</v>
      </c>
      <c r="E68" s="18">
        <v>6000</v>
      </c>
      <c r="F68" s="18">
        <v>7000</v>
      </c>
      <c r="G68" s="18">
        <v>8000</v>
      </c>
    </row>
    <row r="69" spans="3:7" x14ac:dyDescent="0.2">
      <c r="C69" s="5" t="s">
        <v>91</v>
      </c>
      <c r="D69" s="18">
        <v>9000</v>
      </c>
      <c r="E69" s="18">
        <v>10000</v>
      </c>
      <c r="F69" s="18">
        <v>11000</v>
      </c>
      <c r="G69" s="18">
        <v>12000</v>
      </c>
    </row>
    <row r="71" spans="3:7" x14ac:dyDescent="0.2">
      <c r="C71" s="52" t="s">
        <v>2254</v>
      </c>
      <c r="D71" s="5" t="s">
        <v>2250</v>
      </c>
      <c r="E71" s="5" t="s">
        <v>2251</v>
      </c>
      <c r="F71" s="5" t="s">
        <v>2252</v>
      </c>
      <c r="G71" s="5" t="s">
        <v>2253</v>
      </c>
    </row>
    <row r="72" spans="3:7" x14ac:dyDescent="0.2">
      <c r="C72" s="5" t="s">
        <v>89</v>
      </c>
      <c r="D72" s="18">
        <v>1500</v>
      </c>
      <c r="E72" s="18">
        <v>2500</v>
      </c>
      <c r="F72" s="18">
        <v>3500</v>
      </c>
      <c r="G72" s="18">
        <v>4500</v>
      </c>
    </row>
    <row r="73" spans="3:7" x14ac:dyDescent="0.2">
      <c r="C73" s="5" t="s">
        <v>90</v>
      </c>
      <c r="D73" s="18">
        <v>5500</v>
      </c>
      <c r="E73" s="18">
        <v>6500</v>
      </c>
      <c r="F73" s="18">
        <v>7500</v>
      </c>
      <c r="G73" s="18">
        <v>8500</v>
      </c>
    </row>
    <row r="74" spans="3:7" x14ac:dyDescent="0.2">
      <c r="C74" s="5" t="s">
        <v>91</v>
      </c>
      <c r="D74" s="18">
        <v>9500</v>
      </c>
      <c r="E74" s="18">
        <v>10500</v>
      </c>
      <c r="F74" s="18">
        <v>11500</v>
      </c>
      <c r="G74" s="18">
        <v>12500</v>
      </c>
    </row>
    <row r="76" spans="3:7" x14ac:dyDescent="0.2">
      <c r="C76" s="22"/>
      <c r="D76" s="24"/>
      <c r="E76" s="35" t="s">
        <v>2255</v>
      </c>
      <c r="F76" s="2">
        <v>1</v>
      </c>
    </row>
    <row r="77" spans="3:7" x14ac:dyDescent="0.2">
      <c r="C77" s="22"/>
      <c r="D77" s="24"/>
      <c r="E77" s="35" t="s">
        <v>2256</v>
      </c>
      <c r="F77" s="2">
        <v>3</v>
      </c>
    </row>
    <row r="78" spans="3:7" x14ac:dyDescent="0.2">
      <c r="C78" s="22"/>
      <c r="D78" s="24"/>
      <c r="E78" s="35" t="s">
        <v>2257</v>
      </c>
      <c r="F78" s="2">
        <v>2</v>
      </c>
    </row>
    <row r="80" spans="3:7" x14ac:dyDescent="0.2">
      <c r="D80" s="22"/>
      <c r="E80" s="35" t="s">
        <v>277</v>
      </c>
      <c r="F80" s="3">
        <f>INDEX(NorthAndSouth,F76,F77,F78)</f>
        <v>3500</v>
      </c>
      <c r="G80" s="8" t="s">
        <v>2258</v>
      </c>
    </row>
    <row r="84" spans="2:9" ht="13.5" thickBot="1" x14ac:dyDescent="0.25">
      <c r="B84" s="9" t="s">
        <v>85</v>
      </c>
      <c r="C84" s="9"/>
      <c r="D84" s="9"/>
      <c r="E84" s="9"/>
      <c r="F84" s="9"/>
      <c r="G84" s="9"/>
      <c r="H84" s="9"/>
      <c r="I84" s="9"/>
    </row>
    <row r="85" spans="2:9" x14ac:dyDescent="0.2">
      <c r="B85" t="s">
        <v>2259</v>
      </c>
    </row>
    <row r="86" spans="2:9" x14ac:dyDescent="0.2">
      <c r="B86" t="s">
        <v>2260</v>
      </c>
    </row>
    <row r="87" spans="2:9" x14ac:dyDescent="0.2">
      <c r="B87" t="s">
        <v>2261</v>
      </c>
    </row>
    <row r="88" spans="2:9" x14ac:dyDescent="0.2">
      <c r="B88" t="s">
        <v>2262</v>
      </c>
    </row>
    <row r="90" spans="2:9" ht="13.5" thickBot="1" x14ac:dyDescent="0.25">
      <c r="C90" s="347" t="s">
        <v>2263</v>
      </c>
      <c r="D90" s="348" t="s">
        <v>2250</v>
      </c>
      <c r="E90" s="348" t="s">
        <v>2251</v>
      </c>
      <c r="F90" s="348" t="s">
        <v>2252</v>
      </c>
      <c r="G90" s="348" t="s">
        <v>2253</v>
      </c>
    </row>
    <row r="91" spans="2:9" x14ac:dyDescent="0.2">
      <c r="C91" s="349" t="s">
        <v>89</v>
      </c>
      <c r="D91" s="350">
        <v>1000</v>
      </c>
      <c r="E91" s="351">
        <v>2000</v>
      </c>
      <c r="F91" s="351">
        <v>3000</v>
      </c>
      <c r="G91" s="352">
        <v>4000</v>
      </c>
    </row>
    <row r="92" spans="2:9" x14ac:dyDescent="0.2">
      <c r="C92" s="349" t="s">
        <v>90</v>
      </c>
      <c r="D92" s="353">
        <v>5000</v>
      </c>
      <c r="E92" s="18">
        <v>6000</v>
      </c>
      <c r="F92" s="18">
        <v>7000</v>
      </c>
      <c r="G92" s="354">
        <v>8000</v>
      </c>
    </row>
    <row r="93" spans="2:9" ht="13.5" thickBot="1" x14ac:dyDescent="0.25">
      <c r="C93" s="349" t="s">
        <v>91</v>
      </c>
      <c r="D93" s="355">
        <v>9000</v>
      </c>
      <c r="E93" s="356">
        <v>10000</v>
      </c>
      <c r="F93" s="356">
        <v>11000</v>
      </c>
      <c r="G93" s="357">
        <v>12000</v>
      </c>
    </row>
    <row r="95" spans="2:9" ht="13.5" thickBot="1" x14ac:dyDescent="0.25">
      <c r="C95" s="347" t="s">
        <v>2264</v>
      </c>
      <c r="D95" s="5" t="s">
        <v>2250</v>
      </c>
      <c r="E95" s="5" t="s">
        <v>2251</v>
      </c>
      <c r="F95" s="5" t="s">
        <v>2252</v>
      </c>
      <c r="G95" s="5" t="s">
        <v>2253</v>
      </c>
    </row>
    <row r="96" spans="2:9" x14ac:dyDescent="0.2">
      <c r="C96" s="5" t="s">
        <v>89</v>
      </c>
      <c r="D96" s="350">
        <v>1500</v>
      </c>
      <c r="E96" s="351">
        <v>2500</v>
      </c>
      <c r="F96" s="351">
        <v>3500</v>
      </c>
      <c r="G96" s="352">
        <v>4500</v>
      </c>
    </row>
    <row r="97" spans="2:7" x14ac:dyDescent="0.2">
      <c r="C97" s="5" t="s">
        <v>90</v>
      </c>
      <c r="D97" s="353">
        <v>5500</v>
      </c>
      <c r="E97" s="18">
        <v>6500</v>
      </c>
      <c r="F97" s="18">
        <v>7500</v>
      </c>
      <c r="G97" s="354">
        <v>8500</v>
      </c>
    </row>
    <row r="98" spans="2:7" ht="13.5" thickBot="1" x14ac:dyDescent="0.25">
      <c r="C98" s="5" t="s">
        <v>91</v>
      </c>
      <c r="D98" s="355">
        <v>9500</v>
      </c>
      <c r="E98" s="356">
        <v>10500</v>
      </c>
      <c r="F98" s="356">
        <v>11500</v>
      </c>
      <c r="G98" s="357">
        <v>12500</v>
      </c>
    </row>
    <row r="100" spans="2:7" x14ac:dyDescent="0.2">
      <c r="C100" s="22"/>
      <c r="D100" s="24"/>
      <c r="E100" s="35" t="s">
        <v>2255</v>
      </c>
      <c r="F100" s="358" t="s">
        <v>2265</v>
      </c>
    </row>
    <row r="101" spans="2:7" x14ac:dyDescent="0.2">
      <c r="C101" s="22"/>
      <c r="D101" s="24"/>
      <c r="E101" s="35" t="s">
        <v>2256</v>
      </c>
      <c r="F101" s="359" t="s">
        <v>2266</v>
      </c>
    </row>
    <row r="102" spans="2:7" x14ac:dyDescent="0.2">
      <c r="C102" s="22"/>
      <c r="D102" s="24"/>
      <c r="E102" s="35" t="s">
        <v>2257</v>
      </c>
      <c r="F102" s="360" t="s">
        <v>2267</v>
      </c>
    </row>
    <row r="104" spans="2:7" x14ac:dyDescent="0.2">
      <c r="D104" s="22"/>
      <c r="E104" s="35" t="s">
        <v>277</v>
      </c>
      <c r="F104" s="3">
        <f>INDEX(EastAndWest,MATCH(F100,C91:C93,0),MATCH(F101,D90:G90,0),IF(F102=C90,1,IF(F102=C95,2)))</f>
        <v>6500</v>
      </c>
    </row>
    <row r="106" spans="2:7" x14ac:dyDescent="0.2">
      <c r="B106" s="190" t="s">
        <v>2268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rowBreaks count="2" manualBreakCount="2">
    <brk id="38" max="65535" man="1"/>
    <brk id="82" max="65535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9089" r:id="rId4" name="Button 1">
              <controlPr defaultSize="0" print="0" autoFill="0" autoLine="0" autoPict="0">
                <anchor>
                  <from>
                    <xdr:col>8</xdr:col>
                    <xdr:colOff>152400</xdr:colOff>
                    <xdr:row>0</xdr:row>
                    <xdr:rowOff>38100</xdr:rowOff>
                  </from>
                  <to>
                    <xdr:col>8</xdr:col>
                    <xdr:colOff>619125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0" r:id="rId5" name="Button 2">
              <controlPr defaultSize="0" print="0" autoFill="0" autoLine="0" autoPict="0">
                <anchor>
                  <from>
                    <xdr:col>8</xdr:col>
                    <xdr:colOff>676275</xdr:colOff>
                    <xdr:row>0</xdr:row>
                    <xdr:rowOff>38100</xdr:rowOff>
                  </from>
                  <to>
                    <xdr:col>8</xdr:col>
                    <xdr:colOff>876300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1" r:id="rId6" name="Button 3">
              <controlPr defaultSize="0" print="0" autoFill="0" autoLine="0" autoPict="0">
                <anchor>
                  <from>
                    <xdr:col>7</xdr:col>
                    <xdr:colOff>485775</xdr:colOff>
                    <xdr:row>0</xdr:row>
                    <xdr:rowOff>38100</xdr:rowOff>
                  </from>
                  <to>
                    <xdr:col>8</xdr:col>
                    <xdr:colOff>85725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66">
    <pageSetUpPr fitToPage="1"/>
  </sheetPr>
  <dimension ref="A1:K51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9.42578125" customWidth="1"/>
    <col min="10" max="10" width="8.28515625" customWidth="1"/>
    <col min="11" max="11" width="2.7109375" customWidth="1"/>
  </cols>
  <sheetData>
    <row r="1" spans="1:11" ht="18.75" thickBot="1" x14ac:dyDescent="0.3">
      <c r="A1" s="1" t="s">
        <v>2269</v>
      </c>
      <c r="B1" s="1"/>
      <c r="C1" s="1"/>
      <c r="D1" s="1"/>
      <c r="E1" s="1"/>
      <c r="F1" s="1"/>
      <c r="G1" s="1"/>
      <c r="H1" s="1"/>
      <c r="I1" s="1"/>
      <c r="J1" s="1"/>
      <c r="K1" s="361"/>
    </row>
    <row r="2" spans="1:11" ht="13.5" thickTop="1" x14ac:dyDescent="0.2"/>
    <row r="3" spans="1:11" x14ac:dyDescent="0.2">
      <c r="F3" s="36" t="s">
        <v>12</v>
      </c>
      <c r="G3" s="36" t="s">
        <v>13</v>
      </c>
      <c r="H3" s="36" t="s">
        <v>14</v>
      </c>
    </row>
    <row r="4" spans="1:11" x14ac:dyDescent="0.2">
      <c r="E4" s="36" t="s">
        <v>16</v>
      </c>
      <c r="F4" s="2">
        <v>10</v>
      </c>
      <c r="G4" s="2">
        <v>20</v>
      </c>
      <c r="H4" s="2">
        <v>30</v>
      </c>
    </row>
    <row r="5" spans="1:11" x14ac:dyDescent="0.2">
      <c r="E5" s="36" t="s">
        <v>17</v>
      </c>
      <c r="F5" s="2">
        <v>40</v>
      </c>
      <c r="G5" s="2">
        <v>50</v>
      </c>
      <c r="H5" s="2">
        <v>60</v>
      </c>
    </row>
    <row r="6" spans="1:11" x14ac:dyDescent="0.2">
      <c r="E6" s="36" t="s">
        <v>18</v>
      </c>
      <c r="F6" s="2">
        <v>70</v>
      </c>
      <c r="G6" s="2">
        <v>80</v>
      </c>
      <c r="H6" s="2">
        <v>90</v>
      </c>
    </row>
    <row r="7" spans="1:11" x14ac:dyDescent="0.2">
      <c r="E7" s="36" t="s">
        <v>19</v>
      </c>
      <c r="F7" s="2">
        <v>100</v>
      </c>
      <c r="G7" s="2">
        <v>110</v>
      </c>
      <c r="H7" s="2">
        <v>120</v>
      </c>
    </row>
    <row r="9" spans="1:11" x14ac:dyDescent="0.2">
      <c r="B9" s="22"/>
      <c r="C9" s="24"/>
      <c r="D9" s="24"/>
      <c r="E9" s="24"/>
      <c r="F9" s="24"/>
      <c r="G9" s="35" t="s">
        <v>2270</v>
      </c>
      <c r="H9" s="2" t="s">
        <v>2271</v>
      </c>
    </row>
    <row r="11" spans="1:11" x14ac:dyDescent="0.2">
      <c r="D11" s="22"/>
      <c r="E11" s="24"/>
      <c r="F11" s="24"/>
      <c r="G11" s="35" t="s">
        <v>2272</v>
      </c>
      <c r="H11" s="3">
        <f ca="1">INDIRECT(H9)</f>
        <v>80</v>
      </c>
      <c r="I11" s="8" t="s">
        <v>2273</v>
      </c>
    </row>
    <row r="13" spans="1:11" ht="13.5" thickBot="1" x14ac:dyDescent="0.25">
      <c r="B13" s="9" t="s">
        <v>39</v>
      </c>
      <c r="C13" s="9"/>
      <c r="D13" s="9"/>
      <c r="E13" s="9"/>
      <c r="F13" s="9"/>
      <c r="G13" s="9"/>
      <c r="H13" s="9"/>
      <c r="I13" s="9"/>
      <c r="J13" s="9"/>
    </row>
    <row r="14" spans="1:11" x14ac:dyDescent="0.2">
      <c r="B14" t="s">
        <v>2274</v>
      </c>
    </row>
    <row r="15" spans="1:11" x14ac:dyDescent="0.2">
      <c r="B15" t="s">
        <v>2275</v>
      </c>
    </row>
    <row r="16" spans="1:11" x14ac:dyDescent="0.2">
      <c r="B16" t="s">
        <v>2276</v>
      </c>
    </row>
    <row r="18" spans="2:10" ht="13.5" thickBot="1" x14ac:dyDescent="0.25">
      <c r="B18" s="9" t="s">
        <v>43</v>
      </c>
      <c r="C18" s="9"/>
      <c r="D18" s="9"/>
      <c r="E18" s="9"/>
      <c r="F18" s="9"/>
      <c r="G18" s="9"/>
      <c r="H18" s="9"/>
      <c r="I18" s="9"/>
      <c r="J18" s="9"/>
    </row>
    <row r="19" spans="2:10" x14ac:dyDescent="0.2">
      <c r="B19" s="10" t="s">
        <v>2277</v>
      </c>
    </row>
    <row r="21" spans="2:10" ht="13.5" thickBot="1" x14ac:dyDescent="0.25">
      <c r="B21" s="9" t="s">
        <v>45</v>
      </c>
      <c r="C21" s="9"/>
      <c r="D21" s="9"/>
      <c r="E21" s="9"/>
      <c r="F21" s="9"/>
      <c r="G21" s="9"/>
      <c r="H21" s="9"/>
      <c r="I21" s="9"/>
      <c r="J21" s="9"/>
    </row>
    <row r="22" spans="2:10" x14ac:dyDescent="0.2">
      <c r="B22" t="s">
        <v>46</v>
      </c>
    </row>
    <row r="24" spans="2:10" ht="13.5" thickBot="1" x14ac:dyDescent="0.25">
      <c r="B24" s="9" t="s">
        <v>286</v>
      </c>
      <c r="C24" s="9"/>
      <c r="D24" s="9"/>
      <c r="E24" s="9"/>
      <c r="F24" s="9"/>
      <c r="G24" s="9"/>
      <c r="H24" s="9"/>
      <c r="I24" s="9"/>
      <c r="J24" s="9"/>
    </row>
    <row r="25" spans="2:10" x14ac:dyDescent="0.2">
      <c r="B25" t="s">
        <v>2278</v>
      </c>
    </row>
    <row r="26" spans="2:10" x14ac:dyDescent="0.2">
      <c r="B26" t="s">
        <v>2279</v>
      </c>
    </row>
    <row r="27" spans="2:10" x14ac:dyDescent="0.2">
      <c r="B27" t="s">
        <v>2280</v>
      </c>
    </row>
    <row r="28" spans="2:10" x14ac:dyDescent="0.2">
      <c r="B28" t="s">
        <v>2281</v>
      </c>
    </row>
    <row r="30" spans="2:10" x14ac:dyDescent="0.2">
      <c r="B30" t="s">
        <v>2282</v>
      </c>
    </row>
    <row r="31" spans="2:10" x14ac:dyDescent="0.2">
      <c r="B31" t="s">
        <v>2283</v>
      </c>
    </row>
    <row r="33" spans="2:10" x14ac:dyDescent="0.2">
      <c r="B33" s="22"/>
      <c r="C33" s="24"/>
      <c r="D33" s="24"/>
      <c r="E33" s="24"/>
      <c r="F33" s="35" t="s">
        <v>2284</v>
      </c>
      <c r="G33" s="2" t="s">
        <v>16</v>
      </c>
    </row>
    <row r="34" spans="2:10" x14ac:dyDescent="0.2">
      <c r="B34" s="22"/>
      <c r="C34" s="24"/>
      <c r="D34" s="24"/>
      <c r="E34" s="24"/>
      <c r="F34" s="35" t="s">
        <v>2285</v>
      </c>
      <c r="G34" s="2" t="s">
        <v>2286</v>
      </c>
    </row>
    <row r="35" spans="2:10" x14ac:dyDescent="0.2">
      <c r="B35" s="22"/>
      <c r="C35" s="24"/>
      <c r="D35" s="24"/>
      <c r="E35" s="24"/>
      <c r="F35" s="35" t="str">
        <f>"The contents of the cell "&amp;G34&amp;" on "&amp;G33&amp;" is : "</f>
        <v xml:space="preserve">The contents of the cell C8 on North is : </v>
      </c>
      <c r="G35" s="3">
        <f ca="1">INDIRECT(G33&amp;"!"&amp;G34)</f>
        <v>120</v>
      </c>
      <c r="H35" s="8" t="s">
        <v>2287</v>
      </c>
    </row>
    <row r="37" spans="2:10" x14ac:dyDescent="0.2">
      <c r="B37" t="str">
        <f>"The =INDIRECT() created a reference to ="&amp;UPPER(G33&amp;"!"&amp;G34)</f>
        <v>The =INDIRECT() created a reference to =NORTH!C8</v>
      </c>
    </row>
    <row r="40" spans="2:10" ht="13.5" thickBot="1" x14ac:dyDescent="0.25">
      <c r="B40" s="9" t="s">
        <v>305</v>
      </c>
      <c r="C40" s="9"/>
      <c r="D40" s="9"/>
      <c r="E40" s="9"/>
      <c r="F40" s="9"/>
      <c r="G40" s="9"/>
      <c r="H40" s="9"/>
      <c r="I40" s="9"/>
      <c r="J40" s="9"/>
    </row>
    <row r="41" spans="2:10" x14ac:dyDescent="0.2">
      <c r="B41" t="s">
        <v>2288</v>
      </c>
    </row>
    <row r="42" spans="2:10" x14ac:dyDescent="0.2">
      <c r="B42" t="s">
        <v>2289</v>
      </c>
    </row>
    <row r="44" spans="2:10" x14ac:dyDescent="0.2">
      <c r="B44" s="22"/>
      <c r="C44" s="24"/>
      <c r="D44" s="24"/>
      <c r="E44" s="24"/>
      <c r="F44" s="35" t="s">
        <v>2290</v>
      </c>
      <c r="G44" s="2" t="s">
        <v>17</v>
      </c>
    </row>
    <row r="45" spans="2:10" x14ac:dyDescent="0.2">
      <c r="B45" s="22"/>
      <c r="C45" s="24"/>
      <c r="D45" s="24"/>
      <c r="E45" s="24"/>
      <c r="F45" s="35" t="s">
        <v>2291</v>
      </c>
      <c r="G45" s="2" t="s">
        <v>2292</v>
      </c>
    </row>
    <row r="46" spans="2:10" x14ac:dyDescent="0.2">
      <c r="B46" s="22"/>
      <c r="C46" s="24"/>
      <c r="D46" s="24"/>
      <c r="E46" s="24"/>
      <c r="F46" s="35" t="s">
        <v>2293</v>
      </c>
      <c r="G46" s="2" t="s">
        <v>2294</v>
      </c>
    </row>
    <row r="47" spans="2:10" x14ac:dyDescent="0.2">
      <c r="B47" s="22"/>
      <c r="C47" s="24"/>
      <c r="D47" s="24"/>
      <c r="E47" s="24"/>
      <c r="F47" s="35" t="str">
        <f>"The sum of the range "&amp;G45&amp;":"&amp;G46&amp;" on "&amp;G44&amp;" is : "</f>
        <v xml:space="preserve">The sum of the range C5:C7 on South is : </v>
      </c>
      <c r="G47" s="3">
        <f ca="1">SUM(INDIRECT(G44&amp;"!"&amp;G45&amp;":"&amp;G46))</f>
        <v>1200</v>
      </c>
    </row>
    <row r="48" spans="2:10" x14ac:dyDescent="0.2">
      <c r="G48" s="19" t="s">
        <v>2295</v>
      </c>
    </row>
    <row r="50" spans="1:2" x14ac:dyDescent="0.2">
      <c r="B50" t="str">
        <f>"The =INDIRECT() created a reference to =SUM("&amp;UPPER(G44&amp;"!"&amp;G45&amp;":"&amp;G46)&amp;")"</f>
        <v>The =INDIRECT() created a reference to =SUM(SOUTH!C5:C7)</v>
      </c>
    </row>
    <row r="51" spans="1:2" x14ac:dyDescent="0.2">
      <c r="A51" s="361"/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0113" r:id="rId4" name="Button 1">
              <controlPr defaultSize="0" print="0" autoFill="0" autoLine="0" autoPict="0">
                <anchor>
                  <from>
                    <xdr:col>8</xdr:col>
                    <xdr:colOff>361950</xdr:colOff>
                    <xdr:row>0</xdr:row>
                    <xdr:rowOff>38100</xdr:rowOff>
                  </from>
                  <to>
                    <xdr:col>9</xdr:col>
                    <xdr:colOff>219075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4" r:id="rId5" name="Button 2">
              <controlPr defaultSize="0" print="0" autoFill="0" autoLine="0" autoPict="0">
                <anchor>
                  <from>
                    <xdr:col>9</xdr:col>
                    <xdr:colOff>285750</xdr:colOff>
                    <xdr:row>0</xdr:row>
                    <xdr:rowOff>38100</xdr:rowOff>
                  </from>
                  <to>
                    <xdr:col>9</xdr:col>
                    <xdr:colOff>485775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5" r:id="rId6" name="Button 3">
              <controlPr defaultSize="0" print="0" autoFill="0" autoLine="0" autoPict="0">
                <anchor>
                  <from>
                    <xdr:col>8</xdr:col>
                    <xdr:colOff>85725</xdr:colOff>
                    <xdr:row>0</xdr:row>
                    <xdr:rowOff>38100</xdr:rowOff>
                  </from>
                  <to>
                    <xdr:col>8</xdr:col>
                    <xdr:colOff>295275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67">
    <pageSetUpPr fitToPage="1"/>
  </sheetPr>
  <dimension ref="A1:E23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3.28515625" customWidth="1"/>
    <col min="2" max="2" width="35.7109375" customWidth="1"/>
    <col min="3" max="3" width="23.5703125" customWidth="1"/>
  </cols>
  <sheetData>
    <row r="1" spans="1:5" ht="18.75" thickBot="1" x14ac:dyDescent="0.3">
      <c r="A1" s="1" t="s">
        <v>2296</v>
      </c>
      <c r="B1" s="1"/>
      <c r="C1" s="1"/>
      <c r="D1" s="1"/>
      <c r="E1" s="1"/>
    </row>
    <row r="2" spans="1:5" ht="13.5" thickTop="1" x14ac:dyDescent="0.2"/>
    <row r="3" spans="1:5" x14ac:dyDescent="0.2">
      <c r="C3" s="5" t="s">
        <v>2297</v>
      </c>
    </row>
    <row r="4" spans="1:5" x14ac:dyDescent="0.2">
      <c r="B4" s="57" t="s">
        <v>2298</v>
      </c>
      <c r="C4" s="223" t="str">
        <f ca="1">INFO("directory")</f>
        <v>C:\Users\Admin\Documents\</v>
      </c>
      <c r="D4" s="26" t="s">
        <v>2299</v>
      </c>
    </row>
    <row r="5" spans="1:5" x14ac:dyDescent="0.2">
      <c r="B5" s="57" t="s">
        <v>2300</v>
      </c>
      <c r="C5" s="362" t="e">
        <f ca="1">INFO("memavail")</f>
        <v>#N/A</v>
      </c>
      <c r="D5" s="26" t="s">
        <v>2301</v>
      </c>
    </row>
    <row r="6" spans="1:5" x14ac:dyDescent="0.2">
      <c r="B6" s="57" t="s">
        <v>2302</v>
      </c>
      <c r="C6" s="362" t="e">
        <f ca="1">INFO("memused")</f>
        <v>#N/A</v>
      </c>
      <c r="D6" s="26" t="s">
        <v>2303</v>
      </c>
    </row>
    <row r="7" spans="1:5" x14ac:dyDescent="0.2">
      <c r="B7" s="57" t="s">
        <v>2304</v>
      </c>
      <c r="C7" s="362" t="e">
        <f ca="1">INFO("totmem")</f>
        <v>#N/A</v>
      </c>
      <c r="D7" s="26" t="s">
        <v>2305</v>
      </c>
    </row>
    <row r="8" spans="1:5" x14ac:dyDescent="0.2">
      <c r="B8" s="57" t="s">
        <v>2306</v>
      </c>
      <c r="C8" s="363">
        <f ca="1">INFO("numfile")</f>
        <v>162</v>
      </c>
      <c r="D8" s="26" t="s">
        <v>2307</v>
      </c>
    </row>
    <row r="9" spans="1:5" x14ac:dyDescent="0.2">
      <c r="B9" s="57" t="s">
        <v>2308</v>
      </c>
      <c r="C9" s="223" t="str">
        <f ca="1">INFO("origin")</f>
        <v>$A:$A$1</v>
      </c>
      <c r="D9" s="26" t="s">
        <v>2309</v>
      </c>
    </row>
    <row r="10" spans="1:5" x14ac:dyDescent="0.2">
      <c r="B10" s="57" t="s">
        <v>2310</v>
      </c>
      <c r="C10" s="223" t="str">
        <f ca="1">INFO("osversion")</f>
        <v>Windows (64-bit) NT 10.00</v>
      </c>
      <c r="D10" s="26" t="s">
        <v>2311</v>
      </c>
    </row>
    <row r="11" spans="1:5" x14ac:dyDescent="0.2">
      <c r="B11" s="57" t="s">
        <v>2312</v>
      </c>
      <c r="C11" s="223" t="str">
        <f ca="1">INFO("recalc")</f>
        <v>Automatic</v>
      </c>
      <c r="D11" s="26" t="s">
        <v>2313</v>
      </c>
    </row>
    <row r="12" spans="1:5" x14ac:dyDescent="0.2">
      <c r="B12" s="57" t="s">
        <v>2314</v>
      </c>
      <c r="C12" s="223" t="str">
        <f ca="1">INFO("release")</f>
        <v>16.0</v>
      </c>
      <c r="D12" s="26" t="s">
        <v>2315</v>
      </c>
    </row>
    <row r="13" spans="1:5" x14ac:dyDescent="0.2">
      <c r="B13" s="57" t="s">
        <v>2316</v>
      </c>
      <c r="C13" s="223" t="str">
        <f ca="1">INFO("system")</f>
        <v>pcdos</v>
      </c>
      <c r="D13" s="26" t="s">
        <v>2317</v>
      </c>
    </row>
    <row r="15" spans="1:5" ht="13.5" thickBot="1" x14ac:dyDescent="0.25">
      <c r="B15" s="9" t="s">
        <v>64</v>
      </c>
      <c r="C15" s="9"/>
      <c r="D15" s="9"/>
      <c r="E15" s="9"/>
    </row>
    <row r="16" spans="1:5" x14ac:dyDescent="0.2">
      <c r="B16" t="s">
        <v>2318</v>
      </c>
    </row>
    <row r="18" spans="2:5" ht="13.5" thickBot="1" x14ac:dyDescent="0.25">
      <c r="B18" s="9" t="s">
        <v>43</v>
      </c>
      <c r="C18" s="9"/>
      <c r="D18" s="9"/>
      <c r="E18" s="9"/>
    </row>
    <row r="19" spans="2:5" x14ac:dyDescent="0.2">
      <c r="B19" t="s">
        <v>2319</v>
      </c>
    </row>
    <row r="20" spans="2:5" x14ac:dyDescent="0.2">
      <c r="B20" t="s">
        <v>2320</v>
      </c>
    </row>
    <row r="22" spans="2:5" ht="13.5" thickBot="1" x14ac:dyDescent="0.25">
      <c r="B22" s="9" t="s">
        <v>45</v>
      </c>
      <c r="C22" s="9"/>
      <c r="D22" s="9"/>
      <c r="E22" s="9"/>
    </row>
    <row r="23" spans="2:5" x14ac:dyDescent="0.2">
      <c r="B23" t="s">
        <v>2321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1137" r:id="rId4" name="Button 1">
              <controlPr defaultSize="0" print="0" autoFill="0" autoLine="0" autoPict="0">
                <anchor>
                  <from>
                    <xdr:col>3</xdr:col>
                    <xdr:colOff>552450</xdr:colOff>
                    <xdr:row>0</xdr:row>
                    <xdr:rowOff>38100</xdr:rowOff>
                  </from>
                  <to>
                    <xdr:col>4</xdr:col>
                    <xdr:colOff>428625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38" r:id="rId5" name="Button 2">
              <controlPr defaultSize="0" print="0" autoFill="0" autoLine="0" autoPict="0">
                <anchor>
                  <from>
                    <xdr:col>4</xdr:col>
                    <xdr:colOff>495300</xdr:colOff>
                    <xdr:row>0</xdr:row>
                    <xdr:rowOff>38100</xdr:rowOff>
                  </from>
                  <to>
                    <xdr:col>5</xdr:col>
                    <xdr:colOff>95250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39" r:id="rId6" name="Button 3">
              <controlPr defaultSize="0" print="0" autoFill="0" autoLine="0" autoPict="0">
                <anchor>
                  <from>
                    <xdr:col>3</xdr:col>
                    <xdr:colOff>285750</xdr:colOff>
                    <xdr:row>0</xdr:row>
                    <xdr:rowOff>38100</xdr:rowOff>
                  </from>
                  <to>
                    <xdr:col>3</xdr:col>
                    <xdr:colOff>495300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68">
    <pageSetUpPr fitToPage="1"/>
  </sheetPr>
  <dimension ref="A1:I59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5703125" customWidth="1"/>
    <col min="3" max="3" width="10.5703125" customWidth="1"/>
    <col min="4" max="4" width="11" customWidth="1"/>
    <col min="5" max="5" width="12" customWidth="1"/>
  </cols>
  <sheetData>
    <row r="1" spans="1:9" ht="18.75" thickBot="1" x14ac:dyDescent="0.3">
      <c r="A1" s="1" t="s">
        <v>2322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5" t="s">
        <v>467</v>
      </c>
      <c r="D3" s="5" t="s">
        <v>2323</v>
      </c>
    </row>
    <row r="4" spans="1:9" x14ac:dyDescent="0.2">
      <c r="C4" s="2">
        <v>1.5</v>
      </c>
      <c r="D4" s="3">
        <f>INT(C4)</f>
        <v>1</v>
      </c>
      <c r="E4" s="8" t="s">
        <v>2324</v>
      </c>
    </row>
    <row r="5" spans="1:9" x14ac:dyDescent="0.2">
      <c r="C5" s="2">
        <v>2.2999999999999998</v>
      </c>
      <c r="D5" s="3">
        <f>INT(C5)</f>
        <v>2</v>
      </c>
      <c r="E5" s="8" t="s">
        <v>2325</v>
      </c>
    </row>
    <row r="6" spans="1:9" x14ac:dyDescent="0.2">
      <c r="C6" s="2">
        <v>10.75</v>
      </c>
      <c r="D6" s="3">
        <f>INT(C6)</f>
        <v>10</v>
      </c>
      <c r="E6" s="8" t="s">
        <v>2326</v>
      </c>
    </row>
    <row r="7" spans="1:9" x14ac:dyDescent="0.2">
      <c r="C7" s="11">
        <v>-1.4758899999999999</v>
      </c>
      <c r="D7" s="3">
        <f>INT(C7)</f>
        <v>-2</v>
      </c>
      <c r="E7" s="8" t="s">
        <v>2327</v>
      </c>
    </row>
    <row r="9" spans="1:9" ht="13.5" thickBot="1" x14ac:dyDescent="0.25">
      <c r="B9" s="9" t="s">
        <v>39</v>
      </c>
      <c r="C9" s="9"/>
      <c r="D9" s="9"/>
      <c r="E9" s="9"/>
      <c r="F9" s="9"/>
      <c r="G9" s="9"/>
      <c r="H9" s="9"/>
      <c r="I9" s="9"/>
    </row>
    <row r="10" spans="1:9" x14ac:dyDescent="0.2">
      <c r="B10" t="s">
        <v>2328</v>
      </c>
    </row>
    <row r="12" spans="1:9" ht="13.5" thickBot="1" x14ac:dyDescent="0.25">
      <c r="B12" s="9" t="s">
        <v>43</v>
      </c>
      <c r="C12" s="9"/>
      <c r="D12" s="9"/>
      <c r="E12" s="9"/>
      <c r="F12" s="9"/>
      <c r="G12" s="9"/>
      <c r="H12" s="9"/>
      <c r="I12" s="9"/>
    </row>
    <row r="13" spans="1:9" x14ac:dyDescent="0.2">
      <c r="B13" s="10" t="s">
        <v>2329</v>
      </c>
    </row>
    <row r="15" spans="1:9" ht="13.5" thickBot="1" x14ac:dyDescent="0.25">
      <c r="B15" s="9" t="s">
        <v>45</v>
      </c>
      <c r="C15" s="9"/>
      <c r="D15" s="9"/>
      <c r="E15" s="9"/>
      <c r="F15" s="9"/>
      <c r="G15" s="9"/>
      <c r="H15" s="9"/>
      <c r="I15" s="9"/>
    </row>
    <row r="16" spans="1:9" x14ac:dyDescent="0.2">
      <c r="B16" t="s">
        <v>46</v>
      </c>
    </row>
    <row r="18" spans="2:9" ht="13.5" thickBot="1" x14ac:dyDescent="0.25">
      <c r="B18" s="9" t="s">
        <v>85</v>
      </c>
      <c r="C18" s="9"/>
      <c r="D18" s="9"/>
      <c r="E18" s="9"/>
      <c r="F18" s="9"/>
      <c r="G18" s="9"/>
      <c r="H18" s="9"/>
      <c r="I18" s="9"/>
    </row>
    <row r="19" spans="2:9" x14ac:dyDescent="0.2">
      <c r="B19" t="s">
        <v>2330</v>
      </c>
    </row>
    <row r="20" spans="2:9" x14ac:dyDescent="0.2">
      <c r="B20" t="s">
        <v>2331</v>
      </c>
    </row>
    <row r="21" spans="2:9" x14ac:dyDescent="0.2">
      <c r="B21" t="s">
        <v>2332</v>
      </c>
    </row>
    <row r="22" spans="2:9" x14ac:dyDescent="0.2">
      <c r="B22" t="s">
        <v>2333</v>
      </c>
    </row>
    <row r="23" spans="2:9" x14ac:dyDescent="0.2">
      <c r="B23" t="s">
        <v>2334</v>
      </c>
    </row>
    <row r="25" spans="2:9" x14ac:dyDescent="0.2">
      <c r="C25" t="s">
        <v>229</v>
      </c>
    </row>
    <row r="26" spans="2:9" x14ac:dyDescent="0.2">
      <c r="C26" s="5" t="s">
        <v>2335</v>
      </c>
      <c r="D26" s="5" t="s">
        <v>2336</v>
      </c>
      <c r="E26" s="5" t="s">
        <v>987</v>
      </c>
    </row>
    <row r="27" spans="2:9" x14ac:dyDescent="0.2">
      <c r="C27" s="16">
        <v>29221</v>
      </c>
      <c r="D27" s="16">
        <v>32387</v>
      </c>
      <c r="E27" s="300">
        <f>(D27-C27)/365.25</f>
        <v>8.6680355920602334</v>
      </c>
      <c r="F27" s="8" t="s">
        <v>2337</v>
      </c>
    </row>
    <row r="28" spans="2:9" x14ac:dyDescent="0.2">
      <c r="C28" s="16">
        <v>29622</v>
      </c>
      <c r="D28" s="16">
        <v>32387</v>
      </c>
      <c r="E28" s="300">
        <f>(D28-C28)/365.25</f>
        <v>7.57015742642026</v>
      </c>
    </row>
    <row r="29" spans="2:9" x14ac:dyDescent="0.2">
      <c r="C29" s="16">
        <v>29148</v>
      </c>
      <c r="D29" s="16">
        <v>32387</v>
      </c>
      <c r="E29" s="300">
        <f>(D29-C29)/365.25</f>
        <v>8.8678986995208753</v>
      </c>
    </row>
    <row r="30" spans="2:9" x14ac:dyDescent="0.2">
      <c r="C30" s="16">
        <v>29646</v>
      </c>
      <c r="D30" s="16">
        <v>32387</v>
      </c>
      <c r="E30" s="300">
        <f>(D30-C30)/365.25</f>
        <v>7.5044490075290895</v>
      </c>
    </row>
    <row r="31" spans="2:9" x14ac:dyDescent="0.2">
      <c r="C31" s="252"/>
      <c r="D31" s="252"/>
      <c r="E31" s="364"/>
    </row>
    <row r="33" spans="2:6" x14ac:dyDescent="0.2">
      <c r="B33" t="s">
        <v>2338</v>
      </c>
    </row>
    <row r="34" spans="2:6" x14ac:dyDescent="0.2">
      <c r="B34" t="s">
        <v>2339</v>
      </c>
    </row>
    <row r="36" spans="2:6" x14ac:dyDescent="0.2">
      <c r="C36" t="s">
        <v>924</v>
      </c>
    </row>
    <row r="37" spans="2:6" x14ac:dyDescent="0.2">
      <c r="C37" s="5" t="s">
        <v>2335</v>
      </c>
      <c r="D37" s="5" t="s">
        <v>2336</v>
      </c>
      <c r="E37" s="5" t="s">
        <v>987</v>
      </c>
    </row>
    <row r="38" spans="2:6" x14ac:dyDescent="0.2">
      <c r="C38" s="16">
        <v>29221</v>
      </c>
      <c r="D38" s="16">
        <v>32387</v>
      </c>
      <c r="E38" s="173">
        <f>(D38-C38)/365.25</f>
        <v>8.6680355920602334</v>
      </c>
      <c r="F38" s="8" t="s">
        <v>2340</v>
      </c>
    </row>
    <row r="39" spans="2:6" x14ac:dyDescent="0.2">
      <c r="C39" s="16">
        <v>29622</v>
      </c>
      <c r="D39" s="16">
        <v>32387</v>
      </c>
      <c r="E39" s="173">
        <f>(D39-C39)/365.25</f>
        <v>7.57015742642026</v>
      </c>
    </row>
    <row r="40" spans="2:6" x14ac:dyDescent="0.2">
      <c r="C40" s="16">
        <v>29148</v>
      </c>
      <c r="D40" s="16">
        <v>32387</v>
      </c>
      <c r="E40" s="173">
        <f>(D40-C40)/365.25</f>
        <v>8.8678986995208753</v>
      </c>
    </row>
    <row r="41" spans="2:6" x14ac:dyDescent="0.2">
      <c r="C41" s="16">
        <v>29646</v>
      </c>
      <c r="D41" s="16">
        <v>32387</v>
      </c>
      <c r="E41" s="173">
        <f>(D41-C41)/365.25</f>
        <v>7.5044490075290895</v>
      </c>
    </row>
    <row r="44" spans="2:6" x14ac:dyDescent="0.2">
      <c r="B44" t="s">
        <v>2341</v>
      </c>
    </row>
    <row r="45" spans="2:6" x14ac:dyDescent="0.2">
      <c r="B45" t="s">
        <v>2342</v>
      </c>
    </row>
    <row r="47" spans="2:6" x14ac:dyDescent="0.2">
      <c r="C47" t="s">
        <v>2343</v>
      </c>
    </row>
    <row r="48" spans="2:6" x14ac:dyDescent="0.2">
      <c r="C48" s="5" t="s">
        <v>2335</v>
      </c>
      <c r="D48" s="5" t="s">
        <v>2336</v>
      </c>
      <c r="E48" s="5" t="s">
        <v>987</v>
      </c>
    </row>
    <row r="49" spans="2:9" x14ac:dyDescent="0.2">
      <c r="C49" s="16">
        <v>29221</v>
      </c>
      <c r="D49" s="16">
        <v>32387</v>
      </c>
      <c r="E49" s="300">
        <f>INT((D49-C49)/365.25)</f>
        <v>8</v>
      </c>
      <c r="F49" s="8" t="s">
        <v>2344</v>
      </c>
    </row>
    <row r="50" spans="2:9" x14ac:dyDescent="0.2">
      <c r="C50" s="16">
        <v>29622</v>
      </c>
      <c r="D50" s="16">
        <v>32387</v>
      </c>
      <c r="E50" s="300">
        <f>INT((D50-C50)/365.25)</f>
        <v>7</v>
      </c>
    </row>
    <row r="51" spans="2:9" x14ac:dyDescent="0.2">
      <c r="C51" s="16">
        <v>29148</v>
      </c>
      <c r="D51" s="16">
        <v>32387</v>
      </c>
      <c r="E51" s="300">
        <f>INT((D51-C51)/365.25)</f>
        <v>8</v>
      </c>
    </row>
    <row r="52" spans="2:9" x14ac:dyDescent="0.2">
      <c r="C52" s="16">
        <v>29646</v>
      </c>
      <c r="D52" s="16">
        <v>32387</v>
      </c>
      <c r="E52" s="300">
        <f>INT((D52-C52)/365.25)</f>
        <v>7</v>
      </c>
    </row>
    <row r="55" spans="2:9" ht="13.5" thickBot="1" x14ac:dyDescent="0.25">
      <c r="B55" s="9" t="s">
        <v>47</v>
      </c>
      <c r="C55" s="9"/>
      <c r="D55" s="9"/>
      <c r="E55" s="9"/>
      <c r="F55" s="9"/>
      <c r="G55" s="9"/>
      <c r="H55" s="9"/>
      <c r="I55" s="9"/>
    </row>
    <row r="56" spans="2:9" x14ac:dyDescent="0.2">
      <c r="B56" t="s">
        <v>2345</v>
      </c>
    </row>
    <row r="57" spans="2:9" x14ac:dyDescent="0.2">
      <c r="B57" t="s">
        <v>2346</v>
      </c>
    </row>
    <row r="58" spans="2:9" x14ac:dyDescent="0.2">
      <c r="B58" t="s">
        <v>2347</v>
      </c>
    </row>
    <row r="59" spans="2:9" x14ac:dyDescent="0.2">
      <c r="B59" t="s">
        <v>2348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61" r:id="rId4" name="Button 1">
              <controlPr defaultSize="0" print="0" autoFill="0" autoLine="0" autoPict="0">
                <anchor>
                  <from>
                    <xdr:col>7</xdr:col>
                    <xdr:colOff>542925</xdr:colOff>
                    <xdr:row>0</xdr:row>
                    <xdr:rowOff>38100</xdr:rowOff>
                  </from>
                  <to>
                    <xdr:col>8</xdr:col>
                    <xdr:colOff>409575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2" r:id="rId5" name="Button 2">
              <controlPr defaultSize="0" print="0" autoFill="0" autoLine="0" autoPict="0">
                <anchor>
                  <from>
                    <xdr:col>8</xdr:col>
                    <xdr:colOff>476250</xdr:colOff>
                    <xdr:row>0</xdr:row>
                    <xdr:rowOff>38100</xdr:rowOff>
                  </from>
                  <to>
                    <xdr:col>9</xdr:col>
                    <xdr:colOff>76200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3" r:id="rId6" name="Button 3">
              <controlPr defaultSize="0" print="0" autoFill="0" autoLine="0" autoPict="0">
                <anchor>
                  <from>
                    <xdr:col>7</xdr:col>
                    <xdr:colOff>266700</xdr:colOff>
                    <xdr:row>0</xdr:row>
                    <xdr:rowOff>38100</xdr:rowOff>
                  </from>
                  <to>
                    <xdr:col>7</xdr:col>
                    <xdr:colOff>476250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69">
    <pageSetUpPr fitToPage="1"/>
  </sheetPr>
  <dimension ref="A1:H40"/>
  <sheetViews>
    <sheetView showGridLines="0" workbookViewId="0">
      <pane ySplit="1" topLeftCell="A20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4" max="4" width="16.5703125" customWidth="1"/>
    <col min="5" max="5" width="14" customWidth="1"/>
    <col min="6" max="6" width="9.7109375" customWidth="1"/>
    <col min="8" max="8" width="11.140625" customWidth="1"/>
  </cols>
  <sheetData>
    <row r="1" spans="1:8" ht="18.75" thickBot="1" x14ac:dyDescent="0.3">
      <c r="A1" s="1" t="s">
        <v>2349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C3" s="5" t="s">
        <v>1895</v>
      </c>
      <c r="D3" s="5" t="s">
        <v>2350</v>
      </c>
    </row>
    <row r="4" spans="1:8" x14ac:dyDescent="0.2">
      <c r="C4" s="2">
        <v>1</v>
      </c>
      <c r="D4" s="365" t="b">
        <f>ISBLANK(C4)</f>
        <v>0</v>
      </c>
      <c r="E4" s="8" t="s">
        <v>2351</v>
      </c>
    </row>
    <row r="5" spans="1:8" x14ac:dyDescent="0.2">
      <c r="C5" s="2" t="s">
        <v>58</v>
      </c>
      <c r="D5" s="365" t="b">
        <f>ISBLANK(C5)</f>
        <v>0</v>
      </c>
      <c r="E5" s="8" t="s">
        <v>2352</v>
      </c>
    </row>
    <row r="6" spans="1:8" x14ac:dyDescent="0.2">
      <c r="C6" s="16"/>
      <c r="D6" s="365" t="b">
        <f>ISBLANK(C6)</f>
        <v>1</v>
      </c>
      <c r="E6" s="8" t="s">
        <v>2353</v>
      </c>
    </row>
    <row r="7" spans="1:8" x14ac:dyDescent="0.2">
      <c r="C7" s="16">
        <v>36154</v>
      </c>
      <c r="D7" s="365" t="b">
        <f>ISBLANK(C7)</f>
        <v>0</v>
      </c>
      <c r="E7" s="8" t="s">
        <v>2354</v>
      </c>
    </row>
    <row r="9" spans="1:8" ht="13.5" thickBot="1" x14ac:dyDescent="0.25">
      <c r="B9" s="9" t="s">
        <v>64</v>
      </c>
      <c r="C9" s="9"/>
      <c r="D9" s="9"/>
      <c r="E9" s="9"/>
      <c r="F9" s="9"/>
      <c r="G9" s="9"/>
      <c r="H9" s="9"/>
    </row>
    <row r="10" spans="1:8" x14ac:dyDescent="0.2">
      <c r="B10" t="s">
        <v>2355</v>
      </c>
    </row>
    <row r="11" spans="1:8" x14ac:dyDescent="0.2">
      <c r="B11" t="s">
        <v>2356</v>
      </c>
    </row>
    <row r="12" spans="1:8" x14ac:dyDescent="0.2">
      <c r="B12" t="s">
        <v>2357</v>
      </c>
    </row>
    <row r="13" spans="1:8" x14ac:dyDescent="0.2">
      <c r="B13" t="s">
        <v>2358</v>
      </c>
    </row>
    <row r="14" spans="1:8" x14ac:dyDescent="0.2">
      <c r="B14" t="s">
        <v>2359</v>
      </c>
    </row>
    <row r="16" spans="1:8" ht="13.5" thickBot="1" x14ac:dyDescent="0.25">
      <c r="B16" s="9" t="s">
        <v>43</v>
      </c>
      <c r="C16" s="9"/>
      <c r="D16" s="9"/>
      <c r="E16" s="9"/>
      <c r="F16" s="9"/>
      <c r="G16" s="9"/>
      <c r="H16" s="9"/>
    </row>
    <row r="17" spans="2:8" x14ac:dyDescent="0.2">
      <c r="B17" t="s">
        <v>2360</v>
      </c>
    </row>
    <row r="19" spans="2:8" ht="13.5" thickBot="1" x14ac:dyDescent="0.25">
      <c r="B19" s="9" t="s">
        <v>45</v>
      </c>
      <c r="C19" s="9"/>
      <c r="D19" s="9"/>
      <c r="E19" s="9"/>
      <c r="F19" s="9"/>
      <c r="G19" s="9"/>
      <c r="H19" s="9"/>
    </row>
    <row r="20" spans="2:8" x14ac:dyDescent="0.2">
      <c r="B20" t="s">
        <v>2361</v>
      </c>
    </row>
    <row r="22" spans="2:8" ht="13.5" thickBot="1" x14ac:dyDescent="0.25">
      <c r="B22" s="9" t="s">
        <v>85</v>
      </c>
      <c r="C22" s="9"/>
      <c r="D22" s="9"/>
      <c r="E22" s="9"/>
      <c r="F22" s="9"/>
      <c r="G22" s="9"/>
      <c r="H22" s="9"/>
    </row>
    <row r="23" spans="2:8" x14ac:dyDescent="0.2">
      <c r="B23" t="s">
        <v>2362</v>
      </c>
    </row>
    <row r="24" spans="2:8" x14ac:dyDescent="0.2">
      <c r="B24" t="s">
        <v>2363</v>
      </c>
    </row>
    <row r="25" spans="2:8" x14ac:dyDescent="0.2">
      <c r="B25" t="s">
        <v>2364</v>
      </c>
    </row>
    <row r="26" spans="2:8" x14ac:dyDescent="0.2">
      <c r="B26" t="s">
        <v>2365</v>
      </c>
    </row>
    <row r="27" spans="2:8" x14ac:dyDescent="0.2">
      <c r="B27" t="s">
        <v>2366</v>
      </c>
    </row>
    <row r="28" spans="2:8" x14ac:dyDescent="0.2">
      <c r="B28" t="s">
        <v>2367</v>
      </c>
    </row>
    <row r="30" spans="2:8" x14ac:dyDescent="0.2">
      <c r="B30" s="366" t="s">
        <v>2368</v>
      </c>
      <c r="C30" s="367"/>
      <c r="D30" s="368" t="s">
        <v>163</v>
      </c>
      <c r="E30" s="369"/>
      <c r="F30" s="368" t="s">
        <v>163</v>
      </c>
      <c r="G30" s="369"/>
      <c r="H30" s="369"/>
    </row>
    <row r="31" spans="2:8" x14ac:dyDescent="0.2">
      <c r="B31" s="370" t="s">
        <v>2369</v>
      </c>
      <c r="C31" s="370" t="s">
        <v>2370</v>
      </c>
      <c r="D31" s="371" t="s">
        <v>2371</v>
      </c>
      <c r="E31" s="371" t="s">
        <v>2372</v>
      </c>
      <c r="F31" s="371" t="s">
        <v>2373</v>
      </c>
      <c r="G31" s="371" t="s">
        <v>2374</v>
      </c>
      <c r="H31" s="371" t="s">
        <v>2375</v>
      </c>
    </row>
    <row r="32" spans="2:8" x14ac:dyDescent="0.2">
      <c r="B32" s="2" t="s">
        <v>2376</v>
      </c>
      <c r="C32" s="2" t="s">
        <v>2377</v>
      </c>
      <c r="D32" s="16">
        <v>35796</v>
      </c>
      <c r="E32" s="372">
        <v>100</v>
      </c>
      <c r="F32" s="16">
        <v>35797</v>
      </c>
      <c r="G32" s="3">
        <f>IF(ISBLANK(F32),0,E32)</f>
        <v>100</v>
      </c>
      <c r="H32" s="3">
        <f>IF(ISBLANK(F32),E32,0)</f>
        <v>0</v>
      </c>
    </row>
    <row r="33" spans="2:8" x14ac:dyDescent="0.2">
      <c r="B33" s="2" t="s">
        <v>2378</v>
      </c>
      <c r="C33" s="2" t="s">
        <v>2379</v>
      </c>
      <c r="D33" s="16">
        <v>35796</v>
      </c>
      <c r="E33" s="372">
        <v>200</v>
      </c>
      <c r="F33" s="16">
        <v>35802</v>
      </c>
      <c r="G33" s="3">
        <f>IF(ISBLANK(F33),0,E33)</f>
        <v>200</v>
      </c>
      <c r="H33" s="3">
        <f>IF(ISBLANK(F33),E33,0)</f>
        <v>0</v>
      </c>
    </row>
    <row r="34" spans="2:8" x14ac:dyDescent="0.2">
      <c r="B34" s="2" t="s">
        <v>2380</v>
      </c>
      <c r="C34" s="2" t="s">
        <v>2381</v>
      </c>
      <c r="D34" s="16">
        <v>35797</v>
      </c>
      <c r="E34" s="372">
        <v>50</v>
      </c>
      <c r="F34" s="16"/>
      <c r="G34" s="3">
        <f>IF(ISBLANK(F34),0,E34)</f>
        <v>0</v>
      </c>
      <c r="H34" s="3">
        <f>IF(ISBLANK(F34),E34,0)</f>
        <v>50</v>
      </c>
    </row>
    <row r="35" spans="2:8" x14ac:dyDescent="0.2">
      <c r="B35" s="2" t="s">
        <v>2382</v>
      </c>
      <c r="C35" s="2" t="s">
        <v>2383</v>
      </c>
      <c r="D35" s="16">
        <v>35798</v>
      </c>
      <c r="E35" s="372">
        <v>1000</v>
      </c>
      <c r="F35" s="16"/>
      <c r="G35" s="3">
        <f>IF(ISBLANK(F35),0,E35)</f>
        <v>0</v>
      </c>
      <c r="H35" s="3">
        <f>IF(ISBLANK(F35),E35,0)</f>
        <v>1000</v>
      </c>
    </row>
    <row r="36" spans="2:8" x14ac:dyDescent="0.2">
      <c r="B36" s="2" t="s">
        <v>2384</v>
      </c>
      <c r="C36" s="2" t="s">
        <v>2381</v>
      </c>
      <c r="D36" s="16">
        <v>35799</v>
      </c>
      <c r="E36" s="372">
        <v>250</v>
      </c>
      <c r="F36" s="16">
        <v>35801</v>
      </c>
      <c r="G36" s="3">
        <f>IF(ISBLANK(F36),0,E36)</f>
        <v>250</v>
      </c>
      <c r="H36" s="3">
        <f>IF(ISBLANK(F36),E36,0)</f>
        <v>0</v>
      </c>
    </row>
    <row r="37" spans="2:8" x14ac:dyDescent="0.2">
      <c r="G37" s="32" t="s">
        <v>2385</v>
      </c>
    </row>
    <row r="38" spans="2:8" x14ac:dyDescent="0.2">
      <c r="H38" s="32" t="s">
        <v>2386</v>
      </c>
    </row>
    <row r="40" spans="2:8" x14ac:dyDescent="0.2">
      <c r="F40" s="370" t="s">
        <v>2387</v>
      </c>
      <c r="G40" s="3">
        <f>SUM(G32:G36)</f>
        <v>550</v>
      </c>
      <c r="H40" s="3">
        <f>SUM(H32:H36)</f>
        <v>1050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3185" r:id="rId4" name="Button 1">
              <controlPr defaultSize="0" print="0" autoFill="0" autoLine="0" autoPict="0">
                <anchor>
                  <from>
                    <xdr:col>7</xdr:col>
                    <xdr:colOff>76200</xdr:colOff>
                    <xdr:row>0</xdr:row>
                    <xdr:rowOff>38100</xdr:rowOff>
                  </from>
                  <to>
                    <xdr:col>7</xdr:col>
                    <xdr:colOff>542925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6" r:id="rId5" name="Button 2">
              <controlPr defaultSize="0" print="0" autoFill="0" autoLine="0" autoPict="0">
                <anchor>
                  <from>
                    <xdr:col>7</xdr:col>
                    <xdr:colOff>609600</xdr:colOff>
                    <xdr:row>0</xdr:row>
                    <xdr:rowOff>38100</xdr:rowOff>
                  </from>
                  <to>
                    <xdr:col>8</xdr:col>
                    <xdr:colOff>66675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7" r:id="rId6" name="Button 3">
              <controlPr defaultSize="0" print="0" autoFill="0" autoLine="0" autoPict="0">
                <anchor>
                  <from>
                    <xdr:col>6</xdr:col>
                    <xdr:colOff>409575</xdr:colOff>
                    <xdr:row>0</xdr:row>
                    <xdr:rowOff>38100</xdr:rowOff>
                  </from>
                  <to>
                    <xdr:col>7</xdr:col>
                    <xdr:colOff>9525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70">
    <pageSetUpPr fitToPage="1"/>
  </sheetPr>
  <dimension ref="A1:I42"/>
  <sheetViews>
    <sheetView showGridLines="0" workbookViewId="0">
      <pane ySplit="1" topLeftCell="A26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4.5703125" customWidth="1"/>
    <col min="3" max="3" width="9.5703125" customWidth="1"/>
    <col min="4" max="5" width="10" customWidth="1"/>
    <col min="9" max="9" width="14.42578125" customWidth="1"/>
  </cols>
  <sheetData>
    <row r="1" spans="1:9" ht="18.75" thickBot="1" x14ac:dyDescent="0.3">
      <c r="A1" s="1" t="s">
        <v>2388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D3" s="5" t="s">
        <v>2389</v>
      </c>
      <c r="E3" s="5" t="s">
        <v>549</v>
      </c>
    </row>
    <row r="4" spans="1:9" x14ac:dyDescent="0.2">
      <c r="D4" s="2">
        <f>1+2</f>
        <v>3</v>
      </c>
      <c r="E4" s="69" t="b">
        <f t="shared" ref="E4:E10" si="0">ISERR(D4)</f>
        <v>0</v>
      </c>
      <c r="F4" s="8" t="s">
        <v>2390</v>
      </c>
    </row>
    <row r="5" spans="1:9" x14ac:dyDescent="0.2">
      <c r="D5" s="11" t="e">
        <f>10/0</f>
        <v>#DIV/0!</v>
      </c>
      <c r="E5" s="69" t="b">
        <f t="shared" si="0"/>
        <v>1</v>
      </c>
      <c r="F5" s="8" t="s">
        <v>2391</v>
      </c>
    </row>
    <row r="6" spans="1:9" x14ac:dyDescent="0.2">
      <c r="D6" s="11" t="e">
        <f>SUM(ALAN)</f>
        <v>#NAME?</v>
      </c>
      <c r="E6" s="69" t="b">
        <f t="shared" si="0"/>
        <v>1</v>
      </c>
      <c r="F6" s="8" t="s">
        <v>2392</v>
      </c>
    </row>
    <row r="7" spans="1:9" x14ac:dyDescent="0.2">
      <c r="D7" s="11" t="e">
        <f>#REF!+10</f>
        <v>#REF!</v>
      </c>
      <c r="E7" s="69" t="b">
        <f t="shared" si="0"/>
        <v>1</v>
      </c>
      <c r="F7" s="8" t="s">
        <v>2393</v>
      </c>
    </row>
    <row r="8" spans="1:9" x14ac:dyDescent="0.2">
      <c r="D8" s="11" t="e">
        <f>SUM("ALAN")</f>
        <v>#VALUE!</v>
      </c>
      <c r="E8" s="69" t="b">
        <f t="shared" si="0"/>
        <v>1</v>
      </c>
      <c r="F8" s="8" t="s">
        <v>2394</v>
      </c>
    </row>
    <row r="9" spans="1:9" x14ac:dyDescent="0.2">
      <c r="D9" s="11" t="e">
        <f>VLOOKUP(A1,A10:A15,A1)</f>
        <v>#N/A</v>
      </c>
      <c r="E9" s="69" t="b">
        <f t="shared" si="0"/>
        <v>0</v>
      </c>
      <c r="F9" s="8" t="s">
        <v>2395</v>
      </c>
    </row>
    <row r="10" spans="1:9" x14ac:dyDescent="0.2">
      <c r="D10" s="11" t="e">
        <v>#N/A</v>
      </c>
      <c r="E10" s="69" t="b">
        <f t="shared" si="0"/>
        <v>0</v>
      </c>
      <c r="F10" s="8" t="s">
        <v>2396</v>
      </c>
    </row>
    <row r="12" spans="1:9" ht="13.5" thickBot="1" x14ac:dyDescent="0.25">
      <c r="B12" s="9" t="s">
        <v>39</v>
      </c>
      <c r="C12" s="9"/>
      <c r="D12" s="9"/>
      <c r="E12" s="9"/>
      <c r="F12" s="9"/>
      <c r="G12" s="9"/>
      <c r="H12" s="9"/>
      <c r="I12" s="9"/>
    </row>
    <row r="13" spans="1:9" x14ac:dyDescent="0.2">
      <c r="B13" t="s">
        <v>2397</v>
      </c>
    </row>
    <row r="14" spans="1:9" x14ac:dyDescent="0.2">
      <c r="B14" t="s">
        <v>2398</v>
      </c>
    </row>
    <row r="15" spans="1:9" x14ac:dyDescent="0.2">
      <c r="B15" t="s">
        <v>2399</v>
      </c>
    </row>
    <row r="17" spans="2:9" ht="13.5" thickBot="1" x14ac:dyDescent="0.25">
      <c r="B17" s="9" t="s">
        <v>43</v>
      </c>
      <c r="C17" s="9"/>
      <c r="D17" s="9"/>
      <c r="E17" s="9"/>
      <c r="F17" s="9"/>
      <c r="G17" s="9"/>
      <c r="H17" s="9"/>
      <c r="I17" s="9"/>
    </row>
    <row r="18" spans="2:9" x14ac:dyDescent="0.2">
      <c r="B18" s="10" t="s">
        <v>2400</v>
      </c>
    </row>
    <row r="19" spans="2:9" x14ac:dyDescent="0.2">
      <c r="B19" t="s">
        <v>2401</v>
      </c>
    </row>
    <row r="21" spans="2:9" ht="13.5" thickBot="1" x14ac:dyDescent="0.25">
      <c r="B21" s="9" t="s">
        <v>45</v>
      </c>
      <c r="C21" s="9"/>
      <c r="D21" s="9"/>
      <c r="E21" s="9"/>
      <c r="F21" s="9"/>
      <c r="G21" s="9"/>
      <c r="H21" s="9"/>
      <c r="I21" s="9"/>
    </row>
    <row r="22" spans="2:9" x14ac:dyDescent="0.2">
      <c r="B22" t="s">
        <v>46</v>
      </c>
    </row>
    <row r="24" spans="2:9" ht="13.5" thickBot="1" x14ac:dyDescent="0.25">
      <c r="B24" s="9" t="s">
        <v>85</v>
      </c>
      <c r="C24" s="9"/>
      <c r="D24" s="9"/>
      <c r="E24" s="9"/>
      <c r="F24" s="9"/>
      <c r="G24" s="9"/>
      <c r="H24" s="9"/>
      <c r="I24" s="9"/>
    </row>
    <row r="25" spans="2:9" x14ac:dyDescent="0.2">
      <c r="B25" t="s">
        <v>2402</v>
      </c>
    </row>
    <row r="26" spans="2:9" x14ac:dyDescent="0.2">
      <c r="B26" t="s">
        <v>2403</v>
      </c>
    </row>
    <row r="28" spans="2:9" x14ac:dyDescent="0.2">
      <c r="B28" t="s">
        <v>2404</v>
      </c>
    </row>
    <row r="29" spans="2:9" x14ac:dyDescent="0.2">
      <c r="B29" t="s">
        <v>2405</v>
      </c>
    </row>
    <row r="31" spans="2:9" x14ac:dyDescent="0.2">
      <c r="C31" t="s">
        <v>229</v>
      </c>
    </row>
    <row r="32" spans="2:9" x14ac:dyDescent="0.2">
      <c r="C32" s="22"/>
      <c r="D32" s="23" t="s">
        <v>2406</v>
      </c>
      <c r="E32" s="18">
        <v>24</v>
      </c>
    </row>
    <row r="33" spans="2:6" x14ac:dyDescent="0.2">
      <c r="C33" s="22"/>
      <c r="D33" s="23" t="s">
        <v>2407</v>
      </c>
      <c r="E33" s="2">
        <v>0</v>
      </c>
    </row>
    <row r="34" spans="2:6" x14ac:dyDescent="0.2">
      <c r="C34" s="22"/>
      <c r="D34" s="23" t="s">
        <v>2408</v>
      </c>
      <c r="E34" s="3" t="e">
        <f>E32/E33</f>
        <v>#DIV/0!</v>
      </c>
      <c r="F34" s="8" t="s">
        <v>2409</v>
      </c>
    </row>
    <row r="37" spans="2:6" x14ac:dyDescent="0.2">
      <c r="B37" t="s">
        <v>2410</v>
      </c>
    </row>
    <row r="39" spans="2:6" x14ac:dyDescent="0.2">
      <c r="C39" t="s">
        <v>924</v>
      </c>
    </row>
    <row r="40" spans="2:6" x14ac:dyDescent="0.2">
      <c r="C40" s="22"/>
      <c r="D40" s="23" t="s">
        <v>2406</v>
      </c>
      <c r="E40" s="18">
        <v>24</v>
      </c>
    </row>
    <row r="41" spans="2:6" x14ac:dyDescent="0.2">
      <c r="C41" s="22"/>
      <c r="D41" s="23" t="s">
        <v>2407</v>
      </c>
      <c r="E41" s="2">
        <v>0</v>
      </c>
    </row>
    <row r="42" spans="2:6" x14ac:dyDescent="0.2">
      <c r="C42" s="22"/>
      <c r="D42" s="23" t="s">
        <v>2408</v>
      </c>
      <c r="E42" s="3" t="str">
        <f>IF(ISERR(E40/E41),"Try again!",E40/E41)</f>
        <v>Try again!</v>
      </c>
      <c r="F42" s="8" t="s">
        <v>2411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4209" r:id="rId4" name="Button 1">
              <controlPr defaultSize="0" print="0" autoFill="0" autoLine="0" autoPict="0">
                <anchor>
                  <from>
                    <xdr:col>8</xdr:col>
                    <xdr:colOff>66675</xdr:colOff>
                    <xdr:row>0</xdr:row>
                    <xdr:rowOff>38100</xdr:rowOff>
                  </from>
                  <to>
                    <xdr:col>8</xdr:col>
                    <xdr:colOff>533400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0" r:id="rId5" name="Button 2">
              <controlPr defaultSize="0" print="0" autoFill="0" autoLine="0" autoPict="0">
                <anchor>
                  <from>
                    <xdr:col>8</xdr:col>
                    <xdr:colOff>600075</xdr:colOff>
                    <xdr:row>0</xdr:row>
                    <xdr:rowOff>38100</xdr:rowOff>
                  </from>
                  <to>
                    <xdr:col>8</xdr:col>
                    <xdr:colOff>800100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1" r:id="rId6" name="Button 3">
              <controlPr defaultSize="0" print="0" autoFill="0" autoLine="0" autoPict="0">
                <anchor>
                  <from>
                    <xdr:col>7</xdr:col>
                    <xdr:colOff>400050</xdr:colOff>
                    <xdr:row>0</xdr:row>
                    <xdr:rowOff>38100</xdr:rowOff>
                  </from>
                  <to>
                    <xdr:col>8</xdr:col>
                    <xdr:colOff>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71">
    <pageSetUpPr fitToPage="1"/>
  </sheetPr>
  <dimension ref="A1:H42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10.7109375" customWidth="1"/>
    <col min="3" max="3" width="13.28515625" customWidth="1"/>
    <col min="4" max="4" width="15.85546875" customWidth="1"/>
    <col min="8" max="8" width="14" customWidth="1"/>
  </cols>
  <sheetData>
    <row r="1" spans="1:8" ht="18.75" thickBot="1" x14ac:dyDescent="0.3">
      <c r="A1" s="1" t="s">
        <v>2412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D3" s="5" t="s">
        <v>2389</v>
      </c>
      <c r="E3" s="5" t="s">
        <v>549</v>
      </c>
    </row>
    <row r="4" spans="1:8" x14ac:dyDescent="0.2">
      <c r="D4" s="3">
        <f>1+2</f>
        <v>3</v>
      </c>
      <c r="E4" s="69" t="b">
        <f>ISERROR(D4)</f>
        <v>0</v>
      </c>
      <c r="F4" s="8" t="s">
        <v>2413</v>
      </c>
    </row>
    <row r="5" spans="1:8" x14ac:dyDescent="0.2">
      <c r="D5" s="69" t="e">
        <f>10/0</f>
        <v>#DIV/0!</v>
      </c>
      <c r="E5" s="69" t="b">
        <f t="shared" ref="E5:E10" si="0">ISERROR(D5)</f>
        <v>1</v>
      </c>
      <c r="F5" s="8" t="s">
        <v>2414</v>
      </c>
    </row>
    <row r="6" spans="1:8" x14ac:dyDescent="0.2">
      <c r="D6" s="69" t="e">
        <f>SUM(ALAN)</f>
        <v>#NAME?</v>
      </c>
      <c r="E6" s="69" t="b">
        <f t="shared" si="0"/>
        <v>1</v>
      </c>
      <c r="F6" s="8" t="s">
        <v>2415</v>
      </c>
    </row>
    <row r="7" spans="1:8" x14ac:dyDescent="0.2">
      <c r="D7" s="69" t="e">
        <f>#REF!+10</f>
        <v>#REF!</v>
      </c>
      <c r="E7" s="69" t="b">
        <f t="shared" si="0"/>
        <v>1</v>
      </c>
      <c r="F7" s="8" t="s">
        <v>2416</v>
      </c>
    </row>
    <row r="8" spans="1:8" x14ac:dyDescent="0.2">
      <c r="D8" s="69" t="e">
        <f>SUM("ALAN")</f>
        <v>#VALUE!</v>
      </c>
      <c r="E8" s="69" t="b">
        <f t="shared" si="0"/>
        <v>1</v>
      </c>
      <c r="F8" s="8" t="s">
        <v>2417</v>
      </c>
    </row>
    <row r="9" spans="1:8" x14ac:dyDescent="0.2">
      <c r="D9" s="69" t="e">
        <f>VLOOKUP(A1,A10:A10,A1)</f>
        <v>#N/A</v>
      </c>
      <c r="E9" s="69" t="b">
        <f t="shared" si="0"/>
        <v>1</v>
      </c>
      <c r="F9" s="8" t="s">
        <v>2418</v>
      </c>
    </row>
    <row r="10" spans="1:8" x14ac:dyDescent="0.2">
      <c r="D10" s="69" t="e">
        <v>#N/A</v>
      </c>
      <c r="E10" s="69" t="b">
        <f t="shared" si="0"/>
        <v>1</v>
      </c>
      <c r="F10" s="8" t="s">
        <v>2419</v>
      </c>
    </row>
    <row r="12" spans="1:8" ht="13.5" thickBot="1" x14ac:dyDescent="0.25">
      <c r="B12" s="9" t="s">
        <v>39</v>
      </c>
      <c r="C12" s="9"/>
      <c r="D12" s="9"/>
      <c r="E12" s="9"/>
      <c r="F12" s="9"/>
      <c r="G12" s="9"/>
      <c r="H12" s="9"/>
    </row>
    <row r="13" spans="1:8" x14ac:dyDescent="0.2">
      <c r="B13" t="s">
        <v>2420</v>
      </c>
    </row>
    <row r="14" spans="1:8" x14ac:dyDescent="0.2">
      <c r="B14" t="s">
        <v>2421</v>
      </c>
    </row>
    <row r="16" spans="1:8" ht="13.5" thickBot="1" x14ac:dyDescent="0.25">
      <c r="B16" s="9" t="s">
        <v>43</v>
      </c>
      <c r="C16" s="9"/>
      <c r="D16" s="9"/>
      <c r="E16" s="9"/>
      <c r="F16" s="9"/>
      <c r="G16" s="9"/>
      <c r="H16" s="9"/>
    </row>
    <row r="17" spans="2:8" x14ac:dyDescent="0.2">
      <c r="B17" s="10" t="s">
        <v>2422</v>
      </c>
    </row>
    <row r="18" spans="2:8" x14ac:dyDescent="0.2">
      <c r="B18" t="s">
        <v>2423</v>
      </c>
    </row>
    <row r="20" spans="2:8" ht="13.5" thickBot="1" x14ac:dyDescent="0.25">
      <c r="B20" s="9" t="s">
        <v>45</v>
      </c>
      <c r="C20" s="9"/>
      <c r="D20" s="9"/>
      <c r="E20" s="9"/>
      <c r="F20" s="9"/>
      <c r="G20" s="9"/>
      <c r="H20" s="9"/>
    </row>
    <row r="21" spans="2:8" x14ac:dyDescent="0.2">
      <c r="B21" t="s">
        <v>46</v>
      </c>
    </row>
    <row r="23" spans="2:8" ht="13.5" thickBot="1" x14ac:dyDescent="0.25">
      <c r="B23" s="9" t="s">
        <v>85</v>
      </c>
      <c r="C23" s="9"/>
      <c r="D23" s="9"/>
      <c r="E23" s="9"/>
      <c r="F23" s="9"/>
      <c r="G23" s="9"/>
      <c r="H23" s="9"/>
    </row>
    <row r="24" spans="2:8" x14ac:dyDescent="0.2">
      <c r="B24" t="s">
        <v>2424</v>
      </c>
    </row>
    <row r="26" spans="2:8" x14ac:dyDescent="0.2">
      <c r="B26" t="s">
        <v>2425</v>
      </c>
    </row>
    <row r="27" spans="2:8" x14ac:dyDescent="0.2">
      <c r="B27" t="s">
        <v>2426</v>
      </c>
    </row>
    <row r="29" spans="2:8" x14ac:dyDescent="0.2">
      <c r="C29" t="s">
        <v>229</v>
      </c>
    </row>
    <row r="30" spans="2:8" x14ac:dyDescent="0.2">
      <c r="C30" s="57" t="s">
        <v>2427</v>
      </c>
      <c r="D30" s="11" t="s">
        <v>2428</v>
      </c>
    </row>
    <row r="31" spans="2:8" x14ac:dyDescent="0.2">
      <c r="C31" s="57" t="s">
        <v>2429</v>
      </c>
      <c r="D31" s="147">
        <v>35800</v>
      </c>
    </row>
    <row r="32" spans="2:8" x14ac:dyDescent="0.2">
      <c r="C32" s="57" t="s">
        <v>2430</v>
      </c>
      <c r="D32" s="248" t="e">
        <f>D31-D30</f>
        <v>#VALUE!</v>
      </c>
      <c r="E32" s="8" t="s">
        <v>2431</v>
      </c>
    </row>
    <row r="35" spans="2:4" x14ac:dyDescent="0.2">
      <c r="B35" t="s">
        <v>2432</v>
      </c>
    </row>
    <row r="36" spans="2:4" x14ac:dyDescent="0.2">
      <c r="B36" t="s">
        <v>2433</v>
      </c>
    </row>
    <row r="38" spans="2:4" x14ac:dyDescent="0.2">
      <c r="C38" t="s">
        <v>924</v>
      </c>
    </row>
    <row r="39" spans="2:4" x14ac:dyDescent="0.2">
      <c r="C39" s="57" t="s">
        <v>2427</v>
      </c>
      <c r="D39" s="11" t="s">
        <v>2428</v>
      </c>
    </row>
    <row r="40" spans="2:4" x14ac:dyDescent="0.2">
      <c r="C40" s="57" t="s">
        <v>2429</v>
      </c>
      <c r="D40" s="147">
        <v>35800</v>
      </c>
    </row>
    <row r="41" spans="2:4" x14ac:dyDescent="0.2">
      <c r="C41" s="57" t="s">
        <v>2430</v>
      </c>
      <c r="D41" s="248" t="str">
        <f>IF(ISERROR(D40-D39),"Error in data entry",D40-D39)</f>
        <v>Error in data entry</v>
      </c>
    </row>
    <row r="42" spans="2:4" x14ac:dyDescent="0.2">
      <c r="D42" s="8" t="s">
        <v>2434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5233" r:id="rId4" name="Button 1">
              <controlPr defaultSize="0" print="0" autoFill="0" autoLine="0" autoPict="0">
                <anchor>
                  <from>
                    <xdr:col>7</xdr:col>
                    <xdr:colOff>95250</xdr:colOff>
                    <xdr:row>0</xdr:row>
                    <xdr:rowOff>38100</xdr:rowOff>
                  </from>
                  <to>
                    <xdr:col>7</xdr:col>
                    <xdr:colOff>561975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4" r:id="rId5" name="Button 2">
              <controlPr defaultSize="0" print="0" autoFill="0" autoLine="0" autoPict="0">
                <anchor>
                  <from>
                    <xdr:col>7</xdr:col>
                    <xdr:colOff>628650</xdr:colOff>
                    <xdr:row>0</xdr:row>
                    <xdr:rowOff>38100</xdr:rowOff>
                  </from>
                  <to>
                    <xdr:col>7</xdr:col>
                    <xdr:colOff>828675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5" r:id="rId6" name="Button 3">
              <controlPr defaultSize="0" print="0" autoFill="0" autoLine="0" autoPict="0">
                <anchor>
                  <from>
                    <xdr:col>6</xdr:col>
                    <xdr:colOff>438150</xdr:colOff>
                    <xdr:row>0</xdr:row>
                    <xdr:rowOff>38100</xdr:rowOff>
                  </from>
                  <to>
                    <xdr:col>7</xdr:col>
                    <xdr:colOff>28575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72">
    <pageSetUpPr fitToPage="1"/>
  </sheetPr>
  <dimension ref="A1:H26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1.28515625" customWidth="1"/>
    <col min="4" max="4" width="11.7109375" customWidth="1"/>
    <col min="5" max="5" width="14" customWidth="1"/>
  </cols>
  <sheetData>
    <row r="1" spans="1:8" ht="18.75" thickBot="1" x14ac:dyDescent="0.3">
      <c r="A1" s="1" t="s">
        <v>2435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C3" s="5" t="s">
        <v>467</v>
      </c>
      <c r="D3" s="5" t="s">
        <v>2436</v>
      </c>
    </row>
    <row r="4" spans="1:8" x14ac:dyDescent="0.2">
      <c r="C4" s="2">
        <v>1</v>
      </c>
      <c r="D4" s="3" t="b">
        <f t="shared" ref="D4:D12" si="0">ISEVEN(C4)</f>
        <v>0</v>
      </c>
      <c r="E4" s="26" t="s">
        <v>2437</v>
      </c>
    </row>
    <row r="5" spans="1:8" x14ac:dyDescent="0.2">
      <c r="C5" s="2">
        <v>2</v>
      </c>
      <c r="D5" s="3" t="b">
        <f t="shared" si="0"/>
        <v>1</v>
      </c>
      <c r="E5" s="26" t="s">
        <v>2438</v>
      </c>
    </row>
    <row r="6" spans="1:8" x14ac:dyDescent="0.2">
      <c r="C6" s="2">
        <v>2.5</v>
      </c>
      <c r="D6" s="3" t="b">
        <f t="shared" si="0"/>
        <v>1</v>
      </c>
      <c r="E6" s="26" t="s">
        <v>2439</v>
      </c>
    </row>
    <row r="7" spans="1:8" x14ac:dyDescent="0.2">
      <c r="C7" s="2">
        <v>2.6</v>
      </c>
      <c r="D7" s="3" t="b">
        <f t="shared" si="0"/>
        <v>1</v>
      </c>
      <c r="E7" s="26" t="s">
        <v>2440</v>
      </c>
    </row>
    <row r="8" spans="1:8" x14ac:dyDescent="0.2">
      <c r="C8" s="2">
        <v>3.5</v>
      </c>
      <c r="D8" s="3" t="b">
        <f t="shared" si="0"/>
        <v>0</v>
      </c>
      <c r="E8" s="26" t="s">
        <v>2441</v>
      </c>
    </row>
    <row r="9" spans="1:8" x14ac:dyDescent="0.2">
      <c r="C9" s="2">
        <v>3.6</v>
      </c>
      <c r="D9" s="3" t="b">
        <f t="shared" si="0"/>
        <v>0</v>
      </c>
      <c r="E9" s="26" t="s">
        <v>2442</v>
      </c>
    </row>
    <row r="10" spans="1:8" x14ac:dyDescent="0.2">
      <c r="C10" s="2" t="s">
        <v>58</v>
      </c>
      <c r="D10" s="3" t="e">
        <f t="shared" si="0"/>
        <v>#VALUE!</v>
      </c>
      <c r="E10" s="26" t="s">
        <v>2443</v>
      </c>
    </row>
    <row r="11" spans="1:8" x14ac:dyDescent="0.2">
      <c r="C11" s="16">
        <v>35827</v>
      </c>
      <c r="D11" s="3" t="b">
        <f t="shared" si="0"/>
        <v>0</v>
      </c>
      <c r="E11" s="26" t="s">
        <v>2444</v>
      </c>
    </row>
    <row r="12" spans="1:8" x14ac:dyDescent="0.2">
      <c r="C12" s="16">
        <v>35096</v>
      </c>
      <c r="D12" s="3" t="b">
        <f t="shared" si="0"/>
        <v>1</v>
      </c>
      <c r="E12" s="26" t="s">
        <v>2445</v>
      </c>
    </row>
    <row r="15" spans="1:8" ht="13.5" thickBot="1" x14ac:dyDescent="0.25">
      <c r="B15" s="9" t="s">
        <v>39</v>
      </c>
      <c r="C15" s="9"/>
      <c r="D15" s="9"/>
      <c r="E15" s="9"/>
      <c r="F15" s="9"/>
      <c r="G15" s="9"/>
      <c r="H15" s="9"/>
    </row>
    <row r="16" spans="1:8" x14ac:dyDescent="0.2">
      <c r="B16" t="s">
        <v>2446</v>
      </c>
    </row>
    <row r="17" spans="2:8" x14ac:dyDescent="0.2">
      <c r="B17" t="s">
        <v>2447</v>
      </c>
    </row>
    <row r="18" spans="2:8" x14ac:dyDescent="0.2">
      <c r="B18" t="s">
        <v>2448</v>
      </c>
    </row>
    <row r="19" spans="2:8" x14ac:dyDescent="0.2">
      <c r="B19" t="s">
        <v>2449</v>
      </c>
    </row>
    <row r="20" spans="2:8" x14ac:dyDescent="0.2">
      <c r="B20" t="s">
        <v>2450</v>
      </c>
    </row>
    <row r="22" spans="2:8" ht="13.5" thickBot="1" x14ac:dyDescent="0.25">
      <c r="B22" s="9" t="s">
        <v>43</v>
      </c>
      <c r="C22" s="9"/>
      <c r="D22" s="9"/>
      <c r="E22" s="9"/>
      <c r="F22" s="9"/>
      <c r="G22" s="9"/>
      <c r="H22" s="9"/>
    </row>
    <row r="23" spans="2:8" x14ac:dyDescent="0.2">
      <c r="B23" t="s">
        <v>2451</v>
      </c>
    </row>
    <row r="25" spans="2:8" ht="13.5" thickBot="1" x14ac:dyDescent="0.25">
      <c r="B25" s="9" t="s">
        <v>45</v>
      </c>
      <c r="C25" s="9"/>
      <c r="D25" s="9"/>
      <c r="E25" s="9"/>
      <c r="F25" s="9"/>
      <c r="G25" s="9"/>
      <c r="H25" s="9"/>
    </row>
    <row r="26" spans="2:8" x14ac:dyDescent="0.2">
      <c r="B26" t="s">
        <v>1190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6257" r:id="rId4" name="Button 1">
              <controlPr defaultSize="0" print="0" autoFill="0" autoLine="0" autoPict="0">
                <anchor>
                  <from>
                    <xdr:col>7</xdr:col>
                    <xdr:colOff>295275</xdr:colOff>
                    <xdr:row>0</xdr:row>
                    <xdr:rowOff>38100</xdr:rowOff>
                  </from>
                  <to>
                    <xdr:col>8</xdr:col>
                    <xdr:colOff>171450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8" r:id="rId5" name="Button 2">
              <controlPr defaultSize="0" print="0" autoFill="0" autoLine="0" autoPict="0">
                <anchor>
                  <from>
                    <xdr:col>8</xdr:col>
                    <xdr:colOff>238125</xdr:colOff>
                    <xdr:row>0</xdr:row>
                    <xdr:rowOff>38100</xdr:rowOff>
                  </from>
                  <to>
                    <xdr:col>8</xdr:col>
                    <xdr:colOff>447675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9" r:id="rId6" name="Button 3">
              <controlPr defaultSize="0" print="0" autoFill="0" autoLine="0" autoPict="0">
                <anchor>
                  <from>
                    <xdr:col>7</xdr:col>
                    <xdr:colOff>19050</xdr:colOff>
                    <xdr:row>0</xdr:row>
                    <xdr:rowOff>38100</xdr:rowOff>
                  </from>
                  <to>
                    <xdr:col>7</xdr:col>
                    <xdr:colOff>228600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73">
    <pageSetUpPr fitToPage="1"/>
  </sheetPr>
  <dimension ref="A1:J22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4" max="4" width="10.85546875" customWidth="1"/>
    <col min="10" max="10" width="6.85546875" customWidth="1"/>
  </cols>
  <sheetData>
    <row r="1" spans="1:10" ht="18.75" thickBot="1" x14ac:dyDescent="0.3">
      <c r="A1" s="1" t="s">
        <v>2452</v>
      </c>
      <c r="B1" s="1"/>
      <c r="C1" s="1"/>
      <c r="D1" s="1"/>
      <c r="E1" s="1"/>
      <c r="F1" s="1"/>
      <c r="G1" s="1"/>
      <c r="H1" s="1"/>
      <c r="I1" s="1"/>
    </row>
    <row r="2" spans="1:10" ht="13.5" thickTop="1" x14ac:dyDescent="0.2"/>
    <row r="3" spans="1:10" x14ac:dyDescent="0.2">
      <c r="D3" s="5" t="s">
        <v>548</v>
      </c>
      <c r="E3" s="5" t="s">
        <v>549</v>
      </c>
    </row>
    <row r="4" spans="1:10" x14ac:dyDescent="0.2">
      <c r="D4" s="2" t="b">
        <f>50&gt;100</f>
        <v>0</v>
      </c>
      <c r="E4" s="3" t="b">
        <f t="shared" ref="E4:E10" si="0">ISLOGICAL(D4)</f>
        <v>1</v>
      </c>
      <c r="F4" s="8" t="s">
        <v>2453</v>
      </c>
    </row>
    <row r="5" spans="1:10" x14ac:dyDescent="0.2">
      <c r="D5" s="2" t="b">
        <f>50&lt;100</f>
        <v>1</v>
      </c>
      <c r="E5" s="3" t="b">
        <f t="shared" si="0"/>
        <v>1</v>
      </c>
      <c r="F5" s="8" t="s">
        <v>2454</v>
      </c>
    </row>
    <row r="6" spans="1:10" x14ac:dyDescent="0.2">
      <c r="D6" s="2"/>
      <c r="E6" s="3" t="b">
        <f t="shared" si="0"/>
        <v>0</v>
      </c>
      <c r="F6" s="8" t="s">
        <v>2455</v>
      </c>
    </row>
    <row r="7" spans="1:10" x14ac:dyDescent="0.2">
      <c r="D7" s="2">
        <v>20</v>
      </c>
      <c r="E7" s="3" t="b">
        <f t="shared" si="0"/>
        <v>0</v>
      </c>
      <c r="F7" s="8" t="s">
        <v>2456</v>
      </c>
    </row>
    <row r="8" spans="1:10" x14ac:dyDescent="0.2">
      <c r="D8" s="16">
        <v>35796</v>
      </c>
      <c r="E8" s="3" t="b">
        <f t="shared" si="0"/>
        <v>0</v>
      </c>
      <c r="F8" s="8" t="s">
        <v>2457</v>
      </c>
    </row>
    <row r="9" spans="1:10" x14ac:dyDescent="0.2">
      <c r="D9" s="2" t="s">
        <v>58</v>
      </c>
      <c r="E9" s="3" t="b">
        <f t="shared" si="0"/>
        <v>0</v>
      </c>
      <c r="F9" s="8" t="s">
        <v>2458</v>
      </c>
    </row>
    <row r="10" spans="1:10" x14ac:dyDescent="0.2">
      <c r="D10" s="2" t="e">
        <f>B4/0</f>
        <v>#DIV/0!</v>
      </c>
      <c r="E10" s="3" t="b">
        <f t="shared" si="0"/>
        <v>0</v>
      </c>
      <c r="F10" s="8" t="s">
        <v>2459</v>
      </c>
    </row>
    <row r="12" spans="1:10" ht="13.5" thickBot="1" x14ac:dyDescent="0.25">
      <c r="B12" s="9" t="s">
        <v>39</v>
      </c>
      <c r="C12" s="9"/>
      <c r="D12" s="9"/>
      <c r="E12" s="9"/>
      <c r="F12" s="9"/>
      <c r="G12" s="9"/>
      <c r="H12" s="9"/>
      <c r="I12" s="9"/>
      <c r="J12" s="9"/>
    </row>
    <row r="13" spans="1:10" x14ac:dyDescent="0.2">
      <c r="B13" t="s">
        <v>2460</v>
      </c>
    </row>
    <row r="14" spans="1:10" x14ac:dyDescent="0.2">
      <c r="B14" t="s">
        <v>2461</v>
      </c>
    </row>
    <row r="15" spans="1:10" x14ac:dyDescent="0.2">
      <c r="B15" t="s">
        <v>2462</v>
      </c>
    </row>
    <row r="16" spans="1:10" x14ac:dyDescent="0.2">
      <c r="B16" t="s">
        <v>2463</v>
      </c>
    </row>
    <row r="18" spans="2:10" ht="13.5" thickBot="1" x14ac:dyDescent="0.25">
      <c r="B18" s="9" t="s">
        <v>43</v>
      </c>
      <c r="C18" s="9"/>
      <c r="D18" s="9"/>
      <c r="E18" s="9"/>
      <c r="F18" s="9"/>
      <c r="G18" s="9"/>
      <c r="H18" s="9"/>
      <c r="I18" s="9"/>
      <c r="J18" s="9"/>
    </row>
    <row r="19" spans="2:10" x14ac:dyDescent="0.2">
      <c r="B19" s="10" t="s">
        <v>2464</v>
      </c>
    </row>
    <row r="21" spans="2:10" ht="13.5" thickBot="1" x14ac:dyDescent="0.25">
      <c r="B21" s="9" t="s">
        <v>45</v>
      </c>
      <c r="C21" s="9"/>
      <c r="D21" s="9"/>
      <c r="E21" s="9"/>
      <c r="F21" s="9"/>
      <c r="G21" s="9"/>
      <c r="H21" s="9"/>
      <c r="I21" s="9"/>
      <c r="J21" s="9"/>
    </row>
    <row r="22" spans="2:10" x14ac:dyDescent="0.2">
      <c r="B22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7281" r:id="rId4" name="Button 1">
              <controlPr defaultSize="0" print="0" autoFill="0" autoLine="0" autoPict="0">
                <anchor>
                  <from>
                    <xdr:col>8</xdr:col>
                    <xdr:colOff>257175</xdr:colOff>
                    <xdr:row>0</xdr:row>
                    <xdr:rowOff>38100</xdr:rowOff>
                  </from>
                  <to>
                    <xdr:col>9</xdr:col>
                    <xdr:colOff>123825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2" r:id="rId5" name="Button 2">
              <controlPr defaultSize="0" print="0" autoFill="0" autoLine="0" autoPict="0">
                <anchor>
                  <from>
                    <xdr:col>9</xdr:col>
                    <xdr:colOff>190500</xdr:colOff>
                    <xdr:row>0</xdr:row>
                    <xdr:rowOff>38100</xdr:rowOff>
                  </from>
                  <to>
                    <xdr:col>9</xdr:col>
                    <xdr:colOff>390525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3" r:id="rId6" name="Button 3">
              <controlPr defaultSize="0" print="0" autoFill="0" autoLine="0" autoPict="0">
                <anchor>
                  <from>
                    <xdr:col>7</xdr:col>
                    <xdr:colOff>590550</xdr:colOff>
                    <xdr:row>0</xdr:row>
                    <xdr:rowOff>38100</xdr:rowOff>
                  </from>
                  <to>
                    <xdr:col>8</xdr:col>
                    <xdr:colOff>190500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74">
    <pageSetUpPr fitToPage="1"/>
  </sheetPr>
  <dimension ref="A1:I22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4" width="10.140625" customWidth="1"/>
    <col min="5" max="5" width="12.140625" customWidth="1"/>
  </cols>
  <sheetData>
    <row r="1" spans="1:9" ht="18.75" thickBot="1" x14ac:dyDescent="0.3">
      <c r="A1" s="1" t="s">
        <v>2465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5" t="s">
        <v>467</v>
      </c>
      <c r="D3" s="5" t="s">
        <v>549</v>
      </c>
    </row>
    <row r="4" spans="1:9" x14ac:dyDescent="0.2">
      <c r="C4" s="2">
        <v>1</v>
      </c>
      <c r="D4" s="3" t="b">
        <f>ISNA(C4)</f>
        <v>0</v>
      </c>
      <c r="E4" s="26" t="s">
        <v>2466</v>
      </c>
    </row>
    <row r="5" spans="1:9" x14ac:dyDescent="0.2">
      <c r="C5" s="2" t="s">
        <v>58</v>
      </c>
      <c r="D5" s="3" t="b">
        <f>ISNA(C5)</f>
        <v>0</v>
      </c>
      <c r="E5" s="26" t="s">
        <v>2467</v>
      </c>
    </row>
    <row r="6" spans="1:9" x14ac:dyDescent="0.2">
      <c r="C6" s="2"/>
      <c r="D6" s="3" t="b">
        <f>ISNA(C6)</f>
        <v>0</v>
      </c>
      <c r="E6" s="26" t="s">
        <v>2468</v>
      </c>
    </row>
    <row r="7" spans="1:9" x14ac:dyDescent="0.2">
      <c r="C7" s="16">
        <v>35796</v>
      </c>
      <c r="D7" s="3" t="b">
        <f>ISNA(C7)</f>
        <v>0</v>
      </c>
      <c r="E7" s="26" t="s">
        <v>2469</v>
      </c>
    </row>
    <row r="8" spans="1:9" x14ac:dyDescent="0.2">
      <c r="C8" s="2" t="e">
        <f>VLOOKUP(A1,A7:A12,1)</f>
        <v>#N/A</v>
      </c>
      <c r="D8" s="3" t="b">
        <f>ISNA(C8)</f>
        <v>1</v>
      </c>
      <c r="E8" s="26" t="s">
        <v>2470</v>
      </c>
    </row>
    <row r="11" spans="1:9" ht="13.5" thickBot="1" x14ac:dyDescent="0.25">
      <c r="B11" s="9" t="s">
        <v>64</v>
      </c>
      <c r="C11" s="9"/>
      <c r="D11" s="9"/>
      <c r="E11" s="9"/>
      <c r="F11" s="9"/>
      <c r="G11" s="9"/>
      <c r="H11" s="9"/>
      <c r="I11" s="9"/>
    </row>
    <row r="12" spans="1:9" x14ac:dyDescent="0.2">
      <c r="B12" t="s">
        <v>2471</v>
      </c>
    </row>
    <row r="13" spans="1:9" x14ac:dyDescent="0.2">
      <c r="B13" t="s">
        <v>2472</v>
      </c>
    </row>
    <row r="14" spans="1:9" x14ac:dyDescent="0.2">
      <c r="B14" t="s">
        <v>2473</v>
      </c>
    </row>
    <row r="15" spans="1:9" x14ac:dyDescent="0.2">
      <c r="B15" t="s">
        <v>2474</v>
      </c>
    </row>
    <row r="16" spans="1:9" x14ac:dyDescent="0.2">
      <c r="B16" t="s">
        <v>2475</v>
      </c>
    </row>
    <row r="18" spans="2:9" ht="13.5" thickBot="1" x14ac:dyDescent="0.25">
      <c r="B18" s="9" t="s">
        <v>43</v>
      </c>
      <c r="C18" s="9"/>
      <c r="D18" s="9"/>
      <c r="E18" s="9"/>
      <c r="F18" s="9"/>
      <c r="G18" s="9"/>
      <c r="H18" s="9"/>
      <c r="I18" s="9"/>
    </row>
    <row r="19" spans="2:9" x14ac:dyDescent="0.2">
      <c r="B19" t="s">
        <v>2476</v>
      </c>
    </row>
    <row r="21" spans="2:9" ht="13.5" thickBot="1" x14ac:dyDescent="0.25">
      <c r="B21" s="9" t="s">
        <v>45</v>
      </c>
      <c r="C21" s="9"/>
      <c r="D21" s="9"/>
      <c r="E21" s="9"/>
      <c r="F21" s="9"/>
      <c r="G21" s="9"/>
      <c r="H21" s="9"/>
      <c r="I21" s="9"/>
    </row>
    <row r="22" spans="2:9" x14ac:dyDescent="0.2">
      <c r="B22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8305" r:id="rId4" name="Button 1">
              <controlPr defaultSize="0" print="0" autoFill="0" autoLine="0" autoPict="0">
                <anchor>
                  <from>
                    <xdr:col>8</xdr:col>
                    <xdr:colOff>9525</xdr:colOff>
                    <xdr:row>0</xdr:row>
                    <xdr:rowOff>38100</xdr:rowOff>
                  </from>
                  <to>
                    <xdr:col>8</xdr:col>
                    <xdr:colOff>485775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6" r:id="rId5" name="Button 2">
              <controlPr defaultSize="0" print="0" autoFill="0" autoLine="0" autoPict="0">
                <anchor>
                  <from>
                    <xdr:col>8</xdr:col>
                    <xdr:colOff>552450</xdr:colOff>
                    <xdr:row>0</xdr:row>
                    <xdr:rowOff>38100</xdr:rowOff>
                  </from>
                  <to>
                    <xdr:col>9</xdr:col>
                    <xdr:colOff>152400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7" r:id="rId6" name="Button 3">
              <controlPr defaultSize="0" print="0" autoFill="0" autoLine="0" autoPict="0">
                <anchor>
                  <from>
                    <xdr:col>7</xdr:col>
                    <xdr:colOff>342900</xdr:colOff>
                    <xdr:row>0</xdr:row>
                    <xdr:rowOff>38100</xdr:rowOff>
                  </from>
                  <to>
                    <xdr:col>7</xdr:col>
                    <xdr:colOff>552450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75">
    <pageSetUpPr fitToPage="1"/>
  </sheetPr>
  <dimension ref="A1:G41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85546875" customWidth="1"/>
    <col min="3" max="3" width="12.28515625" customWidth="1"/>
    <col min="4" max="4" width="14.7109375" customWidth="1"/>
    <col min="5" max="5" width="18" customWidth="1"/>
    <col min="6" max="6" width="15.7109375" customWidth="1"/>
  </cols>
  <sheetData>
    <row r="1" spans="1:7" ht="18.75" thickBot="1" x14ac:dyDescent="0.3">
      <c r="A1" s="1" t="s">
        <v>2477</v>
      </c>
      <c r="B1" s="1"/>
      <c r="C1" s="1"/>
      <c r="D1" s="1"/>
      <c r="E1" s="1"/>
      <c r="F1" s="1"/>
      <c r="G1" s="1"/>
    </row>
    <row r="2" spans="1:7" ht="13.5" thickTop="1" x14ac:dyDescent="0.2"/>
    <row r="3" spans="1:7" x14ac:dyDescent="0.2">
      <c r="C3" s="5" t="s">
        <v>2478</v>
      </c>
      <c r="D3" s="5" t="s">
        <v>2479</v>
      </c>
    </row>
    <row r="4" spans="1:7" x14ac:dyDescent="0.2">
      <c r="C4" s="2">
        <v>10</v>
      </c>
      <c r="D4" s="3" t="b">
        <f>ISNONTEXT(C4)</f>
        <v>1</v>
      </c>
      <c r="E4" s="26" t="s">
        <v>2480</v>
      </c>
    </row>
    <row r="5" spans="1:7" x14ac:dyDescent="0.2">
      <c r="C5" s="2" t="s">
        <v>58</v>
      </c>
      <c r="D5" s="3" t="b">
        <f>ISNONTEXT(C5)</f>
        <v>0</v>
      </c>
      <c r="E5" s="26" t="s">
        <v>2481</v>
      </c>
    </row>
    <row r="6" spans="1:7" x14ac:dyDescent="0.2">
      <c r="C6" s="2"/>
      <c r="D6" s="3" t="b">
        <f>ISNONTEXT(C6)</f>
        <v>1</v>
      </c>
      <c r="E6" s="26" t="s">
        <v>2482</v>
      </c>
    </row>
    <row r="7" spans="1:7" x14ac:dyDescent="0.2">
      <c r="C7" s="16">
        <v>35796</v>
      </c>
      <c r="D7" s="3" t="b">
        <f>ISNONTEXT(C7)</f>
        <v>1</v>
      </c>
      <c r="E7" s="26" t="s">
        <v>2483</v>
      </c>
    </row>
    <row r="8" spans="1:7" x14ac:dyDescent="0.2">
      <c r="C8" s="2" t="s">
        <v>2484</v>
      </c>
      <c r="D8" s="3" t="b">
        <f>ISNONTEXT(C8)</f>
        <v>0</v>
      </c>
      <c r="E8" s="26" t="s">
        <v>2485</v>
      </c>
    </row>
    <row r="10" spans="1:7" ht="13.5" thickBot="1" x14ac:dyDescent="0.25">
      <c r="B10" s="9" t="s">
        <v>64</v>
      </c>
      <c r="C10" s="9"/>
      <c r="D10" s="9"/>
      <c r="E10" s="9"/>
      <c r="F10" s="9"/>
      <c r="G10" s="9"/>
    </row>
    <row r="11" spans="1:7" x14ac:dyDescent="0.2">
      <c r="B11" t="s">
        <v>2486</v>
      </c>
    </row>
    <row r="12" spans="1:7" x14ac:dyDescent="0.2">
      <c r="B12" t="s">
        <v>2487</v>
      </c>
    </row>
    <row r="13" spans="1:7" x14ac:dyDescent="0.2">
      <c r="B13" t="s">
        <v>2488</v>
      </c>
    </row>
    <row r="14" spans="1:7" x14ac:dyDescent="0.2">
      <c r="B14" t="s">
        <v>2489</v>
      </c>
    </row>
    <row r="16" spans="1:7" ht="13.5" thickBot="1" x14ac:dyDescent="0.25">
      <c r="B16" s="9" t="s">
        <v>43</v>
      </c>
      <c r="C16" s="9"/>
      <c r="D16" s="9"/>
      <c r="E16" s="9"/>
      <c r="F16" s="9"/>
      <c r="G16" s="9"/>
    </row>
    <row r="17" spans="2:7" x14ac:dyDescent="0.2">
      <c r="B17" t="s">
        <v>2490</v>
      </c>
    </row>
    <row r="19" spans="2:7" ht="13.5" thickBot="1" x14ac:dyDescent="0.25">
      <c r="B19" s="9" t="s">
        <v>45</v>
      </c>
      <c r="C19" s="9"/>
      <c r="D19" s="9"/>
      <c r="E19" s="9"/>
      <c r="F19" s="9"/>
      <c r="G19" s="9"/>
    </row>
    <row r="20" spans="2:7" x14ac:dyDescent="0.2">
      <c r="B20" t="s">
        <v>2491</v>
      </c>
    </row>
    <row r="22" spans="2:7" ht="13.5" thickBot="1" x14ac:dyDescent="0.25">
      <c r="B22" s="9" t="s">
        <v>1590</v>
      </c>
      <c r="C22" s="9"/>
      <c r="D22" s="9"/>
      <c r="E22" s="9"/>
      <c r="F22" s="9"/>
      <c r="G22" s="9"/>
    </row>
    <row r="23" spans="2:7" x14ac:dyDescent="0.2">
      <c r="B23" t="s">
        <v>2492</v>
      </c>
    </row>
    <row r="24" spans="2:7" x14ac:dyDescent="0.2">
      <c r="B24" t="s">
        <v>2493</v>
      </c>
    </row>
    <row r="26" spans="2:7" x14ac:dyDescent="0.2">
      <c r="C26" t="s">
        <v>2494</v>
      </c>
    </row>
    <row r="27" spans="2:7" x14ac:dyDescent="0.2">
      <c r="C27" t="s">
        <v>2495</v>
      </c>
    </row>
    <row r="28" spans="2:7" ht="25.5" customHeight="1" x14ac:dyDescent="0.2">
      <c r="C28" s="270" t="s">
        <v>229</v>
      </c>
    </row>
    <row r="29" spans="2:7" x14ac:dyDescent="0.2">
      <c r="C29" s="373" t="s">
        <v>88</v>
      </c>
      <c r="D29" s="373" t="s">
        <v>2496</v>
      </c>
      <c r="E29" s="373" t="s">
        <v>2497</v>
      </c>
      <c r="F29" s="373" t="s">
        <v>2498</v>
      </c>
    </row>
    <row r="30" spans="2:7" x14ac:dyDescent="0.2">
      <c r="C30" s="323" t="s">
        <v>2499</v>
      </c>
      <c r="D30" s="323">
        <v>400</v>
      </c>
      <c r="E30" s="374">
        <v>1.5</v>
      </c>
      <c r="F30" s="324">
        <f>D30*E30</f>
        <v>600</v>
      </c>
    </row>
    <row r="31" spans="2:7" x14ac:dyDescent="0.2">
      <c r="C31" s="323" t="s">
        <v>2500</v>
      </c>
      <c r="D31" s="323">
        <v>800</v>
      </c>
      <c r="E31" s="374">
        <v>2</v>
      </c>
      <c r="F31" s="324">
        <f>D31*E31</f>
        <v>1600</v>
      </c>
    </row>
    <row r="32" spans="2:7" x14ac:dyDescent="0.2">
      <c r="C32" s="323" t="s">
        <v>2501</v>
      </c>
      <c r="D32" s="375" t="s">
        <v>2502</v>
      </c>
      <c r="E32" s="374">
        <v>1.5</v>
      </c>
      <c r="F32" s="324" t="e">
        <f>D32*E32</f>
        <v>#VALUE!</v>
      </c>
      <c r="G32" t="s">
        <v>2503</v>
      </c>
    </row>
    <row r="33" spans="3:6" ht="26.25" customHeight="1" x14ac:dyDescent="0.2"/>
    <row r="34" spans="3:6" x14ac:dyDescent="0.2">
      <c r="C34" t="s">
        <v>2504</v>
      </c>
    </row>
    <row r="35" spans="3:6" x14ac:dyDescent="0.2">
      <c r="C35" t="s">
        <v>2505</v>
      </c>
    </row>
    <row r="36" spans="3:6" ht="26.25" customHeight="1" x14ac:dyDescent="0.2">
      <c r="C36" s="270" t="s">
        <v>924</v>
      </c>
    </row>
    <row r="37" spans="3:6" x14ac:dyDescent="0.2">
      <c r="C37" s="373" t="s">
        <v>88</v>
      </c>
      <c r="D37" s="373" t="s">
        <v>2496</v>
      </c>
      <c r="E37" s="373" t="s">
        <v>2497</v>
      </c>
      <c r="F37" s="373" t="s">
        <v>2498</v>
      </c>
    </row>
    <row r="38" spans="3:6" x14ac:dyDescent="0.2">
      <c r="C38" s="323" t="s">
        <v>2499</v>
      </c>
      <c r="D38" s="323">
        <v>400</v>
      </c>
      <c r="E38" s="374">
        <v>1.5</v>
      </c>
      <c r="F38" s="324">
        <f>IF(ISNONTEXT(D38),D38*E38,"Retype the Price")</f>
        <v>600</v>
      </c>
    </row>
    <row r="39" spans="3:6" x14ac:dyDescent="0.2">
      <c r="C39" s="323" t="s">
        <v>2500</v>
      </c>
      <c r="D39" s="323">
        <v>800</v>
      </c>
      <c r="E39" s="374">
        <v>2</v>
      </c>
      <c r="F39" s="324">
        <f>IF(ISNONTEXT(D39),D39*E39,"Retype the Price")</f>
        <v>1600</v>
      </c>
    </row>
    <row r="40" spans="3:6" x14ac:dyDescent="0.2">
      <c r="C40" s="323" t="s">
        <v>2501</v>
      </c>
      <c r="D40" s="375" t="s">
        <v>2502</v>
      </c>
      <c r="E40" s="374">
        <v>1.5</v>
      </c>
      <c r="F40" s="324" t="str">
        <f>IF(ISNONTEXT(D40),D40*E40,"Retype the Price")</f>
        <v>Retype the Price</v>
      </c>
    </row>
    <row r="41" spans="3:6" x14ac:dyDescent="0.2">
      <c r="F41" s="178" t="s">
        <v>2506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9329" r:id="rId4" name="Button 1">
              <controlPr defaultSize="0" print="0" autoFill="0" autoLine="0" autoPict="0">
                <anchor>
                  <from>
                    <xdr:col>5</xdr:col>
                    <xdr:colOff>933450</xdr:colOff>
                    <xdr:row>0</xdr:row>
                    <xdr:rowOff>38100</xdr:rowOff>
                  </from>
                  <to>
                    <xdr:col>6</xdr:col>
                    <xdr:colOff>361950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0" r:id="rId5" name="Button 2">
              <controlPr defaultSize="0" print="0" autoFill="0" autoLine="0" autoPict="0">
                <anchor>
                  <from>
                    <xdr:col>6</xdr:col>
                    <xdr:colOff>428625</xdr:colOff>
                    <xdr:row>0</xdr:row>
                    <xdr:rowOff>38100</xdr:rowOff>
                  </from>
                  <to>
                    <xdr:col>7</xdr:col>
                    <xdr:colOff>19050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1" r:id="rId6" name="Button 3">
              <controlPr defaultSize="0" print="0" autoFill="0" autoLine="0" autoPict="0">
                <anchor>
                  <from>
                    <xdr:col>5</xdr:col>
                    <xdr:colOff>657225</xdr:colOff>
                    <xdr:row>0</xdr:row>
                    <xdr:rowOff>38100</xdr:rowOff>
                  </from>
                  <to>
                    <xdr:col>5</xdr:col>
                    <xdr:colOff>857250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76">
    <pageSetUpPr fitToPage="1"/>
  </sheetPr>
  <dimension ref="A1:J37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3.5703125" customWidth="1"/>
    <col min="10" max="10" width="7.7109375" customWidth="1"/>
  </cols>
  <sheetData>
    <row r="1" spans="1:10" ht="18.75" thickBot="1" x14ac:dyDescent="0.3">
      <c r="A1" s="1" t="s">
        <v>2507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x14ac:dyDescent="0.2">
      <c r="D3" s="5" t="s">
        <v>2508</v>
      </c>
      <c r="E3" s="5" t="s">
        <v>549</v>
      </c>
    </row>
    <row r="4" spans="1:10" x14ac:dyDescent="0.2">
      <c r="D4" s="2">
        <v>1</v>
      </c>
      <c r="E4" s="3" t="b">
        <f>ISNUMBER(D4)</f>
        <v>1</v>
      </c>
      <c r="F4" s="8" t="s">
        <v>2509</v>
      </c>
    </row>
    <row r="5" spans="1:10" x14ac:dyDescent="0.2">
      <c r="D5" s="16">
        <v>35796</v>
      </c>
      <c r="E5" s="3" t="b">
        <f>ISNUMBER(D5)</f>
        <v>1</v>
      </c>
      <c r="F5" s="8" t="s">
        <v>2510</v>
      </c>
    </row>
    <row r="6" spans="1:10" x14ac:dyDescent="0.2">
      <c r="D6" s="16"/>
      <c r="E6" s="3" t="b">
        <f>ISNUMBER(D6)</f>
        <v>0</v>
      </c>
      <c r="F6" s="8" t="s">
        <v>2511</v>
      </c>
    </row>
    <row r="7" spans="1:10" x14ac:dyDescent="0.2">
      <c r="D7" s="2" t="e">
        <f>1/0</f>
        <v>#DIV/0!</v>
      </c>
      <c r="E7" s="3" t="b">
        <f>ISNUMBER(D7)</f>
        <v>0</v>
      </c>
      <c r="F7" s="8" t="s">
        <v>2512</v>
      </c>
    </row>
    <row r="8" spans="1:10" x14ac:dyDescent="0.2">
      <c r="D8" s="2" t="s">
        <v>58</v>
      </c>
      <c r="E8" s="3" t="b">
        <f>ISNUMBER(D8)</f>
        <v>0</v>
      </c>
      <c r="F8" s="8" t="s">
        <v>2513</v>
      </c>
    </row>
    <row r="10" spans="1:10" ht="13.5" thickBot="1" x14ac:dyDescent="0.25">
      <c r="B10" s="9" t="s">
        <v>39</v>
      </c>
      <c r="C10" s="9"/>
      <c r="D10" s="9"/>
      <c r="E10" s="9"/>
      <c r="F10" s="9"/>
      <c r="G10" s="9"/>
      <c r="H10" s="9"/>
      <c r="I10" s="9"/>
      <c r="J10" s="9"/>
    </row>
    <row r="11" spans="1:10" x14ac:dyDescent="0.2">
      <c r="B11" t="s">
        <v>2514</v>
      </c>
    </row>
    <row r="12" spans="1:10" x14ac:dyDescent="0.2">
      <c r="B12" t="s">
        <v>2515</v>
      </c>
    </row>
    <row r="13" spans="1:10" x14ac:dyDescent="0.2">
      <c r="B13" t="s">
        <v>2516</v>
      </c>
    </row>
    <row r="15" spans="1:10" ht="13.5" thickBot="1" x14ac:dyDescent="0.25">
      <c r="B15" s="9" t="s">
        <v>43</v>
      </c>
      <c r="C15" s="9"/>
      <c r="D15" s="9"/>
      <c r="E15" s="9"/>
      <c r="F15" s="9"/>
      <c r="G15" s="9"/>
      <c r="H15" s="9"/>
      <c r="I15" s="9"/>
      <c r="J15" s="9"/>
    </row>
    <row r="16" spans="1:10" x14ac:dyDescent="0.2">
      <c r="B16" s="10" t="s">
        <v>2517</v>
      </c>
    </row>
    <row r="17" spans="2:10" x14ac:dyDescent="0.2">
      <c r="B17" t="s">
        <v>2518</v>
      </c>
    </row>
    <row r="19" spans="2:10" ht="13.5" thickBot="1" x14ac:dyDescent="0.25">
      <c r="B19" s="9" t="s">
        <v>45</v>
      </c>
      <c r="C19" s="9"/>
      <c r="D19" s="9"/>
      <c r="E19" s="9"/>
      <c r="F19" s="9"/>
      <c r="G19" s="9"/>
      <c r="H19" s="9"/>
      <c r="I19" s="9"/>
      <c r="J19" s="9"/>
    </row>
    <row r="20" spans="2:10" x14ac:dyDescent="0.2">
      <c r="B20" t="s">
        <v>46</v>
      </c>
    </row>
    <row r="22" spans="2:10" ht="13.5" thickBot="1" x14ac:dyDescent="0.25">
      <c r="B22" s="9" t="s">
        <v>85</v>
      </c>
      <c r="C22" s="9"/>
      <c r="D22" s="9"/>
      <c r="E22" s="9"/>
      <c r="F22" s="9"/>
      <c r="G22" s="9"/>
      <c r="H22" s="9"/>
      <c r="I22" s="9"/>
      <c r="J22" s="9"/>
    </row>
    <row r="23" spans="2:10" x14ac:dyDescent="0.2">
      <c r="B23" t="s">
        <v>2519</v>
      </c>
    </row>
    <row r="24" spans="2:10" x14ac:dyDescent="0.2">
      <c r="B24" t="s">
        <v>2520</v>
      </c>
    </row>
    <row r="25" spans="2:10" x14ac:dyDescent="0.2">
      <c r="B25" t="s">
        <v>2521</v>
      </c>
    </row>
    <row r="26" spans="2:10" x14ac:dyDescent="0.2">
      <c r="B26" t="s">
        <v>2522</v>
      </c>
    </row>
    <row r="28" spans="2:10" x14ac:dyDescent="0.2">
      <c r="C28" s="5" t="s">
        <v>2523</v>
      </c>
      <c r="D28" s="5" t="s">
        <v>769</v>
      </c>
      <c r="E28" s="5" t="s">
        <v>2524</v>
      </c>
    </row>
    <row r="29" spans="2:10" x14ac:dyDescent="0.2">
      <c r="C29" s="2">
        <v>1</v>
      </c>
      <c r="D29" s="2" t="s">
        <v>118</v>
      </c>
      <c r="E29" s="376">
        <v>10000</v>
      </c>
    </row>
    <row r="30" spans="2:10" x14ac:dyDescent="0.2">
      <c r="C30" s="2">
        <v>2</v>
      </c>
      <c r="D30" s="2" t="s">
        <v>300</v>
      </c>
      <c r="E30" s="376">
        <v>12000</v>
      </c>
    </row>
    <row r="31" spans="2:10" x14ac:dyDescent="0.2">
      <c r="C31" s="2">
        <v>3</v>
      </c>
      <c r="D31" s="2" t="s">
        <v>121</v>
      </c>
      <c r="E31" s="376">
        <v>8000</v>
      </c>
    </row>
    <row r="32" spans="2:10" x14ac:dyDescent="0.2">
      <c r="C32" s="2">
        <v>4</v>
      </c>
      <c r="D32" s="2" t="s">
        <v>120</v>
      </c>
      <c r="E32" s="376">
        <v>15000</v>
      </c>
    </row>
    <row r="33" spans="2:5" x14ac:dyDescent="0.2">
      <c r="C33" s="2">
        <v>5</v>
      </c>
      <c r="D33" s="2" t="s">
        <v>122</v>
      </c>
      <c r="E33" s="376">
        <v>12000</v>
      </c>
    </row>
    <row r="35" spans="2:5" x14ac:dyDescent="0.2">
      <c r="B35" s="22"/>
      <c r="C35" s="24"/>
      <c r="D35" s="23" t="s">
        <v>2525</v>
      </c>
      <c r="E35" s="2" t="s">
        <v>628</v>
      </c>
    </row>
    <row r="36" spans="2:5" x14ac:dyDescent="0.2">
      <c r="B36" s="22"/>
      <c r="C36" s="24"/>
      <c r="D36" s="23" t="s">
        <v>2526</v>
      </c>
      <c r="E36" s="345">
        <f>IF(ISNUMBER(E35),VLOOKUP(E35,C29:E33,3,FALSE),VLOOKUP(E35,D29:E33,2,FALSE))</f>
        <v>12000</v>
      </c>
    </row>
    <row r="37" spans="2:5" x14ac:dyDescent="0.2">
      <c r="B37" s="8" t="s">
        <v>2527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0353" r:id="rId4" name="Button 1">
              <controlPr defaultSize="0" print="0" autoFill="0" autoLine="0" autoPict="0">
                <anchor>
                  <from>
                    <xdr:col>8</xdr:col>
                    <xdr:colOff>333375</xdr:colOff>
                    <xdr:row>0</xdr:row>
                    <xdr:rowOff>38100</xdr:rowOff>
                  </from>
                  <to>
                    <xdr:col>9</xdr:col>
                    <xdr:colOff>200025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54" r:id="rId5" name="Button 2">
              <controlPr defaultSize="0" print="0" autoFill="0" autoLine="0" autoPict="0">
                <anchor>
                  <from>
                    <xdr:col>9</xdr:col>
                    <xdr:colOff>266700</xdr:colOff>
                    <xdr:row>0</xdr:row>
                    <xdr:rowOff>38100</xdr:rowOff>
                  </from>
                  <to>
                    <xdr:col>9</xdr:col>
                    <xdr:colOff>466725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55" r:id="rId6" name="Button 3">
              <controlPr defaultSize="0" print="0" autoFill="0" autoLine="0" autoPict="0">
                <anchor>
                  <from>
                    <xdr:col>8</xdr:col>
                    <xdr:colOff>57150</xdr:colOff>
                    <xdr:row>0</xdr:row>
                    <xdr:rowOff>38100</xdr:rowOff>
                  </from>
                  <to>
                    <xdr:col>8</xdr:col>
                    <xdr:colOff>266700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77">
    <pageSetUpPr fitToPage="1"/>
  </sheetPr>
  <dimension ref="A1:I26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1" customWidth="1"/>
    <col min="4" max="4" width="10.85546875" customWidth="1"/>
    <col min="5" max="5" width="12.85546875" customWidth="1"/>
    <col min="9" max="9" width="8" customWidth="1"/>
  </cols>
  <sheetData>
    <row r="1" spans="1:9" ht="18.75" thickBot="1" x14ac:dyDescent="0.3">
      <c r="A1" s="1" t="s">
        <v>2528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5" t="s">
        <v>467</v>
      </c>
      <c r="D3" s="5" t="s">
        <v>2529</v>
      </c>
    </row>
    <row r="4" spans="1:9" x14ac:dyDescent="0.2">
      <c r="C4" s="2">
        <v>1</v>
      </c>
      <c r="D4" s="3" t="b">
        <f t="shared" ref="D4:D12" si="0">ISODD(C4)</f>
        <v>1</v>
      </c>
      <c r="E4" s="26" t="s">
        <v>2530</v>
      </c>
    </row>
    <row r="5" spans="1:9" x14ac:dyDescent="0.2">
      <c r="C5" s="2">
        <v>2</v>
      </c>
      <c r="D5" s="3" t="b">
        <f t="shared" si="0"/>
        <v>0</v>
      </c>
      <c r="E5" s="26" t="s">
        <v>2531</v>
      </c>
    </row>
    <row r="6" spans="1:9" x14ac:dyDescent="0.2">
      <c r="C6" s="2">
        <v>2.5</v>
      </c>
      <c r="D6" s="3" t="b">
        <f t="shared" si="0"/>
        <v>0</v>
      </c>
      <c r="E6" s="26" t="s">
        <v>2532</v>
      </c>
    </row>
    <row r="7" spans="1:9" x14ac:dyDescent="0.2">
      <c r="C7" s="2">
        <v>2.6</v>
      </c>
      <c r="D7" s="3" t="b">
        <f t="shared" si="0"/>
        <v>0</v>
      </c>
      <c r="E7" s="26" t="s">
        <v>2533</v>
      </c>
    </row>
    <row r="8" spans="1:9" x14ac:dyDescent="0.2">
      <c r="C8" s="2">
        <v>3.5</v>
      </c>
      <c r="D8" s="3" t="b">
        <f t="shared" si="0"/>
        <v>1</v>
      </c>
      <c r="E8" s="26" t="s">
        <v>2534</v>
      </c>
    </row>
    <row r="9" spans="1:9" x14ac:dyDescent="0.2">
      <c r="C9" s="2">
        <v>3.6</v>
      </c>
      <c r="D9" s="3" t="b">
        <f t="shared" si="0"/>
        <v>1</v>
      </c>
      <c r="E9" s="26" t="s">
        <v>2535</v>
      </c>
    </row>
    <row r="10" spans="1:9" x14ac:dyDescent="0.2">
      <c r="C10" s="2" t="s">
        <v>58</v>
      </c>
      <c r="D10" s="3" t="e">
        <f t="shared" si="0"/>
        <v>#VALUE!</v>
      </c>
      <c r="E10" s="26" t="s">
        <v>2536</v>
      </c>
    </row>
    <row r="11" spans="1:9" x14ac:dyDescent="0.2">
      <c r="C11" s="16">
        <v>35827</v>
      </c>
      <c r="D11" s="3" t="b">
        <f t="shared" si="0"/>
        <v>1</v>
      </c>
      <c r="E11" s="26" t="s">
        <v>2537</v>
      </c>
    </row>
    <row r="12" spans="1:9" x14ac:dyDescent="0.2">
      <c r="C12" s="16">
        <v>35096</v>
      </c>
      <c r="D12" s="3" t="b">
        <f t="shared" si="0"/>
        <v>0</v>
      </c>
      <c r="E12" s="26" t="s">
        <v>2538</v>
      </c>
    </row>
    <row r="15" spans="1:9" ht="13.5" thickBot="1" x14ac:dyDescent="0.25">
      <c r="B15" s="9" t="s">
        <v>39</v>
      </c>
      <c r="C15" s="9"/>
      <c r="D15" s="9"/>
      <c r="E15" s="9"/>
      <c r="F15" s="9"/>
      <c r="G15" s="9"/>
      <c r="H15" s="9"/>
      <c r="I15" s="9"/>
    </row>
    <row r="16" spans="1:9" x14ac:dyDescent="0.2">
      <c r="B16" t="s">
        <v>2539</v>
      </c>
    </row>
    <row r="17" spans="2:9" x14ac:dyDescent="0.2">
      <c r="B17" t="s">
        <v>2540</v>
      </c>
    </row>
    <row r="18" spans="2:9" x14ac:dyDescent="0.2">
      <c r="B18" t="s">
        <v>2448</v>
      </c>
    </row>
    <row r="19" spans="2:9" x14ac:dyDescent="0.2">
      <c r="B19" t="s">
        <v>2541</v>
      </c>
    </row>
    <row r="20" spans="2:9" x14ac:dyDescent="0.2">
      <c r="B20" t="s">
        <v>2450</v>
      </c>
    </row>
    <row r="22" spans="2:9" ht="13.5" thickBot="1" x14ac:dyDescent="0.25">
      <c r="B22" s="9" t="s">
        <v>43</v>
      </c>
      <c r="C22" s="9"/>
      <c r="D22" s="9"/>
      <c r="E22" s="9"/>
      <c r="F22" s="9"/>
      <c r="G22" s="9"/>
      <c r="H22" s="9"/>
      <c r="I22" s="9"/>
    </row>
    <row r="23" spans="2:9" x14ac:dyDescent="0.2">
      <c r="B23" t="s">
        <v>2542</v>
      </c>
    </row>
    <row r="25" spans="2:9" ht="13.5" thickBot="1" x14ac:dyDescent="0.25">
      <c r="B25" s="9" t="s">
        <v>45</v>
      </c>
      <c r="C25" s="9"/>
      <c r="D25" s="9"/>
      <c r="E25" s="9"/>
      <c r="F25" s="9"/>
      <c r="G25" s="9"/>
      <c r="H25" s="9"/>
      <c r="I25" s="9"/>
    </row>
    <row r="26" spans="2:9" x14ac:dyDescent="0.2">
      <c r="B26" t="s">
        <v>1190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1377" r:id="rId4" name="Button 1">
              <controlPr defaultSize="0" print="0" autoFill="0" autoLine="0" autoPict="0">
                <anchor>
                  <from>
                    <xdr:col>7</xdr:col>
                    <xdr:colOff>447675</xdr:colOff>
                    <xdr:row>0</xdr:row>
                    <xdr:rowOff>38100</xdr:rowOff>
                  </from>
                  <to>
                    <xdr:col>8</xdr:col>
                    <xdr:colOff>314325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78" r:id="rId5" name="Button 2">
              <controlPr defaultSize="0" print="0" autoFill="0" autoLine="0" autoPict="0">
                <anchor>
                  <from>
                    <xdr:col>8</xdr:col>
                    <xdr:colOff>381000</xdr:colOff>
                    <xdr:row>0</xdr:row>
                    <xdr:rowOff>38100</xdr:rowOff>
                  </from>
                  <to>
                    <xdr:col>9</xdr:col>
                    <xdr:colOff>47625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79" r:id="rId6" name="Button 3">
              <controlPr defaultSize="0" print="0" autoFill="0" autoLine="0" autoPict="0">
                <anchor>
                  <from>
                    <xdr:col>7</xdr:col>
                    <xdr:colOff>171450</xdr:colOff>
                    <xdr:row>0</xdr:row>
                    <xdr:rowOff>38100</xdr:rowOff>
                  </from>
                  <to>
                    <xdr:col>7</xdr:col>
                    <xdr:colOff>381000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78">
    <pageSetUpPr fitToPage="1"/>
  </sheetPr>
  <dimension ref="A1:I21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3.140625" customWidth="1"/>
    <col min="4" max="4" width="13.28515625" customWidth="1"/>
    <col min="5" max="5" width="15" customWidth="1"/>
    <col min="9" max="9" width="7.5703125" customWidth="1"/>
  </cols>
  <sheetData>
    <row r="1" spans="1:9" ht="18.75" thickBot="1" x14ac:dyDescent="0.3">
      <c r="A1" s="1" t="s">
        <v>2543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D3" s="69" t="b">
        <f>ISREF(A1)</f>
        <v>1</v>
      </c>
      <c r="E3" s="8" t="s">
        <v>2544</v>
      </c>
    </row>
    <row r="4" spans="1:9" x14ac:dyDescent="0.2">
      <c r="D4" s="69" t="b">
        <f>ISREF(#REF!)</f>
        <v>0</v>
      </c>
      <c r="E4" s="8" t="s">
        <v>2545</v>
      </c>
    </row>
    <row r="5" spans="1:9" x14ac:dyDescent="0.2">
      <c r="D5" s="69" t="b">
        <f>ISREF(Hello)</f>
        <v>0</v>
      </c>
      <c r="E5" s="8" t="s">
        <v>2546</v>
      </c>
    </row>
    <row r="6" spans="1:9" x14ac:dyDescent="0.2">
      <c r="D6" s="69" t="b">
        <f>ISREF(10)</f>
        <v>0</v>
      </c>
      <c r="E6" s="8" t="s">
        <v>2547</v>
      </c>
    </row>
    <row r="7" spans="1:9" x14ac:dyDescent="0.2">
      <c r="D7" s="69" t="b">
        <f ca="1">ISREF(NOW())</f>
        <v>0</v>
      </c>
      <c r="E7" s="8" t="s">
        <v>2548</v>
      </c>
    </row>
    <row r="8" spans="1:9" x14ac:dyDescent="0.2">
      <c r="D8" s="69" t="b">
        <f>ISREF("A1")</f>
        <v>0</v>
      </c>
      <c r="E8" s="8" t="s">
        <v>2549</v>
      </c>
    </row>
    <row r="9" spans="1:9" x14ac:dyDescent="0.2">
      <c r="D9" s="69" t="b">
        <f>ISREF(_XX99)</f>
        <v>0</v>
      </c>
      <c r="E9" s="8" t="s">
        <v>2550</v>
      </c>
    </row>
    <row r="11" spans="1:9" ht="13.5" thickBot="1" x14ac:dyDescent="0.25">
      <c r="B11" s="9" t="s">
        <v>39</v>
      </c>
      <c r="C11" s="9"/>
      <c r="D11" s="9"/>
      <c r="E11" s="9"/>
      <c r="F11" s="9"/>
      <c r="G11" s="9"/>
      <c r="H11" s="9"/>
      <c r="I11" s="9"/>
    </row>
    <row r="12" spans="1:9" x14ac:dyDescent="0.2">
      <c r="B12" t="s">
        <v>2551</v>
      </c>
    </row>
    <row r="13" spans="1:9" x14ac:dyDescent="0.2">
      <c r="B13" t="s">
        <v>2552</v>
      </c>
    </row>
    <row r="15" spans="1:9" ht="13.5" thickBot="1" x14ac:dyDescent="0.25">
      <c r="B15" s="9" t="s">
        <v>43</v>
      </c>
      <c r="C15" s="9"/>
      <c r="D15" s="9"/>
      <c r="E15" s="9"/>
      <c r="F15" s="9"/>
      <c r="G15" s="9"/>
      <c r="H15" s="9"/>
      <c r="I15" s="9"/>
    </row>
    <row r="16" spans="1:9" x14ac:dyDescent="0.2">
      <c r="B16" s="10" t="s">
        <v>2553</v>
      </c>
    </row>
    <row r="17" spans="2:9" x14ac:dyDescent="0.2">
      <c r="B17" t="s">
        <v>2554</v>
      </c>
    </row>
    <row r="18" spans="2:9" x14ac:dyDescent="0.2">
      <c r="B18" t="s">
        <v>2555</v>
      </c>
    </row>
    <row r="20" spans="2:9" ht="13.5" thickBot="1" x14ac:dyDescent="0.25">
      <c r="B20" s="9" t="s">
        <v>45</v>
      </c>
      <c r="C20" s="9"/>
      <c r="D20" s="9"/>
      <c r="E20" s="9"/>
      <c r="F20" s="9"/>
      <c r="G20" s="9"/>
      <c r="H20" s="9"/>
      <c r="I20" s="9"/>
    </row>
    <row r="21" spans="2:9" x14ac:dyDescent="0.2">
      <c r="B21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01" r:id="rId4" name="Button 1">
              <controlPr defaultSize="0" print="0" autoFill="0" autoLine="0" autoPict="0">
                <anchor>
                  <from>
                    <xdr:col>7</xdr:col>
                    <xdr:colOff>266700</xdr:colOff>
                    <xdr:row>0</xdr:row>
                    <xdr:rowOff>38100</xdr:rowOff>
                  </from>
                  <to>
                    <xdr:col>8</xdr:col>
                    <xdr:colOff>114300</xdr:colOff>
                    <xdr:row>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02" r:id="rId5" name="Button 2">
              <controlPr defaultSize="0" print="0" autoFill="0" autoLine="0" autoPict="0">
                <anchor>
                  <from>
                    <xdr:col>8</xdr:col>
                    <xdr:colOff>190500</xdr:colOff>
                    <xdr:row>0</xdr:row>
                    <xdr:rowOff>38100</xdr:rowOff>
                  </from>
                  <to>
                    <xdr:col>8</xdr:col>
                    <xdr:colOff>381000</xdr:colOff>
                    <xdr:row>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03" r:id="rId6" name="Button 3">
              <controlPr defaultSize="0" print="0" autoFill="0" autoLine="0" autoPict="0">
                <anchor>
                  <from>
                    <xdr:col>7</xdr:col>
                    <xdr:colOff>0</xdr:colOff>
                    <xdr:row>0</xdr:row>
                    <xdr:rowOff>38100</xdr:rowOff>
                  </from>
                  <to>
                    <xdr:col>7</xdr:col>
                    <xdr:colOff>190500</xdr:colOff>
                    <xdr:row>0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79">
    <pageSetUpPr fitToPage="1"/>
  </sheetPr>
  <dimension ref="A1:I35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4.5703125" customWidth="1"/>
    <col min="4" max="4" width="10.85546875" customWidth="1"/>
    <col min="9" max="9" width="14" customWidth="1"/>
  </cols>
  <sheetData>
    <row r="1" spans="1:9" ht="18.75" thickBot="1" x14ac:dyDescent="0.3">
      <c r="A1" s="1" t="s">
        <v>2556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D3" s="5" t="s">
        <v>548</v>
      </c>
      <c r="E3" s="5" t="s">
        <v>549</v>
      </c>
    </row>
    <row r="4" spans="1:9" x14ac:dyDescent="0.2">
      <c r="D4" s="2" t="s">
        <v>58</v>
      </c>
      <c r="E4" s="3" t="b">
        <f>ISTEXT(D4)</f>
        <v>1</v>
      </c>
      <c r="F4" s="8" t="s">
        <v>2557</v>
      </c>
    </row>
    <row r="5" spans="1:9" x14ac:dyDescent="0.2">
      <c r="D5" s="2">
        <v>1</v>
      </c>
      <c r="E5" s="3" t="b">
        <f>ISTEXT(D5)</f>
        <v>0</v>
      </c>
      <c r="F5" s="8" t="s">
        <v>2558</v>
      </c>
    </row>
    <row r="6" spans="1:9" x14ac:dyDescent="0.2">
      <c r="D6" s="16">
        <v>36154</v>
      </c>
      <c r="E6" s="3" t="b">
        <f>ISTEXT(D6)</f>
        <v>0</v>
      </c>
      <c r="F6" s="8" t="s">
        <v>2559</v>
      </c>
    </row>
    <row r="7" spans="1:9" x14ac:dyDescent="0.2">
      <c r="D7" s="2"/>
      <c r="E7" s="3" t="b">
        <f>ISTEXT(D7)</f>
        <v>0</v>
      </c>
      <c r="F7" s="8" t="s">
        <v>2560</v>
      </c>
    </row>
    <row r="9" spans="1:9" ht="13.5" thickBot="1" x14ac:dyDescent="0.25">
      <c r="B9" s="9" t="s">
        <v>39</v>
      </c>
      <c r="C9" s="9"/>
      <c r="D9" s="9"/>
      <c r="E9" s="9"/>
      <c r="F9" s="9"/>
      <c r="G9" s="9"/>
      <c r="H9" s="9"/>
      <c r="I9" s="9"/>
    </row>
    <row r="10" spans="1:9" x14ac:dyDescent="0.2">
      <c r="B10" t="s">
        <v>2561</v>
      </c>
    </row>
    <row r="11" spans="1:9" x14ac:dyDescent="0.2">
      <c r="B11" t="s">
        <v>2562</v>
      </c>
    </row>
    <row r="12" spans="1:9" x14ac:dyDescent="0.2">
      <c r="B12" t="s">
        <v>2563</v>
      </c>
    </row>
    <row r="14" spans="1:9" ht="13.5" thickBot="1" x14ac:dyDescent="0.25">
      <c r="B14" s="9" t="s">
        <v>43</v>
      </c>
      <c r="C14" s="9"/>
      <c r="D14" s="9"/>
      <c r="E14" s="9"/>
      <c r="F14" s="9"/>
      <c r="G14" s="9"/>
      <c r="H14" s="9"/>
      <c r="I14" s="9"/>
    </row>
    <row r="15" spans="1:9" x14ac:dyDescent="0.2">
      <c r="B15" s="10" t="s">
        <v>2564</v>
      </c>
    </row>
    <row r="17" spans="2:9" ht="13.5" thickBot="1" x14ac:dyDescent="0.25">
      <c r="B17" s="9" t="s">
        <v>45</v>
      </c>
      <c r="C17" s="9"/>
      <c r="D17" s="9"/>
      <c r="E17" s="9"/>
      <c r="F17" s="9"/>
      <c r="G17" s="9"/>
      <c r="H17" s="9"/>
      <c r="I17" s="9"/>
    </row>
    <row r="18" spans="2:9" x14ac:dyDescent="0.2">
      <c r="B18" t="s">
        <v>46</v>
      </c>
    </row>
    <row r="20" spans="2:9" ht="13.5" thickBot="1" x14ac:dyDescent="0.25">
      <c r="B20" s="9" t="s">
        <v>85</v>
      </c>
      <c r="C20" s="9"/>
      <c r="D20" s="9"/>
      <c r="E20" s="9"/>
      <c r="F20" s="9"/>
      <c r="G20" s="9"/>
      <c r="H20" s="9"/>
      <c r="I20" s="9"/>
    </row>
    <row r="21" spans="2:9" x14ac:dyDescent="0.2">
      <c r="B21" t="s">
        <v>2519</v>
      </c>
    </row>
    <row r="22" spans="2:9" x14ac:dyDescent="0.2">
      <c r="B22" t="s">
        <v>2520</v>
      </c>
    </row>
    <row r="23" spans="2:9" x14ac:dyDescent="0.2">
      <c r="B23" t="s">
        <v>2565</v>
      </c>
    </row>
    <row r="24" spans="2:9" x14ac:dyDescent="0.2">
      <c r="B24" t="s">
        <v>2522</v>
      </c>
    </row>
    <row r="26" spans="2:9" x14ac:dyDescent="0.2">
      <c r="C26" s="5" t="s">
        <v>2523</v>
      </c>
      <c r="D26" s="5" t="s">
        <v>769</v>
      </c>
      <c r="E26" s="5" t="s">
        <v>2524</v>
      </c>
    </row>
    <row r="27" spans="2:9" x14ac:dyDescent="0.2">
      <c r="C27" s="2">
        <v>1</v>
      </c>
      <c r="D27" s="2" t="s">
        <v>118</v>
      </c>
      <c r="E27" s="376">
        <v>10000</v>
      </c>
    </row>
    <row r="28" spans="2:9" x14ac:dyDescent="0.2">
      <c r="C28" s="2">
        <v>2</v>
      </c>
      <c r="D28" s="2" t="s">
        <v>300</v>
      </c>
      <c r="E28" s="376">
        <v>12000</v>
      </c>
    </row>
    <row r="29" spans="2:9" x14ac:dyDescent="0.2">
      <c r="C29" s="2">
        <v>3</v>
      </c>
      <c r="D29" s="2" t="s">
        <v>121</v>
      </c>
      <c r="E29" s="376">
        <v>8000</v>
      </c>
    </row>
    <row r="30" spans="2:9" x14ac:dyDescent="0.2">
      <c r="C30" s="2">
        <v>4</v>
      </c>
      <c r="D30" s="2" t="s">
        <v>120</v>
      </c>
      <c r="E30" s="376">
        <v>15000</v>
      </c>
    </row>
    <row r="31" spans="2:9" x14ac:dyDescent="0.2">
      <c r="C31" s="2">
        <v>5</v>
      </c>
      <c r="D31" s="2" t="s">
        <v>122</v>
      </c>
      <c r="E31" s="376">
        <v>12000</v>
      </c>
    </row>
    <row r="33" spans="2:5" x14ac:dyDescent="0.2">
      <c r="B33" s="22"/>
      <c r="C33" s="24"/>
      <c r="D33" s="23" t="s">
        <v>2525</v>
      </c>
      <c r="E33" s="377">
        <v>3</v>
      </c>
    </row>
    <row r="34" spans="2:5" x14ac:dyDescent="0.2">
      <c r="B34" s="22"/>
      <c r="C34" s="24"/>
      <c r="D34" s="23" t="s">
        <v>2526</v>
      </c>
      <c r="E34" s="345">
        <f>IF(ISTEXT(E33),VLOOKUP(E33,D27:E31,2,FALSE),VLOOKUP(E33,C27:E31,3,FALSE))</f>
        <v>8000</v>
      </c>
    </row>
    <row r="35" spans="2:5" x14ac:dyDescent="0.2">
      <c r="B35" s="8" t="s">
        <v>2566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25" r:id="rId4" name="Button 1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590550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26" r:id="rId5" name="Button 2">
              <controlPr defaultSize="0" print="0" autoFill="0" autoLine="0" autoPict="0">
                <anchor>
                  <from>
                    <xdr:col>8</xdr:col>
                    <xdr:colOff>657225</xdr:colOff>
                    <xdr:row>0</xdr:row>
                    <xdr:rowOff>38100</xdr:rowOff>
                  </from>
                  <to>
                    <xdr:col>8</xdr:col>
                    <xdr:colOff>857250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27" r:id="rId6" name="Button 3">
              <controlPr defaultSize="0" print="0" autoFill="0" autoLine="0" autoPict="0">
                <anchor>
                  <from>
                    <xdr:col>7</xdr:col>
                    <xdr:colOff>466725</xdr:colOff>
                    <xdr:row>0</xdr:row>
                    <xdr:rowOff>38100</xdr:rowOff>
                  </from>
                  <to>
                    <xdr:col>8</xdr:col>
                    <xdr:colOff>57150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81">
    <pageSetUpPr fitToPage="1"/>
  </sheetPr>
  <dimension ref="A1:I16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5" max="5" width="10.5703125" customWidth="1"/>
    <col min="6" max="6" width="12.85546875" customWidth="1"/>
  </cols>
  <sheetData>
    <row r="1" spans="1:9" ht="18.75" thickBot="1" x14ac:dyDescent="0.3">
      <c r="A1" s="1" t="s">
        <v>2567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ht="38.25" x14ac:dyDescent="0.2">
      <c r="C3" s="13" t="s">
        <v>2083</v>
      </c>
      <c r="D3" s="15"/>
      <c r="E3" s="21" t="s">
        <v>2568</v>
      </c>
    </row>
    <row r="4" spans="1:9" x14ac:dyDescent="0.2">
      <c r="C4" s="2">
        <v>6</v>
      </c>
      <c r="D4" s="2">
        <v>20</v>
      </c>
      <c r="E4" s="3">
        <f>LCM(C4,D4)</f>
        <v>60</v>
      </c>
      <c r="F4" s="8" t="s">
        <v>2569</v>
      </c>
    </row>
    <row r="5" spans="1:9" x14ac:dyDescent="0.2">
      <c r="C5" s="2">
        <v>12</v>
      </c>
      <c r="D5" s="2">
        <v>18</v>
      </c>
      <c r="E5" s="3">
        <f>LCM(C5,D5)</f>
        <v>36</v>
      </c>
      <c r="F5" s="8" t="s">
        <v>2570</v>
      </c>
    </row>
    <row r="6" spans="1:9" x14ac:dyDescent="0.2">
      <c r="C6" s="2">
        <v>34</v>
      </c>
      <c r="D6" s="2">
        <v>96</v>
      </c>
      <c r="E6" s="3">
        <f>LCM(C6,D6)</f>
        <v>1632</v>
      </c>
      <c r="F6" s="8" t="s">
        <v>2571</v>
      </c>
    </row>
    <row r="8" spans="1:9" ht="13.5" thickBot="1" x14ac:dyDescent="0.25">
      <c r="B8" s="9" t="s">
        <v>39</v>
      </c>
      <c r="C8" s="9"/>
      <c r="D8" s="9"/>
      <c r="E8" s="9"/>
      <c r="F8" s="9"/>
      <c r="G8" s="9"/>
      <c r="H8" s="9"/>
      <c r="I8" s="9"/>
    </row>
    <row r="9" spans="1:9" x14ac:dyDescent="0.2">
      <c r="B9" t="s">
        <v>2572</v>
      </c>
    </row>
    <row r="10" spans="1:9" x14ac:dyDescent="0.2">
      <c r="B10" t="s">
        <v>2573</v>
      </c>
    </row>
    <row r="12" spans="1:9" ht="13.5" thickBot="1" x14ac:dyDescent="0.25">
      <c r="B12" s="9" t="s">
        <v>43</v>
      </c>
      <c r="C12" s="9"/>
      <c r="D12" s="9"/>
      <c r="E12" s="9"/>
      <c r="F12" s="9"/>
      <c r="G12" s="9"/>
      <c r="H12" s="9"/>
      <c r="I12" s="9"/>
    </row>
    <row r="13" spans="1:9" x14ac:dyDescent="0.2">
      <c r="B13" s="10" t="s">
        <v>2574</v>
      </c>
    </row>
    <row r="15" spans="1:9" ht="13.5" thickBot="1" x14ac:dyDescent="0.25">
      <c r="B15" s="9" t="s">
        <v>45</v>
      </c>
      <c r="C15" s="9"/>
      <c r="D15" s="9"/>
      <c r="E15" s="9"/>
      <c r="F15" s="9"/>
      <c r="G15" s="9"/>
      <c r="H15" s="9"/>
      <c r="I15" s="9"/>
    </row>
    <row r="16" spans="1:9" x14ac:dyDescent="0.2">
      <c r="B16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449" r:id="rId4" name="Button 1">
              <controlPr defaultSize="0" print="0" autoFill="0" autoLine="0" autoPict="0">
                <anchor>
                  <from>
                    <xdr:col>8</xdr:col>
                    <xdr:colOff>9525</xdr:colOff>
                    <xdr:row>0</xdr:row>
                    <xdr:rowOff>38100</xdr:rowOff>
                  </from>
                  <to>
                    <xdr:col>8</xdr:col>
                    <xdr:colOff>485775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50" r:id="rId5" name="Button 2">
              <controlPr defaultSize="0" print="0" autoFill="0" autoLine="0" autoPict="0">
                <anchor>
                  <from>
                    <xdr:col>8</xdr:col>
                    <xdr:colOff>552450</xdr:colOff>
                    <xdr:row>0</xdr:row>
                    <xdr:rowOff>38100</xdr:rowOff>
                  </from>
                  <to>
                    <xdr:col>9</xdr:col>
                    <xdr:colOff>152400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51" r:id="rId6" name="Button 3">
              <controlPr defaultSize="0" print="0" autoFill="0" autoLine="0" autoPict="0">
                <anchor>
                  <from>
                    <xdr:col>7</xdr:col>
                    <xdr:colOff>342900</xdr:colOff>
                    <xdr:row>0</xdr:row>
                    <xdr:rowOff>38100</xdr:rowOff>
                  </from>
                  <to>
                    <xdr:col>7</xdr:col>
                    <xdr:colOff>552450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83">
    <pageSetUpPr fitToPage="1"/>
  </sheetPr>
  <dimension ref="A1:I36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3.7109375" customWidth="1"/>
    <col min="4" max="4" width="9.42578125" customWidth="1"/>
    <col min="9" max="9" width="12.7109375" customWidth="1"/>
  </cols>
  <sheetData>
    <row r="1" spans="1:9" ht="18.75" thickBot="1" x14ac:dyDescent="0.3">
      <c r="A1" s="1" t="s">
        <v>2575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5" t="s">
        <v>240</v>
      </c>
      <c r="D3" s="5" t="s">
        <v>1341</v>
      </c>
    </row>
    <row r="4" spans="1:9" x14ac:dyDescent="0.2">
      <c r="C4" s="2" t="s">
        <v>384</v>
      </c>
      <c r="D4" s="3">
        <f>LEN(C4)</f>
        <v>10</v>
      </c>
      <c r="E4" s="8" t="s">
        <v>2576</v>
      </c>
    </row>
    <row r="5" spans="1:9" x14ac:dyDescent="0.2">
      <c r="C5" s="2" t="s">
        <v>402</v>
      </c>
      <c r="D5" s="3">
        <f>LEN(C5)</f>
        <v>9</v>
      </c>
      <c r="E5" s="8" t="s">
        <v>2577</v>
      </c>
    </row>
    <row r="6" spans="1:9" x14ac:dyDescent="0.2">
      <c r="C6" s="2" t="s">
        <v>404</v>
      </c>
      <c r="D6" s="3">
        <f>LEN(C6)</f>
        <v>14</v>
      </c>
      <c r="E6" s="8" t="s">
        <v>2578</v>
      </c>
    </row>
    <row r="7" spans="1:9" x14ac:dyDescent="0.2">
      <c r="C7" s="2" t="s">
        <v>388</v>
      </c>
      <c r="D7" s="3">
        <f>LEN(C7)</f>
        <v>7</v>
      </c>
      <c r="E7" s="8" t="s">
        <v>2579</v>
      </c>
    </row>
    <row r="8" spans="1:9" x14ac:dyDescent="0.2">
      <c r="C8" s="2" t="s">
        <v>390</v>
      </c>
      <c r="D8" s="3">
        <f>LEN(C8)</f>
        <v>6</v>
      </c>
      <c r="E8" s="8" t="s">
        <v>2580</v>
      </c>
    </row>
    <row r="10" spans="1:9" ht="13.5" thickBot="1" x14ac:dyDescent="0.25">
      <c r="B10" s="9" t="s">
        <v>39</v>
      </c>
      <c r="C10" s="9"/>
      <c r="D10" s="9"/>
      <c r="E10" s="9"/>
      <c r="F10" s="9"/>
      <c r="G10" s="9"/>
      <c r="H10" s="9"/>
      <c r="I10" s="9"/>
    </row>
    <row r="11" spans="1:9" x14ac:dyDescent="0.2">
      <c r="B11" t="s">
        <v>2581</v>
      </c>
    </row>
    <row r="13" spans="1:9" ht="13.5" thickBot="1" x14ac:dyDescent="0.25">
      <c r="B13" s="9" t="s">
        <v>43</v>
      </c>
      <c r="C13" s="9"/>
      <c r="D13" s="9"/>
      <c r="E13" s="9"/>
      <c r="F13" s="9"/>
      <c r="G13" s="9"/>
      <c r="H13" s="9"/>
      <c r="I13" s="9"/>
    </row>
    <row r="14" spans="1:9" x14ac:dyDescent="0.2">
      <c r="B14" s="10" t="s">
        <v>2582</v>
      </c>
    </row>
    <row r="16" spans="1:9" ht="13.5" thickBot="1" x14ac:dyDescent="0.25">
      <c r="B16" s="9" t="s">
        <v>45</v>
      </c>
      <c r="C16" s="9"/>
      <c r="D16" s="9"/>
      <c r="E16" s="9"/>
      <c r="F16" s="9"/>
      <c r="G16" s="9"/>
      <c r="H16" s="9"/>
      <c r="I16" s="9"/>
    </row>
    <row r="17" spans="2:9" x14ac:dyDescent="0.2">
      <c r="B17" t="s">
        <v>2583</v>
      </c>
    </row>
    <row r="19" spans="2:9" ht="13.5" thickBot="1" x14ac:dyDescent="0.25">
      <c r="B19" s="9" t="s">
        <v>85</v>
      </c>
      <c r="C19" s="9"/>
      <c r="D19" s="9"/>
      <c r="E19" s="9"/>
      <c r="F19" s="9"/>
      <c r="G19" s="9"/>
      <c r="H19" s="9"/>
      <c r="I19" s="9"/>
    </row>
    <row r="20" spans="2:9" x14ac:dyDescent="0.2">
      <c r="B20" t="s">
        <v>2584</v>
      </c>
    </row>
    <row r="21" spans="2:9" x14ac:dyDescent="0.2">
      <c r="B21" t="s">
        <v>2585</v>
      </c>
    </row>
    <row r="23" spans="2:9" x14ac:dyDescent="0.2">
      <c r="C23" s="5" t="s">
        <v>478</v>
      </c>
    </row>
    <row r="24" spans="2:9" x14ac:dyDescent="0.2">
      <c r="C24" s="2" t="s">
        <v>404</v>
      </c>
      <c r="D24" s="3">
        <f>FIND(" ",C24)</f>
        <v>6</v>
      </c>
      <c r="E24" s="8" t="s">
        <v>2586</v>
      </c>
    </row>
    <row r="25" spans="2:9" x14ac:dyDescent="0.2">
      <c r="E25" t="s">
        <v>2587</v>
      </c>
    </row>
    <row r="27" spans="2:9" x14ac:dyDescent="0.2">
      <c r="C27" s="2" t="s">
        <v>404</v>
      </c>
      <c r="D27" s="3">
        <f>LEN(C24)-FIND(" ",C24)</f>
        <v>8</v>
      </c>
      <c r="E27" s="8" t="s">
        <v>2588</v>
      </c>
    </row>
    <row r="28" spans="2:9" x14ac:dyDescent="0.2">
      <c r="E28" t="s">
        <v>2589</v>
      </c>
    </row>
    <row r="29" spans="2:9" x14ac:dyDescent="0.2">
      <c r="E29" t="s">
        <v>2590</v>
      </c>
    </row>
    <row r="30" spans="2:9" x14ac:dyDescent="0.2">
      <c r="E30" t="s">
        <v>2591</v>
      </c>
    </row>
    <row r="32" spans="2:9" x14ac:dyDescent="0.2">
      <c r="E32" s="8" t="s">
        <v>741</v>
      </c>
    </row>
    <row r="33" spans="5:5" x14ac:dyDescent="0.2">
      <c r="E33" t="s">
        <v>2592</v>
      </c>
    </row>
    <row r="34" spans="5:5" x14ac:dyDescent="0.2">
      <c r="E34" t="s">
        <v>2593</v>
      </c>
    </row>
    <row r="35" spans="5:5" x14ac:dyDescent="0.2">
      <c r="E35" t="s">
        <v>2594</v>
      </c>
    </row>
    <row r="36" spans="5:5" x14ac:dyDescent="0.2">
      <c r="E36" t="s">
        <v>2595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473" r:id="rId4" name="Button 1">
              <controlPr defaultSize="0" print="0" autoFill="0" autoLine="0" autoPict="0">
                <anchor>
                  <from>
                    <xdr:col>8</xdr:col>
                    <xdr:colOff>28575</xdr:colOff>
                    <xdr:row>0</xdr:row>
                    <xdr:rowOff>38100</xdr:rowOff>
                  </from>
                  <to>
                    <xdr:col>8</xdr:col>
                    <xdr:colOff>495300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74" r:id="rId5" name="Button 2">
              <controlPr defaultSize="0" print="0" autoFill="0" autoLine="0" autoPict="0">
                <anchor>
                  <from>
                    <xdr:col>8</xdr:col>
                    <xdr:colOff>561975</xdr:colOff>
                    <xdr:row>0</xdr:row>
                    <xdr:rowOff>38100</xdr:rowOff>
                  </from>
                  <to>
                    <xdr:col>8</xdr:col>
                    <xdr:colOff>762000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75" r:id="rId6" name="Button 3">
              <controlPr defaultSize="0" print="0" autoFill="0" autoLine="0" autoPict="0">
                <anchor>
                  <from>
                    <xdr:col>7</xdr:col>
                    <xdr:colOff>361950</xdr:colOff>
                    <xdr:row>0</xdr:row>
                    <xdr:rowOff>38100</xdr:rowOff>
                  </from>
                  <to>
                    <xdr:col>7</xdr:col>
                    <xdr:colOff>571500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84">
    <pageSetUpPr fitToPage="1"/>
  </sheetPr>
  <dimension ref="A1:J91"/>
  <sheetViews>
    <sheetView showGridLines="0" workbookViewId="0">
      <pane ySplit="1" topLeftCell="A70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10" width="9" customWidth="1"/>
  </cols>
  <sheetData>
    <row r="1" spans="1:10" ht="18.75" thickBot="1" x14ac:dyDescent="0.3">
      <c r="A1" s="1" t="s">
        <v>2596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ht="13.5" thickBot="1" x14ac:dyDescent="0.25">
      <c r="D3" s="5" t="s">
        <v>769</v>
      </c>
      <c r="E3" s="5" t="s">
        <v>12</v>
      </c>
      <c r="F3" s="5" t="s">
        <v>13</v>
      </c>
      <c r="G3" s="5" t="s">
        <v>14</v>
      </c>
    </row>
    <row r="4" spans="1:10" ht="13.5" thickTop="1" x14ac:dyDescent="0.2">
      <c r="D4" s="378" t="s">
        <v>118</v>
      </c>
      <c r="E4" s="379">
        <v>10</v>
      </c>
      <c r="F4" s="379">
        <v>80</v>
      </c>
      <c r="G4" s="380">
        <v>97</v>
      </c>
    </row>
    <row r="5" spans="1:10" x14ac:dyDescent="0.2">
      <c r="D5" s="381" t="s">
        <v>120</v>
      </c>
      <c r="E5" s="2">
        <v>20</v>
      </c>
      <c r="F5" s="2">
        <v>90</v>
      </c>
      <c r="G5" s="382">
        <v>69</v>
      </c>
    </row>
    <row r="6" spans="1:10" x14ac:dyDescent="0.2">
      <c r="D6" s="381" t="s">
        <v>121</v>
      </c>
      <c r="E6" s="2">
        <v>30</v>
      </c>
      <c r="F6" s="2">
        <v>100</v>
      </c>
      <c r="G6" s="382">
        <v>45</v>
      </c>
    </row>
    <row r="7" spans="1:10" x14ac:dyDescent="0.2">
      <c r="D7" s="381" t="s">
        <v>122</v>
      </c>
      <c r="E7" s="2">
        <v>40</v>
      </c>
      <c r="F7" s="2">
        <v>110</v>
      </c>
      <c r="G7" s="382">
        <v>51</v>
      </c>
    </row>
    <row r="8" spans="1:10" x14ac:dyDescent="0.2">
      <c r="D8" s="381" t="s">
        <v>300</v>
      </c>
      <c r="E8" s="2">
        <v>50</v>
      </c>
      <c r="F8" s="2">
        <v>120</v>
      </c>
      <c r="G8" s="382">
        <v>77</v>
      </c>
    </row>
    <row r="9" spans="1:10" x14ac:dyDescent="0.2">
      <c r="D9" s="381" t="s">
        <v>2597</v>
      </c>
      <c r="E9" s="2">
        <v>60</v>
      </c>
      <c r="F9" s="2">
        <v>130</v>
      </c>
      <c r="G9" s="382">
        <v>28</v>
      </c>
    </row>
    <row r="10" spans="1:10" ht="13.5" thickBot="1" x14ac:dyDescent="0.25">
      <c r="D10" s="383" t="s">
        <v>979</v>
      </c>
      <c r="E10" s="384">
        <v>70</v>
      </c>
      <c r="F10" s="384">
        <v>140</v>
      </c>
      <c r="G10" s="385">
        <v>73</v>
      </c>
    </row>
    <row r="11" spans="1:10" ht="13.5" thickTop="1" x14ac:dyDescent="0.2"/>
    <row r="12" spans="1:10" x14ac:dyDescent="0.2">
      <c r="B12" s="22"/>
      <c r="C12" s="24"/>
      <c r="D12" s="24"/>
      <c r="E12" s="23" t="s">
        <v>2598</v>
      </c>
      <c r="F12" s="2" t="s">
        <v>300</v>
      </c>
    </row>
    <row r="14" spans="1:10" x14ac:dyDescent="0.2">
      <c r="B14" s="22"/>
      <c r="C14" s="24"/>
      <c r="D14" s="24"/>
      <c r="E14" s="23" t="s">
        <v>2599</v>
      </c>
      <c r="F14" s="3">
        <f>LOOKUP(F12,D4:G10)</f>
        <v>77</v>
      </c>
      <c r="G14" s="8" t="s">
        <v>2600</v>
      </c>
    </row>
    <row r="16" spans="1:10" ht="13.5" thickBot="1" x14ac:dyDescent="0.25">
      <c r="B16" s="9" t="s">
        <v>39</v>
      </c>
      <c r="C16" s="9"/>
      <c r="D16" s="9"/>
      <c r="E16" s="9"/>
      <c r="F16" s="9"/>
      <c r="G16" s="9"/>
      <c r="H16" s="9"/>
      <c r="I16" s="9"/>
      <c r="J16" s="9"/>
    </row>
    <row r="17" spans="2:6" x14ac:dyDescent="0.2">
      <c r="B17" t="s">
        <v>2601</v>
      </c>
    </row>
    <row r="18" spans="2:6" x14ac:dyDescent="0.2">
      <c r="B18" t="s">
        <v>2602</v>
      </c>
    </row>
    <row r="20" spans="2:6" x14ac:dyDescent="0.2">
      <c r="B20" t="s">
        <v>2603</v>
      </c>
    </row>
    <row r="21" spans="2:6" x14ac:dyDescent="0.2">
      <c r="B21" t="s">
        <v>2604</v>
      </c>
    </row>
    <row r="23" spans="2:6" x14ac:dyDescent="0.2">
      <c r="B23" t="s">
        <v>2605</v>
      </c>
    </row>
    <row r="24" spans="2:6" x14ac:dyDescent="0.2">
      <c r="B24" t="s">
        <v>2606</v>
      </c>
    </row>
    <row r="26" spans="2:6" x14ac:dyDescent="0.2">
      <c r="B26" t="s">
        <v>2607</v>
      </c>
      <c r="F26" t="s">
        <v>2608</v>
      </c>
    </row>
    <row r="27" spans="2:6" x14ac:dyDescent="0.2">
      <c r="F27" t="s">
        <v>2609</v>
      </c>
    </row>
    <row r="28" spans="2:6" x14ac:dyDescent="0.2">
      <c r="F28" t="s">
        <v>2610</v>
      </c>
    </row>
    <row r="29" spans="2:6" x14ac:dyDescent="0.2">
      <c r="F29" t="s">
        <v>2611</v>
      </c>
    </row>
    <row r="30" spans="2:6" x14ac:dyDescent="0.2">
      <c r="F30" t="s">
        <v>2612</v>
      </c>
    </row>
    <row r="31" spans="2:6" x14ac:dyDescent="0.2">
      <c r="F31" t="s">
        <v>2613</v>
      </c>
    </row>
    <row r="33" spans="2:10" x14ac:dyDescent="0.2">
      <c r="B33" t="s">
        <v>2614</v>
      </c>
    </row>
    <row r="34" spans="2:10" x14ac:dyDescent="0.2">
      <c r="F34" t="s">
        <v>2615</v>
      </c>
    </row>
    <row r="35" spans="2:10" x14ac:dyDescent="0.2">
      <c r="F35" t="s">
        <v>2616</v>
      </c>
    </row>
    <row r="36" spans="2:10" x14ac:dyDescent="0.2">
      <c r="F36" t="s">
        <v>2617</v>
      </c>
    </row>
    <row r="38" spans="2:10" x14ac:dyDescent="0.2">
      <c r="B38" t="s">
        <v>2618</v>
      </c>
      <c r="F38" t="s">
        <v>2619</v>
      </c>
    </row>
    <row r="39" spans="2:10" x14ac:dyDescent="0.2">
      <c r="F39" t="s">
        <v>2620</v>
      </c>
    </row>
    <row r="40" spans="2:10" x14ac:dyDescent="0.2">
      <c r="F40" t="s">
        <v>2621</v>
      </c>
    </row>
    <row r="41" spans="2:10" x14ac:dyDescent="0.2">
      <c r="F41" t="s">
        <v>2622</v>
      </c>
    </row>
    <row r="42" spans="2:10" x14ac:dyDescent="0.2">
      <c r="F42" t="s">
        <v>2623</v>
      </c>
    </row>
    <row r="43" spans="2:10" x14ac:dyDescent="0.2">
      <c r="F43" t="s">
        <v>2624</v>
      </c>
    </row>
    <row r="45" spans="2:10" ht="13.5" thickBot="1" x14ac:dyDescent="0.25">
      <c r="B45" s="9" t="s">
        <v>43</v>
      </c>
      <c r="C45" s="9"/>
      <c r="D45" s="9"/>
      <c r="E45" s="9"/>
      <c r="F45" s="9"/>
      <c r="G45" s="9"/>
      <c r="H45" s="9"/>
      <c r="I45" s="9"/>
      <c r="J45" s="9"/>
    </row>
    <row r="46" spans="2:10" x14ac:dyDescent="0.2">
      <c r="B46" s="10" t="s">
        <v>2625</v>
      </c>
    </row>
    <row r="47" spans="2:10" x14ac:dyDescent="0.2">
      <c r="B47" t="s">
        <v>2626</v>
      </c>
    </row>
    <row r="48" spans="2:10" x14ac:dyDescent="0.2">
      <c r="B48" t="s">
        <v>2627</v>
      </c>
    </row>
    <row r="49" spans="2:10" x14ac:dyDescent="0.2">
      <c r="B49" t="s">
        <v>2628</v>
      </c>
    </row>
    <row r="50" spans="2:10" x14ac:dyDescent="0.2">
      <c r="B50" s="10"/>
    </row>
    <row r="51" spans="2:10" ht="13.5" thickBot="1" x14ac:dyDescent="0.25">
      <c r="B51" s="9" t="s">
        <v>286</v>
      </c>
      <c r="C51" s="9"/>
      <c r="D51" s="9"/>
      <c r="F51" s="9" t="s">
        <v>305</v>
      </c>
      <c r="G51" s="9"/>
      <c r="H51" s="9"/>
      <c r="I51" s="9"/>
      <c r="J51" s="9"/>
    </row>
    <row r="52" spans="2:10" x14ac:dyDescent="0.2">
      <c r="B52" t="s">
        <v>2629</v>
      </c>
      <c r="F52" t="s">
        <v>2630</v>
      </c>
    </row>
    <row r="53" spans="2:10" x14ac:dyDescent="0.2">
      <c r="B53" t="s">
        <v>2631</v>
      </c>
      <c r="F53" t="s">
        <v>2632</v>
      </c>
    </row>
    <row r="54" spans="2:10" x14ac:dyDescent="0.2">
      <c r="B54" t="s">
        <v>2633</v>
      </c>
      <c r="F54" t="s">
        <v>2634</v>
      </c>
    </row>
    <row r="55" spans="2:10" ht="13.5" thickBot="1" x14ac:dyDescent="0.25">
      <c r="B55" t="s">
        <v>2635</v>
      </c>
    </row>
    <row r="56" spans="2:10" ht="13.5" thickTop="1" x14ac:dyDescent="0.2">
      <c r="B56" t="s">
        <v>2636</v>
      </c>
      <c r="F56" s="4"/>
      <c r="G56" s="386" t="s">
        <v>118</v>
      </c>
      <c r="H56" s="387" t="s">
        <v>120</v>
      </c>
      <c r="I56" s="387" t="s">
        <v>121</v>
      </c>
      <c r="J56" s="388" t="s">
        <v>122</v>
      </c>
    </row>
    <row r="57" spans="2:10" ht="13.5" thickBot="1" x14ac:dyDescent="0.25">
      <c r="B57" s="4"/>
      <c r="C57" s="389" t="s">
        <v>12</v>
      </c>
      <c r="F57" s="389" t="s">
        <v>12</v>
      </c>
      <c r="G57" s="390">
        <v>100</v>
      </c>
      <c r="H57" s="391">
        <v>100</v>
      </c>
      <c r="I57" s="391">
        <v>100</v>
      </c>
      <c r="J57" s="392">
        <v>100</v>
      </c>
    </row>
    <row r="58" spans="2:10" ht="13.5" thickTop="1" x14ac:dyDescent="0.2">
      <c r="B58" s="386" t="s">
        <v>118</v>
      </c>
      <c r="C58" s="388">
        <v>100</v>
      </c>
    </row>
    <row r="59" spans="2:10" x14ac:dyDescent="0.2">
      <c r="B59" s="393" t="s">
        <v>120</v>
      </c>
      <c r="C59" s="394">
        <v>100</v>
      </c>
    </row>
    <row r="60" spans="2:10" x14ac:dyDescent="0.2">
      <c r="B60" s="393" t="s">
        <v>121</v>
      </c>
      <c r="C60" s="394">
        <v>100</v>
      </c>
    </row>
    <row r="61" spans="2:10" x14ac:dyDescent="0.2">
      <c r="B61" s="393" t="s">
        <v>122</v>
      </c>
      <c r="C61" s="394">
        <v>100</v>
      </c>
    </row>
    <row r="62" spans="2:10" x14ac:dyDescent="0.2">
      <c r="B62" s="393" t="s">
        <v>300</v>
      </c>
      <c r="C62" s="394">
        <v>100</v>
      </c>
    </row>
    <row r="63" spans="2:10" ht="13.5" thickBot="1" x14ac:dyDescent="0.25">
      <c r="B63" s="390" t="s">
        <v>978</v>
      </c>
      <c r="C63" s="392">
        <v>100</v>
      </c>
    </row>
    <row r="64" spans="2:10" ht="13.5" thickTop="1" x14ac:dyDescent="0.2"/>
    <row r="65" spans="2:10" ht="13.5" thickBot="1" x14ac:dyDescent="0.25">
      <c r="B65" s="9" t="s">
        <v>45</v>
      </c>
      <c r="C65" s="9"/>
      <c r="D65" s="9"/>
      <c r="E65" s="9"/>
      <c r="F65" s="9"/>
      <c r="G65" s="9"/>
      <c r="H65" s="9"/>
      <c r="I65" s="9"/>
      <c r="J65" s="9"/>
    </row>
    <row r="66" spans="2:10" x14ac:dyDescent="0.2">
      <c r="B66" t="s">
        <v>46</v>
      </c>
    </row>
    <row r="68" spans="2:10" ht="13.5" thickBot="1" x14ac:dyDescent="0.25">
      <c r="B68" s="9" t="s">
        <v>2637</v>
      </c>
      <c r="C68" s="9"/>
      <c r="D68" s="9"/>
      <c r="E68" s="9"/>
      <c r="F68" s="9"/>
      <c r="G68" s="9"/>
      <c r="H68" s="9"/>
      <c r="I68" s="9"/>
      <c r="J68" s="9"/>
    </row>
    <row r="69" spans="2:10" x14ac:dyDescent="0.2">
      <c r="B69" t="s">
        <v>2638</v>
      </c>
    </row>
    <row r="70" spans="2:10" x14ac:dyDescent="0.2">
      <c r="B70" t="s">
        <v>2639</v>
      </c>
    </row>
    <row r="72" spans="2:10" x14ac:dyDescent="0.2">
      <c r="B72" t="s">
        <v>2640</v>
      </c>
    </row>
    <row r="73" spans="2:10" x14ac:dyDescent="0.2">
      <c r="B73" t="s">
        <v>2641</v>
      </c>
    </row>
    <row r="75" spans="2:10" x14ac:dyDescent="0.2">
      <c r="B75" t="s">
        <v>2642</v>
      </c>
    </row>
    <row r="76" spans="2:10" x14ac:dyDescent="0.2">
      <c r="B76" t="s">
        <v>2643</v>
      </c>
    </row>
    <row r="78" spans="2:10" x14ac:dyDescent="0.2">
      <c r="B78" s="270" t="s">
        <v>229</v>
      </c>
      <c r="G78" s="270" t="s">
        <v>924</v>
      </c>
    </row>
    <row r="79" spans="2:10" ht="13.5" thickBot="1" x14ac:dyDescent="0.25">
      <c r="B79" s="5" t="s">
        <v>769</v>
      </c>
      <c r="C79" s="5" t="s">
        <v>12</v>
      </c>
      <c r="D79" s="5" t="s">
        <v>13</v>
      </c>
      <c r="E79" s="5" t="s">
        <v>14</v>
      </c>
      <c r="G79" s="5" t="s">
        <v>769</v>
      </c>
      <c r="H79" s="5" t="s">
        <v>12</v>
      </c>
      <c r="I79" s="5" t="s">
        <v>13</v>
      </c>
      <c r="J79" s="5" t="s">
        <v>14</v>
      </c>
    </row>
    <row r="80" spans="2:10" ht="13.5" thickTop="1" x14ac:dyDescent="0.2">
      <c r="B80" s="378" t="s">
        <v>118</v>
      </c>
      <c r="C80" s="379">
        <v>10</v>
      </c>
      <c r="D80" s="379">
        <v>80</v>
      </c>
      <c r="E80" s="380">
        <v>97</v>
      </c>
      <c r="G80" s="378" t="s">
        <v>122</v>
      </c>
      <c r="H80" s="379">
        <v>40</v>
      </c>
      <c r="I80" s="379">
        <v>110</v>
      </c>
      <c r="J80" s="380">
        <v>51</v>
      </c>
    </row>
    <row r="81" spans="2:10" x14ac:dyDescent="0.2">
      <c r="B81" s="381" t="s">
        <v>120</v>
      </c>
      <c r="C81" s="2">
        <v>20</v>
      </c>
      <c r="D81" s="2">
        <v>90</v>
      </c>
      <c r="E81" s="382">
        <v>69</v>
      </c>
      <c r="G81" s="381" t="s">
        <v>300</v>
      </c>
      <c r="H81" s="2">
        <v>50</v>
      </c>
      <c r="I81" s="2">
        <v>120</v>
      </c>
      <c r="J81" s="382">
        <v>77</v>
      </c>
    </row>
    <row r="82" spans="2:10" x14ac:dyDescent="0.2">
      <c r="B82" s="381" t="s">
        <v>121</v>
      </c>
      <c r="C82" s="2">
        <v>30</v>
      </c>
      <c r="D82" s="2">
        <v>100</v>
      </c>
      <c r="E82" s="382">
        <v>45</v>
      </c>
      <c r="G82" s="381" t="s">
        <v>118</v>
      </c>
      <c r="H82" s="2">
        <v>10</v>
      </c>
      <c r="I82" s="2">
        <v>80</v>
      </c>
      <c r="J82" s="382">
        <v>97</v>
      </c>
    </row>
    <row r="83" spans="2:10" x14ac:dyDescent="0.2">
      <c r="B83" s="381" t="s">
        <v>122</v>
      </c>
      <c r="C83" s="2">
        <v>40</v>
      </c>
      <c r="D83" s="2">
        <v>110</v>
      </c>
      <c r="E83" s="382">
        <v>51</v>
      </c>
      <c r="G83" s="381" t="s">
        <v>120</v>
      </c>
      <c r="H83" s="2">
        <v>20</v>
      </c>
      <c r="I83" s="2">
        <v>90</v>
      </c>
      <c r="J83" s="382">
        <v>69</v>
      </c>
    </row>
    <row r="84" spans="2:10" x14ac:dyDescent="0.2">
      <c r="B84" s="381" t="s">
        <v>300</v>
      </c>
      <c r="C84" s="2">
        <v>50</v>
      </c>
      <c r="D84" s="2">
        <v>120</v>
      </c>
      <c r="E84" s="382">
        <v>77</v>
      </c>
      <c r="G84" s="381" t="s">
        <v>121</v>
      </c>
      <c r="H84" s="2">
        <v>30</v>
      </c>
      <c r="I84" s="2">
        <v>100</v>
      </c>
      <c r="J84" s="382">
        <v>45</v>
      </c>
    </row>
    <row r="85" spans="2:10" x14ac:dyDescent="0.2">
      <c r="B85" s="381" t="s">
        <v>2597</v>
      </c>
      <c r="C85" s="2">
        <v>60</v>
      </c>
      <c r="D85" s="2">
        <v>130</v>
      </c>
      <c r="E85" s="382">
        <v>28</v>
      </c>
      <c r="G85" s="381" t="s">
        <v>2597</v>
      </c>
      <c r="H85" s="2">
        <v>60</v>
      </c>
      <c r="I85" s="2">
        <v>130</v>
      </c>
      <c r="J85" s="382">
        <v>28</v>
      </c>
    </row>
    <row r="86" spans="2:10" ht="13.5" thickBot="1" x14ac:dyDescent="0.25">
      <c r="B86" s="383" t="s">
        <v>979</v>
      </c>
      <c r="C86" s="384">
        <v>70</v>
      </c>
      <c r="D86" s="384">
        <v>140</v>
      </c>
      <c r="E86" s="385">
        <v>73</v>
      </c>
      <c r="G86" s="383" t="s">
        <v>979</v>
      </c>
      <c r="H86" s="384">
        <v>70</v>
      </c>
      <c r="I86" s="384">
        <v>140</v>
      </c>
      <c r="J86" s="385">
        <v>73</v>
      </c>
    </row>
    <row r="87" spans="2:10" ht="13.5" thickTop="1" x14ac:dyDescent="0.2"/>
    <row r="88" spans="2:10" x14ac:dyDescent="0.2">
      <c r="B88" s="57" t="s">
        <v>2644</v>
      </c>
      <c r="C88" s="2" t="s">
        <v>300</v>
      </c>
      <c r="G88" s="57" t="s">
        <v>2644</v>
      </c>
      <c r="H88" s="2" t="s">
        <v>300</v>
      </c>
    </row>
    <row r="90" spans="2:10" x14ac:dyDescent="0.2">
      <c r="B90" s="57" t="s">
        <v>2645</v>
      </c>
      <c r="C90" s="3">
        <f>LOOKUP(C88,B80:E86)</f>
        <v>77</v>
      </c>
      <c r="G90" s="57" t="s">
        <v>2645</v>
      </c>
      <c r="H90" s="3">
        <f>LOOKUP(H88,G80:J86)</f>
        <v>45</v>
      </c>
    </row>
    <row r="91" spans="2:10" x14ac:dyDescent="0.2">
      <c r="C91" s="8" t="s">
        <v>2646</v>
      </c>
      <c r="H91" s="8" t="s">
        <v>2647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6497" r:id="rId4" name="Button 1">
              <controlPr defaultSize="0" print="0" autoFill="0" autoLine="0" autoPict="0">
                <anchor>
                  <from>
                    <xdr:col>8</xdr:col>
                    <xdr:colOff>333375</xdr:colOff>
                    <xdr:row>0</xdr:row>
                    <xdr:rowOff>38100</xdr:rowOff>
                  </from>
                  <to>
                    <xdr:col>9</xdr:col>
                    <xdr:colOff>200025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98" r:id="rId5" name="Button 2">
              <controlPr defaultSize="0" print="0" autoFill="0" autoLine="0" autoPict="0">
                <anchor>
                  <from>
                    <xdr:col>9</xdr:col>
                    <xdr:colOff>266700</xdr:colOff>
                    <xdr:row>0</xdr:row>
                    <xdr:rowOff>38100</xdr:rowOff>
                  </from>
                  <to>
                    <xdr:col>9</xdr:col>
                    <xdr:colOff>466725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99" r:id="rId6" name="Button 3">
              <controlPr defaultSize="0" print="0" autoFill="0" autoLine="0" autoPict="0">
                <anchor>
                  <from>
                    <xdr:col>8</xdr:col>
                    <xdr:colOff>66675</xdr:colOff>
                    <xdr:row>0</xdr:row>
                    <xdr:rowOff>38100</xdr:rowOff>
                  </from>
                  <to>
                    <xdr:col>8</xdr:col>
                    <xdr:colOff>266700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85">
    <pageSetUpPr fitToPage="1"/>
  </sheetPr>
  <dimension ref="A1:J48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9" customWidth="1"/>
    <col min="3" max="3" width="13.28515625" customWidth="1"/>
    <col min="4" max="10" width="9" customWidth="1"/>
  </cols>
  <sheetData>
    <row r="1" spans="1:10" ht="18.75" thickBot="1" x14ac:dyDescent="0.3">
      <c r="A1" s="1" t="s">
        <v>2648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ht="13.5" thickBot="1" x14ac:dyDescent="0.25">
      <c r="D3" s="5" t="s">
        <v>769</v>
      </c>
      <c r="E3" s="5" t="s">
        <v>12</v>
      </c>
      <c r="F3" s="5" t="s">
        <v>13</v>
      </c>
      <c r="G3" s="5" t="s">
        <v>14</v>
      </c>
    </row>
    <row r="4" spans="1:10" ht="13.5" thickTop="1" x14ac:dyDescent="0.2">
      <c r="D4" s="378" t="s">
        <v>118</v>
      </c>
      <c r="E4" s="379">
        <v>10</v>
      </c>
      <c r="F4" s="395">
        <v>80</v>
      </c>
      <c r="G4" s="396">
        <v>97</v>
      </c>
    </row>
    <row r="5" spans="1:10" x14ac:dyDescent="0.2">
      <c r="D5" s="381" t="s">
        <v>120</v>
      </c>
      <c r="E5" s="2">
        <v>20</v>
      </c>
      <c r="F5" s="377">
        <v>90</v>
      </c>
      <c r="G5" s="397">
        <v>69</v>
      </c>
    </row>
    <row r="6" spans="1:10" x14ac:dyDescent="0.2">
      <c r="D6" s="381" t="s">
        <v>121</v>
      </c>
      <c r="E6" s="2">
        <v>30</v>
      </c>
      <c r="F6" s="377">
        <v>100</v>
      </c>
      <c r="G6" s="397">
        <v>45</v>
      </c>
    </row>
    <row r="7" spans="1:10" x14ac:dyDescent="0.2">
      <c r="D7" s="381" t="s">
        <v>122</v>
      </c>
      <c r="E7" s="2">
        <v>40</v>
      </c>
      <c r="F7" s="377">
        <v>110</v>
      </c>
      <c r="G7" s="397">
        <v>51</v>
      </c>
    </row>
    <row r="8" spans="1:10" x14ac:dyDescent="0.2">
      <c r="D8" s="381" t="s">
        <v>300</v>
      </c>
      <c r="E8" s="2">
        <v>50</v>
      </c>
      <c r="F8" s="377">
        <v>120</v>
      </c>
      <c r="G8" s="397">
        <v>77</v>
      </c>
    </row>
    <row r="9" spans="1:10" x14ac:dyDescent="0.2">
      <c r="D9" s="381" t="s">
        <v>2597</v>
      </c>
      <c r="E9" s="2">
        <v>60</v>
      </c>
      <c r="F9" s="377">
        <v>130</v>
      </c>
      <c r="G9" s="397">
        <v>28</v>
      </c>
    </row>
    <row r="10" spans="1:10" ht="13.5" thickBot="1" x14ac:dyDescent="0.25">
      <c r="D10" s="383" t="s">
        <v>979</v>
      </c>
      <c r="E10" s="384">
        <v>70</v>
      </c>
      <c r="F10" s="398">
        <v>140</v>
      </c>
      <c r="G10" s="399">
        <v>73</v>
      </c>
    </row>
    <row r="11" spans="1:10" ht="13.5" thickTop="1" x14ac:dyDescent="0.2"/>
    <row r="12" spans="1:10" x14ac:dyDescent="0.2">
      <c r="B12" s="22"/>
      <c r="C12" s="24"/>
      <c r="D12" s="24"/>
      <c r="E12" s="23" t="s">
        <v>2598</v>
      </c>
      <c r="F12" s="2" t="s">
        <v>300</v>
      </c>
    </row>
    <row r="14" spans="1:10" x14ac:dyDescent="0.2">
      <c r="B14" s="22"/>
      <c r="C14" s="24"/>
      <c r="D14" s="24"/>
      <c r="E14" s="23" t="s">
        <v>2649</v>
      </c>
      <c r="F14" s="3">
        <f>LOOKUP(F12,D4:G10,F4:F10)</f>
        <v>120</v>
      </c>
      <c r="G14" s="8" t="s">
        <v>2650</v>
      </c>
    </row>
    <row r="16" spans="1:10" ht="13.5" thickBot="1" x14ac:dyDescent="0.25">
      <c r="B16" s="9" t="s">
        <v>39</v>
      </c>
      <c r="C16" s="9"/>
      <c r="D16" s="9"/>
      <c r="E16" s="9"/>
      <c r="F16" s="9"/>
      <c r="G16" s="9"/>
      <c r="H16" s="9"/>
      <c r="I16" s="9"/>
      <c r="J16" s="9"/>
    </row>
    <row r="17" spans="2:10" x14ac:dyDescent="0.2">
      <c r="B17" t="s">
        <v>2651</v>
      </c>
    </row>
    <row r="18" spans="2:10" x14ac:dyDescent="0.2">
      <c r="B18" t="s">
        <v>2652</v>
      </c>
    </row>
    <row r="20" spans="2:10" ht="13.5" thickBot="1" x14ac:dyDescent="0.25">
      <c r="B20" s="9" t="s">
        <v>43</v>
      </c>
      <c r="C20" s="9"/>
      <c r="D20" s="9"/>
      <c r="E20" s="9"/>
      <c r="F20" s="9"/>
      <c r="G20" s="9"/>
      <c r="H20" s="9"/>
      <c r="I20" s="9"/>
      <c r="J20" s="9"/>
    </row>
    <row r="21" spans="2:10" x14ac:dyDescent="0.2">
      <c r="B21" s="10" t="s">
        <v>2653</v>
      </c>
    </row>
    <row r="22" spans="2:10" x14ac:dyDescent="0.2">
      <c r="B22" t="s">
        <v>2626</v>
      </c>
    </row>
    <row r="23" spans="2:10" x14ac:dyDescent="0.2">
      <c r="B23" t="s">
        <v>2627</v>
      </c>
    </row>
    <row r="24" spans="2:10" x14ac:dyDescent="0.2">
      <c r="B24" t="s">
        <v>2654</v>
      </c>
    </row>
    <row r="25" spans="2:10" x14ac:dyDescent="0.2">
      <c r="B25" t="s">
        <v>2655</v>
      </c>
    </row>
    <row r="26" spans="2:10" x14ac:dyDescent="0.2">
      <c r="B26" s="10"/>
    </row>
    <row r="27" spans="2:10" ht="13.5" thickBot="1" x14ac:dyDescent="0.25">
      <c r="B27" s="9" t="s">
        <v>45</v>
      </c>
      <c r="C27" s="9"/>
      <c r="D27" s="9"/>
      <c r="E27" s="9"/>
      <c r="F27" s="9"/>
      <c r="G27" s="9"/>
      <c r="H27" s="9"/>
      <c r="I27" s="9"/>
      <c r="J27" s="9"/>
    </row>
    <row r="28" spans="2:10" x14ac:dyDescent="0.2">
      <c r="B28" t="s">
        <v>46</v>
      </c>
    </row>
    <row r="29" spans="2:10" x14ac:dyDescent="0.2">
      <c r="B29" s="10"/>
    </row>
    <row r="30" spans="2:10" ht="13.5" thickBot="1" x14ac:dyDescent="0.25">
      <c r="B30" s="9" t="s">
        <v>85</v>
      </c>
      <c r="C30" s="9"/>
      <c r="D30" s="9"/>
      <c r="E30" s="9"/>
      <c r="F30" s="9"/>
      <c r="G30" s="9"/>
      <c r="H30" s="9"/>
      <c r="I30" s="9"/>
      <c r="J30" s="9"/>
    </row>
    <row r="31" spans="2:10" x14ac:dyDescent="0.2">
      <c r="B31" t="s">
        <v>2656</v>
      </c>
    </row>
    <row r="32" spans="2:10" x14ac:dyDescent="0.2">
      <c r="B32" t="s">
        <v>2657</v>
      </c>
    </row>
    <row r="33" spans="2:10" x14ac:dyDescent="0.2">
      <c r="B33" t="s">
        <v>2658</v>
      </c>
    </row>
    <row r="34" spans="2:10" x14ac:dyDescent="0.2">
      <c r="B34" t="s">
        <v>2659</v>
      </c>
    </row>
    <row r="35" spans="2:10" x14ac:dyDescent="0.2">
      <c r="B35" t="s">
        <v>2660</v>
      </c>
    </row>
    <row r="37" spans="2:10" ht="13.5" thickBot="1" x14ac:dyDescent="0.25">
      <c r="C37" s="389" t="s">
        <v>2661</v>
      </c>
      <c r="E37" s="51" t="s">
        <v>2662</v>
      </c>
      <c r="F37" s="51"/>
      <c r="G37" s="51"/>
      <c r="H37" s="51"/>
      <c r="I37" s="51"/>
      <c r="J37" s="51"/>
    </row>
    <row r="38" spans="2:10" ht="14.25" thickTop="1" thickBot="1" x14ac:dyDescent="0.25">
      <c r="C38" s="400" t="s">
        <v>118</v>
      </c>
      <c r="E38" s="401">
        <v>5</v>
      </c>
      <c r="F38" s="402">
        <v>10</v>
      </c>
      <c r="G38" s="402">
        <v>15</v>
      </c>
      <c r="H38" s="402">
        <v>20</v>
      </c>
      <c r="I38" s="402">
        <v>25</v>
      </c>
      <c r="J38" s="403">
        <v>30</v>
      </c>
    </row>
    <row r="39" spans="2:10" ht="13.5" thickTop="1" x14ac:dyDescent="0.2">
      <c r="C39" s="404" t="s">
        <v>120</v>
      </c>
    </row>
    <row r="40" spans="2:10" x14ac:dyDescent="0.2">
      <c r="C40" s="404" t="s">
        <v>121</v>
      </c>
    </row>
    <row r="41" spans="2:10" x14ac:dyDescent="0.2">
      <c r="B41" s="4"/>
      <c r="C41" s="404" t="s">
        <v>122</v>
      </c>
      <c r="E41" s="22"/>
      <c r="F41" s="35" t="s">
        <v>2663</v>
      </c>
      <c r="G41" s="2" t="s">
        <v>121</v>
      </c>
    </row>
    <row r="42" spans="2:10" x14ac:dyDescent="0.2">
      <c r="C42" s="404" t="s">
        <v>300</v>
      </c>
      <c r="E42" s="22"/>
      <c r="F42" s="35" t="s">
        <v>2664</v>
      </c>
      <c r="G42" s="3">
        <f>LOOKUP(G41,C38:C43,E38:J38)</f>
        <v>15</v>
      </c>
    </row>
    <row r="43" spans="2:10" ht="13.5" thickBot="1" x14ac:dyDescent="0.25">
      <c r="C43" s="405" t="s">
        <v>978</v>
      </c>
      <c r="G43" s="8" t="s">
        <v>2665</v>
      </c>
    </row>
    <row r="44" spans="2:10" ht="13.5" thickTop="1" x14ac:dyDescent="0.2"/>
    <row r="46" spans="2:10" ht="13.5" thickBot="1" x14ac:dyDescent="0.25">
      <c r="B46" s="9" t="s">
        <v>2637</v>
      </c>
      <c r="C46" s="9"/>
      <c r="D46" s="9"/>
      <c r="E46" s="9"/>
      <c r="F46" s="9"/>
      <c r="G46" s="9"/>
      <c r="H46" s="9"/>
      <c r="I46" s="9"/>
      <c r="J46" s="9"/>
    </row>
    <row r="47" spans="2:10" x14ac:dyDescent="0.2">
      <c r="B47" t="s">
        <v>2638</v>
      </c>
    </row>
    <row r="48" spans="2:10" x14ac:dyDescent="0.2">
      <c r="B48" t="s">
        <v>2639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7521" r:id="rId4" name="Button 1">
              <controlPr defaultSize="0" print="0" autoFill="0" autoLine="0" autoPict="0">
                <anchor>
                  <from>
                    <xdr:col>8</xdr:col>
                    <xdr:colOff>47625</xdr:colOff>
                    <xdr:row>0</xdr:row>
                    <xdr:rowOff>38100</xdr:rowOff>
                  </from>
                  <to>
                    <xdr:col>8</xdr:col>
                    <xdr:colOff>514350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22" r:id="rId5" name="Button 2">
              <controlPr defaultSize="0" print="0" autoFill="0" autoLine="0" autoPict="0">
                <anchor>
                  <from>
                    <xdr:col>8</xdr:col>
                    <xdr:colOff>581025</xdr:colOff>
                    <xdr:row>0</xdr:row>
                    <xdr:rowOff>38100</xdr:rowOff>
                  </from>
                  <to>
                    <xdr:col>9</xdr:col>
                    <xdr:colOff>180975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23" r:id="rId6" name="Button 3">
              <controlPr defaultSize="0" print="0" autoFill="0" autoLine="0" autoPict="0">
                <anchor>
                  <from>
                    <xdr:col>7</xdr:col>
                    <xdr:colOff>381000</xdr:colOff>
                    <xdr:row>0</xdr:row>
                    <xdr:rowOff>38100</xdr:rowOff>
                  </from>
                  <to>
                    <xdr:col>7</xdr:col>
                    <xdr:colOff>581025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87">
    <pageSetUpPr fitToPage="1"/>
  </sheetPr>
  <dimension ref="A1:I115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3.28515625" customWidth="1"/>
    <col min="3" max="3" width="10.7109375" customWidth="1"/>
    <col min="4" max="4" width="10.85546875" customWidth="1"/>
    <col min="5" max="5" width="12.28515625" customWidth="1"/>
    <col min="6" max="6" width="9" customWidth="1"/>
    <col min="7" max="7" width="13" customWidth="1"/>
    <col min="8" max="8" width="10.5703125" customWidth="1"/>
    <col min="9" max="9" width="10.85546875" customWidth="1"/>
    <col min="10" max="10" width="1.85546875" customWidth="1"/>
  </cols>
  <sheetData>
    <row r="1" spans="1:9" ht="18.75" thickBot="1" x14ac:dyDescent="0.3">
      <c r="A1" s="1" t="s">
        <v>2666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E3" s="5" t="s">
        <v>2667</v>
      </c>
      <c r="I3" s="5" t="s">
        <v>356</v>
      </c>
    </row>
    <row r="4" spans="1:9" x14ac:dyDescent="0.2">
      <c r="E4" s="2" t="s">
        <v>120</v>
      </c>
      <c r="I4" s="2">
        <v>250</v>
      </c>
    </row>
    <row r="5" spans="1:9" x14ac:dyDescent="0.2">
      <c r="E5" s="2" t="s">
        <v>118</v>
      </c>
      <c r="I5" s="2">
        <v>600</v>
      </c>
    </row>
    <row r="6" spans="1:9" x14ac:dyDescent="0.2">
      <c r="E6" s="2" t="s">
        <v>122</v>
      </c>
      <c r="I6" s="2">
        <v>1000</v>
      </c>
    </row>
    <row r="7" spans="1:9" x14ac:dyDescent="0.2">
      <c r="E7" s="2" t="s">
        <v>121</v>
      </c>
      <c r="I7" s="2">
        <v>4000</v>
      </c>
    </row>
    <row r="9" spans="1:9" x14ac:dyDescent="0.2">
      <c r="B9" s="22"/>
      <c r="C9" s="24"/>
      <c r="D9" s="23" t="s">
        <v>302</v>
      </c>
      <c r="E9" s="2" t="s">
        <v>118</v>
      </c>
      <c r="G9" s="22"/>
      <c r="H9" s="23" t="s">
        <v>2668</v>
      </c>
      <c r="I9" s="2">
        <v>1000</v>
      </c>
    </row>
    <row r="11" spans="1:9" x14ac:dyDescent="0.2">
      <c r="B11" s="22"/>
      <c r="C11" s="24"/>
      <c r="D11" s="23" t="str">
        <f>"The position of "&amp;E9&amp;" is : "</f>
        <v xml:space="preserve">The position of Alan is : </v>
      </c>
      <c r="E11" s="3">
        <f>MATCH(E9,E4:E7,0)</f>
        <v>2</v>
      </c>
      <c r="G11" s="22"/>
      <c r="H11" s="23" t="s">
        <v>2669</v>
      </c>
      <c r="I11" s="3">
        <f>MATCH(I9,I4:I7,1)</f>
        <v>3</v>
      </c>
    </row>
    <row r="12" spans="1:9" x14ac:dyDescent="0.2">
      <c r="E12" s="19" t="s">
        <v>2670</v>
      </c>
      <c r="I12" s="32" t="s">
        <v>2671</v>
      </c>
    </row>
    <row r="14" spans="1:9" ht="13.5" thickBot="1" x14ac:dyDescent="0.25">
      <c r="B14" s="9" t="s">
        <v>39</v>
      </c>
      <c r="C14" s="9"/>
      <c r="D14" s="9"/>
      <c r="E14" s="9"/>
      <c r="F14" s="9"/>
      <c r="G14" s="9"/>
      <c r="H14" s="9"/>
      <c r="I14" s="9"/>
    </row>
    <row r="15" spans="1:9" x14ac:dyDescent="0.2">
      <c r="B15" t="s">
        <v>2672</v>
      </c>
    </row>
    <row r="16" spans="1:9" x14ac:dyDescent="0.2">
      <c r="B16" t="s">
        <v>2673</v>
      </c>
    </row>
    <row r="17" spans="2:9" x14ac:dyDescent="0.2">
      <c r="B17" t="s">
        <v>2674</v>
      </c>
    </row>
    <row r="19" spans="2:9" ht="13.5" thickBot="1" x14ac:dyDescent="0.25">
      <c r="B19" s="9" t="s">
        <v>43</v>
      </c>
      <c r="C19" s="9"/>
      <c r="D19" s="9"/>
      <c r="E19" s="9"/>
      <c r="F19" s="9"/>
      <c r="G19" s="9"/>
      <c r="H19" s="9"/>
      <c r="I19" s="9"/>
    </row>
    <row r="20" spans="2:9" x14ac:dyDescent="0.2">
      <c r="B20" s="10" t="s">
        <v>2675</v>
      </c>
    </row>
    <row r="21" spans="2:9" x14ac:dyDescent="0.2">
      <c r="B21" t="s">
        <v>2676</v>
      </c>
    </row>
    <row r="23" spans="2:9" x14ac:dyDescent="0.2">
      <c r="B23" t="s">
        <v>2677</v>
      </c>
    </row>
    <row r="25" spans="2:9" x14ac:dyDescent="0.2">
      <c r="B25" t="s">
        <v>2678</v>
      </c>
    </row>
    <row r="26" spans="2:9" x14ac:dyDescent="0.2">
      <c r="B26" t="s">
        <v>2679</v>
      </c>
    </row>
    <row r="27" spans="2:9" x14ac:dyDescent="0.2">
      <c r="B27" t="s">
        <v>2680</v>
      </c>
    </row>
    <row r="29" spans="2:9" x14ac:dyDescent="0.2">
      <c r="B29" t="s">
        <v>2681</v>
      </c>
    </row>
    <row r="30" spans="2:9" x14ac:dyDescent="0.2">
      <c r="B30" t="s">
        <v>2682</v>
      </c>
    </row>
    <row r="31" spans="2:9" x14ac:dyDescent="0.2">
      <c r="B31" t="s">
        <v>2683</v>
      </c>
    </row>
    <row r="33" spans="2:9" ht="13.5" thickBot="1" x14ac:dyDescent="0.25">
      <c r="B33" s="9" t="s">
        <v>2684</v>
      </c>
      <c r="C33" s="9"/>
      <c r="D33" s="9"/>
      <c r="E33" s="9"/>
      <c r="F33" s="9"/>
      <c r="G33" s="9"/>
      <c r="H33" s="9"/>
      <c r="I33" s="9"/>
    </row>
    <row r="34" spans="2:9" x14ac:dyDescent="0.2">
      <c r="B34" t="s">
        <v>2685</v>
      </c>
    </row>
    <row r="35" spans="2:9" x14ac:dyDescent="0.2">
      <c r="B35" t="s">
        <v>2686</v>
      </c>
    </row>
    <row r="36" spans="2:9" x14ac:dyDescent="0.2">
      <c r="B36" t="s">
        <v>2687</v>
      </c>
    </row>
    <row r="37" spans="2:9" x14ac:dyDescent="0.2">
      <c r="B37" t="s">
        <v>2688</v>
      </c>
    </row>
    <row r="38" spans="2:9" ht="13.5" thickBot="1" x14ac:dyDescent="0.25"/>
    <row r="39" spans="2:9" ht="13.5" thickTop="1" x14ac:dyDescent="0.2">
      <c r="C39" s="373" t="s">
        <v>2689</v>
      </c>
      <c r="E39" s="373" t="s">
        <v>2690</v>
      </c>
      <c r="G39" s="406" t="s">
        <v>2691</v>
      </c>
    </row>
    <row r="40" spans="2:9" x14ac:dyDescent="0.2">
      <c r="C40" s="323">
        <v>10</v>
      </c>
      <c r="E40" s="323">
        <v>40</v>
      </c>
      <c r="G40" s="407">
        <v>10</v>
      </c>
    </row>
    <row r="41" spans="2:9" x14ac:dyDescent="0.2">
      <c r="C41" s="323">
        <v>20</v>
      </c>
      <c r="E41" s="323">
        <v>30</v>
      </c>
      <c r="G41" s="407">
        <v>20</v>
      </c>
    </row>
    <row r="42" spans="2:9" x14ac:dyDescent="0.2">
      <c r="C42" s="323">
        <v>30</v>
      </c>
      <c r="E42" s="323">
        <v>20</v>
      </c>
      <c r="G42" s="407">
        <v>30</v>
      </c>
    </row>
    <row r="43" spans="2:9" x14ac:dyDescent="0.2">
      <c r="C43" s="323">
        <v>40</v>
      </c>
      <c r="E43" s="323">
        <v>10</v>
      </c>
      <c r="G43" s="407">
        <v>40</v>
      </c>
    </row>
    <row r="44" spans="2:9" x14ac:dyDescent="0.2">
      <c r="G44" s="408"/>
    </row>
    <row r="45" spans="2:9" x14ac:dyDescent="0.2">
      <c r="C45" s="323">
        <v>20</v>
      </c>
      <c r="E45" s="323">
        <v>20</v>
      </c>
      <c r="G45" s="407">
        <v>25</v>
      </c>
    </row>
    <row r="46" spans="2:9" ht="13.5" thickBot="1" x14ac:dyDescent="0.25">
      <c r="C46" s="324">
        <f>MATCH(C45,C40:C43,0)</f>
        <v>2</v>
      </c>
      <c r="E46" s="324">
        <f>MATCH(E45,E40:E43,0)</f>
        <v>3</v>
      </c>
      <c r="G46" s="409" t="e">
        <f>MATCH(G45,G40:G43,0)</f>
        <v>#N/A</v>
      </c>
    </row>
    <row r="47" spans="2:9" ht="13.5" thickTop="1" x14ac:dyDescent="0.2">
      <c r="E47" s="4" t="s">
        <v>2692</v>
      </c>
    </row>
    <row r="48" spans="2:9" x14ac:dyDescent="0.2">
      <c r="C48" s="250"/>
    </row>
    <row r="50" spans="2:9" ht="13.5" thickBot="1" x14ac:dyDescent="0.25">
      <c r="B50" s="9" t="s">
        <v>305</v>
      </c>
      <c r="C50" s="9"/>
      <c r="D50" s="9"/>
      <c r="E50" s="9"/>
      <c r="F50" s="9"/>
      <c r="G50" s="9"/>
      <c r="H50" s="9"/>
      <c r="I50" s="9"/>
    </row>
    <row r="51" spans="2:9" x14ac:dyDescent="0.2">
      <c r="B51" t="s">
        <v>2693</v>
      </c>
    </row>
    <row r="52" spans="2:9" x14ac:dyDescent="0.2">
      <c r="B52" t="s">
        <v>2686</v>
      </c>
    </row>
    <row r="53" spans="2:9" x14ac:dyDescent="0.2">
      <c r="B53" t="s">
        <v>2694</v>
      </c>
    </row>
    <row r="54" spans="2:9" x14ac:dyDescent="0.2">
      <c r="B54" t="s">
        <v>2695</v>
      </c>
    </row>
    <row r="55" spans="2:9" ht="13.5" thickBot="1" x14ac:dyDescent="0.25"/>
    <row r="56" spans="2:9" ht="13.5" thickTop="1" x14ac:dyDescent="0.2">
      <c r="C56" s="373" t="s">
        <v>2689</v>
      </c>
      <c r="E56" s="406" t="s">
        <v>2690</v>
      </c>
      <c r="G56" s="373" t="s">
        <v>2691</v>
      </c>
    </row>
    <row r="57" spans="2:9" x14ac:dyDescent="0.2">
      <c r="C57" s="323">
        <v>10</v>
      </c>
      <c r="E57" s="407">
        <v>40</v>
      </c>
      <c r="G57" s="323">
        <v>10</v>
      </c>
    </row>
    <row r="58" spans="2:9" x14ac:dyDescent="0.2">
      <c r="C58" s="323">
        <v>20</v>
      </c>
      <c r="E58" s="407">
        <v>30</v>
      </c>
      <c r="G58" s="323">
        <v>20</v>
      </c>
    </row>
    <row r="59" spans="2:9" x14ac:dyDescent="0.2">
      <c r="C59" s="323">
        <v>30</v>
      </c>
      <c r="E59" s="407">
        <v>20</v>
      </c>
      <c r="G59" s="323">
        <v>30</v>
      </c>
    </row>
    <row r="60" spans="2:9" x14ac:dyDescent="0.2">
      <c r="C60" s="323">
        <v>40</v>
      </c>
      <c r="E60" s="407">
        <v>10</v>
      </c>
      <c r="G60" s="323">
        <v>40</v>
      </c>
    </row>
    <row r="61" spans="2:9" x14ac:dyDescent="0.2">
      <c r="E61" s="408"/>
    </row>
    <row r="62" spans="2:9" x14ac:dyDescent="0.2">
      <c r="C62" s="323">
        <v>20</v>
      </c>
      <c r="E62" s="407">
        <v>20</v>
      </c>
      <c r="G62" s="323">
        <v>25</v>
      </c>
    </row>
    <row r="63" spans="2:9" ht="13.5" thickBot="1" x14ac:dyDescent="0.25">
      <c r="C63" s="324">
        <f>MATCH(C62,C57:C60,1)</f>
        <v>2</v>
      </c>
      <c r="E63" s="409" t="e">
        <f>MATCH(E62,E57:E60,1)</f>
        <v>#N/A</v>
      </c>
      <c r="G63" s="324">
        <f>MATCH(G62,G57:G60,1)</f>
        <v>2</v>
      </c>
    </row>
    <row r="64" spans="2:9" ht="13.5" thickTop="1" x14ac:dyDescent="0.2">
      <c r="G64" s="250" t="s">
        <v>2696</v>
      </c>
    </row>
    <row r="67" spans="2:9" ht="13.5" thickBot="1" x14ac:dyDescent="0.25">
      <c r="B67" s="9" t="s">
        <v>323</v>
      </c>
      <c r="C67" s="9"/>
      <c r="D67" s="9"/>
      <c r="E67" s="9"/>
      <c r="F67" s="9"/>
      <c r="G67" s="9"/>
      <c r="H67" s="9"/>
      <c r="I67" s="9"/>
    </row>
    <row r="68" spans="2:9" x14ac:dyDescent="0.2">
      <c r="B68" t="s">
        <v>2697</v>
      </c>
    </row>
    <row r="69" spans="2:9" x14ac:dyDescent="0.2">
      <c r="B69" t="s">
        <v>2698</v>
      </c>
    </row>
    <row r="70" spans="2:9" x14ac:dyDescent="0.2">
      <c r="B70" t="s">
        <v>2699</v>
      </c>
    </row>
    <row r="71" spans="2:9" x14ac:dyDescent="0.2">
      <c r="B71" t="s">
        <v>2700</v>
      </c>
    </row>
    <row r="72" spans="2:9" ht="13.5" thickBot="1" x14ac:dyDescent="0.25"/>
    <row r="73" spans="2:9" ht="13.5" thickTop="1" x14ac:dyDescent="0.2">
      <c r="C73" s="410" t="s">
        <v>2689</v>
      </c>
      <c r="E73" s="5" t="s">
        <v>2690</v>
      </c>
      <c r="G73" s="5" t="s">
        <v>2691</v>
      </c>
    </row>
    <row r="74" spans="2:9" x14ac:dyDescent="0.2">
      <c r="C74" s="411">
        <v>10</v>
      </c>
      <c r="E74" s="2">
        <v>40</v>
      </c>
      <c r="G74" s="2">
        <v>40</v>
      </c>
    </row>
    <row r="75" spans="2:9" x14ac:dyDescent="0.2">
      <c r="C75" s="411">
        <v>20</v>
      </c>
      <c r="E75" s="2">
        <v>30</v>
      </c>
      <c r="G75" s="2">
        <v>30</v>
      </c>
    </row>
    <row r="76" spans="2:9" x14ac:dyDescent="0.2">
      <c r="C76" s="411">
        <v>30</v>
      </c>
      <c r="E76" s="2">
        <v>20</v>
      </c>
      <c r="G76" s="2">
        <v>20</v>
      </c>
    </row>
    <row r="77" spans="2:9" x14ac:dyDescent="0.2">
      <c r="C77" s="411">
        <v>40</v>
      </c>
      <c r="E77" s="2">
        <v>10</v>
      </c>
      <c r="G77" s="2">
        <v>10</v>
      </c>
    </row>
    <row r="78" spans="2:9" x14ac:dyDescent="0.2">
      <c r="C78" s="408"/>
    </row>
    <row r="79" spans="2:9" x14ac:dyDescent="0.2">
      <c r="C79" s="411">
        <v>20</v>
      </c>
      <c r="E79" s="2">
        <v>20</v>
      </c>
      <c r="G79" s="2">
        <v>25</v>
      </c>
    </row>
    <row r="80" spans="2:9" ht="13.5" thickBot="1" x14ac:dyDescent="0.25">
      <c r="C80" s="412" t="e">
        <f>MATCH(C79,C74:C77,-1)</f>
        <v>#N/A</v>
      </c>
      <c r="E80" s="3">
        <f>MATCH(E79,E74:E77,-1)</f>
        <v>3</v>
      </c>
      <c r="G80" s="3">
        <f>MATCH(G79,G74:G77,-1)</f>
        <v>2</v>
      </c>
    </row>
    <row r="81" spans="2:9" ht="13.5" thickTop="1" x14ac:dyDescent="0.2">
      <c r="G81" s="26" t="s">
        <v>2701</v>
      </c>
    </row>
    <row r="84" spans="2:9" ht="13.5" thickBot="1" x14ac:dyDescent="0.25">
      <c r="B84" s="9" t="s">
        <v>822</v>
      </c>
      <c r="C84" s="9"/>
      <c r="D84" s="9"/>
      <c r="E84" s="9"/>
      <c r="F84" s="9"/>
      <c r="G84" s="9"/>
      <c r="H84" s="9"/>
      <c r="I84" s="9"/>
    </row>
    <row r="85" spans="2:9" x14ac:dyDescent="0.2">
      <c r="B85" t="s">
        <v>2702</v>
      </c>
    </row>
    <row r="86" spans="2:9" x14ac:dyDescent="0.2">
      <c r="B86" t="s">
        <v>2703</v>
      </c>
    </row>
    <row r="87" spans="2:9" x14ac:dyDescent="0.2">
      <c r="B87" t="s">
        <v>2704</v>
      </c>
    </row>
    <row r="88" spans="2:9" x14ac:dyDescent="0.2">
      <c r="B88" t="s">
        <v>2705</v>
      </c>
    </row>
    <row r="89" spans="2:9" x14ac:dyDescent="0.2">
      <c r="B89" t="s">
        <v>2706</v>
      </c>
    </row>
    <row r="90" spans="2:9" x14ac:dyDescent="0.2">
      <c r="B90" t="s">
        <v>2707</v>
      </c>
    </row>
    <row r="91" spans="2:9" x14ac:dyDescent="0.2">
      <c r="B91" t="s">
        <v>2708</v>
      </c>
    </row>
    <row r="92" spans="2:9" x14ac:dyDescent="0.2">
      <c r="B92" t="s">
        <v>2709</v>
      </c>
    </row>
    <row r="94" spans="2:9" x14ac:dyDescent="0.2">
      <c r="D94" s="5" t="s">
        <v>2710</v>
      </c>
      <c r="F94" s="22"/>
      <c r="G94" s="57" t="s">
        <v>2711</v>
      </c>
      <c r="H94" s="2">
        <v>23</v>
      </c>
    </row>
    <row r="95" spans="2:9" x14ac:dyDescent="0.2">
      <c r="C95" s="5" t="s">
        <v>2712</v>
      </c>
      <c r="D95" s="2">
        <v>54</v>
      </c>
      <c r="F95" s="123"/>
      <c r="G95" s="57" t="s">
        <v>2713</v>
      </c>
      <c r="H95" s="3">
        <f>INDEX(D95:D99,MATCH(H94,D95:D99,-1),0)</f>
        <v>50</v>
      </c>
    </row>
    <row r="96" spans="2:9" x14ac:dyDescent="0.2">
      <c r="C96" s="5" t="s">
        <v>2714</v>
      </c>
      <c r="D96" s="2">
        <v>50</v>
      </c>
      <c r="H96" s="32" t="s">
        <v>2715</v>
      </c>
    </row>
    <row r="97" spans="2:9" x14ac:dyDescent="0.2">
      <c r="C97" s="5" t="s">
        <v>2716</v>
      </c>
      <c r="D97" s="2">
        <v>22</v>
      </c>
    </row>
    <row r="98" spans="2:9" x14ac:dyDescent="0.2">
      <c r="C98" s="5" t="s">
        <v>2717</v>
      </c>
      <c r="D98" s="2">
        <v>15</v>
      </c>
    </row>
    <row r="99" spans="2:9" x14ac:dyDescent="0.2">
      <c r="C99" s="5" t="s">
        <v>2718</v>
      </c>
      <c r="D99" s="2">
        <v>6</v>
      </c>
    </row>
    <row r="102" spans="2:9" ht="13.5" thickBot="1" x14ac:dyDescent="0.25">
      <c r="B102" s="9" t="s">
        <v>2719</v>
      </c>
      <c r="C102" s="9"/>
      <c r="D102" s="9"/>
      <c r="E102" s="9"/>
      <c r="F102" s="9"/>
      <c r="G102" s="9"/>
      <c r="H102" s="9"/>
      <c r="I102" s="9"/>
    </row>
    <row r="103" spans="2:9" x14ac:dyDescent="0.2">
      <c r="B103" t="s">
        <v>2720</v>
      </c>
    </row>
    <row r="104" spans="2:9" x14ac:dyDescent="0.2">
      <c r="B104" t="s">
        <v>2721</v>
      </c>
    </row>
    <row r="105" spans="2:9" x14ac:dyDescent="0.2">
      <c r="B105" t="s">
        <v>2722</v>
      </c>
    </row>
    <row r="106" spans="2:9" x14ac:dyDescent="0.2">
      <c r="B106" t="s">
        <v>2723</v>
      </c>
    </row>
    <row r="107" spans="2:9" x14ac:dyDescent="0.2">
      <c r="B107" t="s">
        <v>2724</v>
      </c>
    </row>
    <row r="108" spans="2:9" x14ac:dyDescent="0.2">
      <c r="B108" t="s">
        <v>2725</v>
      </c>
    </row>
    <row r="110" spans="2:9" x14ac:dyDescent="0.2">
      <c r="C110" s="5" t="s">
        <v>2726</v>
      </c>
      <c r="D110" s="5" t="s">
        <v>764</v>
      </c>
      <c r="G110" s="57" t="s">
        <v>2727</v>
      </c>
      <c r="H110" s="5" t="s">
        <v>764</v>
      </c>
    </row>
    <row r="111" spans="2:9" x14ac:dyDescent="0.2">
      <c r="C111" s="2">
        <v>0</v>
      </c>
      <c r="D111" s="2" t="s">
        <v>119</v>
      </c>
      <c r="F111" s="5" t="s">
        <v>118</v>
      </c>
      <c r="G111" s="2">
        <v>60</v>
      </c>
      <c r="H111" s="3" t="str">
        <f>INDEX(D111:D114,MATCH(G111,C111:C114,1),0)</f>
        <v>Pass</v>
      </c>
    </row>
    <row r="112" spans="2:9" x14ac:dyDescent="0.2">
      <c r="C112" s="2">
        <v>50</v>
      </c>
      <c r="D112" s="2" t="s">
        <v>2728</v>
      </c>
      <c r="F112" s="5" t="s">
        <v>120</v>
      </c>
      <c r="G112" s="2">
        <v>6</v>
      </c>
      <c r="H112" s="3" t="str">
        <f>INDEX(D111:D114,MATCH(G112,C111:C114,1),0)</f>
        <v>Fail</v>
      </c>
    </row>
    <row r="113" spans="3:8" x14ac:dyDescent="0.2">
      <c r="C113" s="2">
        <v>90</v>
      </c>
      <c r="D113" s="2" t="s">
        <v>2729</v>
      </c>
      <c r="F113" s="5" t="s">
        <v>121</v>
      </c>
      <c r="G113" s="2">
        <v>97</v>
      </c>
      <c r="H113" s="3" t="str">
        <f>INDEX(D111:D114,MATCH(G113,C111:C114,1),0)</f>
        <v>Distinction</v>
      </c>
    </row>
    <row r="114" spans="3:8" x14ac:dyDescent="0.2">
      <c r="C114" s="2">
        <v>95</v>
      </c>
      <c r="D114" s="2" t="s">
        <v>2730</v>
      </c>
      <c r="F114" s="5" t="s">
        <v>122</v>
      </c>
      <c r="G114" s="2">
        <v>89</v>
      </c>
      <c r="H114" s="3" t="str">
        <f>INDEX(D111:D114,MATCH(G114,C111:C114,1),0)</f>
        <v>Pass</v>
      </c>
    </row>
    <row r="115" spans="3:8" x14ac:dyDescent="0.2">
      <c r="H115" s="32" t="s">
        <v>2731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rowBreaks count="2" manualBreakCount="2">
    <brk id="48" max="65535" man="1"/>
    <brk id="82" max="65535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8545" r:id="rId4" name="Button 1">
              <controlPr defaultSize="0" print="0" autoFill="0" autoLine="0" autoPict="0">
                <anchor>
                  <from>
                    <xdr:col>7</xdr:col>
                    <xdr:colOff>590550</xdr:colOff>
                    <xdr:row>0</xdr:row>
                    <xdr:rowOff>38100</xdr:rowOff>
                  </from>
                  <to>
                    <xdr:col>8</xdr:col>
                    <xdr:colOff>342900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46" r:id="rId5" name="Button 2">
              <controlPr defaultSize="0" print="0" autoFill="0" autoLine="0" autoPict="0">
                <anchor>
                  <from>
                    <xdr:col>8</xdr:col>
                    <xdr:colOff>409575</xdr:colOff>
                    <xdr:row>0</xdr:row>
                    <xdr:rowOff>38100</xdr:rowOff>
                  </from>
                  <to>
                    <xdr:col>8</xdr:col>
                    <xdr:colOff>609600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47" r:id="rId6" name="Button 3">
              <controlPr defaultSize="0" print="0" autoFill="0" autoLine="0" autoPict="0">
                <anchor>
                  <from>
                    <xdr:col>7</xdr:col>
                    <xdr:colOff>314325</xdr:colOff>
                    <xdr:row>0</xdr:row>
                    <xdr:rowOff>38100</xdr:rowOff>
                  </from>
                  <to>
                    <xdr:col>7</xdr:col>
                    <xdr:colOff>514350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90">
    <pageSetUpPr fitToPage="1"/>
  </sheetPr>
  <dimension ref="A1:H56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21.140625" customWidth="1"/>
    <col min="4" max="4" width="12.28515625" customWidth="1"/>
    <col min="5" max="5" width="10.7109375" customWidth="1"/>
  </cols>
  <sheetData>
    <row r="1" spans="1:8" ht="18.75" thickBot="1" x14ac:dyDescent="0.3">
      <c r="A1" s="1" t="s">
        <v>2732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ht="25.5" x14ac:dyDescent="0.2">
      <c r="C3" s="5" t="s">
        <v>240</v>
      </c>
      <c r="D3" s="21" t="s">
        <v>493</v>
      </c>
      <c r="E3" s="21" t="s">
        <v>2733</v>
      </c>
      <c r="F3" s="5" t="s">
        <v>2734</v>
      </c>
    </row>
    <row r="4" spans="1:8" x14ac:dyDescent="0.2">
      <c r="C4" s="2" t="s">
        <v>2735</v>
      </c>
      <c r="D4" s="2">
        <v>1</v>
      </c>
      <c r="E4" s="2">
        <v>3</v>
      </c>
      <c r="F4" s="3" t="str">
        <f>MID(C4,D4,E4)</f>
        <v>ABC</v>
      </c>
      <c r="G4" s="8" t="s">
        <v>2736</v>
      </c>
    </row>
    <row r="5" spans="1:8" x14ac:dyDescent="0.2">
      <c r="C5" s="2" t="s">
        <v>2735</v>
      </c>
      <c r="D5" s="2">
        <v>2</v>
      </c>
      <c r="E5" s="2">
        <v>3</v>
      </c>
      <c r="F5" s="3" t="str">
        <f>MID(C5,D5,E5)</f>
        <v>BCD</v>
      </c>
      <c r="G5" s="8" t="s">
        <v>2737</v>
      </c>
    </row>
    <row r="6" spans="1:8" x14ac:dyDescent="0.2">
      <c r="C6" s="2" t="s">
        <v>2735</v>
      </c>
      <c r="D6" s="2">
        <v>5</v>
      </c>
      <c r="E6" s="2">
        <v>2</v>
      </c>
      <c r="F6" s="3" t="str">
        <f>MID(C6,D6,E6)</f>
        <v>ED</v>
      </c>
      <c r="G6" s="8" t="s">
        <v>2738</v>
      </c>
    </row>
    <row r="8" spans="1:8" x14ac:dyDescent="0.2">
      <c r="C8" s="2" t="s">
        <v>2739</v>
      </c>
      <c r="D8" s="3" t="str">
        <f>MID(C8,5,3)</f>
        <v>100</v>
      </c>
      <c r="E8" s="8" t="s">
        <v>2740</v>
      </c>
    </row>
    <row r="9" spans="1:8" x14ac:dyDescent="0.2">
      <c r="C9" s="2" t="s">
        <v>2741</v>
      </c>
      <c r="D9" s="3" t="str">
        <f>MID(C9,5,3)</f>
        <v>200</v>
      </c>
      <c r="E9" s="8" t="s">
        <v>2742</v>
      </c>
    </row>
    <row r="10" spans="1:8" x14ac:dyDescent="0.2">
      <c r="C10" s="2" t="s">
        <v>2743</v>
      </c>
      <c r="D10" s="3" t="str">
        <f>MID(C10,5,3)</f>
        <v>300</v>
      </c>
      <c r="E10" s="8" t="s">
        <v>2744</v>
      </c>
    </row>
    <row r="12" spans="1:8" x14ac:dyDescent="0.2">
      <c r="C12" s="2" t="s">
        <v>2745</v>
      </c>
      <c r="D12" s="3" t="str">
        <f>MID(C12,12,99)</f>
        <v>Large</v>
      </c>
      <c r="E12" s="8" t="s">
        <v>2746</v>
      </c>
    </row>
    <row r="13" spans="1:8" x14ac:dyDescent="0.2">
      <c r="C13" s="2" t="s">
        <v>2747</v>
      </c>
      <c r="D13" s="3" t="str">
        <f>MID(C13,12,99)</f>
        <v>Medium</v>
      </c>
      <c r="E13" s="8" t="s">
        <v>2748</v>
      </c>
    </row>
    <row r="14" spans="1:8" x14ac:dyDescent="0.2">
      <c r="C14" s="2" t="s">
        <v>2749</v>
      </c>
      <c r="D14" s="3" t="str">
        <f>MID(C14,12,99)</f>
        <v>Small</v>
      </c>
      <c r="E14" s="8" t="s">
        <v>2750</v>
      </c>
    </row>
    <row r="16" spans="1:8" ht="13.5" thickBot="1" x14ac:dyDescent="0.25">
      <c r="B16" s="9" t="s">
        <v>39</v>
      </c>
      <c r="C16" s="9"/>
      <c r="D16" s="9"/>
      <c r="E16" s="9"/>
      <c r="F16" s="9"/>
      <c r="G16" s="9"/>
      <c r="H16" s="9"/>
    </row>
    <row r="17" spans="2:8" x14ac:dyDescent="0.2">
      <c r="B17" t="s">
        <v>2751</v>
      </c>
    </row>
    <row r="18" spans="2:8" x14ac:dyDescent="0.2">
      <c r="B18" t="s">
        <v>2752</v>
      </c>
    </row>
    <row r="19" spans="2:8" x14ac:dyDescent="0.2">
      <c r="B19" t="s">
        <v>2753</v>
      </c>
    </row>
    <row r="20" spans="2:8" x14ac:dyDescent="0.2">
      <c r="B20" t="s">
        <v>2754</v>
      </c>
    </row>
    <row r="22" spans="2:8" ht="13.5" thickBot="1" x14ac:dyDescent="0.25">
      <c r="B22" s="9" t="s">
        <v>43</v>
      </c>
      <c r="C22" s="9"/>
      <c r="D22" s="9"/>
      <c r="E22" s="9"/>
      <c r="F22" s="9"/>
      <c r="G22" s="9"/>
      <c r="H22" s="9"/>
    </row>
    <row r="23" spans="2:8" x14ac:dyDescent="0.2">
      <c r="B23" s="10" t="s">
        <v>2755</v>
      </c>
    </row>
    <row r="25" spans="2:8" ht="13.5" thickBot="1" x14ac:dyDescent="0.25">
      <c r="B25" s="9" t="s">
        <v>45</v>
      </c>
      <c r="C25" s="9"/>
      <c r="D25" s="9"/>
      <c r="E25" s="9"/>
      <c r="F25" s="9"/>
      <c r="G25" s="9"/>
      <c r="H25" s="9"/>
    </row>
    <row r="26" spans="2:8" x14ac:dyDescent="0.2">
      <c r="B26" t="s">
        <v>46</v>
      </c>
    </row>
    <row r="28" spans="2:8" ht="13.5" thickBot="1" x14ac:dyDescent="0.25">
      <c r="B28" s="9" t="s">
        <v>286</v>
      </c>
      <c r="C28" s="9"/>
      <c r="D28" s="9"/>
      <c r="E28" s="9"/>
      <c r="F28" s="9"/>
      <c r="G28" s="9"/>
      <c r="H28" s="9"/>
    </row>
    <row r="29" spans="2:8" x14ac:dyDescent="0.2">
      <c r="B29" t="s">
        <v>2756</v>
      </c>
    </row>
    <row r="30" spans="2:8" x14ac:dyDescent="0.2">
      <c r="B30" t="s">
        <v>2757</v>
      </c>
    </row>
    <row r="31" spans="2:8" x14ac:dyDescent="0.2">
      <c r="B31" t="s">
        <v>2758</v>
      </c>
    </row>
    <row r="32" spans="2:8" x14ac:dyDescent="0.2">
      <c r="B32" t="s">
        <v>2759</v>
      </c>
    </row>
    <row r="34" spans="2:8" x14ac:dyDescent="0.2">
      <c r="C34" s="5" t="s">
        <v>2760</v>
      </c>
      <c r="D34" s="5" t="s">
        <v>2761</v>
      </c>
    </row>
    <row r="35" spans="2:8" x14ac:dyDescent="0.2">
      <c r="C35" s="2" t="s">
        <v>2762</v>
      </c>
      <c r="D35" s="3" t="str">
        <f>MID(C35,5,2)</f>
        <v>CF</v>
      </c>
      <c r="E35" s="8" t="s">
        <v>2763</v>
      </c>
    </row>
    <row r="36" spans="2:8" x14ac:dyDescent="0.2">
      <c r="C36" s="2" t="s">
        <v>2764</v>
      </c>
      <c r="D36" s="3" t="str">
        <f>MID(C36,5,2)</f>
        <v>WA</v>
      </c>
      <c r="E36" s="8" t="s">
        <v>2765</v>
      </c>
    </row>
    <row r="37" spans="2:8" x14ac:dyDescent="0.2">
      <c r="C37" s="2" t="s">
        <v>2766</v>
      </c>
      <c r="D37" s="3" t="str">
        <f>MID(C37,5,2)</f>
        <v>NP</v>
      </c>
      <c r="E37" s="8" t="s">
        <v>2767</v>
      </c>
    </row>
    <row r="40" spans="2:8" ht="13.5" thickBot="1" x14ac:dyDescent="0.25">
      <c r="B40" s="9" t="s">
        <v>305</v>
      </c>
      <c r="C40" s="9"/>
      <c r="D40" s="9"/>
      <c r="E40" s="9"/>
      <c r="F40" s="9"/>
      <c r="G40" s="9"/>
      <c r="H40" s="9"/>
    </row>
    <row r="41" spans="2:8" x14ac:dyDescent="0.2">
      <c r="B41" t="s">
        <v>2768</v>
      </c>
    </row>
    <row r="42" spans="2:8" x14ac:dyDescent="0.2">
      <c r="B42" t="s">
        <v>2769</v>
      </c>
    </row>
    <row r="43" spans="2:8" x14ac:dyDescent="0.2">
      <c r="B43" t="s">
        <v>2770</v>
      </c>
    </row>
    <row r="45" spans="2:8" x14ac:dyDescent="0.2">
      <c r="C45" s="5" t="s">
        <v>2771</v>
      </c>
      <c r="D45" s="5" t="s">
        <v>2761</v>
      </c>
    </row>
    <row r="46" spans="2:8" x14ac:dyDescent="0.2">
      <c r="C46" s="2" t="s">
        <v>2772</v>
      </c>
      <c r="D46" s="3" t="str">
        <f>MID(C46,FIND("/",C46)+1,FIND("/",C46,FIND("/",C46)+1)-FIND("/",C46)-1)</f>
        <v>STC</v>
      </c>
    </row>
    <row r="47" spans="2:8" x14ac:dyDescent="0.2">
      <c r="C47" s="2" t="s">
        <v>2773</v>
      </c>
      <c r="D47" s="3" t="str">
        <f>MID(C47,FIND("/",C47)+1,FIND("/",C47,FIND("/",C47)+1)-FIND("/",C47)-1)</f>
        <v>FC</v>
      </c>
    </row>
    <row r="48" spans="2:8" x14ac:dyDescent="0.2">
      <c r="C48" s="2" t="s">
        <v>2774</v>
      </c>
      <c r="D48" s="3" t="str">
        <f>MID(C48,FIND("/",C48)+1,FIND("/",C48,FIND("/",C48)+1)-FIND("/",C48)-1)</f>
        <v>NORTH</v>
      </c>
    </row>
    <row r="49" spans="3:4" x14ac:dyDescent="0.2">
      <c r="C49" s="2" t="s">
        <v>2775</v>
      </c>
      <c r="D49" s="3" t="str">
        <f>MID(C49,FIND("/",C49)+1,FIND("/",C49,FIND("/",C49)+1)-FIND("/",C49)-1)</f>
        <v>K</v>
      </c>
    </row>
    <row r="50" spans="3:4" x14ac:dyDescent="0.2">
      <c r="C50" s="2" t="s">
        <v>2776</v>
      </c>
      <c r="D50" s="3" t="str">
        <f>MID(C50,FIND("/",C50)+1,FIND("/",C50,FIND("/",C50)+1)-FIND("/",C50)-1)</f>
        <v>UK &amp; FR</v>
      </c>
    </row>
    <row r="51" spans="3:4" x14ac:dyDescent="0.2">
      <c r="D51" s="4" t="s">
        <v>2777</v>
      </c>
    </row>
    <row r="53" spans="3:4" x14ac:dyDescent="0.2">
      <c r="C53" s="8" t="s">
        <v>2778</v>
      </c>
    </row>
    <row r="54" spans="3:4" x14ac:dyDescent="0.2">
      <c r="C54" s="413" t="s">
        <v>2779</v>
      </c>
    </row>
    <row r="55" spans="3:4" x14ac:dyDescent="0.2">
      <c r="C55" s="414" t="s">
        <v>2780</v>
      </c>
    </row>
    <row r="56" spans="3:4" x14ac:dyDescent="0.2">
      <c r="C56" s="414" t="s">
        <v>2781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9569" r:id="rId4" name="Button 1">
              <controlPr defaultSize="0" print="0" autoFill="0" autoLine="0" autoPict="0">
                <anchor>
                  <from>
                    <xdr:col>6</xdr:col>
                    <xdr:colOff>419100</xdr:colOff>
                    <xdr:row>0</xdr:row>
                    <xdr:rowOff>38100</xdr:rowOff>
                  </from>
                  <to>
                    <xdr:col>7</xdr:col>
                    <xdr:colOff>285750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70" r:id="rId5" name="Button 2">
              <controlPr defaultSize="0" print="0" autoFill="0" autoLine="0" autoPict="0">
                <anchor>
                  <from>
                    <xdr:col>7</xdr:col>
                    <xdr:colOff>361950</xdr:colOff>
                    <xdr:row>0</xdr:row>
                    <xdr:rowOff>38100</xdr:rowOff>
                  </from>
                  <to>
                    <xdr:col>7</xdr:col>
                    <xdr:colOff>571500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71" r:id="rId6" name="Button 3">
              <controlPr defaultSize="0" print="0" autoFill="0" autoLine="0" autoPict="0">
                <anchor>
                  <from>
                    <xdr:col>6</xdr:col>
                    <xdr:colOff>142875</xdr:colOff>
                    <xdr:row>0</xdr:row>
                    <xdr:rowOff>38100</xdr:rowOff>
                  </from>
                  <to>
                    <xdr:col>6</xdr:col>
                    <xdr:colOff>352425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92">
    <pageSetUpPr fitToPage="1"/>
  </sheetPr>
  <dimension ref="A1:I58"/>
  <sheetViews>
    <sheetView showGridLines="0" workbookViewId="0">
      <pane ySplit="1" topLeftCell="A8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4.140625" customWidth="1"/>
    <col min="4" max="4" width="11.140625" customWidth="1"/>
    <col min="5" max="5" width="13.7109375" customWidth="1"/>
    <col min="7" max="7" width="11.7109375" customWidth="1"/>
    <col min="9" max="9" width="7" customWidth="1"/>
  </cols>
  <sheetData>
    <row r="1" spans="1:9" ht="18.75" thickBot="1" x14ac:dyDescent="0.3">
      <c r="A1" s="1" t="s">
        <v>2782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5" t="s">
        <v>467</v>
      </c>
      <c r="D3" s="5" t="s">
        <v>1377</v>
      </c>
    </row>
    <row r="4" spans="1:9" x14ac:dyDescent="0.2">
      <c r="C4" s="415">
        <f ca="1">NOW()</f>
        <v>44452.676272685188</v>
      </c>
      <c r="D4" s="3">
        <f ca="1">MINUTE(C4)</f>
        <v>13</v>
      </c>
      <c r="E4" s="26" t="s">
        <v>2783</v>
      </c>
    </row>
    <row r="5" spans="1:9" x14ac:dyDescent="0.2">
      <c r="C5" s="416">
        <v>0.88541666666666663</v>
      </c>
      <c r="D5" s="3">
        <f>MINUTE(C5)</f>
        <v>15</v>
      </c>
      <c r="E5" s="26" t="s">
        <v>2784</v>
      </c>
    </row>
    <row r="6" spans="1:9" x14ac:dyDescent="0.2">
      <c r="C6" s="326">
        <v>0.02</v>
      </c>
      <c r="D6" s="3">
        <f>MINUTE(C6)</f>
        <v>28</v>
      </c>
      <c r="E6" s="26" t="s">
        <v>2785</v>
      </c>
    </row>
    <row r="7" spans="1:9" x14ac:dyDescent="0.2">
      <c r="C7" s="2">
        <v>0.52</v>
      </c>
      <c r="D7" s="3">
        <f>MINUTE(C7)</f>
        <v>28</v>
      </c>
      <c r="E7" s="26" t="s">
        <v>2786</v>
      </c>
    </row>
    <row r="8" spans="1:9" x14ac:dyDescent="0.2">
      <c r="C8" s="2">
        <v>1.52</v>
      </c>
      <c r="D8" s="3">
        <f>MINUTE(C8)</f>
        <v>28</v>
      </c>
      <c r="E8" s="26" t="s">
        <v>2787</v>
      </c>
    </row>
    <row r="10" spans="1:9" ht="13.5" thickBot="1" x14ac:dyDescent="0.25">
      <c r="B10" s="9" t="s">
        <v>64</v>
      </c>
      <c r="C10" s="9"/>
      <c r="D10" s="9"/>
      <c r="E10" s="9"/>
      <c r="F10" s="9"/>
      <c r="G10" s="9"/>
      <c r="H10" s="9"/>
      <c r="I10" s="9"/>
    </row>
    <row r="11" spans="1:9" x14ac:dyDescent="0.2">
      <c r="B11" t="s">
        <v>2788</v>
      </c>
    </row>
    <row r="12" spans="1:9" x14ac:dyDescent="0.2">
      <c r="B12" t="s">
        <v>2789</v>
      </c>
    </row>
    <row r="14" spans="1:9" ht="13.5" thickBot="1" x14ac:dyDescent="0.25">
      <c r="B14" s="9" t="s">
        <v>43</v>
      </c>
      <c r="C14" s="9"/>
      <c r="D14" s="9"/>
      <c r="E14" s="9"/>
      <c r="F14" s="9"/>
      <c r="G14" s="9"/>
      <c r="H14" s="9"/>
      <c r="I14" s="9"/>
    </row>
    <row r="15" spans="1:9" x14ac:dyDescent="0.2">
      <c r="B15" t="s">
        <v>2790</v>
      </c>
    </row>
    <row r="17" spans="2:9" ht="13.5" thickBot="1" x14ac:dyDescent="0.25">
      <c r="B17" s="9" t="s">
        <v>45</v>
      </c>
      <c r="C17" s="9"/>
      <c r="D17" s="9"/>
      <c r="E17" s="9"/>
      <c r="F17" s="9"/>
      <c r="G17" s="9"/>
      <c r="H17" s="9"/>
      <c r="I17" s="9"/>
    </row>
    <row r="18" spans="2:9" x14ac:dyDescent="0.2">
      <c r="B18" t="s">
        <v>2791</v>
      </c>
    </row>
    <row r="20" spans="2:9" ht="13.5" thickBot="1" x14ac:dyDescent="0.25">
      <c r="B20" s="9" t="s">
        <v>85</v>
      </c>
      <c r="C20" s="9"/>
      <c r="D20" s="9"/>
      <c r="E20" s="9"/>
      <c r="F20" s="9"/>
      <c r="G20" s="9"/>
      <c r="H20" s="9"/>
      <c r="I20" s="9"/>
    </row>
    <row r="21" spans="2:9" x14ac:dyDescent="0.2">
      <c r="B21" t="s">
        <v>2792</v>
      </c>
    </row>
    <row r="22" spans="2:9" x14ac:dyDescent="0.2">
      <c r="B22" t="s">
        <v>2793</v>
      </c>
    </row>
    <row r="23" spans="2:9" x14ac:dyDescent="0.2">
      <c r="B23" t="s">
        <v>2794</v>
      </c>
    </row>
    <row r="24" spans="2:9" x14ac:dyDescent="0.2">
      <c r="B24" t="s">
        <v>2795</v>
      </c>
    </row>
    <row r="26" spans="2:9" x14ac:dyDescent="0.2">
      <c r="C26" s="5" t="s">
        <v>2796</v>
      </c>
    </row>
    <row r="27" spans="2:9" x14ac:dyDescent="0.2">
      <c r="C27" s="417" t="s">
        <v>2797</v>
      </c>
      <c r="D27" s="8" t="str">
        <f ca="1">REPT("|",HOUR(NOW()))&amp;" "&amp;TEXT(HOUR(NOW()),"00")</f>
        <v>|||||||||||||||| 16</v>
      </c>
    </row>
    <row r="28" spans="2:9" x14ac:dyDescent="0.2">
      <c r="C28" s="417" t="s">
        <v>2798</v>
      </c>
      <c r="D28" s="8" t="str">
        <f ca="1">REPT("|",MINUTE(NOW()))&amp;" "&amp;TEXT(MINUTE(NOW()),"00")</f>
        <v>||||||||||||| 13</v>
      </c>
    </row>
    <row r="29" spans="2:9" x14ac:dyDescent="0.2">
      <c r="C29" s="417" t="s">
        <v>2799</v>
      </c>
      <c r="D29" s="8" t="str">
        <f ca="1">REPT("|",SECOND(NOW()))&amp;" "&amp;TEXT(SECOND(NOW()),"00")</f>
        <v>|||||||||||||||||||||||||||||||||||||||||||||||||| 50</v>
      </c>
    </row>
    <row r="30" spans="2:9" x14ac:dyDescent="0.2">
      <c r="D30" s="8" t="s">
        <v>2800</v>
      </c>
    </row>
    <row r="31" spans="2:9" x14ac:dyDescent="0.2">
      <c r="D31" s="8" t="s">
        <v>2801</v>
      </c>
    </row>
    <row r="32" spans="2:9" x14ac:dyDescent="0.2">
      <c r="D32" s="8" t="s">
        <v>2802</v>
      </c>
    </row>
    <row r="35" spans="2:9" ht="13.5" thickBot="1" x14ac:dyDescent="0.25">
      <c r="B35" s="9" t="s">
        <v>2803</v>
      </c>
      <c r="C35" s="9"/>
      <c r="D35" s="9"/>
      <c r="E35" s="9"/>
      <c r="F35" s="9"/>
      <c r="G35" s="9"/>
      <c r="H35" s="9"/>
      <c r="I35" s="9"/>
    </row>
    <row r="36" spans="2:9" x14ac:dyDescent="0.2">
      <c r="B36" t="s">
        <v>2804</v>
      </c>
    </row>
    <row r="38" spans="2:9" x14ac:dyDescent="0.2">
      <c r="C38" s="22"/>
      <c r="D38" s="24"/>
      <c r="E38" s="35" t="s">
        <v>2805</v>
      </c>
      <c r="F38" s="17">
        <v>0.11458333333333333</v>
      </c>
    </row>
    <row r="40" spans="2:9" x14ac:dyDescent="0.2">
      <c r="C40" s="22"/>
      <c r="D40" s="24"/>
      <c r="E40" s="35" t="s">
        <v>2806</v>
      </c>
      <c r="F40" s="3">
        <f>F38*24</f>
        <v>2.75</v>
      </c>
      <c r="G40" s="8" t="s">
        <v>2807</v>
      </c>
    </row>
    <row r="42" spans="2:9" x14ac:dyDescent="0.2">
      <c r="C42" s="22"/>
      <c r="D42" s="24"/>
      <c r="E42" s="35" t="s">
        <v>2808</v>
      </c>
      <c r="F42" s="3">
        <f>INT(F38*24)</f>
        <v>2</v>
      </c>
      <c r="G42" s="8" t="s">
        <v>2809</v>
      </c>
    </row>
    <row r="44" spans="2:9" x14ac:dyDescent="0.2">
      <c r="C44" s="22"/>
      <c r="D44" s="24"/>
      <c r="E44" s="35" t="s">
        <v>2810</v>
      </c>
      <c r="F44" s="3">
        <f>MOD(F38*24,1)</f>
        <v>0.75</v>
      </c>
      <c r="G44" s="8" t="s">
        <v>2811</v>
      </c>
    </row>
    <row r="47" spans="2:9" x14ac:dyDescent="0.2">
      <c r="B47" t="s">
        <v>2812</v>
      </c>
    </row>
    <row r="49" spans="3:7" x14ac:dyDescent="0.2">
      <c r="C49" s="22"/>
      <c r="D49" s="24"/>
      <c r="E49" s="23" t="s">
        <v>2813</v>
      </c>
      <c r="F49" s="2">
        <v>3.75</v>
      </c>
    </row>
    <row r="51" spans="3:7" x14ac:dyDescent="0.2">
      <c r="C51" s="22"/>
      <c r="D51" s="24"/>
      <c r="E51" s="23" t="s">
        <v>2814</v>
      </c>
      <c r="F51" s="99">
        <f>F49/24</f>
        <v>0.15625</v>
      </c>
      <c r="G51" s="8" t="s">
        <v>2815</v>
      </c>
    </row>
    <row r="53" spans="3:7" x14ac:dyDescent="0.2">
      <c r="C53" s="22"/>
      <c r="D53" s="24"/>
      <c r="E53" s="23" t="s">
        <v>2816</v>
      </c>
      <c r="F53" s="99">
        <f>INT(F49)/24</f>
        <v>0.125</v>
      </c>
      <c r="G53" s="8" t="s">
        <v>2817</v>
      </c>
    </row>
    <row r="55" spans="3:7" x14ac:dyDescent="0.2">
      <c r="C55" s="22"/>
      <c r="D55" s="24"/>
      <c r="E55" s="23" t="s">
        <v>2818</v>
      </c>
      <c r="F55" s="99">
        <f>MOD(F49,1)/24</f>
        <v>3.125E-2</v>
      </c>
      <c r="G55" s="8" t="s">
        <v>2819</v>
      </c>
    </row>
    <row r="57" spans="3:7" x14ac:dyDescent="0.2">
      <c r="C57" t="s">
        <v>2820</v>
      </c>
    </row>
    <row r="58" spans="3:7" x14ac:dyDescent="0.2">
      <c r="C58" t="s">
        <v>2821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0593" r:id="rId4" name="Button 1">
              <controlPr defaultSize="0" print="0" autoFill="0" autoLine="0" autoPict="0">
                <anchor>
                  <from>
                    <xdr:col>6</xdr:col>
                    <xdr:colOff>762000</xdr:colOff>
                    <xdr:row>0</xdr:row>
                    <xdr:rowOff>38100</xdr:rowOff>
                  </from>
                  <to>
                    <xdr:col>7</xdr:col>
                    <xdr:colOff>457200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94" r:id="rId5" name="Button 2">
              <controlPr defaultSize="0" print="0" autoFill="0" autoLine="0" autoPict="0">
                <anchor>
                  <from>
                    <xdr:col>7</xdr:col>
                    <xdr:colOff>523875</xdr:colOff>
                    <xdr:row>0</xdr:row>
                    <xdr:rowOff>38100</xdr:rowOff>
                  </from>
                  <to>
                    <xdr:col>8</xdr:col>
                    <xdr:colOff>114300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95" r:id="rId6" name="Button 3">
              <controlPr defaultSize="0" print="0" autoFill="0" autoLine="0" autoPict="0">
                <anchor>
                  <from>
                    <xdr:col>6</xdr:col>
                    <xdr:colOff>495300</xdr:colOff>
                    <xdr:row>0</xdr:row>
                    <xdr:rowOff>38100</xdr:rowOff>
                  </from>
                  <to>
                    <xdr:col>6</xdr:col>
                    <xdr:colOff>695325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94">
    <pageSetUpPr fitToPage="1"/>
  </sheetPr>
  <dimension ref="A1:J88"/>
  <sheetViews>
    <sheetView showGridLines="0" workbookViewId="0">
      <pane ySplit="1" topLeftCell="A17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10.85546875" customWidth="1"/>
    <col min="6" max="6" width="10.28515625" customWidth="1"/>
    <col min="10" max="10" width="5.42578125" customWidth="1"/>
  </cols>
  <sheetData>
    <row r="1" spans="1:10" ht="18.75" thickBot="1" x14ac:dyDescent="0.3">
      <c r="A1" s="1" t="s">
        <v>2822</v>
      </c>
      <c r="B1" s="1"/>
      <c r="C1" s="1"/>
      <c r="D1" s="1"/>
      <c r="E1" s="1"/>
      <c r="F1" s="58"/>
      <c r="G1" s="1"/>
      <c r="H1" s="1"/>
      <c r="I1" s="1"/>
      <c r="J1" s="1"/>
    </row>
    <row r="2" spans="1:10" ht="13.5" thickTop="1" x14ac:dyDescent="0.2"/>
    <row r="3" spans="1:10" ht="13.5" thickBot="1" x14ac:dyDescent="0.25">
      <c r="B3" s="9" t="s">
        <v>39</v>
      </c>
      <c r="C3" s="9"/>
      <c r="D3" s="9"/>
      <c r="E3" s="9"/>
      <c r="F3" s="9"/>
      <c r="G3" s="9"/>
      <c r="H3" s="9"/>
      <c r="I3" s="9"/>
    </row>
    <row r="4" spans="1:10" x14ac:dyDescent="0.2">
      <c r="B4" t="s">
        <v>2823</v>
      </c>
    </row>
    <row r="5" spans="1:10" x14ac:dyDescent="0.2">
      <c r="B5" t="s">
        <v>2824</v>
      </c>
    </row>
    <row r="6" spans="1:10" x14ac:dyDescent="0.2">
      <c r="B6" t="s">
        <v>2825</v>
      </c>
    </row>
    <row r="7" spans="1:10" x14ac:dyDescent="0.2">
      <c r="B7" t="s">
        <v>2826</v>
      </c>
    </row>
    <row r="9" spans="1:10" ht="13.5" thickBot="1" x14ac:dyDescent="0.25">
      <c r="B9" s="9" t="s">
        <v>43</v>
      </c>
      <c r="C9" s="9"/>
      <c r="D9" s="9"/>
      <c r="E9" s="9"/>
      <c r="F9" s="9"/>
      <c r="G9" s="9"/>
      <c r="H9" s="9"/>
      <c r="I9" s="9"/>
      <c r="J9" s="9"/>
    </row>
    <row r="10" spans="1:10" x14ac:dyDescent="0.2">
      <c r="B10" s="10" t="s">
        <v>2827</v>
      </c>
    </row>
    <row r="12" spans="1:10" ht="13.5" thickBot="1" x14ac:dyDescent="0.25">
      <c r="B12" s="9" t="s">
        <v>45</v>
      </c>
      <c r="C12" s="9"/>
      <c r="D12" s="9"/>
      <c r="E12" s="9"/>
      <c r="F12" s="9"/>
      <c r="G12" s="9"/>
      <c r="H12" s="9"/>
      <c r="I12" s="9"/>
      <c r="J12" s="9"/>
    </row>
    <row r="13" spans="1:10" x14ac:dyDescent="0.2">
      <c r="B13" t="s">
        <v>46</v>
      </c>
    </row>
    <row r="15" spans="1:10" ht="13.5" thickBot="1" x14ac:dyDescent="0.25">
      <c r="B15" s="9" t="s">
        <v>85</v>
      </c>
      <c r="C15" s="9"/>
      <c r="D15" s="9"/>
      <c r="E15" s="9"/>
      <c r="F15" s="9"/>
      <c r="G15" s="9"/>
      <c r="H15" s="9"/>
      <c r="I15" s="9"/>
      <c r="J15" s="9"/>
    </row>
    <row r="16" spans="1:10" x14ac:dyDescent="0.2">
      <c r="B16" t="s">
        <v>2828</v>
      </c>
    </row>
    <row r="17" spans="2:5" x14ac:dyDescent="0.2">
      <c r="B17" t="s">
        <v>2829</v>
      </c>
    </row>
    <row r="18" spans="2:5" x14ac:dyDescent="0.2">
      <c r="B18" t="s">
        <v>2830</v>
      </c>
    </row>
    <row r="19" spans="2:5" x14ac:dyDescent="0.2">
      <c r="B19" t="s">
        <v>2831</v>
      </c>
    </row>
    <row r="20" spans="2:5" x14ac:dyDescent="0.2">
      <c r="B20" t="s">
        <v>2832</v>
      </c>
    </row>
    <row r="21" spans="2:5" x14ac:dyDescent="0.2">
      <c r="B21" t="s">
        <v>2833</v>
      </c>
    </row>
    <row r="22" spans="2:5" x14ac:dyDescent="0.2">
      <c r="B22" t="s">
        <v>2834</v>
      </c>
    </row>
    <row r="24" spans="2:5" x14ac:dyDescent="0.2">
      <c r="C24" s="418" t="s">
        <v>2835</v>
      </c>
      <c r="D24" s="419"/>
      <c r="E24" s="420"/>
    </row>
    <row r="25" spans="2:5" x14ac:dyDescent="0.2">
      <c r="B25" s="59" t="s">
        <v>2207</v>
      </c>
      <c r="C25" s="59" t="s">
        <v>2836</v>
      </c>
      <c r="D25" s="59" t="s">
        <v>2837</v>
      </c>
      <c r="E25" s="59" t="s">
        <v>2838</v>
      </c>
    </row>
    <row r="26" spans="2:5" x14ac:dyDescent="0.2">
      <c r="B26" s="59" t="s">
        <v>2839</v>
      </c>
      <c r="C26" s="2">
        <v>50</v>
      </c>
      <c r="D26" s="2">
        <v>50</v>
      </c>
      <c r="E26" s="2">
        <v>50</v>
      </c>
    </row>
    <row r="27" spans="2:5" x14ac:dyDescent="0.2">
      <c r="B27" s="59" t="s">
        <v>2840</v>
      </c>
      <c r="C27" s="2">
        <v>30</v>
      </c>
      <c r="D27" s="2">
        <v>20</v>
      </c>
      <c r="E27" s="2">
        <v>10</v>
      </c>
    </row>
    <row r="28" spans="2:5" x14ac:dyDescent="0.2">
      <c r="B28" s="59" t="s">
        <v>2841</v>
      </c>
      <c r="C28" s="2">
        <v>20</v>
      </c>
      <c r="D28" s="2">
        <v>5</v>
      </c>
      <c r="E28" s="2">
        <v>5</v>
      </c>
    </row>
    <row r="30" spans="2:5" x14ac:dyDescent="0.2">
      <c r="C30" s="418" t="s">
        <v>2842</v>
      </c>
      <c r="D30" s="419"/>
      <c r="E30" s="420"/>
    </row>
    <row r="31" spans="2:5" x14ac:dyDescent="0.2">
      <c r="C31" s="421" t="s">
        <v>2839</v>
      </c>
      <c r="D31" s="421" t="s">
        <v>2840</v>
      </c>
      <c r="E31" s="421" t="s">
        <v>2841</v>
      </c>
    </row>
    <row r="32" spans="2:5" x14ac:dyDescent="0.2">
      <c r="C32" s="2">
        <v>300</v>
      </c>
      <c r="D32" s="2">
        <v>400</v>
      </c>
      <c r="E32" s="2">
        <v>500</v>
      </c>
    </row>
    <row r="34" spans="2:10" x14ac:dyDescent="0.2">
      <c r="C34" s="418" t="s">
        <v>2843</v>
      </c>
      <c r="D34" s="419"/>
      <c r="E34" s="420"/>
    </row>
    <row r="35" spans="2:10" x14ac:dyDescent="0.2">
      <c r="C35" s="59" t="s">
        <v>2836</v>
      </c>
      <c r="D35" s="59" t="s">
        <v>2837</v>
      </c>
      <c r="E35" s="59" t="s">
        <v>2838</v>
      </c>
    </row>
    <row r="36" spans="2:10" x14ac:dyDescent="0.2">
      <c r="C36" s="422">
        <f t="array" ref="C36:E36">MMULT(C32:E32,C26:E28)</f>
        <v>37000</v>
      </c>
      <c r="D36" s="422">
        <v>25500</v>
      </c>
      <c r="E36" s="422">
        <v>21500</v>
      </c>
    </row>
    <row r="37" spans="2:10" ht="13.5" thickBot="1" x14ac:dyDescent="0.25"/>
    <row r="38" spans="2:10" ht="13.5" thickBot="1" x14ac:dyDescent="0.25">
      <c r="C38" s="423" t="s">
        <v>2844</v>
      </c>
      <c r="D38" s="424"/>
      <c r="E38" s="424"/>
    </row>
    <row r="39" spans="2:10" x14ac:dyDescent="0.2">
      <c r="C39" s="425" t="s">
        <v>2845</v>
      </c>
      <c r="D39" s="425"/>
      <c r="E39" s="425"/>
    </row>
    <row r="41" spans="2:10" ht="13.5" thickBot="1" x14ac:dyDescent="0.25">
      <c r="B41" s="9" t="s">
        <v>2846</v>
      </c>
      <c r="C41" s="9"/>
      <c r="D41" s="9"/>
      <c r="E41" s="9"/>
      <c r="F41" s="9"/>
      <c r="G41" s="9"/>
      <c r="H41" s="9"/>
      <c r="I41" s="9"/>
      <c r="J41" s="9"/>
    </row>
    <row r="42" spans="2:10" x14ac:dyDescent="0.2">
      <c r="B42" t="s">
        <v>2847</v>
      </c>
    </row>
    <row r="43" spans="2:10" x14ac:dyDescent="0.2">
      <c r="B43" t="s">
        <v>2848</v>
      </c>
    </row>
    <row r="44" spans="2:10" x14ac:dyDescent="0.2">
      <c r="B44" t="s">
        <v>2849</v>
      </c>
    </row>
    <row r="45" spans="2:10" x14ac:dyDescent="0.2">
      <c r="B45" t="s">
        <v>2850</v>
      </c>
    </row>
    <row r="47" spans="2:10" ht="13.5" thickBot="1" x14ac:dyDescent="0.25">
      <c r="B47" s="9" t="s">
        <v>2851</v>
      </c>
      <c r="C47" s="9"/>
      <c r="D47" s="9"/>
      <c r="E47" s="9"/>
      <c r="F47" s="9"/>
      <c r="G47" s="9"/>
      <c r="H47" s="9"/>
      <c r="I47" s="9"/>
      <c r="J47" s="9"/>
    </row>
    <row r="48" spans="2:10" x14ac:dyDescent="0.2">
      <c r="B48" t="s">
        <v>2852</v>
      </c>
    </row>
    <row r="49" spans="2:10" x14ac:dyDescent="0.2">
      <c r="B49" t="s">
        <v>2853</v>
      </c>
    </row>
    <row r="50" spans="2:10" x14ac:dyDescent="0.2">
      <c r="B50" t="s">
        <v>2854</v>
      </c>
    </row>
    <row r="52" spans="2:10" ht="13.5" thickBot="1" x14ac:dyDescent="0.25">
      <c r="B52" s="9" t="s">
        <v>305</v>
      </c>
      <c r="C52" s="9"/>
      <c r="D52" s="9"/>
      <c r="E52" s="9"/>
      <c r="F52" s="9"/>
      <c r="G52" s="9"/>
      <c r="H52" s="9"/>
      <c r="I52" s="9"/>
      <c r="J52" s="9"/>
    </row>
    <row r="53" spans="2:10" x14ac:dyDescent="0.2">
      <c r="B53" t="s">
        <v>2855</v>
      </c>
    </row>
    <row r="54" spans="2:10" x14ac:dyDescent="0.2">
      <c r="B54" t="s">
        <v>2856</v>
      </c>
    </row>
    <row r="56" spans="2:10" x14ac:dyDescent="0.2">
      <c r="B56" t="s">
        <v>2857</v>
      </c>
    </row>
    <row r="57" spans="2:10" x14ac:dyDescent="0.2">
      <c r="B57" t="s">
        <v>2858</v>
      </c>
    </row>
    <row r="59" spans="2:10" x14ac:dyDescent="0.2">
      <c r="B59" t="s">
        <v>2859</v>
      </c>
    </row>
    <row r="60" spans="2:10" x14ac:dyDescent="0.2">
      <c r="B60" t="s">
        <v>2860</v>
      </c>
    </row>
    <row r="61" spans="2:10" x14ac:dyDescent="0.2">
      <c r="B61" t="s">
        <v>2861</v>
      </c>
    </row>
    <row r="62" spans="2:10" x14ac:dyDescent="0.2">
      <c r="B62" t="s">
        <v>2862</v>
      </c>
    </row>
    <row r="64" spans="2:10" x14ac:dyDescent="0.2">
      <c r="B64" t="s">
        <v>2863</v>
      </c>
    </row>
    <row r="65" spans="2:9" x14ac:dyDescent="0.2">
      <c r="B65" t="s">
        <v>2864</v>
      </c>
    </row>
    <row r="67" spans="2:9" x14ac:dyDescent="0.2">
      <c r="C67" s="105" t="s">
        <v>2865</v>
      </c>
      <c r="D67" s="105"/>
      <c r="G67" s="105" t="s">
        <v>2866</v>
      </c>
      <c r="H67" s="105"/>
      <c r="I67" s="105"/>
    </row>
    <row r="68" spans="2:9" ht="13.5" thickBot="1" x14ac:dyDescent="0.25">
      <c r="B68" s="59" t="s">
        <v>142</v>
      </c>
      <c r="C68" s="59" t="s">
        <v>2836</v>
      </c>
      <c r="D68" s="59" t="s">
        <v>2837</v>
      </c>
      <c r="F68" s="59" t="s">
        <v>2867</v>
      </c>
      <c r="G68" s="59" t="s">
        <v>2868</v>
      </c>
      <c r="H68" s="59" t="s">
        <v>2869</v>
      </c>
      <c r="I68" s="59" t="s">
        <v>2870</v>
      </c>
    </row>
    <row r="69" spans="2:9" ht="13.5" thickTop="1" x14ac:dyDescent="0.2">
      <c r="B69" s="59" t="s">
        <v>144</v>
      </c>
      <c r="C69" s="426">
        <v>20</v>
      </c>
      <c r="D69" s="303">
        <v>0</v>
      </c>
      <c r="F69" s="427" t="s">
        <v>2836</v>
      </c>
      <c r="G69" s="428">
        <v>1</v>
      </c>
      <c r="H69" s="428">
        <v>3</v>
      </c>
      <c r="I69" s="428">
        <v>10</v>
      </c>
    </row>
    <row r="70" spans="2:9" x14ac:dyDescent="0.2">
      <c r="B70" s="59" t="s">
        <v>147</v>
      </c>
      <c r="C70" s="426">
        <v>20</v>
      </c>
      <c r="D70" s="303">
        <v>1</v>
      </c>
      <c r="F70" s="427" t="s">
        <v>2837</v>
      </c>
      <c r="G70" s="303">
        <v>2</v>
      </c>
      <c r="H70" s="303">
        <v>2</v>
      </c>
      <c r="I70" s="303">
        <v>5</v>
      </c>
    </row>
    <row r="71" spans="2:9" x14ac:dyDescent="0.2">
      <c r="B71" s="59" t="s">
        <v>148</v>
      </c>
      <c r="C71" s="426">
        <v>10</v>
      </c>
      <c r="D71" s="303">
        <v>5</v>
      </c>
      <c r="E71" s="429"/>
      <c r="F71" s="429"/>
      <c r="G71" s="429"/>
      <c r="H71" s="429"/>
    </row>
    <row r="72" spans="2:9" x14ac:dyDescent="0.2">
      <c r="B72" s="59" t="s">
        <v>149</v>
      </c>
      <c r="C72" s="426">
        <v>20</v>
      </c>
      <c r="D72" s="303">
        <v>10</v>
      </c>
      <c r="E72" s="429"/>
      <c r="F72" s="429"/>
      <c r="G72" s="429"/>
      <c r="H72" s="429"/>
    </row>
    <row r="73" spans="2:9" x14ac:dyDescent="0.2">
      <c r="B73" s="429"/>
      <c r="C73" s="429"/>
      <c r="D73" s="429"/>
      <c r="E73" s="429"/>
      <c r="F73" s="429"/>
      <c r="G73" s="429"/>
      <c r="H73" s="429"/>
    </row>
    <row r="74" spans="2:9" x14ac:dyDescent="0.2">
      <c r="B74" s="429"/>
      <c r="C74" s="429"/>
      <c r="D74" s="430" t="s">
        <v>549</v>
      </c>
      <c r="E74" s="430"/>
      <c r="F74" s="430"/>
      <c r="G74" s="429"/>
      <c r="H74" s="429"/>
    </row>
    <row r="75" spans="2:9" ht="13.5" thickBot="1" x14ac:dyDescent="0.25">
      <c r="B75" s="431"/>
      <c r="C75" s="280" t="s">
        <v>2871</v>
      </c>
      <c r="D75" s="59" t="s">
        <v>2868</v>
      </c>
      <c r="E75" s="59" t="s">
        <v>2869</v>
      </c>
      <c r="F75" s="59" t="s">
        <v>2870</v>
      </c>
      <c r="G75" s="429"/>
      <c r="H75" s="429"/>
    </row>
    <row r="76" spans="2:9" ht="13.5" thickTop="1" x14ac:dyDescent="0.2">
      <c r="B76" s="429"/>
      <c r="C76" s="59" t="s">
        <v>144</v>
      </c>
      <c r="D76" s="432">
        <f t="array" ref="D76:F79">MMULT(C69:D72,G69:I70)</f>
        <v>20</v>
      </c>
      <c r="E76" s="433">
        <v>60</v>
      </c>
      <c r="F76" s="433">
        <v>200</v>
      </c>
      <c r="G76" s="429"/>
      <c r="H76" s="429"/>
    </row>
    <row r="77" spans="2:9" x14ac:dyDescent="0.2">
      <c r="B77" s="429"/>
      <c r="C77" s="59" t="s">
        <v>147</v>
      </c>
      <c r="D77" s="434">
        <v>22</v>
      </c>
      <c r="E77" s="422">
        <v>62</v>
      </c>
      <c r="F77" s="422">
        <v>205</v>
      </c>
      <c r="G77" s="429"/>
      <c r="H77" s="429"/>
    </row>
    <row r="78" spans="2:9" x14ac:dyDescent="0.2">
      <c r="B78" s="429"/>
      <c r="C78" s="59" t="s">
        <v>148</v>
      </c>
      <c r="D78" s="434">
        <v>20</v>
      </c>
      <c r="E78" s="422">
        <v>40</v>
      </c>
      <c r="F78" s="422">
        <v>125</v>
      </c>
      <c r="G78" s="429"/>
      <c r="H78" s="429"/>
    </row>
    <row r="79" spans="2:9" x14ac:dyDescent="0.2">
      <c r="B79" s="429"/>
      <c r="C79" s="59" t="s">
        <v>149</v>
      </c>
      <c r="D79" s="434">
        <v>40</v>
      </c>
      <c r="E79" s="422">
        <v>80</v>
      </c>
      <c r="F79" s="422">
        <v>250</v>
      </c>
      <c r="G79" s="429"/>
      <c r="H79" s="429"/>
    </row>
    <row r="80" spans="2:9" ht="13.5" thickBot="1" x14ac:dyDescent="0.25"/>
    <row r="81" spans="2:10" x14ac:dyDescent="0.2">
      <c r="D81" s="435" t="s">
        <v>2872</v>
      </c>
      <c r="E81" s="436"/>
      <c r="F81" s="437"/>
    </row>
    <row r="82" spans="2:10" x14ac:dyDescent="0.2">
      <c r="D82" s="438"/>
      <c r="E82" s="439" t="s">
        <v>2873</v>
      </c>
      <c r="F82" s="440"/>
    </row>
    <row r="83" spans="2:10" x14ac:dyDescent="0.2">
      <c r="D83" s="441"/>
      <c r="E83" s="442"/>
      <c r="F83" s="443"/>
    </row>
    <row r="84" spans="2:10" ht="13.5" thickBot="1" x14ac:dyDescent="0.25">
      <c r="D84" s="444"/>
      <c r="E84" s="445"/>
      <c r="F84" s="446"/>
    </row>
    <row r="86" spans="2:10" ht="13.5" thickBot="1" x14ac:dyDescent="0.25">
      <c r="B86" s="9" t="s">
        <v>2874</v>
      </c>
      <c r="C86" s="9"/>
      <c r="D86" s="9"/>
      <c r="E86" s="9"/>
      <c r="F86" s="9"/>
      <c r="G86" s="9"/>
      <c r="H86" s="9"/>
      <c r="I86" s="9"/>
      <c r="J86" s="9"/>
    </row>
    <row r="87" spans="2:10" x14ac:dyDescent="0.2">
      <c r="B87" t="s">
        <v>2875</v>
      </c>
    </row>
    <row r="88" spans="2:10" x14ac:dyDescent="0.2">
      <c r="B88" t="s">
        <v>2876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1617" r:id="rId4" name="Button 1">
              <controlPr defaultSize="0" print="0" autoFill="0" autoLine="0" autoPict="0">
                <anchor>
                  <from>
                    <xdr:col>8</xdr:col>
                    <xdr:colOff>200025</xdr:colOff>
                    <xdr:row>0</xdr:row>
                    <xdr:rowOff>38100</xdr:rowOff>
                  </from>
                  <to>
                    <xdr:col>9</xdr:col>
                    <xdr:colOff>57150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18" r:id="rId5" name="Button 2">
              <controlPr defaultSize="0" print="0" autoFill="0" autoLine="0" autoPict="0">
                <anchor>
                  <from>
                    <xdr:col>9</xdr:col>
                    <xdr:colOff>123825</xdr:colOff>
                    <xdr:row>0</xdr:row>
                    <xdr:rowOff>38100</xdr:rowOff>
                  </from>
                  <to>
                    <xdr:col>9</xdr:col>
                    <xdr:colOff>323850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19" r:id="rId6" name="Button 3">
              <controlPr defaultSize="0" print="0" autoFill="0" autoLine="0" autoPict="0">
                <anchor>
                  <from>
                    <xdr:col>7</xdr:col>
                    <xdr:colOff>542925</xdr:colOff>
                    <xdr:row>0</xdr:row>
                    <xdr:rowOff>38100</xdr:rowOff>
                  </from>
                  <to>
                    <xdr:col>8</xdr:col>
                    <xdr:colOff>133350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95">
    <pageSetUpPr fitToPage="1"/>
  </sheetPr>
  <dimension ref="A1:I17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5" max="5" width="10.140625" customWidth="1"/>
    <col min="6" max="6" width="13.28515625" customWidth="1"/>
    <col min="9" max="9" width="15.28515625" customWidth="1"/>
  </cols>
  <sheetData>
    <row r="1" spans="1:9" ht="18.75" thickBot="1" x14ac:dyDescent="0.3">
      <c r="A1" s="1" t="s">
        <v>2877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5" t="s">
        <v>467</v>
      </c>
      <c r="D3" s="5" t="s">
        <v>2878</v>
      </c>
      <c r="E3" s="5" t="s">
        <v>2879</v>
      </c>
    </row>
    <row r="4" spans="1:9" x14ac:dyDescent="0.2">
      <c r="C4" s="2">
        <v>12</v>
      </c>
      <c r="D4" s="2">
        <v>5</v>
      </c>
      <c r="E4" s="3">
        <f>MOD(C4,D4)</f>
        <v>2</v>
      </c>
      <c r="F4" s="8" t="s">
        <v>2880</v>
      </c>
    </row>
    <row r="5" spans="1:9" x14ac:dyDescent="0.2">
      <c r="C5" s="2">
        <v>20</v>
      </c>
      <c r="D5" s="2">
        <v>7</v>
      </c>
      <c r="E5" s="3">
        <f>MOD(C5,D5)</f>
        <v>6</v>
      </c>
      <c r="F5" s="8" t="s">
        <v>2881</v>
      </c>
    </row>
    <row r="6" spans="1:9" x14ac:dyDescent="0.2">
      <c r="C6" s="2">
        <v>18</v>
      </c>
      <c r="D6" s="2">
        <v>3</v>
      </c>
      <c r="E6" s="3">
        <f>MOD(C6,D6)</f>
        <v>0</v>
      </c>
      <c r="F6" s="8" t="s">
        <v>2882</v>
      </c>
    </row>
    <row r="7" spans="1:9" x14ac:dyDescent="0.2">
      <c r="C7" s="2">
        <v>9</v>
      </c>
      <c r="D7" s="2">
        <v>2</v>
      </c>
      <c r="E7" s="3">
        <f>MOD(C7,D7)</f>
        <v>1</v>
      </c>
      <c r="F7" s="8" t="s">
        <v>2883</v>
      </c>
    </row>
    <row r="8" spans="1:9" x14ac:dyDescent="0.2">
      <c r="C8" s="2">
        <v>24</v>
      </c>
      <c r="D8" s="2">
        <v>7</v>
      </c>
      <c r="E8" s="3">
        <f>MOD(C8,D8)</f>
        <v>3</v>
      </c>
      <c r="F8" s="8" t="s">
        <v>2884</v>
      </c>
    </row>
    <row r="10" spans="1:9" ht="13.5" thickBot="1" x14ac:dyDescent="0.25">
      <c r="B10" s="9" t="s">
        <v>39</v>
      </c>
      <c r="C10" s="9"/>
      <c r="D10" s="9"/>
      <c r="E10" s="9"/>
      <c r="F10" s="9"/>
      <c r="G10" s="9"/>
      <c r="H10" s="9"/>
      <c r="I10" s="9"/>
    </row>
    <row r="11" spans="1:9" x14ac:dyDescent="0.2">
      <c r="B11" t="s">
        <v>2885</v>
      </c>
    </row>
    <row r="13" spans="1:9" ht="13.5" thickBot="1" x14ac:dyDescent="0.25">
      <c r="B13" s="9" t="s">
        <v>43</v>
      </c>
      <c r="C13" s="9"/>
      <c r="D13" s="9"/>
      <c r="E13" s="9"/>
      <c r="F13" s="9"/>
      <c r="G13" s="9"/>
      <c r="H13" s="9"/>
      <c r="I13" s="9"/>
    </row>
    <row r="14" spans="1:9" x14ac:dyDescent="0.2">
      <c r="B14" s="10" t="s">
        <v>2886</v>
      </c>
    </row>
    <row r="16" spans="1:9" ht="13.5" thickBot="1" x14ac:dyDescent="0.25">
      <c r="B16" s="9" t="s">
        <v>45</v>
      </c>
      <c r="C16" s="9"/>
      <c r="D16" s="9"/>
      <c r="E16" s="9"/>
      <c r="F16" s="9"/>
      <c r="G16" s="9"/>
      <c r="H16" s="9"/>
      <c r="I16" s="9"/>
    </row>
    <row r="17" spans="2:2" x14ac:dyDescent="0.2">
      <c r="B17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41" r:id="rId4" name="Button 1">
              <controlPr defaultSize="0" print="0" autoFill="0" autoLine="0" autoPict="0">
                <anchor>
                  <from>
                    <xdr:col>8</xdr:col>
                    <xdr:colOff>9525</xdr:colOff>
                    <xdr:row>0</xdr:row>
                    <xdr:rowOff>38100</xdr:rowOff>
                  </from>
                  <to>
                    <xdr:col>8</xdr:col>
                    <xdr:colOff>476250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42" r:id="rId5" name="Button 2">
              <controlPr defaultSize="0" print="0" autoFill="0" autoLine="0" autoPict="0">
                <anchor>
                  <from>
                    <xdr:col>8</xdr:col>
                    <xdr:colOff>542925</xdr:colOff>
                    <xdr:row>0</xdr:row>
                    <xdr:rowOff>38100</xdr:rowOff>
                  </from>
                  <to>
                    <xdr:col>8</xdr:col>
                    <xdr:colOff>742950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43" r:id="rId6" name="Button 3">
              <controlPr defaultSize="0" print="0" autoFill="0" autoLine="0" autoPict="0">
                <anchor>
                  <from>
                    <xdr:col>7</xdr:col>
                    <xdr:colOff>342900</xdr:colOff>
                    <xdr:row>0</xdr:row>
                    <xdr:rowOff>38100</xdr:rowOff>
                  </from>
                  <to>
                    <xdr:col>7</xdr:col>
                    <xdr:colOff>552450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96">
    <pageSetUpPr fitToPage="1"/>
  </sheetPr>
  <dimension ref="A1:J56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10" max="10" width="8.42578125" customWidth="1"/>
  </cols>
  <sheetData>
    <row r="1" spans="1:10" ht="18.75" thickBot="1" x14ac:dyDescent="0.3">
      <c r="A1" s="1" t="s">
        <v>2887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x14ac:dyDescent="0.2">
      <c r="C3" s="5" t="s">
        <v>436</v>
      </c>
      <c r="D3" s="5" t="s">
        <v>437</v>
      </c>
      <c r="E3" s="5" t="s">
        <v>438</v>
      </c>
      <c r="F3" s="5" t="s">
        <v>439</v>
      </c>
      <c r="G3" s="5" t="s">
        <v>440</v>
      </c>
      <c r="H3" s="5" t="s">
        <v>2888</v>
      </c>
    </row>
    <row r="4" spans="1:10" x14ac:dyDescent="0.2">
      <c r="C4" s="2">
        <v>20</v>
      </c>
      <c r="D4" s="2">
        <v>50</v>
      </c>
      <c r="E4" s="2">
        <v>10</v>
      </c>
      <c r="F4" s="2">
        <v>10</v>
      </c>
      <c r="G4" s="2">
        <v>40</v>
      </c>
      <c r="H4" s="3">
        <f>MODE(C4:G4)</f>
        <v>10</v>
      </c>
      <c r="I4" s="8" t="s">
        <v>2889</v>
      </c>
    </row>
    <row r="6" spans="1:10" x14ac:dyDescent="0.2">
      <c r="C6" s="2">
        <v>40</v>
      </c>
      <c r="D6" s="2">
        <v>20</v>
      </c>
      <c r="E6" s="2">
        <v>40</v>
      </c>
      <c r="F6" s="2">
        <v>10</v>
      </c>
      <c r="G6" s="2">
        <v>40</v>
      </c>
      <c r="H6" s="3">
        <f>MODE(C6:G6)</f>
        <v>40</v>
      </c>
      <c r="I6" s="8" t="s">
        <v>2890</v>
      </c>
    </row>
    <row r="8" spans="1:10" x14ac:dyDescent="0.2">
      <c r="C8" s="2">
        <v>10</v>
      </c>
      <c r="D8" s="2">
        <v>10</v>
      </c>
      <c r="E8" s="2">
        <v>99</v>
      </c>
      <c r="F8" s="2">
        <v>20</v>
      </c>
      <c r="G8" s="2">
        <v>20</v>
      </c>
      <c r="H8" s="3">
        <f>MODE(C8:G8)</f>
        <v>10</v>
      </c>
      <c r="I8" s="8" t="s">
        <v>2891</v>
      </c>
    </row>
    <row r="9" spans="1:10" x14ac:dyDescent="0.2">
      <c r="C9" s="2">
        <v>20</v>
      </c>
      <c r="D9" s="2">
        <v>20</v>
      </c>
      <c r="E9" s="2">
        <v>99</v>
      </c>
      <c r="F9" s="2">
        <v>10</v>
      </c>
      <c r="G9" s="2">
        <v>10</v>
      </c>
      <c r="H9" s="3">
        <f>MODE(C9:G9)</f>
        <v>20</v>
      </c>
      <c r="I9" s="8" t="s">
        <v>2892</v>
      </c>
    </row>
    <row r="10" spans="1:10" x14ac:dyDescent="0.2">
      <c r="C10" s="2">
        <v>10</v>
      </c>
      <c r="D10" s="2">
        <v>20</v>
      </c>
      <c r="E10" s="2">
        <v>20</v>
      </c>
      <c r="F10" s="2">
        <v>99</v>
      </c>
      <c r="G10" s="2">
        <v>10</v>
      </c>
      <c r="H10" s="3">
        <f>MODE(C10:G10)</f>
        <v>10</v>
      </c>
      <c r="I10" s="8" t="s">
        <v>2893</v>
      </c>
    </row>
    <row r="12" spans="1:10" x14ac:dyDescent="0.2">
      <c r="C12" s="2">
        <v>10</v>
      </c>
      <c r="D12" s="2">
        <v>20</v>
      </c>
      <c r="E12" s="2">
        <v>30</v>
      </c>
      <c r="F12" s="2">
        <v>40</v>
      </c>
      <c r="G12" s="2">
        <v>50</v>
      </c>
      <c r="H12" s="3" t="e">
        <f>MODE(C12:G12)</f>
        <v>#N/A</v>
      </c>
      <c r="I12" s="8" t="s">
        <v>2894</v>
      </c>
    </row>
    <row r="14" spans="1:10" ht="13.5" thickBot="1" x14ac:dyDescent="0.25">
      <c r="B14" s="9" t="s">
        <v>39</v>
      </c>
      <c r="C14" s="9"/>
      <c r="D14" s="9"/>
      <c r="E14" s="9"/>
      <c r="F14" s="9"/>
      <c r="G14" s="9"/>
      <c r="H14" s="9"/>
      <c r="I14" s="9"/>
      <c r="J14" s="9"/>
    </row>
    <row r="15" spans="1:10" x14ac:dyDescent="0.2">
      <c r="B15" t="s">
        <v>2895</v>
      </c>
    </row>
    <row r="16" spans="1:10" x14ac:dyDescent="0.2">
      <c r="B16" t="s">
        <v>2896</v>
      </c>
    </row>
    <row r="17" spans="2:10" x14ac:dyDescent="0.2">
      <c r="B17" t="s">
        <v>2897</v>
      </c>
    </row>
    <row r="18" spans="2:10" x14ac:dyDescent="0.2">
      <c r="B18" t="s">
        <v>2898</v>
      </c>
    </row>
    <row r="19" spans="2:10" x14ac:dyDescent="0.2">
      <c r="B19" t="s">
        <v>2899</v>
      </c>
    </row>
    <row r="21" spans="2:10" ht="13.5" thickBot="1" x14ac:dyDescent="0.25">
      <c r="B21" s="9" t="s">
        <v>43</v>
      </c>
      <c r="C21" s="9"/>
      <c r="D21" s="9"/>
      <c r="E21" s="9"/>
      <c r="F21" s="9"/>
      <c r="G21" s="9"/>
      <c r="H21" s="9"/>
      <c r="I21" s="9"/>
      <c r="J21" s="9"/>
    </row>
    <row r="22" spans="2:10" x14ac:dyDescent="0.2">
      <c r="B22" s="10" t="s">
        <v>2900</v>
      </c>
    </row>
    <row r="24" spans="2:10" ht="13.5" thickBot="1" x14ac:dyDescent="0.25">
      <c r="B24" s="9" t="s">
        <v>45</v>
      </c>
      <c r="C24" s="9"/>
      <c r="D24" s="9"/>
      <c r="E24" s="9"/>
      <c r="F24" s="9"/>
      <c r="G24" s="9"/>
      <c r="H24" s="9"/>
      <c r="I24" s="9"/>
      <c r="J24" s="9"/>
    </row>
    <row r="25" spans="2:10" x14ac:dyDescent="0.2">
      <c r="B25" t="s">
        <v>46</v>
      </c>
    </row>
    <row r="27" spans="2:10" ht="13.5" thickBot="1" x14ac:dyDescent="0.25">
      <c r="B27" s="9" t="s">
        <v>85</v>
      </c>
      <c r="C27" s="9"/>
      <c r="D27" s="9"/>
      <c r="E27" s="9"/>
      <c r="F27" s="9"/>
      <c r="G27" s="9"/>
      <c r="H27" s="9"/>
      <c r="I27" s="9"/>
      <c r="J27" s="9"/>
    </row>
    <row r="28" spans="2:10" x14ac:dyDescent="0.2">
      <c r="B28" t="s">
        <v>2901</v>
      </c>
    </row>
    <row r="29" spans="2:10" x14ac:dyDescent="0.2">
      <c r="B29" t="s">
        <v>2902</v>
      </c>
    </row>
    <row r="30" spans="2:10" x14ac:dyDescent="0.2">
      <c r="B30" t="s">
        <v>2903</v>
      </c>
    </row>
    <row r="32" spans="2:10" x14ac:dyDescent="0.2">
      <c r="B32" s="5" t="s">
        <v>2182</v>
      </c>
      <c r="C32" s="5" t="s">
        <v>2904</v>
      </c>
      <c r="D32" s="5" t="s">
        <v>2207</v>
      </c>
    </row>
    <row r="33" spans="2:9" x14ac:dyDescent="0.2">
      <c r="B33" s="447">
        <v>1</v>
      </c>
      <c r="C33" s="2" t="s">
        <v>2905</v>
      </c>
      <c r="D33" s="2">
        <v>10</v>
      </c>
      <c r="F33" s="22"/>
      <c r="G33" s="24"/>
      <c r="H33" s="23" t="s">
        <v>2906</v>
      </c>
      <c r="I33" s="3">
        <f>MODE(D33:D52)</f>
        <v>10</v>
      </c>
    </row>
    <row r="34" spans="2:9" x14ac:dyDescent="0.2">
      <c r="B34" s="447">
        <v>2</v>
      </c>
      <c r="C34" s="2" t="s">
        <v>2907</v>
      </c>
      <c r="D34" s="2">
        <v>10</v>
      </c>
      <c r="I34" s="8" t="s">
        <v>2908</v>
      </c>
    </row>
    <row r="35" spans="2:9" x14ac:dyDescent="0.2">
      <c r="B35" s="447">
        <v>3</v>
      </c>
      <c r="C35" s="2" t="s">
        <v>2909</v>
      </c>
      <c r="D35" s="2">
        <v>8</v>
      </c>
    </row>
    <row r="36" spans="2:9" x14ac:dyDescent="0.2">
      <c r="B36" s="447">
        <v>4</v>
      </c>
      <c r="C36" s="2" t="s">
        <v>2905</v>
      </c>
      <c r="D36" s="2">
        <v>10</v>
      </c>
    </row>
    <row r="37" spans="2:9" x14ac:dyDescent="0.2">
      <c r="B37" s="447">
        <v>5</v>
      </c>
      <c r="C37" s="2" t="s">
        <v>2907</v>
      </c>
      <c r="D37" s="2">
        <v>12</v>
      </c>
      <c r="F37" s="22"/>
      <c r="G37" s="23" t="s">
        <v>2910</v>
      </c>
      <c r="H37" s="3">
        <f>COUNTIF(D33:D52,"8")</f>
        <v>6</v>
      </c>
    </row>
    <row r="38" spans="2:9" x14ac:dyDescent="0.2">
      <c r="B38" s="447">
        <v>6</v>
      </c>
      <c r="C38" s="2" t="s">
        <v>2911</v>
      </c>
      <c r="D38" s="2">
        <v>8</v>
      </c>
      <c r="H38" s="8" t="s">
        <v>2912</v>
      </c>
    </row>
    <row r="39" spans="2:9" x14ac:dyDescent="0.2">
      <c r="B39" s="447">
        <v>7</v>
      </c>
      <c r="C39" s="2" t="s">
        <v>2909</v>
      </c>
      <c r="D39" s="2">
        <v>10</v>
      </c>
    </row>
    <row r="40" spans="2:9" x14ac:dyDescent="0.2">
      <c r="B40" s="447">
        <v>8</v>
      </c>
      <c r="C40" s="2" t="s">
        <v>2905</v>
      </c>
      <c r="D40" s="2">
        <v>10</v>
      </c>
      <c r="F40" s="22"/>
      <c r="G40" s="23" t="s">
        <v>2913</v>
      </c>
      <c r="H40" s="3">
        <f>COUNTIF(D33:D52,"10")</f>
        <v>11</v>
      </c>
    </row>
    <row r="41" spans="2:9" x14ac:dyDescent="0.2">
      <c r="B41" s="447">
        <v>9</v>
      </c>
      <c r="C41" s="2" t="s">
        <v>2911</v>
      </c>
      <c r="D41" s="2">
        <v>8</v>
      </c>
      <c r="H41" s="8" t="s">
        <v>2914</v>
      </c>
    </row>
    <row r="42" spans="2:9" x14ac:dyDescent="0.2">
      <c r="B42" s="447">
        <v>10</v>
      </c>
      <c r="C42" s="2" t="s">
        <v>2909</v>
      </c>
      <c r="D42" s="2">
        <v>10</v>
      </c>
    </row>
    <row r="43" spans="2:9" x14ac:dyDescent="0.2">
      <c r="B43" s="447">
        <v>11</v>
      </c>
      <c r="C43" s="2" t="s">
        <v>2911</v>
      </c>
      <c r="D43" s="2">
        <v>12</v>
      </c>
      <c r="F43" s="22"/>
      <c r="G43" s="23" t="s">
        <v>2915</v>
      </c>
      <c r="H43" s="3">
        <f>COUNTIF(D33:D52,"12")</f>
        <v>3</v>
      </c>
    </row>
    <row r="44" spans="2:9" x14ac:dyDescent="0.2">
      <c r="B44" s="447">
        <v>12</v>
      </c>
      <c r="C44" s="2" t="s">
        <v>2907</v>
      </c>
      <c r="D44" s="2">
        <v>12</v>
      </c>
      <c r="H44" s="8" t="s">
        <v>2916</v>
      </c>
    </row>
    <row r="45" spans="2:9" x14ac:dyDescent="0.2">
      <c r="B45" s="447">
        <v>13</v>
      </c>
      <c r="C45" s="2" t="s">
        <v>2907</v>
      </c>
      <c r="D45" s="2">
        <v>10</v>
      </c>
    </row>
    <row r="46" spans="2:9" x14ac:dyDescent="0.2">
      <c r="B46" s="447">
        <v>14</v>
      </c>
      <c r="C46" s="2" t="s">
        <v>2909</v>
      </c>
      <c r="D46" s="2">
        <v>10</v>
      </c>
    </row>
    <row r="47" spans="2:9" x14ac:dyDescent="0.2">
      <c r="B47" s="447">
        <v>15</v>
      </c>
      <c r="C47" s="2" t="s">
        <v>2911</v>
      </c>
      <c r="D47" s="2">
        <v>8</v>
      </c>
    </row>
    <row r="48" spans="2:9" x14ac:dyDescent="0.2">
      <c r="B48" s="447">
        <v>16</v>
      </c>
      <c r="C48" s="2" t="s">
        <v>2909</v>
      </c>
      <c r="D48" s="2">
        <v>10</v>
      </c>
    </row>
    <row r="49" spans="2:10" x14ac:dyDescent="0.2">
      <c r="B49" s="447">
        <v>17</v>
      </c>
      <c r="C49" s="2" t="s">
        <v>2905</v>
      </c>
      <c r="D49" s="2">
        <v>10</v>
      </c>
    </row>
    <row r="50" spans="2:10" x14ac:dyDescent="0.2">
      <c r="B50" s="447">
        <v>18</v>
      </c>
      <c r="C50" s="2" t="s">
        <v>2905</v>
      </c>
      <c r="D50" s="2">
        <v>8</v>
      </c>
    </row>
    <row r="51" spans="2:10" x14ac:dyDescent="0.2">
      <c r="B51" s="447">
        <v>19</v>
      </c>
      <c r="C51" s="2" t="s">
        <v>2911</v>
      </c>
      <c r="D51" s="2">
        <v>10</v>
      </c>
    </row>
    <row r="52" spans="2:10" x14ac:dyDescent="0.2">
      <c r="B52" s="447">
        <v>20</v>
      </c>
      <c r="C52" s="2" t="s">
        <v>2907</v>
      </c>
      <c r="D52" s="2">
        <v>8</v>
      </c>
    </row>
    <row r="54" spans="2:10" ht="13.5" thickBot="1" x14ac:dyDescent="0.25">
      <c r="B54" s="9" t="s">
        <v>47</v>
      </c>
      <c r="C54" s="9"/>
      <c r="D54" s="9"/>
      <c r="E54" s="9"/>
      <c r="F54" s="9"/>
      <c r="G54" s="9"/>
      <c r="H54" s="9"/>
      <c r="I54" s="9"/>
      <c r="J54" s="9"/>
    </row>
    <row r="55" spans="2:10" x14ac:dyDescent="0.2">
      <c r="B55" t="s">
        <v>2917</v>
      </c>
      <c r="I55" s="4">
        <f>AVERAGE(D33:D52)</f>
        <v>9.6999999999999993</v>
      </c>
    </row>
    <row r="56" spans="2:10" x14ac:dyDescent="0.2">
      <c r="B56" t="s">
        <v>2918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3665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66" r:id="rId5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67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97">
    <pageSetUpPr fitToPage="1"/>
  </sheetPr>
  <dimension ref="A1:G21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10" customWidth="1"/>
    <col min="3" max="3" width="13.28515625" customWidth="1"/>
    <col min="4" max="4" width="13.140625" customWidth="1"/>
    <col min="5" max="5" width="14.85546875" customWidth="1"/>
    <col min="6" max="6" width="15.42578125" customWidth="1"/>
    <col min="7" max="7" width="13" customWidth="1"/>
  </cols>
  <sheetData>
    <row r="1" spans="1:7" ht="18.75" thickBot="1" x14ac:dyDescent="0.3">
      <c r="A1" s="1" t="s">
        <v>2919</v>
      </c>
      <c r="B1" s="1"/>
      <c r="C1" s="1"/>
      <c r="D1" s="1"/>
      <c r="E1" s="1"/>
      <c r="F1" s="1"/>
      <c r="G1" s="1"/>
    </row>
    <row r="2" spans="1:7" ht="13.5" thickTop="1" x14ac:dyDescent="0.2"/>
    <row r="3" spans="1:7" x14ac:dyDescent="0.2">
      <c r="C3" s="5" t="s">
        <v>2920</v>
      </c>
      <c r="D3" s="5" t="s">
        <v>1468</v>
      </c>
    </row>
    <row r="4" spans="1:7" x14ac:dyDescent="0.2">
      <c r="B4" s="4"/>
      <c r="C4" s="16">
        <v>35796</v>
      </c>
      <c r="D4" s="3">
        <f>MONTH(C4)</f>
        <v>1</v>
      </c>
      <c r="E4" s="8" t="s">
        <v>2921</v>
      </c>
    </row>
    <row r="5" spans="1:7" x14ac:dyDescent="0.2">
      <c r="C5" s="16">
        <v>35796</v>
      </c>
      <c r="D5" s="448">
        <f>MONTH(C5)</f>
        <v>1</v>
      </c>
      <c r="E5" s="8" t="s">
        <v>2922</v>
      </c>
    </row>
    <row r="7" spans="1:7" ht="13.5" thickBot="1" x14ac:dyDescent="0.25">
      <c r="B7" s="9" t="s">
        <v>64</v>
      </c>
      <c r="C7" s="9"/>
      <c r="D7" s="9"/>
      <c r="E7" s="9"/>
      <c r="F7" s="9"/>
      <c r="G7" s="9"/>
    </row>
    <row r="8" spans="1:7" x14ac:dyDescent="0.2">
      <c r="B8" t="s">
        <v>2923</v>
      </c>
    </row>
    <row r="10" spans="1:7" ht="13.5" thickBot="1" x14ac:dyDescent="0.25">
      <c r="B10" s="9" t="s">
        <v>43</v>
      </c>
      <c r="C10" s="9"/>
      <c r="D10" s="9"/>
      <c r="E10" s="9"/>
      <c r="F10" s="9"/>
      <c r="G10" s="9"/>
    </row>
    <row r="11" spans="1:7" x14ac:dyDescent="0.2">
      <c r="B11" t="s">
        <v>2924</v>
      </c>
    </row>
    <row r="13" spans="1:7" ht="13.5" thickBot="1" x14ac:dyDescent="0.25">
      <c r="B13" s="9" t="s">
        <v>45</v>
      </c>
      <c r="C13" s="9"/>
      <c r="D13" s="9"/>
      <c r="E13" s="9"/>
      <c r="F13" s="9"/>
      <c r="G13" s="9"/>
    </row>
    <row r="14" spans="1:7" x14ac:dyDescent="0.2">
      <c r="B14" t="s">
        <v>193</v>
      </c>
    </row>
    <row r="15" spans="1:7" x14ac:dyDescent="0.2">
      <c r="B15" t="s">
        <v>2925</v>
      </c>
    </row>
    <row r="17" spans="2:7" ht="13.5" thickBot="1" x14ac:dyDescent="0.25">
      <c r="B17" s="9" t="s">
        <v>85</v>
      </c>
      <c r="C17" s="9"/>
      <c r="D17" s="9"/>
      <c r="E17" s="9"/>
      <c r="F17" s="9"/>
      <c r="G17" s="9"/>
    </row>
    <row r="18" spans="2:7" x14ac:dyDescent="0.2">
      <c r="B18" t="s">
        <v>2926</v>
      </c>
    </row>
    <row r="20" spans="2:7" x14ac:dyDescent="0.2">
      <c r="B20" s="209"/>
      <c r="C20" s="209"/>
      <c r="D20" s="209"/>
      <c r="E20" s="214" t="s">
        <v>2927</v>
      </c>
      <c r="F20" s="29">
        <v>22730</v>
      </c>
    </row>
    <row r="21" spans="2:7" x14ac:dyDescent="0.2">
      <c r="B21" s="209"/>
      <c r="C21" s="209"/>
      <c r="D21" s="209"/>
      <c r="E21" s="214" t="s">
        <v>2928</v>
      </c>
      <c r="F21" s="448">
        <f>MONTH(F20)</f>
        <v>3</v>
      </c>
      <c r="G21" s="8" t="s">
        <v>2929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4689" r:id="rId4" name="Button 1">
              <controlPr defaultSize="0" print="0" autoFill="0" autoLine="0" autoPict="0">
                <anchor>
                  <from>
                    <xdr:col>6</xdr:col>
                    <xdr:colOff>85725</xdr:colOff>
                    <xdr:row>0</xdr:row>
                    <xdr:rowOff>38100</xdr:rowOff>
                  </from>
                  <to>
                    <xdr:col>6</xdr:col>
                    <xdr:colOff>552450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90" r:id="rId5" name="Button 2">
              <controlPr defaultSize="0" print="0" autoFill="0" autoLine="0" autoPict="0">
                <anchor>
                  <from>
                    <xdr:col>6</xdr:col>
                    <xdr:colOff>619125</xdr:colOff>
                    <xdr:row>0</xdr:row>
                    <xdr:rowOff>38100</xdr:rowOff>
                  </from>
                  <to>
                    <xdr:col>6</xdr:col>
                    <xdr:colOff>819150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91" r:id="rId6" name="Button 3">
              <controlPr defaultSize="0" print="0" autoFill="0" autoLine="0" autoPict="0">
                <anchor>
                  <from>
                    <xdr:col>5</xdr:col>
                    <xdr:colOff>847725</xdr:colOff>
                    <xdr:row>0</xdr:row>
                    <xdr:rowOff>38100</xdr:rowOff>
                  </from>
                  <to>
                    <xdr:col>6</xdr:col>
                    <xdr:colOff>19050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99">
    <pageSetUpPr fitToPage="1"/>
  </sheetPr>
  <dimension ref="A1:J24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3.42578125" customWidth="1"/>
    <col min="3" max="4" width="10" customWidth="1"/>
    <col min="10" max="10" width="6.28515625" customWidth="1"/>
  </cols>
  <sheetData>
    <row r="1" spans="1:10" ht="18.75" thickBot="1" x14ac:dyDescent="0.3">
      <c r="A1" s="1" t="s">
        <v>146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x14ac:dyDescent="0.2">
      <c r="C3" s="5" t="s">
        <v>2930</v>
      </c>
      <c r="D3" s="5" t="s">
        <v>2931</v>
      </c>
    </row>
    <row r="4" spans="1:10" x14ac:dyDescent="0.2">
      <c r="C4" s="2">
        <v>1</v>
      </c>
      <c r="D4" s="3">
        <f t="shared" ref="D4:D12" si="0">N(C4)</f>
        <v>1</v>
      </c>
      <c r="E4" s="8" t="s">
        <v>2932</v>
      </c>
    </row>
    <row r="5" spans="1:10" x14ac:dyDescent="0.2">
      <c r="C5" s="449">
        <v>3.5</v>
      </c>
      <c r="D5" s="3">
        <f t="shared" si="0"/>
        <v>3.5</v>
      </c>
      <c r="E5" s="8" t="s">
        <v>2933</v>
      </c>
    </row>
    <row r="6" spans="1:10" x14ac:dyDescent="0.2">
      <c r="C6" s="2">
        <v>3.5</v>
      </c>
      <c r="D6" s="3">
        <f t="shared" si="0"/>
        <v>3.5</v>
      </c>
      <c r="E6" s="8" t="s">
        <v>2934</v>
      </c>
    </row>
    <row r="7" spans="1:10" x14ac:dyDescent="0.2">
      <c r="C7" s="177">
        <v>3.5000000000000003E-2</v>
      </c>
      <c r="D7" s="3">
        <f t="shared" si="0"/>
        <v>3.5000000000000003E-2</v>
      </c>
      <c r="E7" s="8" t="s">
        <v>2935</v>
      </c>
    </row>
    <row r="8" spans="1:10" x14ac:dyDescent="0.2">
      <c r="C8" s="16">
        <v>36154</v>
      </c>
      <c r="D8" s="3">
        <f t="shared" si="0"/>
        <v>36154</v>
      </c>
      <c r="E8" s="8" t="s">
        <v>2936</v>
      </c>
    </row>
    <row r="9" spans="1:10" x14ac:dyDescent="0.2">
      <c r="C9" s="2" t="b">
        <v>1</v>
      </c>
      <c r="D9" s="3">
        <f t="shared" si="0"/>
        <v>1</v>
      </c>
      <c r="E9" s="8" t="s">
        <v>2937</v>
      </c>
    </row>
    <row r="10" spans="1:10" x14ac:dyDescent="0.2">
      <c r="C10" s="2" t="b">
        <v>0</v>
      </c>
      <c r="D10" s="3">
        <f t="shared" si="0"/>
        <v>0</v>
      </c>
      <c r="E10" s="8" t="s">
        <v>2938</v>
      </c>
    </row>
    <row r="11" spans="1:10" x14ac:dyDescent="0.2">
      <c r="C11" s="2" t="s">
        <v>58</v>
      </c>
      <c r="D11" s="3">
        <f t="shared" si="0"/>
        <v>0</v>
      </c>
      <c r="E11" s="8" t="s">
        <v>2939</v>
      </c>
    </row>
    <row r="12" spans="1:10" x14ac:dyDescent="0.2">
      <c r="C12" s="2"/>
      <c r="D12" s="3">
        <f t="shared" si="0"/>
        <v>0</v>
      </c>
      <c r="E12" s="8" t="s">
        <v>2940</v>
      </c>
    </row>
    <row r="14" spans="1:10" ht="13.5" thickBot="1" x14ac:dyDescent="0.25">
      <c r="B14" s="9" t="s">
        <v>39</v>
      </c>
      <c r="C14" s="9"/>
      <c r="D14" s="9"/>
      <c r="E14" s="9"/>
      <c r="F14" s="9"/>
      <c r="G14" s="9"/>
      <c r="H14" s="9"/>
      <c r="I14" s="9"/>
      <c r="J14" s="9"/>
    </row>
    <row r="15" spans="1:10" x14ac:dyDescent="0.2">
      <c r="B15" t="s">
        <v>2941</v>
      </c>
    </row>
    <row r="16" spans="1:10" x14ac:dyDescent="0.2">
      <c r="B16" t="s">
        <v>2942</v>
      </c>
    </row>
    <row r="17" spans="2:10" x14ac:dyDescent="0.2">
      <c r="B17" t="s">
        <v>2943</v>
      </c>
    </row>
    <row r="18" spans="2:10" x14ac:dyDescent="0.2">
      <c r="B18" t="s">
        <v>2944</v>
      </c>
    </row>
    <row r="20" spans="2:10" ht="13.5" thickBot="1" x14ac:dyDescent="0.25">
      <c r="B20" s="9" t="s">
        <v>43</v>
      </c>
      <c r="C20" s="9"/>
      <c r="D20" s="9"/>
      <c r="E20" s="9"/>
      <c r="F20" s="9"/>
      <c r="G20" s="9"/>
      <c r="H20" s="9"/>
      <c r="I20" s="9"/>
      <c r="J20" s="9"/>
    </row>
    <row r="21" spans="2:10" x14ac:dyDescent="0.2">
      <c r="B21" s="10" t="s">
        <v>2945</v>
      </c>
    </row>
    <row r="23" spans="2:10" ht="13.5" thickBot="1" x14ac:dyDescent="0.25">
      <c r="B23" s="9" t="s">
        <v>45</v>
      </c>
      <c r="C23" s="9"/>
      <c r="D23" s="9"/>
      <c r="E23" s="9"/>
      <c r="F23" s="9"/>
      <c r="G23" s="9"/>
      <c r="H23" s="9"/>
      <c r="I23" s="9"/>
      <c r="J23" s="9"/>
    </row>
    <row r="24" spans="2:10" x14ac:dyDescent="0.2">
      <c r="B24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5713" r:id="rId4" name="Button 1">
              <controlPr defaultSize="0" print="0" autoFill="0" autoLine="0" autoPict="0">
                <anchor>
                  <from>
                    <xdr:col>8</xdr:col>
                    <xdr:colOff>190500</xdr:colOff>
                    <xdr:row>0</xdr:row>
                    <xdr:rowOff>38100</xdr:rowOff>
                  </from>
                  <to>
                    <xdr:col>9</xdr:col>
                    <xdr:colOff>57150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4" r:id="rId5" name="Button 2">
              <controlPr defaultSize="0" print="0" autoFill="0" autoLine="0" autoPict="0">
                <anchor>
                  <from>
                    <xdr:col>9</xdr:col>
                    <xdr:colOff>123825</xdr:colOff>
                    <xdr:row>0</xdr:row>
                    <xdr:rowOff>38100</xdr:rowOff>
                  </from>
                  <to>
                    <xdr:col>9</xdr:col>
                    <xdr:colOff>323850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5" r:id="rId6" name="Button 3">
              <controlPr defaultSize="0" print="0" autoFill="0" autoLine="0" autoPict="0">
                <anchor>
                  <from>
                    <xdr:col>7</xdr:col>
                    <xdr:colOff>523875</xdr:colOff>
                    <xdr:row>0</xdr:row>
                    <xdr:rowOff>38100</xdr:rowOff>
                  </from>
                  <to>
                    <xdr:col>8</xdr:col>
                    <xdr:colOff>123825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00">
    <pageSetUpPr fitToPage="1"/>
  </sheetPr>
  <dimension ref="A1:I51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5.42578125" customWidth="1"/>
    <col min="9" max="9" width="15.140625" customWidth="1"/>
  </cols>
  <sheetData>
    <row r="1" spans="1:9" ht="18.75" thickBot="1" x14ac:dyDescent="0.3">
      <c r="A1" s="1" t="s">
        <v>2946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D3" s="11" t="e">
        <f>NA()</f>
        <v>#N/A</v>
      </c>
      <c r="E3" s="8" t="s">
        <v>2947</v>
      </c>
    </row>
    <row r="5" spans="1:9" x14ac:dyDescent="0.2">
      <c r="C5" s="5" t="s">
        <v>2184</v>
      </c>
      <c r="D5" s="5" t="s">
        <v>2948</v>
      </c>
    </row>
    <row r="6" spans="1:9" x14ac:dyDescent="0.2">
      <c r="C6" s="2">
        <v>10</v>
      </c>
      <c r="D6" s="3">
        <f>IF(ISBLANK(C6),NA(),C6+1)</f>
        <v>11</v>
      </c>
      <c r="E6" s="8" t="s">
        <v>2949</v>
      </c>
    </row>
    <row r="7" spans="1:9" x14ac:dyDescent="0.2">
      <c r="C7" s="2"/>
      <c r="D7" s="3" t="e">
        <f>IF(ISBLANK(C7),NA(),C7+1)</f>
        <v>#N/A</v>
      </c>
      <c r="E7" s="8" t="s">
        <v>2950</v>
      </c>
    </row>
    <row r="8" spans="1:9" x14ac:dyDescent="0.2">
      <c r="C8" s="2">
        <v>30</v>
      </c>
      <c r="D8" s="3">
        <f>IF(ISBLANK(C8),NA(),C8+1)</f>
        <v>31</v>
      </c>
      <c r="E8" s="8" t="s">
        <v>2951</v>
      </c>
    </row>
    <row r="10" spans="1:9" x14ac:dyDescent="0.2">
      <c r="D10" s="5" t="s">
        <v>371</v>
      </c>
    </row>
    <row r="11" spans="1:9" x14ac:dyDescent="0.2">
      <c r="C11" s="7" t="s">
        <v>16</v>
      </c>
      <c r="D11" s="2">
        <v>100</v>
      </c>
      <c r="E11" s="19"/>
    </row>
    <row r="12" spans="1:9" x14ac:dyDescent="0.2">
      <c r="C12" s="7" t="s">
        <v>17</v>
      </c>
      <c r="D12" s="2" t="e">
        <f>NA()</f>
        <v>#N/A</v>
      </c>
      <c r="E12" s="26" t="s">
        <v>2947</v>
      </c>
    </row>
    <row r="13" spans="1:9" x14ac:dyDescent="0.2">
      <c r="C13" s="7" t="s">
        <v>18</v>
      </c>
      <c r="D13" s="2" t="e">
        <f>NA()</f>
        <v>#N/A</v>
      </c>
      <c r="E13" s="26" t="s">
        <v>2947</v>
      </c>
    </row>
    <row r="14" spans="1:9" x14ac:dyDescent="0.2">
      <c r="C14" s="7" t="s">
        <v>19</v>
      </c>
      <c r="D14" s="2">
        <v>200</v>
      </c>
      <c r="E14" s="19"/>
    </row>
    <row r="15" spans="1:9" x14ac:dyDescent="0.2">
      <c r="C15" s="7" t="s">
        <v>15</v>
      </c>
      <c r="D15" s="2" t="e">
        <f>SUM(D11:D14)</f>
        <v>#N/A</v>
      </c>
      <c r="E15" s="26" t="s">
        <v>2952</v>
      </c>
    </row>
    <row r="17" spans="2:9" ht="13.5" thickBot="1" x14ac:dyDescent="0.25">
      <c r="B17" s="9" t="s">
        <v>39</v>
      </c>
      <c r="C17" s="9"/>
      <c r="D17" s="9"/>
      <c r="E17" s="9"/>
      <c r="F17" s="9"/>
      <c r="G17" s="9"/>
      <c r="H17" s="9"/>
      <c r="I17" s="9"/>
    </row>
    <row r="18" spans="2:9" x14ac:dyDescent="0.2">
      <c r="B18" t="s">
        <v>2953</v>
      </c>
    </row>
    <row r="19" spans="2:9" x14ac:dyDescent="0.2">
      <c r="B19" t="s">
        <v>2954</v>
      </c>
    </row>
    <row r="20" spans="2:9" x14ac:dyDescent="0.2">
      <c r="B20" t="s">
        <v>2955</v>
      </c>
    </row>
    <row r="21" spans="2:9" x14ac:dyDescent="0.2">
      <c r="B21" t="s">
        <v>2956</v>
      </c>
    </row>
    <row r="23" spans="2:9" ht="13.5" thickBot="1" x14ac:dyDescent="0.25">
      <c r="B23" s="9" t="s">
        <v>43</v>
      </c>
      <c r="C23" s="9"/>
      <c r="D23" s="9"/>
      <c r="E23" s="9"/>
      <c r="F23" s="9"/>
      <c r="G23" s="9"/>
      <c r="H23" s="9"/>
      <c r="I23" s="9"/>
    </row>
    <row r="24" spans="2:9" x14ac:dyDescent="0.2">
      <c r="B24" s="10" t="s">
        <v>2957</v>
      </c>
    </row>
    <row r="26" spans="2:9" ht="13.5" thickBot="1" x14ac:dyDescent="0.25">
      <c r="B26" s="9" t="s">
        <v>45</v>
      </c>
      <c r="C26" s="9"/>
      <c r="D26" s="9"/>
      <c r="E26" s="9"/>
      <c r="F26" s="9"/>
      <c r="G26" s="9"/>
      <c r="H26" s="9"/>
      <c r="I26" s="9"/>
    </row>
    <row r="27" spans="2:9" x14ac:dyDescent="0.2">
      <c r="B27" t="s">
        <v>1190</v>
      </c>
    </row>
    <row r="29" spans="2:9" ht="13.5" thickBot="1" x14ac:dyDescent="0.25">
      <c r="B29" s="9" t="s">
        <v>85</v>
      </c>
      <c r="C29" s="9"/>
      <c r="D29" s="9"/>
      <c r="E29" s="9"/>
      <c r="F29" s="9"/>
      <c r="G29" s="9"/>
      <c r="H29" s="9"/>
      <c r="I29" s="9"/>
    </row>
    <row r="30" spans="2:9" x14ac:dyDescent="0.2">
      <c r="B30" t="s">
        <v>2958</v>
      </c>
    </row>
    <row r="31" spans="2:9" x14ac:dyDescent="0.2">
      <c r="B31" t="s">
        <v>2959</v>
      </c>
    </row>
    <row r="32" spans="2:9" x14ac:dyDescent="0.2">
      <c r="B32" t="s">
        <v>2960</v>
      </c>
    </row>
    <row r="33" spans="2:6" ht="12.75" customHeight="1" x14ac:dyDescent="0.2"/>
    <row r="34" spans="2:6" ht="12.75" customHeight="1" x14ac:dyDescent="0.2">
      <c r="B34" t="s">
        <v>2961</v>
      </c>
    </row>
    <row r="35" spans="2:6" ht="12.75" customHeight="1" x14ac:dyDescent="0.2">
      <c r="B35" t="s">
        <v>2962</v>
      </c>
    </row>
    <row r="36" spans="2:6" ht="12.75" customHeight="1" x14ac:dyDescent="0.2"/>
    <row r="37" spans="2:6" ht="12.75" customHeight="1" x14ac:dyDescent="0.2">
      <c r="B37" t="s">
        <v>229</v>
      </c>
    </row>
    <row r="38" spans="2:6" ht="12.75" customHeight="1" x14ac:dyDescent="0.2">
      <c r="C38" s="5" t="s">
        <v>2524</v>
      </c>
      <c r="D38" s="5" t="s">
        <v>2963</v>
      </c>
      <c r="E38" s="5" t="s">
        <v>2964</v>
      </c>
    </row>
    <row r="39" spans="2:6" x14ac:dyDescent="0.2">
      <c r="B39" s="7" t="s">
        <v>118</v>
      </c>
      <c r="C39" s="2">
        <v>1000</v>
      </c>
      <c r="D39" s="126">
        <v>0.25</v>
      </c>
      <c r="E39" s="3">
        <f>C39-C39*D39</f>
        <v>750</v>
      </c>
      <c r="F39" s="8" t="s">
        <v>2965</v>
      </c>
    </row>
    <row r="40" spans="2:6" x14ac:dyDescent="0.2">
      <c r="B40" s="7" t="s">
        <v>120</v>
      </c>
      <c r="C40" s="2">
        <v>1000</v>
      </c>
      <c r="D40" s="126"/>
      <c r="E40" s="3">
        <f>C40-C40*D40</f>
        <v>1000</v>
      </c>
      <c r="F40" s="8" t="s">
        <v>2966</v>
      </c>
    </row>
    <row r="41" spans="2:6" x14ac:dyDescent="0.2">
      <c r="B41" s="7" t="s">
        <v>121</v>
      </c>
      <c r="C41" s="2">
        <v>1000</v>
      </c>
      <c r="D41" s="126">
        <v>0.2</v>
      </c>
      <c r="E41" s="3">
        <f>C41-C41*D41</f>
        <v>800</v>
      </c>
      <c r="F41" s="8" t="s">
        <v>2967</v>
      </c>
    </row>
    <row r="44" spans="2:6" x14ac:dyDescent="0.2">
      <c r="B44" t="s">
        <v>2968</v>
      </c>
    </row>
    <row r="45" spans="2:6" x14ac:dyDescent="0.2">
      <c r="B45" t="s">
        <v>2969</v>
      </c>
    </row>
    <row r="47" spans="2:6" x14ac:dyDescent="0.2">
      <c r="B47" t="s">
        <v>924</v>
      </c>
    </row>
    <row r="48" spans="2:6" x14ac:dyDescent="0.2">
      <c r="C48" s="5" t="s">
        <v>2524</v>
      </c>
      <c r="D48" s="5" t="s">
        <v>2963</v>
      </c>
      <c r="E48" s="5" t="s">
        <v>2964</v>
      </c>
    </row>
    <row r="49" spans="2:6" x14ac:dyDescent="0.2">
      <c r="B49" s="7" t="s">
        <v>118</v>
      </c>
      <c r="C49" s="2">
        <v>1000</v>
      </c>
      <c r="D49" s="126">
        <v>0.25</v>
      </c>
      <c r="E49" s="3">
        <f>C49-C49*D49</f>
        <v>750</v>
      </c>
      <c r="F49" s="8" t="s">
        <v>2970</v>
      </c>
    </row>
    <row r="50" spans="2:6" x14ac:dyDescent="0.2">
      <c r="B50" s="7" t="s">
        <v>120</v>
      </c>
      <c r="C50" s="2">
        <v>1000</v>
      </c>
      <c r="D50" s="126" t="e">
        <f>NA()</f>
        <v>#N/A</v>
      </c>
      <c r="E50" s="3" t="e">
        <f>C50-C50*D50</f>
        <v>#N/A</v>
      </c>
      <c r="F50" s="8" t="s">
        <v>2971</v>
      </c>
    </row>
    <row r="51" spans="2:6" x14ac:dyDescent="0.2">
      <c r="B51" s="7" t="s">
        <v>121</v>
      </c>
      <c r="C51" s="2">
        <v>1000</v>
      </c>
      <c r="D51" s="126">
        <v>0.2</v>
      </c>
      <c r="E51" s="3">
        <f>C51-C51*D51</f>
        <v>800</v>
      </c>
      <c r="F51" s="8" t="s">
        <v>2972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Button 1">
              <controlPr defaultSize="0" print="0" autoFill="0" autoLine="0" autoPict="0">
                <anchor>
                  <from>
                    <xdr:col>8</xdr:col>
                    <xdr:colOff>200025</xdr:colOff>
                    <xdr:row>0</xdr:row>
                    <xdr:rowOff>38100</xdr:rowOff>
                  </from>
                  <to>
                    <xdr:col>8</xdr:col>
                    <xdr:colOff>666750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8" r:id="rId5" name="Button 2">
              <controlPr defaultSize="0" print="0" autoFill="0" autoLine="0" autoPict="0">
                <anchor>
                  <from>
                    <xdr:col>8</xdr:col>
                    <xdr:colOff>733425</xdr:colOff>
                    <xdr:row>0</xdr:row>
                    <xdr:rowOff>38100</xdr:rowOff>
                  </from>
                  <to>
                    <xdr:col>8</xdr:col>
                    <xdr:colOff>933450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9" r:id="rId6" name="Button 3">
              <controlPr defaultSize="0" print="0" autoFill="0" autoLine="0" autoPict="0">
                <anchor>
                  <from>
                    <xdr:col>7</xdr:col>
                    <xdr:colOff>542925</xdr:colOff>
                    <xdr:row>0</xdr:row>
                    <xdr:rowOff>38100</xdr:rowOff>
                  </from>
                  <to>
                    <xdr:col>8</xdr:col>
                    <xdr:colOff>133350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01">
    <pageSetUpPr fitToPage="1"/>
  </sheetPr>
  <dimension ref="A1:F37"/>
  <sheetViews>
    <sheetView showGridLines="0" workbookViewId="0">
      <pane ySplit="1" topLeftCell="A8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1.7109375" customWidth="1"/>
    <col min="2" max="2" width="15" customWidth="1"/>
    <col min="3" max="3" width="14.42578125" customWidth="1"/>
    <col min="4" max="4" width="14.7109375" customWidth="1"/>
    <col min="5" max="5" width="11.7109375" customWidth="1"/>
    <col min="6" max="6" width="26.5703125" customWidth="1"/>
  </cols>
  <sheetData>
    <row r="1" spans="1:6" ht="18.75" thickBot="1" x14ac:dyDescent="0.3">
      <c r="A1" s="1" t="s">
        <v>2973</v>
      </c>
      <c r="B1" s="1"/>
      <c r="C1" s="1"/>
      <c r="D1" s="1"/>
      <c r="E1" s="1"/>
      <c r="F1" s="58"/>
    </row>
    <row r="2" spans="1:6" ht="13.5" thickTop="1" x14ac:dyDescent="0.2"/>
    <row r="3" spans="1:6" x14ac:dyDescent="0.2">
      <c r="C3" s="59" t="s">
        <v>1858</v>
      </c>
      <c r="D3" s="59" t="s">
        <v>1860</v>
      </c>
      <c r="E3" s="59" t="s">
        <v>2974</v>
      </c>
    </row>
    <row r="4" spans="1:6" x14ac:dyDescent="0.2">
      <c r="C4" s="16">
        <v>35855</v>
      </c>
      <c r="D4" s="16">
        <v>35861</v>
      </c>
      <c r="E4" s="3">
        <f>NETWORKDAYS(C4,D4)</f>
        <v>5</v>
      </c>
      <c r="F4" s="26" t="s">
        <v>2975</v>
      </c>
    </row>
    <row r="5" spans="1:6" x14ac:dyDescent="0.2">
      <c r="C5" s="16">
        <v>35910</v>
      </c>
      <c r="D5" s="16">
        <v>36006</v>
      </c>
      <c r="E5" s="3">
        <f>NETWORKDAYS(C5,D5)</f>
        <v>69</v>
      </c>
      <c r="F5" s="26" t="s">
        <v>2976</v>
      </c>
    </row>
    <row r="6" spans="1:6" x14ac:dyDescent="0.2">
      <c r="C6" s="16">
        <v>36153</v>
      </c>
      <c r="D6" s="16">
        <v>36165</v>
      </c>
      <c r="E6" s="3">
        <f>NETWORKDAYS(C6,D6)</f>
        <v>9</v>
      </c>
      <c r="F6" s="26" t="s">
        <v>2977</v>
      </c>
    </row>
    <row r="8" spans="1:6" ht="13.5" thickBot="1" x14ac:dyDescent="0.25">
      <c r="B8" s="9" t="s">
        <v>64</v>
      </c>
      <c r="C8" s="9"/>
      <c r="D8" s="9"/>
      <c r="E8" s="9"/>
      <c r="F8" s="9"/>
    </row>
    <row r="9" spans="1:6" x14ac:dyDescent="0.2">
      <c r="B9" t="s">
        <v>2978</v>
      </c>
    </row>
    <row r="10" spans="1:6" x14ac:dyDescent="0.2">
      <c r="B10" t="s">
        <v>2979</v>
      </c>
    </row>
    <row r="12" spans="1:6" ht="13.5" thickBot="1" x14ac:dyDescent="0.25">
      <c r="B12" s="9" t="s">
        <v>43</v>
      </c>
      <c r="C12" s="9"/>
      <c r="D12" s="9"/>
      <c r="E12" s="9"/>
      <c r="F12" s="9"/>
    </row>
    <row r="13" spans="1:6" x14ac:dyDescent="0.2">
      <c r="B13" t="s">
        <v>2980</v>
      </c>
    </row>
    <row r="14" spans="1:6" x14ac:dyDescent="0.2">
      <c r="B14" t="s">
        <v>2981</v>
      </c>
    </row>
    <row r="15" spans="1:6" x14ac:dyDescent="0.2">
      <c r="B15" t="s">
        <v>2982</v>
      </c>
    </row>
    <row r="17" spans="2:6" ht="13.5" thickBot="1" x14ac:dyDescent="0.25">
      <c r="B17" s="9" t="s">
        <v>45</v>
      </c>
      <c r="C17" s="9"/>
      <c r="D17" s="9"/>
      <c r="E17" s="9"/>
      <c r="F17" s="9"/>
    </row>
    <row r="18" spans="2:6" x14ac:dyDescent="0.2">
      <c r="B18" t="s">
        <v>996</v>
      </c>
    </row>
    <row r="20" spans="2:6" ht="13.5" thickBot="1" x14ac:dyDescent="0.25">
      <c r="B20" s="9" t="s">
        <v>47</v>
      </c>
      <c r="C20" s="9"/>
      <c r="D20" s="9"/>
      <c r="E20" s="9"/>
      <c r="F20" s="9"/>
    </row>
    <row r="21" spans="2:6" x14ac:dyDescent="0.2">
      <c r="B21" t="s">
        <v>1614</v>
      </c>
    </row>
    <row r="22" spans="2:6" x14ac:dyDescent="0.2">
      <c r="B22" t="s">
        <v>2983</v>
      </c>
    </row>
    <row r="24" spans="2:6" ht="13.5" thickBot="1" x14ac:dyDescent="0.25">
      <c r="B24" s="9" t="s">
        <v>85</v>
      </c>
      <c r="C24" s="9"/>
      <c r="D24" s="9"/>
      <c r="E24" s="9"/>
      <c r="F24" s="9"/>
    </row>
    <row r="25" spans="2:6" x14ac:dyDescent="0.2">
      <c r="B25" t="s">
        <v>2984</v>
      </c>
    </row>
    <row r="27" spans="2:6" x14ac:dyDescent="0.2">
      <c r="B27" s="59" t="s">
        <v>1858</v>
      </c>
      <c r="C27" s="59" t="s">
        <v>1860</v>
      </c>
      <c r="D27" s="59" t="s">
        <v>2974</v>
      </c>
    </row>
    <row r="28" spans="2:6" x14ac:dyDescent="0.2">
      <c r="B28" s="450">
        <v>35856</v>
      </c>
      <c r="C28" s="450">
        <v>35860</v>
      </c>
      <c r="D28" s="3">
        <f>NETWORKDAYS(B28,C28,C33:C37)</f>
        <v>5</v>
      </c>
      <c r="E28" s="8" t="s">
        <v>2985</v>
      </c>
    </row>
    <row r="29" spans="2:6" x14ac:dyDescent="0.2">
      <c r="B29" s="450">
        <v>35856</v>
      </c>
      <c r="C29" s="450">
        <v>35867</v>
      </c>
      <c r="D29" s="3">
        <f>NETWORKDAYS(B29,C29,C33:C37)</f>
        <v>10</v>
      </c>
      <c r="E29" s="8" t="s">
        <v>2986</v>
      </c>
    </row>
    <row r="30" spans="2:6" x14ac:dyDescent="0.2">
      <c r="B30" s="450">
        <v>35912</v>
      </c>
      <c r="C30" s="450">
        <v>35916</v>
      </c>
      <c r="D30" s="3">
        <f>NETWORKDAYS(B30,C30,C33:C37)</f>
        <v>4</v>
      </c>
      <c r="E30" s="8" t="s">
        <v>2987</v>
      </c>
    </row>
    <row r="32" spans="2:6" x14ac:dyDescent="0.2">
      <c r="C32" s="59" t="s">
        <v>2988</v>
      </c>
    </row>
    <row r="33" spans="2:3" x14ac:dyDescent="0.2">
      <c r="B33" s="170" t="s">
        <v>2989</v>
      </c>
      <c r="C33" s="16">
        <v>35916</v>
      </c>
    </row>
    <row r="34" spans="2:3" x14ac:dyDescent="0.2">
      <c r="B34" s="170" t="s">
        <v>2990</v>
      </c>
      <c r="C34" s="16">
        <v>36154</v>
      </c>
    </row>
    <row r="35" spans="2:3" x14ac:dyDescent="0.2">
      <c r="B35" s="170" t="s">
        <v>2991</v>
      </c>
      <c r="C35" s="16">
        <v>35431</v>
      </c>
    </row>
    <row r="36" spans="2:3" x14ac:dyDescent="0.2">
      <c r="B36" s="170" t="s">
        <v>2991</v>
      </c>
      <c r="C36" s="16">
        <v>35796</v>
      </c>
    </row>
    <row r="37" spans="2:3" x14ac:dyDescent="0.2">
      <c r="B37" s="170" t="s">
        <v>2991</v>
      </c>
      <c r="C37" s="16">
        <v>36161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7761" r:id="rId4" name="Button 1">
              <controlPr defaultSize="0" print="0" autoFill="0" autoLine="0" autoPict="0">
                <anchor>
                  <from>
                    <xdr:col>5</xdr:col>
                    <xdr:colOff>1000125</xdr:colOff>
                    <xdr:row>0</xdr:row>
                    <xdr:rowOff>38100</xdr:rowOff>
                  </from>
                  <to>
                    <xdr:col>5</xdr:col>
                    <xdr:colOff>1466850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2" r:id="rId5" name="Button 2">
              <controlPr defaultSize="0" print="0" autoFill="0" autoLine="0" autoPict="0">
                <anchor>
                  <from>
                    <xdr:col>5</xdr:col>
                    <xdr:colOff>1533525</xdr:colOff>
                    <xdr:row>0</xdr:row>
                    <xdr:rowOff>38100</xdr:rowOff>
                  </from>
                  <to>
                    <xdr:col>5</xdr:col>
                    <xdr:colOff>1733550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3" r:id="rId6" name="Button 3">
              <controlPr defaultSize="0" print="0" autoFill="0" autoLine="0" autoPict="0">
                <anchor>
                  <from>
                    <xdr:col>5</xdr:col>
                    <xdr:colOff>733425</xdr:colOff>
                    <xdr:row>0</xdr:row>
                    <xdr:rowOff>38100</xdr:rowOff>
                  </from>
                  <to>
                    <xdr:col>5</xdr:col>
                    <xdr:colOff>933450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02">
    <pageSetUpPr fitToPage="1"/>
  </sheetPr>
  <dimension ref="A1:G9"/>
  <sheetViews>
    <sheetView showGridLines="0" workbookViewId="0">
      <selection activeCell="F30" activeCellId="4" sqref="F16 K30 G30 P30 F30"/>
    </sheetView>
  </sheetViews>
  <sheetFormatPr defaultRowHeight="12.75" x14ac:dyDescent="0.2"/>
  <cols>
    <col min="7" max="7" width="2.7109375" customWidth="1"/>
  </cols>
  <sheetData>
    <row r="1" spans="1:7" x14ac:dyDescent="0.2">
      <c r="A1" t="s">
        <v>2992</v>
      </c>
    </row>
    <row r="2" spans="1:7" x14ac:dyDescent="0.2">
      <c r="A2" t="s">
        <v>1856</v>
      </c>
    </row>
    <row r="3" spans="1:7" x14ac:dyDescent="0.2">
      <c r="B3" t="s">
        <v>118</v>
      </c>
    </row>
    <row r="4" spans="1:7" x14ac:dyDescent="0.2">
      <c r="C4" s="5" t="s">
        <v>12</v>
      </c>
      <c r="D4" s="5" t="s">
        <v>13</v>
      </c>
      <c r="E4" s="5" t="s">
        <v>14</v>
      </c>
      <c r="F4" s="5" t="s">
        <v>15</v>
      </c>
    </row>
    <row r="5" spans="1:7" x14ac:dyDescent="0.2">
      <c r="B5" s="5" t="s">
        <v>118</v>
      </c>
      <c r="C5" s="2">
        <v>10</v>
      </c>
      <c r="D5" s="2">
        <v>20</v>
      </c>
      <c r="E5" s="2">
        <v>30</v>
      </c>
      <c r="F5" s="3">
        <f>SUM(C5:E5)</f>
        <v>60</v>
      </c>
    </row>
    <row r="6" spans="1:7" x14ac:dyDescent="0.2">
      <c r="B6" s="5" t="s">
        <v>120</v>
      </c>
      <c r="C6" s="2">
        <v>40</v>
      </c>
      <c r="D6" s="2">
        <v>50</v>
      </c>
      <c r="E6" s="2">
        <v>60</v>
      </c>
      <c r="F6" s="3">
        <f>SUM(C6:E6)</f>
        <v>150</v>
      </c>
    </row>
    <row r="7" spans="1:7" x14ac:dyDescent="0.2">
      <c r="B7" s="5" t="s">
        <v>121</v>
      </c>
      <c r="C7" s="2">
        <v>70</v>
      </c>
      <c r="D7" s="2">
        <v>80</v>
      </c>
      <c r="E7" s="2">
        <v>90</v>
      </c>
      <c r="F7" s="3">
        <f>SUM(C7:E7)</f>
        <v>240</v>
      </c>
    </row>
    <row r="8" spans="1:7" x14ac:dyDescent="0.2">
      <c r="B8" s="5" t="s">
        <v>15</v>
      </c>
      <c r="C8" s="3">
        <f>SUM(C5:C7)</f>
        <v>120</v>
      </c>
      <c r="D8" s="3">
        <f>SUM(D5:D7)</f>
        <v>150</v>
      </c>
      <c r="E8" s="3">
        <f>SUM(E5:E7)</f>
        <v>180</v>
      </c>
      <c r="F8" s="3">
        <f>SUM(C8:E8)</f>
        <v>450</v>
      </c>
    </row>
    <row r="9" spans="1:7" x14ac:dyDescent="0.2">
      <c r="G9" s="451"/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8785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266700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86" r:id="rId5" name="Button 2">
              <controlPr defaultSize="0" print="0" autoFill="0" autoLine="0" autoPict="0">
                <anchor>
                  <from>
                    <xdr:col>9</xdr:col>
                    <xdr:colOff>333375</xdr:colOff>
                    <xdr:row>0</xdr:row>
                    <xdr:rowOff>38100</xdr:rowOff>
                  </from>
                  <to>
                    <xdr:col>9</xdr:col>
                    <xdr:colOff>542925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87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323850</xdr:colOff>
                    <xdr:row>1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03">
    <pageSetUpPr fitToPage="1"/>
  </sheetPr>
  <dimension ref="A1:J35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4.28515625" customWidth="1"/>
    <col min="10" max="10" width="6.85546875" customWidth="1"/>
  </cols>
  <sheetData>
    <row r="1" spans="1:10" ht="18.75" thickBot="1" x14ac:dyDescent="0.3">
      <c r="A1" s="1" t="s">
        <v>2993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x14ac:dyDescent="0.2">
      <c r="C3" s="13" t="s">
        <v>2994</v>
      </c>
      <c r="D3" s="15"/>
      <c r="E3" s="5" t="s">
        <v>549</v>
      </c>
    </row>
    <row r="4" spans="1:10" x14ac:dyDescent="0.2">
      <c r="C4" s="2">
        <v>10</v>
      </c>
      <c r="D4" s="2">
        <v>20</v>
      </c>
      <c r="E4" s="3" t="b">
        <f>NOT(C4&gt;D4)</f>
        <v>1</v>
      </c>
      <c r="F4" s="8" t="s">
        <v>2995</v>
      </c>
    </row>
    <row r="5" spans="1:10" x14ac:dyDescent="0.2">
      <c r="C5" s="2">
        <v>10</v>
      </c>
      <c r="D5" s="2">
        <v>20</v>
      </c>
      <c r="E5" s="3" t="b">
        <f>NOT(C5=D5)</f>
        <v>1</v>
      </c>
      <c r="F5" s="8" t="s">
        <v>2996</v>
      </c>
    </row>
    <row r="6" spans="1:10" x14ac:dyDescent="0.2">
      <c r="C6" s="2">
        <v>10</v>
      </c>
      <c r="D6" s="2">
        <v>20</v>
      </c>
      <c r="E6" s="3" t="b">
        <f>NOT(C6&lt;D6)</f>
        <v>0</v>
      </c>
      <c r="F6" s="8" t="s">
        <v>2997</v>
      </c>
    </row>
    <row r="7" spans="1:10" x14ac:dyDescent="0.2">
      <c r="C7" s="16">
        <v>35796</v>
      </c>
      <c r="D7" s="16">
        <v>35827</v>
      </c>
      <c r="E7" s="3" t="b">
        <f>NOT(C7&gt;D7)</f>
        <v>1</v>
      </c>
      <c r="F7" s="8" t="s">
        <v>2998</v>
      </c>
    </row>
    <row r="8" spans="1:10" x14ac:dyDescent="0.2">
      <c r="C8" s="2" t="s">
        <v>58</v>
      </c>
      <c r="D8" s="2" t="s">
        <v>1912</v>
      </c>
      <c r="E8" s="3" t="b">
        <f>NOT(C8=D8)</f>
        <v>1</v>
      </c>
      <c r="F8" s="8" t="s">
        <v>2999</v>
      </c>
    </row>
    <row r="9" spans="1:10" x14ac:dyDescent="0.2">
      <c r="C9" s="2" t="s">
        <v>58</v>
      </c>
      <c r="D9" s="2" t="s">
        <v>58</v>
      </c>
      <c r="E9" s="3" t="b">
        <f>NOT(C9=D9)</f>
        <v>0</v>
      </c>
      <c r="F9" s="8" t="s">
        <v>3000</v>
      </c>
    </row>
    <row r="11" spans="1:10" ht="13.5" thickBot="1" x14ac:dyDescent="0.25">
      <c r="B11" s="9" t="s">
        <v>39</v>
      </c>
      <c r="C11" s="9"/>
      <c r="D11" s="9"/>
      <c r="E11" s="9"/>
      <c r="F11" s="9"/>
      <c r="G11" s="9"/>
      <c r="H11" s="9"/>
      <c r="I11" s="9"/>
      <c r="J11" s="9"/>
    </row>
    <row r="12" spans="1:10" x14ac:dyDescent="0.2">
      <c r="B12" t="s">
        <v>3001</v>
      </c>
    </row>
    <row r="13" spans="1:10" x14ac:dyDescent="0.2">
      <c r="B13" t="s">
        <v>3002</v>
      </c>
    </row>
    <row r="14" spans="1:10" x14ac:dyDescent="0.2">
      <c r="B14" t="s">
        <v>3003</v>
      </c>
    </row>
    <row r="16" spans="1:10" ht="13.5" thickBot="1" x14ac:dyDescent="0.25">
      <c r="B16" s="9" t="s">
        <v>43</v>
      </c>
      <c r="C16" s="9"/>
      <c r="D16" s="9"/>
      <c r="E16" s="9"/>
      <c r="F16" s="9"/>
      <c r="G16" s="9"/>
      <c r="H16" s="9"/>
      <c r="I16" s="9"/>
      <c r="J16" s="9"/>
    </row>
    <row r="17" spans="2:10" x14ac:dyDescent="0.2">
      <c r="B17" s="10" t="s">
        <v>3004</v>
      </c>
    </row>
    <row r="18" spans="2:10" x14ac:dyDescent="0.2">
      <c r="B18" t="s">
        <v>3005</v>
      </c>
    </row>
    <row r="20" spans="2:10" ht="13.5" thickBot="1" x14ac:dyDescent="0.25">
      <c r="B20" s="9" t="s">
        <v>45</v>
      </c>
      <c r="C20" s="9"/>
      <c r="D20" s="9"/>
      <c r="E20" s="9"/>
      <c r="F20" s="9"/>
      <c r="G20" s="9"/>
      <c r="H20" s="9"/>
      <c r="I20" s="9"/>
      <c r="J20" s="9"/>
    </row>
    <row r="21" spans="2:10" x14ac:dyDescent="0.2">
      <c r="B21" t="s">
        <v>46</v>
      </c>
    </row>
    <row r="23" spans="2:10" ht="13.5" thickBot="1" x14ac:dyDescent="0.25">
      <c r="B23" s="9" t="s">
        <v>85</v>
      </c>
      <c r="C23" s="9"/>
      <c r="D23" s="9"/>
      <c r="E23" s="9"/>
      <c r="F23" s="9"/>
      <c r="G23" s="9"/>
      <c r="H23" s="9"/>
      <c r="I23" s="9"/>
      <c r="J23" s="9"/>
    </row>
    <row r="24" spans="2:10" x14ac:dyDescent="0.2">
      <c r="B24" t="s">
        <v>3006</v>
      </c>
    </row>
    <row r="25" spans="2:10" x14ac:dyDescent="0.2">
      <c r="B25" t="s">
        <v>3007</v>
      </c>
    </row>
    <row r="26" spans="2:10" x14ac:dyDescent="0.2">
      <c r="B26" t="s">
        <v>3008</v>
      </c>
    </row>
    <row r="27" spans="2:10" x14ac:dyDescent="0.2">
      <c r="B27" t="s">
        <v>3009</v>
      </c>
    </row>
    <row r="28" spans="2:10" x14ac:dyDescent="0.2">
      <c r="B28" t="s">
        <v>3010</v>
      </c>
    </row>
    <row r="29" spans="2:10" x14ac:dyDescent="0.2">
      <c r="B29" t="s">
        <v>3011</v>
      </c>
    </row>
    <row r="30" spans="2:10" x14ac:dyDescent="0.2">
      <c r="B30" t="s">
        <v>3012</v>
      </c>
    </row>
    <row r="32" spans="2:10" x14ac:dyDescent="0.2">
      <c r="B32" s="5" t="s">
        <v>3013</v>
      </c>
      <c r="C32" s="5" t="s">
        <v>3014</v>
      </c>
      <c r="D32" s="5" t="s">
        <v>3015</v>
      </c>
      <c r="E32" s="5" t="s">
        <v>3016</v>
      </c>
    </row>
    <row r="33" spans="2:6" x14ac:dyDescent="0.2">
      <c r="B33" s="16">
        <v>35796</v>
      </c>
      <c r="C33" s="2">
        <v>14</v>
      </c>
      <c r="D33" s="16">
        <v>35800</v>
      </c>
      <c r="E33" s="3" t="str">
        <f>IF(NOT(D33&lt;=B33+C33),"Overdue","OK")</f>
        <v>OK</v>
      </c>
      <c r="F33" s="8" t="s">
        <v>3017</v>
      </c>
    </row>
    <row r="34" spans="2:6" x14ac:dyDescent="0.2">
      <c r="B34" s="16">
        <v>35796</v>
      </c>
      <c r="C34" s="2">
        <v>14</v>
      </c>
      <c r="D34" s="16">
        <v>35810</v>
      </c>
      <c r="E34" s="3" t="str">
        <f>IF(NOT(D34&lt;=B34+C34),"Overdue","OK")</f>
        <v>OK</v>
      </c>
      <c r="F34" s="8" t="s">
        <v>3018</v>
      </c>
    </row>
    <row r="35" spans="2:6" x14ac:dyDescent="0.2">
      <c r="B35" s="16">
        <v>35796</v>
      </c>
      <c r="C35" s="2">
        <v>14</v>
      </c>
      <c r="D35" s="16">
        <v>35815</v>
      </c>
      <c r="E35" s="3" t="str">
        <f>IF(NOT(D35&lt;=B35+C35),"Overdue","OK")</f>
        <v>Overdue</v>
      </c>
      <c r="F35" s="8" t="s">
        <v>3019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9809" r:id="rId4" name="Button 1">
              <controlPr defaultSize="0" print="0" autoFill="0" autoLine="0" autoPict="0">
                <anchor>
                  <from>
                    <xdr:col>8</xdr:col>
                    <xdr:colOff>285750</xdr:colOff>
                    <xdr:row>0</xdr:row>
                    <xdr:rowOff>38100</xdr:rowOff>
                  </from>
                  <to>
                    <xdr:col>9</xdr:col>
                    <xdr:colOff>142875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10" r:id="rId5" name="Button 2">
              <controlPr defaultSize="0" print="0" autoFill="0" autoLine="0" autoPict="0">
                <anchor>
                  <from>
                    <xdr:col>9</xdr:col>
                    <xdr:colOff>209550</xdr:colOff>
                    <xdr:row>0</xdr:row>
                    <xdr:rowOff>38100</xdr:rowOff>
                  </from>
                  <to>
                    <xdr:col>9</xdr:col>
                    <xdr:colOff>409575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11" r:id="rId6" name="Button 3">
              <controlPr defaultSize="0" print="0" autoFill="0" autoLine="0" autoPict="0">
                <anchor>
                  <from>
                    <xdr:col>8</xdr:col>
                    <xdr:colOff>9525</xdr:colOff>
                    <xdr:row>0</xdr:row>
                    <xdr:rowOff>38100</xdr:rowOff>
                  </from>
                  <to>
                    <xdr:col>8</xdr:col>
                    <xdr:colOff>219075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04">
    <pageSetUpPr fitToPage="1"/>
  </sheetPr>
  <dimension ref="A1:H16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22.85546875" customWidth="1"/>
    <col min="4" max="4" width="11.140625" customWidth="1"/>
  </cols>
  <sheetData>
    <row r="1" spans="1:8" ht="18.75" thickBot="1" x14ac:dyDescent="0.3">
      <c r="A1" s="1" t="s">
        <v>3020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C3" s="7" t="s">
        <v>3021</v>
      </c>
    </row>
    <row r="4" spans="1:8" x14ac:dyDescent="0.2">
      <c r="C4" s="452">
        <f ca="1">NOW()</f>
        <v>44452.676272685188</v>
      </c>
      <c r="D4" s="26" t="s">
        <v>3022</v>
      </c>
    </row>
    <row r="5" spans="1:8" x14ac:dyDescent="0.2">
      <c r="C5" s="3">
        <f ca="1">NOW()</f>
        <v>44452.676272685188</v>
      </c>
      <c r="D5" s="26" t="s">
        <v>3022</v>
      </c>
    </row>
    <row r="7" spans="1:8" ht="13.5" thickBot="1" x14ac:dyDescent="0.25">
      <c r="B7" s="9" t="s">
        <v>64</v>
      </c>
      <c r="C7" s="9"/>
      <c r="D7" s="9"/>
      <c r="E7" s="9"/>
      <c r="F7" s="9"/>
      <c r="G7" s="9"/>
      <c r="H7" s="9"/>
    </row>
    <row r="8" spans="1:8" x14ac:dyDescent="0.2">
      <c r="B8" t="s">
        <v>3023</v>
      </c>
    </row>
    <row r="9" spans="1:8" x14ac:dyDescent="0.2">
      <c r="B9" t="s">
        <v>3024</v>
      </c>
    </row>
    <row r="11" spans="1:8" ht="13.5" thickBot="1" x14ac:dyDescent="0.25">
      <c r="B11" s="9" t="s">
        <v>43</v>
      </c>
      <c r="C11" s="9"/>
      <c r="D11" s="9"/>
      <c r="E11" s="9"/>
      <c r="F11" s="9"/>
      <c r="G11" s="9"/>
      <c r="H11" s="9"/>
    </row>
    <row r="12" spans="1:8" x14ac:dyDescent="0.2">
      <c r="B12" t="s">
        <v>3022</v>
      </c>
    </row>
    <row r="14" spans="1:8" ht="13.5" thickBot="1" x14ac:dyDescent="0.25">
      <c r="B14" s="9" t="s">
        <v>45</v>
      </c>
      <c r="C14" s="9"/>
      <c r="D14" s="9"/>
      <c r="E14" s="9"/>
      <c r="F14" s="9"/>
      <c r="G14" s="9"/>
      <c r="H14" s="9"/>
    </row>
    <row r="15" spans="1:8" x14ac:dyDescent="0.2">
      <c r="B15" t="s">
        <v>3025</v>
      </c>
    </row>
    <row r="16" spans="1:8" x14ac:dyDescent="0.2">
      <c r="B16" t="s">
        <v>3026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0833" r:id="rId4" name="Button 1">
              <controlPr defaultSize="0" print="0" autoFill="0" autoLine="0" autoPict="0">
                <anchor>
                  <from>
                    <xdr:col>6</xdr:col>
                    <xdr:colOff>504825</xdr:colOff>
                    <xdr:row>0</xdr:row>
                    <xdr:rowOff>38100</xdr:rowOff>
                  </from>
                  <to>
                    <xdr:col>7</xdr:col>
                    <xdr:colOff>371475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34" r:id="rId5" name="Button 2">
              <controlPr defaultSize="0" print="0" autoFill="0" autoLine="0" autoPict="0">
                <anchor>
                  <from>
                    <xdr:col>7</xdr:col>
                    <xdr:colOff>438150</xdr:colOff>
                    <xdr:row>0</xdr:row>
                    <xdr:rowOff>38100</xdr:rowOff>
                  </from>
                  <to>
                    <xdr:col>8</xdr:col>
                    <xdr:colOff>38100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35" r:id="rId6" name="Button 3">
              <controlPr defaultSize="0" print="0" autoFill="0" autoLine="0" autoPict="0">
                <anchor>
                  <from>
                    <xdr:col>6</xdr:col>
                    <xdr:colOff>228600</xdr:colOff>
                    <xdr:row>0</xdr:row>
                    <xdr:rowOff>38100</xdr:rowOff>
                  </from>
                  <to>
                    <xdr:col>6</xdr:col>
                    <xdr:colOff>438150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05">
    <pageSetUpPr fitToPage="1"/>
  </sheetPr>
  <dimension ref="A1:I18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4" max="4" width="10.5703125" customWidth="1"/>
    <col min="5" max="5" width="10.140625" customWidth="1"/>
    <col min="9" max="9" width="15.140625" customWidth="1"/>
  </cols>
  <sheetData>
    <row r="1" spans="1:9" ht="18.75" thickBot="1" x14ac:dyDescent="0.3">
      <c r="A1" s="1" t="s">
        <v>3027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ht="38.25" x14ac:dyDescent="0.2">
      <c r="C3" s="5" t="s">
        <v>467</v>
      </c>
      <c r="D3" s="21" t="s">
        <v>3028</v>
      </c>
    </row>
    <row r="4" spans="1:9" x14ac:dyDescent="0.2">
      <c r="C4" s="2">
        <v>2</v>
      </c>
      <c r="D4" s="3">
        <f t="shared" ref="D4:D9" si="0">ODD(C4)</f>
        <v>3</v>
      </c>
      <c r="E4" s="8" t="s">
        <v>3029</v>
      </c>
    </row>
    <row r="5" spans="1:9" x14ac:dyDescent="0.2">
      <c r="C5" s="2">
        <v>2.4</v>
      </c>
      <c r="D5" s="3">
        <f t="shared" si="0"/>
        <v>3</v>
      </c>
      <c r="E5" s="8" t="s">
        <v>3030</v>
      </c>
    </row>
    <row r="6" spans="1:9" x14ac:dyDescent="0.2">
      <c r="C6" s="2">
        <v>2.9</v>
      </c>
      <c r="D6" s="3">
        <f t="shared" si="0"/>
        <v>3</v>
      </c>
      <c r="E6" s="8" t="s">
        <v>3031</v>
      </c>
    </row>
    <row r="7" spans="1:9" x14ac:dyDescent="0.2">
      <c r="C7" s="2">
        <v>3</v>
      </c>
      <c r="D7" s="3">
        <f t="shared" si="0"/>
        <v>3</v>
      </c>
      <c r="E7" s="8" t="s">
        <v>3032</v>
      </c>
    </row>
    <row r="8" spans="1:9" x14ac:dyDescent="0.2">
      <c r="C8" s="2">
        <v>3.4</v>
      </c>
      <c r="D8" s="3">
        <f t="shared" si="0"/>
        <v>5</v>
      </c>
      <c r="E8" s="8" t="s">
        <v>3033</v>
      </c>
    </row>
    <row r="9" spans="1:9" x14ac:dyDescent="0.2">
      <c r="C9" s="2">
        <v>3.9</v>
      </c>
      <c r="D9" s="3">
        <f t="shared" si="0"/>
        <v>5</v>
      </c>
      <c r="E9" s="8" t="s">
        <v>3034</v>
      </c>
    </row>
    <row r="11" spans="1:9" ht="13.5" thickBot="1" x14ac:dyDescent="0.25">
      <c r="B11" s="9" t="s">
        <v>39</v>
      </c>
      <c r="C11" s="9"/>
      <c r="D11" s="9"/>
      <c r="E11" s="9"/>
      <c r="F11" s="9"/>
      <c r="G11" s="9"/>
      <c r="H11" s="9"/>
      <c r="I11" s="9"/>
    </row>
    <row r="12" spans="1:9" x14ac:dyDescent="0.2">
      <c r="B12" t="s">
        <v>3035</v>
      </c>
    </row>
    <row r="14" spans="1:9" ht="13.5" thickBot="1" x14ac:dyDescent="0.25">
      <c r="B14" s="9" t="s">
        <v>43</v>
      </c>
      <c r="C14" s="9"/>
      <c r="D14" s="9"/>
      <c r="E14" s="9"/>
      <c r="F14" s="9"/>
      <c r="G14" s="9"/>
      <c r="H14" s="9"/>
      <c r="I14" s="9"/>
    </row>
    <row r="15" spans="1:9" x14ac:dyDescent="0.2">
      <c r="B15" s="10" t="s">
        <v>3036</v>
      </c>
    </row>
    <row r="17" spans="2:9" ht="13.5" thickBot="1" x14ac:dyDescent="0.25">
      <c r="B17" s="9" t="s">
        <v>45</v>
      </c>
      <c r="C17" s="9"/>
      <c r="D17" s="9"/>
      <c r="E17" s="9"/>
      <c r="F17" s="9"/>
      <c r="G17" s="9"/>
      <c r="H17" s="9"/>
      <c r="I17" s="9"/>
    </row>
    <row r="18" spans="2:9" x14ac:dyDescent="0.2">
      <c r="B18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1857" r:id="rId4" name="Button 1">
              <controlPr defaultSize="0" print="0" autoFill="0" autoLine="0" autoPict="0">
                <anchor>
                  <from>
                    <xdr:col>8</xdr:col>
                    <xdr:colOff>190500</xdr:colOff>
                    <xdr:row>0</xdr:row>
                    <xdr:rowOff>38100</xdr:rowOff>
                  </from>
                  <to>
                    <xdr:col>8</xdr:col>
                    <xdr:colOff>657225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58" r:id="rId5" name="Button 2">
              <controlPr defaultSize="0" print="0" autoFill="0" autoLine="0" autoPict="0">
                <anchor>
                  <from>
                    <xdr:col>8</xdr:col>
                    <xdr:colOff>723900</xdr:colOff>
                    <xdr:row>0</xdr:row>
                    <xdr:rowOff>38100</xdr:rowOff>
                  </from>
                  <to>
                    <xdr:col>8</xdr:col>
                    <xdr:colOff>923925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59" r:id="rId6" name="Button 3">
              <controlPr defaultSize="0" print="0" autoFill="0" autoLine="0" autoPict="0">
                <anchor>
                  <from>
                    <xdr:col>7</xdr:col>
                    <xdr:colOff>533400</xdr:colOff>
                    <xdr:row>0</xdr:row>
                    <xdr:rowOff>38100</xdr:rowOff>
                  </from>
                  <to>
                    <xdr:col>8</xdr:col>
                    <xdr:colOff>123825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06">
    <pageSetUpPr fitToPage="1"/>
  </sheetPr>
  <dimension ref="A1:J30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10" max="10" width="8.7109375" customWidth="1"/>
  </cols>
  <sheetData>
    <row r="1" spans="1:10" ht="18.75" thickBot="1" x14ac:dyDescent="0.3">
      <c r="A1" s="1" t="s">
        <v>3037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s="453" customFormat="1" ht="25.5" x14ac:dyDescent="0.2">
      <c r="C3" s="454" t="s">
        <v>3038</v>
      </c>
      <c r="D3" s="455" t="s">
        <v>164</v>
      </c>
      <c r="E3" s="455" t="s">
        <v>3039</v>
      </c>
      <c r="F3" s="456" t="s">
        <v>3040</v>
      </c>
    </row>
    <row r="4" spans="1:10" x14ac:dyDescent="0.2">
      <c r="C4" s="2" t="s">
        <v>3041</v>
      </c>
      <c r="D4" s="2">
        <v>1000</v>
      </c>
      <c r="E4" s="2" t="s">
        <v>3042</v>
      </c>
      <c r="F4" s="457">
        <f>IF(OR(E4="Visa",E4="Delta"),5,0)</f>
        <v>0</v>
      </c>
      <c r="G4" s="8" t="s">
        <v>3043</v>
      </c>
    </row>
    <row r="5" spans="1:10" x14ac:dyDescent="0.2">
      <c r="C5" s="2" t="s">
        <v>3044</v>
      </c>
      <c r="D5" s="2">
        <v>1000</v>
      </c>
      <c r="E5" s="2" t="s">
        <v>3045</v>
      </c>
      <c r="F5" s="457">
        <f>IF(OR(E5="Visa",E5="Delta"),5,0)</f>
        <v>5</v>
      </c>
      <c r="G5" s="8" t="s">
        <v>3046</v>
      </c>
    </row>
    <row r="6" spans="1:10" x14ac:dyDescent="0.2">
      <c r="C6" s="2" t="s">
        <v>3047</v>
      </c>
      <c r="D6" s="2">
        <v>2000</v>
      </c>
      <c r="E6" s="2" t="s">
        <v>3048</v>
      </c>
      <c r="F6" s="457">
        <f>IF(OR(E6="Visa",E6="Delta"),5,0)</f>
        <v>0</v>
      </c>
      <c r="G6" s="8" t="s">
        <v>3049</v>
      </c>
    </row>
    <row r="7" spans="1:10" x14ac:dyDescent="0.2">
      <c r="C7" s="2" t="s">
        <v>3050</v>
      </c>
      <c r="D7" s="2">
        <v>5000</v>
      </c>
      <c r="E7" s="2" t="s">
        <v>1765</v>
      </c>
      <c r="F7" s="457">
        <f>IF(OR(E7="Visa",E7="Delta"),5,0)</f>
        <v>5</v>
      </c>
      <c r="G7" s="8" t="s">
        <v>3051</v>
      </c>
    </row>
    <row r="9" spans="1:10" ht="13.5" thickBot="1" x14ac:dyDescent="0.25">
      <c r="B9" s="9" t="s">
        <v>64</v>
      </c>
      <c r="C9" s="9"/>
      <c r="D9" s="9"/>
      <c r="E9" s="9"/>
      <c r="F9" s="9"/>
      <c r="G9" s="9"/>
      <c r="H9" s="9"/>
      <c r="I9" s="9"/>
      <c r="J9" s="9"/>
    </row>
    <row r="10" spans="1:10" x14ac:dyDescent="0.2">
      <c r="B10" t="s">
        <v>3052</v>
      </c>
    </row>
    <row r="11" spans="1:10" x14ac:dyDescent="0.2">
      <c r="B11" t="s">
        <v>3053</v>
      </c>
    </row>
    <row r="12" spans="1:10" x14ac:dyDescent="0.2">
      <c r="B12" t="s">
        <v>3054</v>
      </c>
    </row>
    <row r="14" spans="1:10" ht="13.5" thickBot="1" x14ac:dyDescent="0.25">
      <c r="B14" s="9" t="s">
        <v>43</v>
      </c>
      <c r="C14" s="9"/>
      <c r="D14" s="9"/>
      <c r="E14" s="9"/>
      <c r="F14" s="9"/>
      <c r="G14" s="9"/>
      <c r="H14" s="9"/>
      <c r="I14" s="9"/>
      <c r="J14" s="9"/>
    </row>
    <row r="15" spans="1:10" x14ac:dyDescent="0.2">
      <c r="B15" t="s">
        <v>3055</v>
      </c>
    </row>
    <row r="16" spans="1:10" x14ac:dyDescent="0.2">
      <c r="B16" t="s">
        <v>969</v>
      </c>
    </row>
    <row r="18" spans="2:10" ht="13.5" thickBot="1" x14ac:dyDescent="0.25">
      <c r="B18" s="9" t="s">
        <v>45</v>
      </c>
      <c r="C18" s="9"/>
      <c r="D18" s="9"/>
      <c r="E18" s="9"/>
      <c r="F18" s="9"/>
      <c r="G18" s="9"/>
      <c r="H18" s="9"/>
      <c r="I18" s="9"/>
      <c r="J18" s="9"/>
    </row>
    <row r="19" spans="2:10" x14ac:dyDescent="0.2">
      <c r="B19" t="s">
        <v>970</v>
      </c>
    </row>
    <row r="21" spans="2:10" ht="13.5" thickBot="1" x14ac:dyDescent="0.25">
      <c r="B21" s="9" t="s">
        <v>85</v>
      </c>
      <c r="C21" s="9"/>
      <c r="D21" s="9"/>
      <c r="E21" s="9"/>
      <c r="F21" s="9"/>
      <c r="G21" s="9"/>
      <c r="H21" s="9"/>
      <c r="I21" s="9"/>
      <c r="J21" s="9"/>
    </row>
    <row r="22" spans="2:10" x14ac:dyDescent="0.2">
      <c r="B22" t="s">
        <v>3056</v>
      </c>
    </row>
    <row r="23" spans="2:10" x14ac:dyDescent="0.2">
      <c r="B23" t="s">
        <v>3057</v>
      </c>
    </row>
    <row r="24" spans="2:10" x14ac:dyDescent="0.2">
      <c r="B24" t="s">
        <v>3058</v>
      </c>
    </row>
    <row r="26" spans="2:10" ht="25.5" x14ac:dyDescent="0.2">
      <c r="C26" s="21" t="s">
        <v>3038</v>
      </c>
      <c r="D26" s="21" t="s">
        <v>164</v>
      </c>
      <c r="E26" s="21" t="s">
        <v>3039</v>
      </c>
      <c r="F26" s="21" t="s">
        <v>3040</v>
      </c>
    </row>
    <row r="27" spans="2:10" x14ac:dyDescent="0.2">
      <c r="C27" s="2" t="s">
        <v>3041</v>
      </c>
      <c r="D27" s="2">
        <v>1000</v>
      </c>
      <c r="E27" s="2" t="s">
        <v>3042</v>
      </c>
      <c r="F27" s="457">
        <f>IF(OR(E27="Visa",E27="Delta"),5,0)</f>
        <v>0</v>
      </c>
      <c r="G27" s="8" t="s">
        <v>3059</v>
      </c>
    </row>
    <row r="28" spans="2:10" x14ac:dyDescent="0.2">
      <c r="C28" s="2" t="s">
        <v>3044</v>
      </c>
      <c r="D28" s="2">
        <v>1000</v>
      </c>
      <c r="E28" s="2" t="s">
        <v>3045</v>
      </c>
      <c r="F28" s="457">
        <f>IF(OR(E28="Visa",E28="Delta"),5,0)</f>
        <v>5</v>
      </c>
    </row>
    <row r="29" spans="2:10" x14ac:dyDescent="0.2">
      <c r="C29" s="2" t="s">
        <v>3047</v>
      </c>
      <c r="D29" s="2">
        <v>2000</v>
      </c>
      <c r="E29" s="2" t="s">
        <v>3048</v>
      </c>
      <c r="F29" s="457">
        <f>IF(OR(E29="Visa",E29="Delta"),5,0)</f>
        <v>0</v>
      </c>
    </row>
    <row r="30" spans="2:10" x14ac:dyDescent="0.2">
      <c r="C30" s="2" t="s">
        <v>3050</v>
      </c>
      <c r="D30" s="2">
        <v>5000</v>
      </c>
      <c r="E30" s="2" t="s">
        <v>1765</v>
      </c>
      <c r="F30" s="457">
        <f>IF(OR(E30="Visa",E30="Delta"),5,0)</f>
        <v>5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81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82" r:id="rId5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83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07">
    <pageSetUpPr fitToPage="1"/>
  </sheetPr>
  <dimension ref="A1:I146"/>
  <sheetViews>
    <sheetView showGridLines="0" topLeftCell="A13" workbookViewId="0">
      <selection activeCell="F30" activeCellId="4" sqref="F16 K30 G30 P30 F30"/>
    </sheetView>
  </sheetViews>
  <sheetFormatPr defaultRowHeight="12.75" x14ac:dyDescent="0.2"/>
  <cols>
    <col min="1" max="1" width="9.42578125" customWidth="1"/>
    <col min="2" max="2" width="10.85546875" customWidth="1"/>
    <col min="3" max="3" width="9.7109375" customWidth="1"/>
    <col min="5" max="5" width="8.28515625" customWidth="1"/>
    <col min="6" max="6" width="9.28515625" customWidth="1"/>
    <col min="7" max="7" width="8" customWidth="1"/>
    <col min="8" max="8" width="10.5703125" customWidth="1"/>
    <col min="9" max="9" width="8.85546875" customWidth="1"/>
  </cols>
  <sheetData>
    <row r="1" spans="1:9" ht="18.75" thickBot="1" x14ac:dyDescent="0.3">
      <c r="A1" s="1" t="s">
        <v>3060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A3" t="s">
        <v>3061</v>
      </c>
    </row>
    <row r="5" spans="1:9" ht="13.5" thickBot="1" x14ac:dyDescent="0.25">
      <c r="A5" s="9" t="s">
        <v>3062</v>
      </c>
      <c r="B5" s="9"/>
      <c r="C5" s="9"/>
      <c r="D5" s="9"/>
      <c r="E5" s="9"/>
      <c r="F5" s="9"/>
      <c r="G5" s="9"/>
      <c r="H5" s="9"/>
      <c r="I5" s="9"/>
    </row>
    <row r="6" spans="1:9" x14ac:dyDescent="0.2">
      <c r="B6" s="414" t="s">
        <v>3063</v>
      </c>
    </row>
    <row r="7" spans="1:9" x14ac:dyDescent="0.2">
      <c r="B7" s="414" t="s">
        <v>3064</v>
      </c>
    </row>
    <row r="8" spans="1:9" x14ac:dyDescent="0.2">
      <c r="B8" t="s">
        <v>3065</v>
      </c>
    </row>
    <row r="9" spans="1:9" x14ac:dyDescent="0.2">
      <c r="B9" t="s">
        <v>3066</v>
      </c>
    </row>
    <row r="10" spans="1:9" x14ac:dyDescent="0.2">
      <c r="B10" s="414" t="s">
        <v>3067</v>
      </c>
    </row>
    <row r="11" spans="1:9" x14ac:dyDescent="0.2">
      <c r="B11" t="s">
        <v>3068</v>
      </c>
    </row>
    <row r="13" spans="1:9" ht="13.5" thickBot="1" x14ac:dyDescent="0.25">
      <c r="A13" s="9" t="s">
        <v>3069</v>
      </c>
      <c r="B13" s="9"/>
      <c r="C13" s="9"/>
      <c r="D13" s="9"/>
      <c r="E13" s="9"/>
      <c r="F13" s="9"/>
      <c r="G13" s="9"/>
      <c r="H13" s="9"/>
      <c r="I13" s="9"/>
    </row>
    <row r="14" spans="1:9" x14ac:dyDescent="0.2">
      <c r="A14" s="414" t="s">
        <v>3070</v>
      </c>
    </row>
    <row r="16" spans="1:9" ht="13.5" thickBot="1" x14ac:dyDescent="0.25">
      <c r="A16" s="9" t="s">
        <v>3071</v>
      </c>
      <c r="B16" s="9"/>
      <c r="C16" s="9"/>
      <c r="D16" s="9"/>
      <c r="E16" s="9"/>
      <c r="F16" s="9"/>
      <c r="G16" s="9"/>
      <c r="H16" s="9"/>
      <c r="I16" s="9"/>
    </row>
    <row r="17" spans="1:9" x14ac:dyDescent="0.2">
      <c r="A17" s="209"/>
      <c r="B17" s="209"/>
      <c r="C17" s="209"/>
      <c r="D17" s="209"/>
      <c r="E17" s="209"/>
      <c r="F17" s="214" t="s">
        <v>3072</v>
      </c>
      <c r="G17" s="18">
        <v>75</v>
      </c>
    </row>
    <row r="18" spans="1:9" x14ac:dyDescent="0.2">
      <c r="A18" s="209"/>
      <c r="B18" s="209"/>
      <c r="C18" s="209"/>
      <c r="D18" s="209"/>
      <c r="E18" s="209"/>
      <c r="F18" s="458" t="s">
        <v>3073</v>
      </c>
      <c r="G18" s="126">
        <v>0.12</v>
      </c>
    </row>
    <row r="19" spans="1:9" x14ac:dyDescent="0.2">
      <c r="A19" s="209"/>
      <c r="B19" s="209"/>
      <c r="C19" s="209"/>
      <c r="D19" s="209"/>
      <c r="E19" s="209"/>
      <c r="F19" s="214" t="s">
        <v>3074</v>
      </c>
      <c r="G19" s="2">
        <v>10</v>
      </c>
    </row>
    <row r="20" spans="1:9" x14ac:dyDescent="0.2">
      <c r="A20" s="209"/>
      <c r="B20" s="209"/>
      <c r="C20" s="209"/>
      <c r="D20" s="209"/>
      <c r="E20" s="209"/>
      <c r="F20" s="214" t="s">
        <v>3075</v>
      </c>
      <c r="G20" s="18">
        <v>25</v>
      </c>
    </row>
    <row r="21" spans="1:9" x14ac:dyDescent="0.2">
      <c r="A21" s="209"/>
      <c r="B21" s="209"/>
      <c r="C21" s="209"/>
      <c r="D21" s="214"/>
      <c r="E21" s="209"/>
      <c r="F21" s="214" t="s">
        <v>3076</v>
      </c>
      <c r="G21" s="2">
        <v>0.5</v>
      </c>
    </row>
    <row r="22" spans="1:9" x14ac:dyDescent="0.2">
      <c r="A22" s="209"/>
      <c r="B22" s="209"/>
      <c r="C22" s="209"/>
      <c r="D22" s="214"/>
      <c r="E22" s="209"/>
      <c r="F22" s="458" t="s">
        <v>3077</v>
      </c>
      <c r="G22" s="2">
        <v>2</v>
      </c>
    </row>
    <row r="23" spans="1:9" x14ac:dyDescent="0.2">
      <c r="D23" s="178"/>
      <c r="F23" s="178"/>
    </row>
    <row r="24" spans="1:9" x14ac:dyDescent="0.2">
      <c r="B24" s="209"/>
      <c r="C24" s="209"/>
      <c r="D24" s="209"/>
      <c r="E24" s="209"/>
      <c r="F24" s="458" t="s">
        <v>3078</v>
      </c>
      <c r="G24" s="2">
        <v>200</v>
      </c>
      <c r="H24" s="126">
        <v>0.01</v>
      </c>
    </row>
    <row r="25" spans="1:9" x14ac:dyDescent="0.2">
      <c r="B25" s="209"/>
      <c r="C25" s="209"/>
      <c r="D25" s="209"/>
      <c r="E25" s="209"/>
      <c r="F25" s="458" t="s">
        <v>3079</v>
      </c>
      <c r="G25" s="2">
        <v>750</v>
      </c>
      <c r="H25" s="126">
        <v>0.05</v>
      </c>
    </row>
    <row r="26" spans="1:9" x14ac:dyDescent="0.2">
      <c r="F26" s="178"/>
      <c r="H26" s="459"/>
    </row>
    <row r="27" spans="1:9" ht="13.5" thickBot="1" x14ac:dyDescent="0.25">
      <c r="A27" s="9" t="s">
        <v>3080</v>
      </c>
      <c r="B27" s="9"/>
      <c r="C27" s="9"/>
      <c r="D27" s="9"/>
      <c r="E27" s="9"/>
      <c r="F27" s="460"/>
      <c r="G27" s="9"/>
      <c r="H27" s="461"/>
      <c r="I27" s="9"/>
    </row>
    <row r="28" spans="1:9" ht="51" x14ac:dyDescent="0.2">
      <c r="A28" s="21" t="s">
        <v>3081</v>
      </c>
      <c r="B28" s="21" t="s">
        <v>3082</v>
      </c>
      <c r="C28" s="21" t="s">
        <v>3083</v>
      </c>
      <c r="D28" s="21" t="s">
        <v>3084</v>
      </c>
      <c r="E28" s="21" t="s">
        <v>3085</v>
      </c>
      <c r="F28" s="21" t="s">
        <v>3086</v>
      </c>
      <c r="G28" s="169" t="s">
        <v>3087</v>
      </c>
      <c r="H28" s="21" t="s">
        <v>3088</v>
      </c>
      <c r="I28" s="21" t="s">
        <v>3089</v>
      </c>
    </row>
    <row r="29" spans="1:9" x14ac:dyDescent="0.2">
      <c r="A29" s="2">
        <v>1</v>
      </c>
      <c r="B29" s="3">
        <f t="shared" ref="B29:B59" si="0">A29*$G$19</f>
        <v>10</v>
      </c>
      <c r="C29" s="128">
        <f t="shared" ref="C29:C59" si="1">B29*$G$17</f>
        <v>750</v>
      </c>
      <c r="D29" s="128">
        <f t="shared" ref="D29:D59" si="2">C29*IF(AND(B29&gt;=$G$24,B29&lt;$G$25),$H$24,IF(B29&gt;=$G$25,$H$25,0))</f>
        <v>0</v>
      </c>
      <c r="E29" s="173">
        <f t="shared" ref="E29:E59" si="3">CEILING(365/A29,1)</f>
        <v>365</v>
      </c>
      <c r="F29" s="128">
        <f>E29*$G$20</f>
        <v>9125</v>
      </c>
      <c r="G29" s="128">
        <f t="shared" ref="G29:G59" si="4">(B29*$G$21)*$G$17*$G$18</f>
        <v>45</v>
      </c>
      <c r="H29" s="462">
        <f t="shared" ref="H29:H59" si="5">F29+G29-D29</f>
        <v>9170</v>
      </c>
      <c r="I29" s="463" t="str">
        <f t="shared" ref="I29:I59" si="6">IF(H29=MIN($H$29:$H$59),"Best","-")</f>
        <v>-</v>
      </c>
    </row>
    <row r="30" spans="1:9" x14ac:dyDescent="0.2">
      <c r="A30" s="3">
        <f>G22</f>
        <v>2</v>
      </c>
      <c r="B30" s="3">
        <f t="shared" si="0"/>
        <v>20</v>
      </c>
      <c r="C30" s="128">
        <f t="shared" si="1"/>
        <v>1500</v>
      </c>
      <c r="D30" s="128">
        <f t="shared" si="2"/>
        <v>0</v>
      </c>
      <c r="E30" s="173">
        <f t="shared" si="3"/>
        <v>183</v>
      </c>
      <c r="F30" s="128">
        <f t="shared" ref="F30:F59" si="7">CEILING(E30,1)*$G$20</f>
        <v>4575</v>
      </c>
      <c r="G30" s="128">
        <f t="shared" si="4"/>
        <v>90</v>
      </c>
      <c r="H30" s="128">
        <f t="shared" si="5"/>
        <v>4665</v>
      </c>
      <c r="I30" s="3" t="str">
        <f t="shared" si="6"/>
        <v>-</v>
      </c>
    </row>
    <row r="31" spans="1:9" x14ac:dyDescent="0.2">
      <c r="A31" s="3">
        <f t="shared" ref="A31:A59" si="8">A30+$G$22</f>
        <v>4</v>
      </c>
      <c r="B31" s="3">
        <f t="shared" si="0"/>
        <v>40</v>
      </c>
      <c r="C31" s="128">
        <f t="shared" si="1"/>
        <v>3000</v>
      </c>
      <c r="D31" s="128">
        <f t="shared" si="2"/>
        <v>0</v>
      </c>
      <c r="E31" s="173">
        <f t="shared" si="3"/>
        <v>92</v>
      </c>
      <c r="F31" s="128">
        <f t="shared" si="7"/>
        <v>2300</v>
      </c>
      <c r="G31" s="128">
        <f t="shared" si="4"/>
        <v>180</v>
      </c>
      <c r="H31" s="128">
        <f t="shared" si="5"/>
        <v>2480</v>
      </c>
      <c r="I31" s="3" t="str">
        <f t="shared" si="6"/>
        <v>-</v>
      </c>
    </row>
    <row r="32" spans="1:9" x14ac:dyDescent="0.2">
      <c r="A32" s="3">
        <f t="shared" si="8"/>
        <v>6</v>
      </c>
      <c r="B32" s="3">
        <f t="shared" si="0"/>
        <v>60</v>
      </c>
      <c r="C32" s="128">
        <f t="shared" si="1"/>
        <v>4500</v>
      </c>
      <c r="D32" s="128">
        <f t="shared" si="2"/>
        <v>0</v>
      </c>
      <c r="E32" s="173">
        <f t="shared" si="3"/>
        <v>61</v>
      </c>
      <c r="F32" s="128">
        <f t="shared" si="7"/>
        <v>1525</v>
      </c>
      <c r="G32" s="128">
        <f t="shared" si="4"/>
        <v>270</v>
      </c>
      <c r="H32" s="128">
        <f t="shared" si="5"/>
        <v>1795</v>
      </c>
      <c r="I32" s="3" t="str">
        <f t="shared" si="6"/>
        <v>-</v>
      </c>
    </row>
    <row r="33" spans="1:9" x14ac:dyDescent="0.2">
      <c r="A33" s="3">
        <f t="shared" si="8"/>
        <v>8</v>
      </c>
      <c r="B33" s="3">
        <f t="shared" si="0"/>
        <v>80</v>
      </c>
      <c r="C33" s="128">
        <f t="shared" si="1"/>
        <v>6000</v>
      </c>
      <c r="D33" s="128">
        <f t="shared" si="2"/>
        <v>0</v>
      </c>
      <c r="E33" s="173">
        <f t="shared" si="3"/>
        <v>46</v>
      </c>
      <c r="F33" s="128">
        <f t="shared" si="7"/>
        <v>1150</v>
      </c>
      <c r="G33" s="128">
        <f t="shared" si="4"/>
        <v>360</v>
      </c>
      <c r="H33" s="128">
        <f t="shared" si="5"/>
        <v>1510</v>
      </c>
      <c r="I33" s="3" t="str">
        <f t="shared" si="6"/>
        <v>-</v>
      </c>
    </row>
    <row r="34" spans="1:9" x14ac:dyDescent="0.2">
      <c r="A34" s="3">
        <f t="shared" si="8"/>
        <v>10</v>
      </c>
      <c r="B34" s="3">
        <f t="shared" si="0"/>
        <v>100</v>
      </c>
      <c r="C34" s="128">
        <f t="shared" si="1"/>
        <v>7500</v>
      </c>
      <c r="D34" s="128">
        <f t="shared" si="2"/>
        <v>0</v>
      </c>
      <c r="E34" s="173">
        <f t="shared" si="3"/>
        <v>37</v>
      </c>
      <c r="F34" s="128">
        <f t="shared" si="7"/>
        <v>925</v>
      </c>
      <c r="G34" s="128">
        <f t="shared" si="4"/>
        <v>450</v>
      </c>
      <c r="H34" s="128">
        <f t="shared" si="5"/>
        <v>1375</v>
      </c>
      <c r="I34" s="3" t="str">
        <f t="shared" si="6"/>
        <v>-</v>
      </c>
    </row>
    <row r="35" spans="1:9" x14ac:dyDescent="0.2">
      <c r="A35" s="3">
        <f t="shared" si="8"/>
        <v>12</v>
      </c>
      <c r="B35" s="3">
        <f t="shared" si="0"/>
        <v>120</v>
      </c>
      <c r="C35" s="128">
        <f t="shared" si="1"/>
        <v>9000</v>
      </c>
      <c r="D35" s="128">
        <f t="shared" si="2"/>
        <v>0</v>
      </c>
      <c r="E35" s="173">
        <f t="shared" si="3"/>
        <v>31</v>
      </c>
      <c r="F35" s="128">
        <f t="shared" si="7"/>
        <v>775</v>
      </c>
      <c r="G35" s="128">
        <f t="shared" si="4"/>
        <v>540</v>
      </c>
      <c r="H35" s="128">
        <f t="shared" si="5"/>
        <v>1315</v>
      </c>
      <c r="I35" s="3" t="str">
        <f t="shared" si="6"/>
        <v>-</v>
      </c>
    </row>
    <row r="36" spans="1:9" x14ac:dyDescent="0.2">
      <c r="A36" s="3">
        <f t="shared" si="8"/>
        <v>14</v>
      </c>
      <c r="B36" s="3">
        <f t="shared" si="0"/>
        <v>140</v>
      </c>
      <c r="C36" s="128">
        <f t="shared" si="1"/>
        <v>10500</v>
      </c>
      <c r="D36" s="128">
        <f t="shared" si="2"/>
        <v>0</v>
      </c>
      <c r="E36" s="173">
        <f t="shared" si="3"/>
        <v>27</v>
      </c>
      <c r="F36" s="128">
        <f t="shared" si="7"/>
        <v>675</v>
      </c>
      <c r="G36" s="128">
        <f t="shared" si="4"/>
        <v>630</v>
      </c>
      <c r="H36" s="128">
        <f t="shared" si="5"/>
        <v>1305</v>
      </c>
      <c r="I36" s="3" t="str">
        <f t="shared" si="6"/>
        <v>-</v>
      </c>
    </row>
    <row r="37" spans="1:9" x14ac:dyDescent="0.2">
      <c r="A37" s="3">
        <f t="shared" si="8"/>
        <v>16</v>
      </c>
      <c r="B37" s="3">
        <f t="shared" si="0"/>
        <v>160</v>
      </c>
      <c r="C37" s="128">
        <f t="shared" si="1"/>
        <v>12000</v>
      </c>
      <c r="D37" s="128">
        <f t="shared" si="2"/>
        <v>0</v>
      </c>
      <c r="E37" s="173">
        <f t="shared" si="3"/>
        <v>23</v>
      </c>
      <c r="F37" s="128">
        <f t="shared" si="7"/>
        <v>575</v>
      </c>
      <c r="G37" s="128">
        <f t="shared" si="4"/>
        <v>720</v>
      </c>
      <c r="H37" s="128">
        <f t="shared" si="5"/>
        <v>1295</v>
      </c>
      <c r="I37" s="3" t="str">
        <f t="shared" si="6"/>
        <v>-</v>
      </c>
    </row>
    <row r="38" spans="1:9" x14ac:dyDescent="0.2">
      <c r="A38" s="3">
        <f t="shared" si="8"/>
        <v>18</v>
      </c>
      <c r="B38" s="3">
        <f t="shared" si="0"/>
        <v>180</v>
      </c>
      <c r="C38" s="128">
        <f t="shared" si="1"/>
        <v>13500</v>
      </c>
      <c r="D38" s="128">
        <f t="shared" si="2"/>
        <v>0</v>
      </c>
      <c r="E38" s="173">
        <f t="shared" si="3"/>
        <v>21</v>
      </c>
      <c r="F38" s="128">
        <f t="shared" si="7"/>
        <v>525</v>
      </c>
      <c r="G38" s="128">
        <f t="shared" si="4"/>
        <v>810</v>
      </c>
      <c r="H38" s="128">
        <f t="shared" si="5"/>
        <v>1335</v>
      </c>
      <c r="I38" s="3" t="str">
        <f t="shared" si="6"/>
        <v>-</v>
      </c>
    </row>
    <row r="39" spans="1:9" x14ac:dyDescent="0.2">
      <c r="A39" s="3">
        <f t="shared" si="8"/>
        <v>20</v>
      </c>
      <c r="B39" s="3">
        <f t="shared" si="0"/>
        <v>200</v>
      </c>
      <c r="C39" s="128">
        <f t="shared" si="1"/>
        <v>15000</v>
      </c>
      <c r="D39" s="128">
        <f t="shared" si="2"/>
        <v>150</v>
      </c>
      <c r="E39" s="173">
        <f t="shared" si="3"/>
        <v>19</v>
      </c>
      <c r="F39" s="128">
        <f t="shared" si="7"/>
        <v>475</v>
      </c>
      <c r="G39" s="128">
        <f t="shared" si="4"/>
        <v>900</v>
      </c>
      <c r="H39" s="128">
        <f t="shared" si="5"/>
        <v>1225</v>
      </c>
      <c r="I39" s="3" t="str">
        <f t="shared" si="6"/>
        <v>Best</v>
      </c>
    </row>
    <row r="40" spans="1:9" x14ac:dyDescent="0.2">
      <c r="A40" s="3">
        <f t="shared" si="8"/>
        <v>22</v>
      </c>
      <c r="B40" s="3">
        <f t="shared" si="0"/>
        <v>220</v>
      </c>
      <c r="C40" s="128">
        <f t="shared" si="1"/>
        <v>16500</v>
      </c>
      <c r="D40" s="128">
        <f t="shared" si="2"/>
        <v>165</v>
      </c>
      <c r="E40" s="173">
        <f t="shared" si="3"/>
        <v>17</v>
      </c>
      <c r="F40" s="128">
        <f t="shared" si="7"/>
        <v>425</v>
      </c>
      <c r="G40" s="128">
        <f t="shared" si="4"/>
        <v>990</v>
      </c>
      <c r="H40" s="128">
        <f t="shared" si="5"/>
        <v>1250</v>
      </c>
      <c r="I40" s="3" t="str">
        <f t="shared" si="6"/>
        <v>-</v>
      </c>
    </row>
    <row r="41" spans="1:9" x14ac:dyDescent="0.2">
      <c r="A41" s="3">
        <f t="shared" si="8"/>
        <v>24</v>
      </c>
      <c r="B41" s="3">
        <f t="shared" si="0"/>
        <v>240</v>
      </c>
      <c r="C41" s="128">
        <f t="shared" si="1"/>
        <v>18000</v>
      </c>
      <c r="D41" s="128">
        <f t="shared" si="2"/>
        <v>180</v>
      </c>
      <c r="E41" s="173">
        <f t="shared" si="3"/>
        <v>16</v>
      </c>
      <c r="F41" s="128">
        <f t="shared" si="7"/>
        <v>400</v>
      </c>
      <c r="G41" s="128">
        <f t="shared" si="4"/>
        <v>1080</v>
      </c>
      <c r="H41" s="128">
        <f t="shared" si="5"/>
        <v>1300</v>
      </c>
      <c r="I41" s="3" t="str">
        <f t="shared" si="6"/>
        <v>-</v>
      </c>
    </row>
    <row r="42" spans="1:9" x14ac:dyDescent="0.2">
      <c r="A42" s="3">
        <f t="shared" si="8"/>
        <v>26</v>
      </c>
      <c r="B42" s="3">
        <f t="shared" si="0"/>
        <v>260</v>
      </c>
      <c r="C42" s="128">
        <f t="shared" si="1"/>
        <v>19500</v>
      </c>
      <c r="D42" s="128">
        <f t="shared" si="2"/>
        <v>195</v>
      </c>
      <c r="E42" s="173">
        <f t="shared" si="3"/>
        <v>15</v>
      </c>
      <c r="F42" s="128">
        <f t="shared" si="7"/>
        <v>375</v>
      </c>
      <c r="G42" s="128">
        <f t="shared" si="4"/>
        <v>1170</v>
      </c>
      <c r="H42" s="128">
        <f t="shared" si="5"/>
        <v>1350</v>
      </c>
      <c r="I42" s="3" t="str">
        <f t="shared" si="6"/>
        <v>-</v>
      </c>
    </row>
    <row r="43" spans="1:9" x14ac:dyDescent="0.2">
      <c r="A43" s="3">
        <f t="shared" si="8"/>
        <v>28</v>
      </c>
      <c r="B43" s="3">
        <f t="shared" si="0"/>
        <v>280</v>
      </c>
      <c r="C43" s="128">
        <f t="shared" si="1"/>
        <v>21000</v>
      </c>
      <c r="D43" s="128">
        <f t="shared" si="2"/>
        <v>210</v>
      </c>
      <c r="E43" s="173">
        <f t="shared" si="3"/>
        <v>14</v>
      </c>
      <c r="F43" s="128">
        <f t="shared" si="7"/>
        <v>350</v>
      </c>
      <c r="G43" s="128">
        <f t="shared" si="4"/>
        <v>1260</v>
      </c>
      <c r="H43" s="128">
        <f t="shared" si="5"/>
        <v>1400</v>
      </c>
      <c r="I43" s="3" t="str">
        <f t="shared" si="6"/>
        <v>-</v>
      </c>
    </row>
    <row r="44" spans="1:9" x14ac:dyDescent="0.2">
      <c r="A44" s="3">
        <f t="shared" si="8"/>
        <v>30</v>
      </c>
      <c r="B44" s="3">
        <f t="shared" si="0"/>
        <v>300</v>
      </c>
      <c r="C44" s="128">
        <f t="shared" si="1"/>
        <v>22500</v>
      </c>
      <c r="D44" s="128">
        <f t="shared" si="2"/>
        <v>225</v>
      </c>
      <c r="E44" s="173">
        <f t="shared" si="3"/>
        <v>13</v>
      </c>
      <c r="F44" s="128">
        <f t="shared" si="7"/>
        <v>325</v>
      </c>
      <c r="G44" s="128">
        <f t="shared" si="4"/>
        <v>1350</v>
      </c>
      <c r="H44" s="128">
        <f t="shared" si="5"/>
        <v>1450</v>
      </c>
      <c r="I44" s="3" t="str">
        <f t="shared" si="6"/>
        <v>-</v>
      </c>
    </row>
    <row r="45" spans="1:9" x14ac:dyDescent="0.2">
      <c r="A45" s="3">
        <f t="shared" si="8"/>
        <v>32</v>
      </c>
      <c r="B45" s="3">
        <f t="shared" si="0"/>
        <v>320</v>
      </c>
      <c r="C45" s="128">
        <f t="shared" si="1"/>
        <v>24000</v>
      </c>
      <c r="D45" s="128">
        <f t="shared" si="2"/>
        <v>240</v>
      </c>
      <c r="E45" s="173">
        <f t="shared" si="3"/>
        <v>12</v>
      </c>
      <c r="F45" s="128">
        <f t="shared" si="7"/>
        <v>300</v>
      </c>
      <c r="G45" s="128">
        <f t="shared" si="4"/>
        <v>1440</v>
      </c>
      <c r="H45" s="128">
        <f t="shared" si="5"/>
        <v>1500</v>
      </c>
      <c r="I45" s="3" t="str">
        <f t="shared" si="6"/>
        <v>-</v>
      </c>
    </row>
    <row r="46" spans="1:9" x14ac:dyDescent="0.2">
      <c r="A46" s="3">
        <f t="shared" si="8"/>
        <v>34</v>
      </c>
      <c r="B46" s="3">
        <f t="shared" si="0"/>
        <v>340</v>
      </c>
      <c r="C46" s="128">
        <f t="shared" si="1"/>
        <v>25500</v>
      </c>
      <c r="D46" s="128">
        <f t="shared" si="2"/>
        <v>255</v>
      </c>
      <c r="E46" s="173">
        <f t="shared" si="3"/>
        <v>11</v>
      </c>
      <c r="F46" s="128">
        <f t="shared" si="7"/>
        <v>275</v>
      </c>
      <c r="G46" s="128">
        <f t="shared" si="4"/>
        <v>1530</v>
      </c>
      <c r="H46" s="128">
        <f t="shared" si="5"/>
        <v>1550</v>
      </c>
      <c r="I46" s="3" t="str">
        <f t="shared" si="6"/>
        <v>-</v>
      </c>
    </row>
    <row r="47" spans="1:9" x14ac:dyDescent="0.2">
      <c r="A47" s="3">
        <f t="shared" si="8"/>
        <v>36</v>
      </c>
      <c r="B47" s="3">
        <f t="shared" si="0"/>
        <v>360</v>
      </c>
      <c r="C47" s="128">
        <f t="shared" si="1"/>
        <v>27000</v>
      </c>
      <c r="D47" s="128">
        <f t="shared" si="2"/>
        <v>270</v>
      </c>
      <c r="E47" s="173">
        <f t="shared" si="3"/>
        <v>11</v>
      </c>
      <c r="F47" s="128">
        <f t="shared" si="7"/>
        <v>275</v>
      </c>
      <c r="G47" s="128">
        <f t="shared" si="4"/>
        <v>1620</v>
      </c>
      <c r="H47" s="128">
        <f t="shared" si="5"/>
        <v>1625</v>
      </c>
      <c r="I47" s="3" t="str">
        <f t="shared" si="6"/>
        <v>-</v>
      </c>
    </row>
    <row r="48" spans="1:9" x14ac:dyDescent="0.2">
      <c r="A48" s="3">
        <f t="shared" si="8"/>
        <v>38</v>
      </c>
      <c r="B48" s="3">
        <f t="shared" si="0"/>
        <v>380</v>
      </c>
      <c r="C48" s="128">
        <f t="shared" si="1"/>
        <v>28500</v>
      </c>
      <c r="D48" s="128">
        <f t="shared" si="2"/>
        <v>285</v>
      </c>
      <c r="E48" s="173">
        <f t="shared" si="3"/>
        <v>10</v>
      </c>
      <c r="F48" s="128">
        <f t="shared" si="7"/>
        <v>250</v>
      </c>
      <c r="G48" s="128">
        <f t="shared" si="4"/>
        <v>1710</v>
      </c>
      <c r="H48" s="128">
        <f t="shared" si="5"/>
        <v>1675</v>
      </c>
      <c r="I48" s="3" t="str">
        <f t="shared" si="6"/>
        <v>-</v>
      </c>
    </row>
    <row r="49" spans="1:9" x14ac:dyDescent="0.2">
      <c r="A49" s="3">
        <f t="shared" si="8"/>
        <v>40</v>
      </c>
      <c r="B49" s="3">
        <f t="shared" si="0"/>
        <v>400</v>
      </c>
      <c r="C49" s="128">
        <f t="shared" si="1"/>
        <v>30000</v>
      </c>
      <c r="D49" s="128">
        <f t="shared" si="2"/>
        <v>300</v>
      </c>
      <c r="E49" s="173">
        <f t="shared" si="3"/>
        <v>10</v>
      </c>
      <c r="F49" s="128">
        <f t="shared" si="7"/>
        <v>250</v>
      </c>
      <c r="G49" s="128">
        <f t="shared" si="4"/>
        <v>1800</v>
      </c>
      <c r="H49" s="128">
        <f t="shared" si="5"/>
        <v>1750</v>
      </c>
      <c r="I49" s="3" t="str">
        <f t="shared" si="6"/>
        <v>-</v>
      </c>
    </row>
    <row r="50" spans="1:9" x14ac:dyDescent="0.2">
      <c r="A50" s="3">
        <f t="shared" si="8"/>
        <v>42</v>
      </c>
      <c r="B50" s="3">
        <f t="shared" si="0"/>
        <v>420</v>
      </c>
      <c r="C50" s="128">
        <f t="shared" si="1"/>
        <v>31500</v>
      </c>
      <c r="D50" s="128">
        <f t="shared" si="2"/>
        <v>315</v>
      </c>
      <c r="E50" s="173">
        <f t="shared" si="3"/>
        <v>9</v>
      </c>
      <c r="F50" s="128">
        <f t="shared" si="7"/>
        <v>225</v>
      </c>
      <c r="G50" s="128">
        <f t="shared" si="4"/>
        <v>1890</v>
      </c>
      <c r="H50" s="128">
        <f t="shared" si="5"/>
        <v>1800</v>
      </c>
      <c r="I50" s="3" t="str">
        <f t="shared" si="6"/>
        <v>-</v>
      </c>
    </row>
    <row r="51" spans="1:9" x14ac:dyDescent="0.2">
      <c r="A51" s="3">
        <f t="shared" si="8"/>
        <v>44</v>
      </c>
      <c r="B51" s="3">
        <f t="shared" si="0"/>
        <v>440</v>
      </c>
      <c r="C51" s="128">
        <f t="shared" si="1"/>
        <v>33000</v>
      </c>
      <c r="D51" s="128">
        <f t="shared" si="2"/>
        <v>330</v>
      </c>
      <c r="E51" s="173">
        <f t="shared" si="3"/>
        <v>9</v>
      </c>
      <c r="F51" s="128">
        <f t="shared" si="7"/>
        <v>225</v>
      </c>
      <c r="G51" s="128">
        <f t="shared" si="4"/>
        <v>1980</v>
      </c>
      <c r="H51" s="128">
        <f t="shared" si="5"/>
        <v>1875</v>
      </c>
      <c r="I51" s="3" t="str">
        <f t="shared" si="6"/>
        <v>-</v>
      </c>
    </row>
    <row r="52" spans="1:9" x14ac:dyDescent="0.2">
      <c r="A52" s="3">
        <f t="shared" si="8"/>
        <v>46</v>
      </c>
      <c r="B52" s="3">
        <f t="shared" si="0"/>
        <v>460</v>
      </c>
      <c r="C52" s="128">
        <f t="shared" si="1"/>
        <v>34500</v>
      </c>
      <c r="D52" s="128">
        <f t="shared" si="2"/>
        <v>345</v>
      </c>
      <c r="E52" s="173">
        <f t="shared" si="3"/>
        <v>8</v>
      </c>
      <c r="F52" s="128">
        <f t="shared" si="7"/>
        <v>200</v>
      </c>
      <c r="G52" s="128">
        <f t="shared" si="4"/>
        <v>2070</v>
      </c>
      <c r="H52" s="128">
        <f t="shared" si="5"/>
        <v>1925</v>
      </c>
      <c r="I52" s="3" t="str">
        <f t="shared" si="6"/>
        <v>-</v>
      </c>
    </row>
    <row r="53" spans="1:9" x14ac:dyDescent="0.2">
      <c r="A53" s="3">
        <f t="shared" si="8"/>
        <v>48</v>
      </c>
      <c r="B53" s="3">
        <f t="shared" si="0"/>
        <v>480</v>
      </c>
      <c r="C53" s="128">
        <f t="shared" si="1"/>
        <v>36000</v>
      </c>
      <c r="D53" s="128">
        <f t="shared" si="2"/>
        <v>360</v>
      </c>
      <c r="E53" s="173">
        <f t="shared" si="3"/>
        <v>8</v>
      </c>
      <c r="F53" s="128">
        <f t="shared" si="7"/>
        <v>200</v>
      </c>
      <c r="G53" s="128">
        <f t="shared" si="4"/>
        <v>2160</v>
      </c>
      <c r="H53" s="128">
        <f t="shared" si="5"/>
        <v>2000</v>
      </c>
      <c r="I53" s="3" t="str">
        <f t="shared" si="6"/>
        <v>-</v>
      </c>
    </row>
    <row r="54" spans="1:9" x14ac:dyDescent="0.2">
      <c r="A54" s="3">
        <f t="shared" si="8"/>
        <v>50</v>
      </c>
      <c r="B54" s="3">
        <f t="shared" si="0"/>
        <v>500</v>
      </c>
      <c r="C54" s="128">
        <f t="shared" si="1"/>
        <v>37500</v>
      </c>
      <c r="D54" s="128">
        <f t="shared" si="2"/>
        <v>375</v>
      </c>
      <c r="E54" s="173">
        <f t="shared" si="3"/>
        <v>8</v>
      </c>
      <c r="F54" s="128">
        <f t="shared" si="7"/>
        <v>200</v>
      </c>
      <c r="G54" s="128">
        <f t="shared" si="4"/>
        <v>2250</v>
      </c>
      <c r="H54" s="128">
        <f t="shared" si="5"/>
        <v>2075</v>
      </c>
      <c r="I54" s="3" t="str">
        <f t="shared" si="6"/>
        <v>-</v>
      </c>
    </row>
    <row r="55" spans="1:9" x14ac:dyDescent="0.2">
      <c r="A55" s="3">
        <f t="shared" si="8"/>
        <v>52</v>
      </c>
      <c r="B55" s="3">
        <f t="shared" si="0"/>
        <v>520</v>
      </c>
      <c r="C55" s="128">
        <f t="shared" si="1"/>
        <v>39000</v>
      </c>
      <c r="D55" s="128">
        <f t="shared" si="2"/>
        <v>390</v>
      </c>
      <c r="E55" s="173">
        <f t="shared" si="3"/>
        <v>8</v>
      </c>
      <c r="F55" s="128">
        <f t="shared" si="7"/>
        <v>200</v>
      </c>
      <c r="G55" s="128">
        <f t="shared" si="4"/>
        <v>2340</v>
      </c>
      <c r="H55" s="128">
        <f t="shared" si="5"/>
        <v>2150</v>
      </c>
      <c r="I55" s="3" t="str">
        <f t="shared" si="6"/>
        <v>-</v>
      </c>
    </row>
    <row r="56" spans="1:9" x14ac:dyDescent="0.2">
      <c r="A56" s="3">
        <f t="shared" si="8"/>
        <v>54</v>
      </c>
      <c r="B56" s="3">
        <f t="shared" si="0"/>
        <v>540</v>
      </c>
      <c r="C56" s="128">
        <f t="shared" si="1"/>
        <v>40500</v>
      </c>
      <c r="D56" s="128">
        <f t="shared" si="2"/>
        <v>405</v>
      </c>
      <c r="E56" s="173">
        <f t="shared" si="3"/>
        <v>7</v>
      </c>
      <c r="F56" s="128">
        <f t="shared" si="7"/>
        <v>175</v>
      </c>
      <c r="G56" s="128">
        <f t="shared" si="4"/>
        <v>2430</v>
      </c>
      <c r="H56" s="128">
        <f t="shared" si="5"/>
        <v>2200</v>
      </c>
      <c r="I56" s="3" t="str">
        <f t="shared" si="6"/>
        <v>-</v>
      </c>
    </row>
    <row r="57" spans="1:9" x14ac:dyDescent="0.2">
      <c r="A57" s="3">
        <f t="shared" si="8"/>
        <v>56</v>
      </c>
      <c r="B57" s="3">
        <f t="shared" si="0"/>
        <v>560</v>
      </c>
      <c r="C57" s="128">
        <f t="shared" si="1"/>
        <v>42000</v>
      </c>
      <c r="D57" s="128">
        <f t="shared" si="2"/>
        <v>420</v>
      </c>
      <c r="E57" s="173">
        <f t="shared" si="3"/>
        <v>7</v>
      </c>
      <c r="F57" s="128">
        <f t="shared" si="7"/>
        <v>175</v>
      </c>
      <c r="G57" s="128">
        <f t="shared" si="4"/>
        <v>2520</v>
      </c>
      <c r="H57" s="128">
        <f t="shared" si="5"/>
        <v>2275</v>
      </c>
      <c r="I57" s="3" t="str">
        <f t="shared" si="6"/>
        <v>-</v>
      </c>
    </row>
    <row r="58" spans="1:9" x14ac:dyDescent="0.2">
      <c r="A58" s="3">
        <f t="shared" si="8"/>
        <v>58</v>
      </c>
      <c r="B58" s="3">
        <f t="shared" si="0"/>
        <v>580</v>
      </c>
      <c r="C58" s="128">
        <f t="shared" si="1"/>
        <v>43500</v>
      </c>
      <c r="D58" s="128">
        <f t="shared" si="2"/>
        <v>435</v>
      </c>
      <c r="E58" s="173">
        <f t="shared" si="3"/>
        <v>7</v>
      </c>
      <c r="F58" s="128">
        <f t="shared" si="7"/>
        <v>175</v>
      </c>
      <c r="G58" s="128">
        <f t="shared" si="4"/>
        <v>2610</v>
      </c>
      <c r="H58" s="128">
        <f t="shared" si="5"/>
        <v>2350</v>
      </c>
      <c r="I58" s="3" t="str">
        <f t="shared" si="6"/>
        <v>-</v>
      </c>
    </row>
    <row r="59" spans="1:9" x14ac:dyDescent="0.2">
      <c r="A59" s="3">
        <f t="shared" si="8"/>
        <v>60</v>
      </c>
      <c r="B59" s="3">
        <f t="shared" si="0"/>
        <v>600</v>
      </c>
      <c r="C59" s="128">
        <f t="shared" si="1"/>
        <v>45000</v>
      </c>
      <c r="D59" s="128">
        <f t="shared" si="2"/>
        <v>450</v>
      </c>
      <c r="E59" s="173">
        <f t="shared" si="3"/>
        <v>7</v>
      </c>
      <c r="F59" s="128">
        <f t="shared" si="7"/>
        <v>175</v>
      </c>
      <c r="G59" s="128">
        <f t="shared" si="4"/>
        <v>2700</v>
      </c>
      <c r="H59" s="128">
        <f t="shared" si="5"/>
        <v>2425</v>
      </c>
      <c r="I59" s="3" t="str">
        <f t="shared" si="6"/>
        <v>-</v>
      </c>
    </row>
    <row r="61" spans="1:9" ht="13.5" thickBot="1" x14ac:dyDescent="0.25">
      <c r="A61" s="9" t="s">
        <v>3090</v>
      </c>
      <c r="B61" s="9"/>
      <c r="C61" s="9"/>
      <c r="D61" s="9"/>
      <c r="E61" s="9"/>
      <c r="F61" s="9"/>
      <c r="G61" s="9"/>
      <c r="H61" s="9"/>
      <c r="I61" s="9"/>
    </row>
    <row r="62" spans="1:9" x14ac:dyDescent="0.2">
      <c r="B62" s="414" t="s">
        <v>3091</v>
      </c>
    </row>
    <row r="63" spans="1:9" x14ac:dyDescent="0.2">
      <c r="B63" s="414" t="s">
        <v>3092</v>
      </c>
    </row>
    <row r="64" spans="1:9" x14ac:dyDescent="0.2">
      <c r="B64" s="414" t="s">
        <v>3093</v>
      </c>
    </row>
    <row r="65" spans="1:9" x14ac:dyDescent="0.2">
      <c r="B65" s="414" t="s">
        <v>3094</v>
      </c>
    </row>
    <row r="67" spans="1:9" ht="13.5" thickBot="1" x14ac:dyDescent="0.25">
      <c r="A67" s="9" t="s">
        <v>1085</v>
      </c>
      <c r="B67" s="9"/>
      <c r="C67" s="9"/>
      <c r="D67" s="9"/>
      <c r="E67" s="9"/>
      <c r="F67" s="9"/>
      <c r="G67" s="9"/>
      <c r="H67" s="9"/>
      <c r="I67" s="9"/>
    </row>
    <row r="68" spans="1:9" x14ac:dyDescent="0.2">
      <c r="A68" t="s">
        <v>3095</v>
      </c>
      <c r="B68" s="270" t="s">
        <v>3096</v>
      </c>
    </row>
    <row r="69" spans="1:9" x14ac:dyDescent="0.2">
      <c r="B69" t="s">
        <v>3097</v>
      </c>
    </row>
    <row r="70" spans="1:9" x14ac:dyDescent="0.2">
      <c r="B70" t="s">
        <v>3098</v>
      </c>
    </row>
    <row r="71" spans="1:9" x14ac:dyDescent="0.2">
      <c r="B71" t="s">
        <v>3099</v>
      </c>
    </row>
    <row r="72" spans="1:9" x14ac:dyDescent="0.2">
      <c r="B72" t="s">
        <v>3100</v>
      </c>
    </row>
    <row r="73" spans="1:9" x14ac:dyDescent="0.2">
      <c r="B73" s="414" t="s">
        <v>3101</v>
      </c>
    </row>
    <row r="75" spans="1:9" x14ac:dyDescent="0.2">
      <c r="A75" t="s">
        <v>3102</v>
      </c>
      <c r="B75" s="270" t="s">
        <v>3103</v>
      </c>
    </row>
    <row r="76" spans="1:9" x14ac:dyDescent="0.2">
      <c r="B76" t="s">
        <v>3104</v>
      </c>
    </row>
    <row r="78" spans="1:9" x14ac:dyDescent="0.2">
      <c r="B78" t="s">
        <v>3105</v>
      </c>
      <c r="C78" t="s">
        <v>3106</v>
      </c>
    </row>
    <row r="80" spans="1:9" x14ac:dyDescent="0.2">
      <c r="A80" t="s">
        <v>3107</v>
      </c>
      <c r="B80" s="270" t="s">
        <v>3108</v>
      </c>
    </row>
    <row r="81" spans="1:3" x14ac:dyDescent="0.2">
      <c r="B81" t="s">
        <v>3109</v>
      </c>
    </row>
    <row r="83" spans="1:3" x14ac:dyDescent="0.2">
      <c r="B83" t="s">
        <v>3105</v>
      </c>
      <c r="C83" t="s">
        <v>3110</v>
      </c>
    </row>
    <row r="85" spans="1:3" x14ac:dyDescent="0.2">
      <c r="A85" t="s">
        <v>3111</v>
      </c>
      <c r="B85" s="270" t="s">
        <v>3112</v>
      </c>
    </row>
    <row r="86" spans="1:3" x14ac:dyDescent="0.2">
      <c r="B86" t="s">
        <v>3113</v>
      </c>
    </row>
    <row r="87" spans="1:3" x14ac:dyDescent="0.2">
      <c r="B87" t="s">
        <v>3114</v>
      </c>
    </row>
    <row r="88" spans="1:3" x14ac:dyDescent="0.2">
      <c r="B88" t="s">
        <v>3115</v>
      </c>
    </row>
    <row r="90" spans="1:3" x14ac:dyDescent="0.2">
      <c r="B90" t="s">
        <v>3105</v>
      </c>
      <c r="C90" t="s">
        <v>3116</v>
      </c>
    </row>
    <row r="91" spans="1:3" x14ac:dyDescent="0.2">
      <c r="C91" t="s">
        <v>3117</v>
      </c>
    </row>
    <row r="93" spans="1:3" x14ac:dyDescent="0.2">
      <c r="C93" t="s">
        <v>3118</v>
      </c>
    </row>
    <row r="94" spans="1:3" x14ac:dyDescent="0.2">
      <c r="C94" t="s">
        <v>3119</v>
      </c>
    </row>
    <row r="95" spans="1:3" x14ac:dyDescent="0.2">
      <c r="C95" s="464" t="s">
        <v>3120</v>
      </c>
    </row>
    <row r="97" spans="1:3" x14ac:dyDescent="0.2">
      <c r="C97" t="s">
        <v>3121</v>
      </c>
    </row>
    <row r="98" spans="1:3" x14ac:dyDescent="0.2">
      <c r="C98" t="s">
        <v>3122</v>
      </c>
    </row>
    <row r="99" spans="1:3" x14ac:dyDescent="0.2">
      <c r="C99" s="464" t="s">
        <v>3123</v>
      </c>
    </row>
    <row r="101" spans="1:3" x14ac:dyDescent="0.2">
      <c r="C101" s="414" t="s">
        <v>3124</v>
      </c>
    </row>
    <row r="102" spans="1:3" x14ac:dyDescent="0.2">
      <c r="C102" s="464" t="s">
        <v>3125</v>
      </c>
    </row>
    <row r="104" spans="1:3" x14ac:dyDescent="0.2">
      <c r="A104" t="s">
        <v>3126</v>
      </c>
      <c r="B104" s="270" t="s">
        <v>3127</v>
      </c>
    </row>
    <row r="105" spans="1:3" x14ac:dyDescent="0.2">
      <c r="B105" t="s">
        <v>3128</v>
      </c>
    </row>
    <row r="106" spans="1:3" x14ac:dyDescent="0.2">
      <c r="B106" t="s">
        <v>3129</v>
      </c>
    </row>
    <row r="108" spans="1:3" x14ac:dyDescent="0.2">
      <c r="B108" t="s">
        <v>3105</v>
      </c>
      <c r="C108" t="s">
        <v>3130</v>
      </c>
    </row>
    <row r="109" spans="1:3" x14ac:dyDescent="0.2">
      <c r="C109" t="s">
        <v>3131</v>
      </c>
    </row>
    <row r="110" spans="1:3" x14ac:dyDescent="0.2">
      <c r="C110" t="s">
        <v>3132</v>
      </c>
    </row>
    <row r="111" spans="1:3" x14ac:dyDescent="0.2">
      <c r="C111" t="s">
        <v>3133</v>
      </c>
    </row>
    <row r="112" spans="1:3" x14ac:dyDescent="0.2">
      <c r="C112" t="s">
        <v>3134</v>
      </c>
    </row>
    <row r="113" spans="1:3" x14ac:dyDescent="0.2">
      <c r="C113" t="s">
        <v>3135</v>
      </c>
    </row>
    <row r="114" spans="1:3" x14ac:dyDescent="0.2">
      <c r="C114" s="465" t="s">
        <v>3136</v>
      </c>
    </row>
    <row r="116" spans="1:3" x14ac:dyDescent="0.2">
      <c r="A116" t="s">
        <v>3137</v>
      </c>
      <c r="B116" s="270" t="s">
        <v>3138</v>
      </c>
    </row>
    <row r="117" spans="1:3" x14ac:dyDescent="0.2">
      <c r="B117" s="414" t="s">
        <v>3139</v>
      </c>
    </row>
    <row r="119" spans="1:3" x14ac:dyDescent="0.2">
      <c r="B119" t="s">
        <v>3105</v>
      </c>
      <c r="C119" t="s">
        <v>3140</v>
      </c>
    </row>
    <row r="120" spans="1:3" x14ac:dyDescent="0.2">
      <c r="C120" s="465" t="s">
        <v>3141</v>
      </c>
    </row>
    <row r="122" spans="1:3" x14ac:dyDescent="0.2">
      <c r="A122" t="s">
        <v>3142</v>
      </c>
      <c r="B122" s="270" t="s">
        <v>3143</v>
      </c>
    </row>
    <row r="123" spans="1:3" x14ac:dyDescent="0.2">
      <c r="B123" s="414" t="s">
        <v>3144</v>
      </c>
    </row>
    <row r="124" spans="1:3" x14ac:dyDescent="0.2">
      <c r="B124" t="s">
        <v>3145</v>
      </c>
    </row>
    <row r="125" spans="1:3" x14ac:dyDescent="0.2">
      <c r="B125" t="s">
        <v>3146</v>
      </c>
    </row>
    <row r="127" spans="1:3" x14ac:dyDescent="0.2">
      <c r="B127" t="s">
        <v>3105</v>
      </c>
      <c r="C127" s="414" t="s">
        <v>3147</v>
      </c>
    </row>
    <row r="128" spans="1:3" x14ac:dyDescent="0.2">
      <c r="C128" s="465" t="s">
        <v>3148</v>
      </c>
    </row>
    <row r="130" spans="1:3" x14ac:dyDescent="0.2">
      <c r="A130" t="s">
        <v>3149</v>
      </c>
      <c r="B130" s="270" t="s">
        <v>3150</v>
      </c>
    </row>
    <row r="131" spans="1:3" x14ac:dyDescent="0.2">
      <c r="B131" t="s">
        <v>3151</v>
      </c>
    </row>
    <row r="132" spans="1:3" x14ac:dyDescent="0.2">
      <c r="B132" t="s">
        <v>3152</v>
      </c>
    </row>
    <row r="133" spans="1:3" x14ac:dyDescent="0.2">
      <c r="B133" s="414" t="s">
        <v>3153</v>
      </c>
    </row>
    <row r="134" spans="1:3" x14ac:dyDescent="0.2">
      <c r="B134" t="s">
        <v>3154</v>
      </c>
    </row>
    <row r="135" spans="1:3" x14ac:dyDescent="0.2">
      <c r="B135" t="s">
        <v>3155</v>
      </c>
    </row>
    <row r="136" spans="1:3" x14ac:dyDescent="0.2">
      <c r="B136" t="s">
        <v>3156</v>
      </c>
    </row>
    <row r="137" spans="1:3" x14ac:dyDescent="0.2">
      <c r="B137" t="s">
        <v>3157</v>
      </c>
    </row>
    <row r="139" spans="1:3" x14ac:dyDescent="0.2">
      <c r="B139" t="s">
        <v>3105</v>
      </c>
      <c r="C139" s="414" t="s">
        <v>3158</v>
      </c>
    </row>
    <row r="140" spans="1:3" x14ac:dyDescent="0.2">
      <c r="C140" s="465" t="s">
        <v>3159</v>
      </c>
    </row>
    <row r="142" spans="1:3" x14ac:dyDescent="0.2">
      <c r="A142" t="s">
        <v>3160</v>
      </c>
      <c r="B142" s="270" t="s">
        <v>3161</v>
      </c>
    </row>
    <row r="143" spans="1:3" x14ac:dyDescent="0.2">
      <c r="B143" t="s">
        <v>3162</v>
      </c>
    </row>
    <row r="144" spans="1:3" x14ac:dyDescent="0.2">
      <c r="B144" t="s">
        <v>3163</v>
      </c>
    </row>
    <row r="145" spans="2:3" x14ac:dyDescent="0.2">
      <c r="B145" s="414" t="s">
        <v>3164</v>
      </c>
    </row>
    <row r="146" spans="2:3" x14ac:dyDescent="0.2">
      <c r="C146" s="10" t="s">
        <v>3165</v>
      </c>
    </row>
  </sheetData>
  <conditionalFormatting sqref="I29:I59">
    <cfRule type="cellIs" dxfId="0" priority="1" stopIfTrue="1" operator="equal">
      <formula>"Best"</formula>
    </cfRule>
  </conditionalFormatting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rowBreaks count="3" manualBreakCount="3">
    <brk id="15" max="65535" man="1"/>
    <brk id="66" max="65535" man="1"/>
    <brk id="115" max="65535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3905" r:id="rId4" name="Button 1">
              <controlPr defaultSize="0" print="0" autoFill="0" autoLine="0" autoPict="0">
                <anchor>
                  <from>
                    <xdr:col>7</xdr:col>
                    <xdr:colOff>409575</xdr:colOff>
                    <xdr:row>0</xdr:row>
                    <xdr:rowOff>38100</xdr:rowOff>
                  </from>
                  <to>
                    <xdr:col>8</xdr:col>
                    <xdr:colOff>171450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06" r:id="rId5" name="Button 2">
              <controlPr defaultSize="0" print="0" autoFill="0" autoLine="0" autoPict="0">
                <anchor>
                  <from>
                    <xdr:col>8</xdr:col>
                    <xdr:colOff>238125</xdr:colOff>
                    <xdr:row>0</xdr:row>
                    <xdr:rowOff>38100</xdr:rowOff>
                  </from>
                  <to>
                    <xdr:col>8</xdr:col>
                    <xdr:colOff>438150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07" r:id="rId6" name="Button 3">
              <controlPr defaultSize="0" print="0" autoFill="0" autoLine="0" autoPict="0">
                <anchor>
                  <from>
                    <xdr:col>7</xdr:col>
                    <xdr:colOff>142875</xdr:colOff>
                    <xdr:row>0</xdr:row>
                    <xdr:rowOff>38100</xdr:rowOff>
                  </from>
                  <to>
                    <xdr:col>7</xdr:col>
                    <xdr:colOff>342900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08">
    <pageSetUpPr fitToPage="1"/>
  </sheetPr>
  <dimension ref="B2:G13"/>
  <sheetViews>
    <sheetView showGridLines="0" workbookViewId="0">
      <selection activeCell="F30" activeCellId="4" sqref="F16 K30 G30 P30 F30"/>
    </sheetView>
  </sheetViews>
  <sheetFormatPr defaultColWidth="8.85546875" defaultRowHeight="12.75" x14ac:dyDescent="0.2"/>
  <sheetData>
    <row r="2" spans="2:7" x14ac:dyDescent="0.2">
      <c r="B2" t="s">
        <v>3166</v>
      </c>
      <c r="C2" t="s">
        <v>3167</v>
      </c>
      <c r="D2" t="s">
        <v>3168</v>
      </c>
      <c r="E2" t="s">
        <v>3169</v>
      </c>
      <c r="F2" t="s">
        <v>3170</v>
      </c>
      <c r="G2" t="s">
        <v>3171</v>
      </c>
    </row>
    <row r="3" spans="2:7" x14ac:dyDescent="0.2">
      <c r="B3" t="s">
        <v>2210</v>
      </c>
      <c r="C3">
        <v>1</v>
      </c>
      <c r="D3">
        <v>10</v>
      </c>
      <c r="E3">
        <v>10</v>
      </c>
      <c r="F3">
        <v>10</v>
      </c>
      <c r="G3">
        <v>10</v>
      </c>
    </row>
    <row r="4" spans="2:7" x14ac:dyDescent="0.2">
      <c r="B4" t="s">
        <v>2209</v>
      </c>
      <c r="C4">
        <v>1</v>
      </c>
      <c r="D4">
        <v>20</v>
      </c>
      <c r="E4">
        <v>20</v>
      </c>
      <c r="F4">
        <v>20</v>
      </c>
      <c r="G4">
        <v>21</v>
      </c>
    </row>
    <row r="5" spans="2:7" x14ac:dyDescent="0.2">
      <c r="B5" t="s">
        <v>2208</v>
      </c>
      <c r="C5">
        <v>1</v>
      </c>
      <c r="D5">
        <v>30</v>
      </c>
      <c r="E5">
        <v>28</v>
      </c>
      <c r="F5">
        <v>35</v>
      </c>
      <c r="G5">
        <v>30</v>
      </c>
    </row>
    <row r="6" spans="2:7" x14ac:dyDescent="0.2">
      <c r="B6" t="s">
        <v>2210</v>
      </c>
      <c r="C6">
        <v>2</v>
      </c>
      <c r="D6">
        <v>11</v>
      </c>
      <c r="E6">
        <v>9</v>
      </c>
      <c r="F6">
        <v>10</v>
      </c>
      <c r="G6">
        <v>10</v>
      </c>
    </row>
    <row r="7" spans="2:7" x14ac:dyDescent="0.2">
      <c r="B7" t="s">
        <v>2209</v>
      </c>
      <c r="C7">
        <v>2</v>
      </c>
      <c r="D7">
        <v>21</v>
      </c>
      <c r="E7">
        <v>20</v>
      </c>
      <c r="F7">
        <v>0</v>
      </c>
      <c r="G7">
        <v>20</v>
      </c>
    </row>
    <row r="8" spans="2:7" x14ac:dyDescent="0.2">
      <c r="B8" t="s">
        <v>2208</v>
      </c>
      <c r="C8">
        <v>2</v>
      </c>
      <c r="D8">
        <v>31</v>
      </c>
      <c r="E8">
        <v>28</v>
      </c>
      <c r="F8">
        <v>30</v>
      </c>
      <c r="G8">
        <v>30</v>
      </c>
    </row>
    <row r="9" spans="2:7" x14ac:dyDescent="0.2">
      <c r="B9" t="s">
        <v>2210</v>
      </c>
      <c r="C9">
        <v>3</v>
      </c>
      <c r="D9">
        <v>8</v>
      </c>
      <c r="E9">
        <v>10</v>
      </c>
      <c r="F9">
        <v>12</v>
      </c>
      <c r="G9">
        <v>10</v>
      </c>
    </row>
    <row r="10" spans="2:7" x14ac:dyDescent="0.2">
      <c r="B10" t="s">
        <v>2209</v>
      </c>
      <c r="C10">
        <v>3</v>
      </c>
      <c r="D10">
        <v>22</v>
      </c>
      <c r="E10">
        <v>20</v>
      </c>
      <c r="F10">
        <v>20</v>
      </c>
      <c r="G10">
        <v>19</v>
      </c>
    </row>
    <row r="11" spans="2:7" x14ac:dyDescent="0.2">
      <c r="B11" t="s">
        <v>2208</v>
      </c>
      <c r="C11">
        <v>3</v>
      </c>
      <c r="D11">
        <v>32</v>
      </c>
      <c r="E11">
        <v>28</v>
      </c>
      <c r="F11">
        <v>30</v>
      </c>
      <c r="G11">
        <v>30</v>
      </c>
    </row>
    <row r="13" spans="2:7" x14ac:dyDescent="0.2">
      <c r="B13" t="s">
        <v>3166</v>
      </c>
      <c r="C13" t="s">
        <v>3167</v>
      </c>
      <c r="D13" t="s">
        <v>3168</v>
      </c>
      <c r="E13" t="s">
        <v>3169</v>
      </c>
      <c r="F13" t="s">
        <v>3170</v>
      </c>
      <c r="G13" t="s">
        <v>3171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4929" r:id="rId4" name="Button 1">
              <controlPr defaultSize="0" print="0" autoFill="0" autoLine="0" autoPict="0">
                <anchor>
                  <from>
                    <xdr:col>7</xdr:col>
                    <xdr:colOff>561975</xdr:colOff>
                    <xdr:row>0</xdr:row>
                    <xdr:rowOff>38100</xdr:rowOff>
                  </from>
                  <to>
                    <xdr:col>8</xdr:col>
                    <xdr:colOff>438150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30" r:id="rId5" name="Button 2">
              <controlPr defaultSize="0" print="0" autoFill="0" autoLine="0" autoPict="0">
                <anchor>
                  <from>
                    <xdr:col>8</xdr:col>
                    <xdr:colOff>504825</xdr:colOff>
                    <xdr:row>0</xdr:row>
                    <xdr:rowOff>38100</xdr:rowOff>
                  </from>
                  <to>
                    <xdr:col>9</xdr:col>
                    <xdr:colOff>114300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31" r:id="rId6" name="Button 3">
              <controlPr defaultSize="0" print="0" autoFill="0" autoLine="0" autoPict="0">
                <anchor>
                  <from>
                    <xdr:col>7</xdr:col>
                    <xdr:colOff>295275</xdr:colOff>
                    <xdr:row>0</xdr:row>
                    <xdr:rowOff>38100</xdr:rowOff>
                  </from>
                  <to>
                    <xdr:col>7</xdr:col>
                    <xdr:colOff>495300</xdr:colOff>
                    <xdr:row>1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09">
    <pageSetUpPr fitToPage="1"/>
  </sheetPr>
  <dimension ref="A1:H39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5.5703125" customWidth="1"/>
    <col min="4" max="4" width="15" customWidth="1"/>
    <col min="5" max="5" width="14.7109375" customWidth="1"/>
    <col min="8" max="8" width="12" customWidth="1"/>
  </cols>
  <sheetData>
    <row r="1" spans="1:8" ht="18.75" thickBot="1" x14ac:dyDescent="0.3">
      <c r="A1" s="1" t="s">
        <v>3172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C3" s="5" t="s">
        <v>1228</v>
      </c>
      <c r="D3" s="5" t="s">
        <v>1229</v>
      </c>
      <c r="E3" s="5" t="s">
        <v>3173</v>
      </c>
    </row>
    <row r="4" spans="1:8" x14ac:dyDescent="0.2">
      <c r="C4" s="2">
        <v>4</v>
      </c>
      <c r="D4" s="2">
        <v>2</v>
      </c>
      <c r="E4" s="3">
        <f>PERMUT(C4,D4)</f>
        <v>12</v>
      </c>
      <c r="F4" s="8" t="s">
        <v>3174</v>
      </c>
    </row>
    <row r="5" spans="1:8" x14ac:dyDescent="0.2">
      <c r="C5" s="2">
        <v>4</v>
      </c>
      <c r="D5" s="2">
        <v>3</v>
      </c>
      <c r="E5" s="3">
        <f>PERMUT(C5,D5)</f>
        <v>24</v>
      </c>
      <c r="F5" s="8" t="s">
        <v>3175</v>
      </c>
    </row>
    <row r="6" spans="1:8" x14ac:dyDescent="0.2">
      <c r="C6" s="2">
        <v>10</v>
      </c>
      <c r="D6" s="2">
        <v>4</v>
      </c>
      <c r="E6" s="3">
        <f>PERMUT(C6,D6)</f>
        <v>5040</v>
      </c>
      <c r="F6" s="8" t="s">
        <v>3176</v>
      </c>
    </row>
    <row r="7" spans="1:8" x14ac:dyDescent="0.2">
      <c r="C7" s="2">
        <v>26</v>
      </c>
      <c r="D7" s="2">
        <v>6</v>
      </c>
      <c r="E7" s="422">
        <f>PERMUT(C7,D7)</f>
        <v>165765600</v>
      </c>
      <c r="F7" s="8" t="s">
        <v>3177</v>
      </c>
    </row>
    <row r="9" spans="1:8" ht="13.5" thickBot="1" x14ac:dyDescent="0.25">
      <c r="B9" s="9" t="s">
        <v>39</v>
      </c>
      <c r="C9" s="9"/>
      <c r="D9" s="9"/>
      <c r="E9" s="9"/>
      <c r="F9" s="9"/>
      <c r="G9" s="9"/>
      <c r="H9" s="9"/>
    </row>
    <row r="10" spans="1:8" x14ac:dyDescent="0.2">
      <c r="B10" t="s">
        <v>3178</v>
      </c>
    </row>
    <row r="11" spans="1:8" x14ac:dyDescent="0.2">
      <c r="B11" t="s">
        <v>3179</v>
      </c>
    </row>
    <row r="12" spans="1:8" x14ac:dyDescent="0.2">
      <c r="B12" t="s">
        <v>3180</v>
      </c>
    </row>
    <row r="14" spans="1:8" ht="13.5" thickBot="1" x14ac:dyDescent="0.25">
      <c r="B14" s="9" t="s">
        <v>43</v>
      </c>
      <c r="C14" s="9"/>
      <c r="D14" s="9"/>
      <c r="E14" s="9"/>
      <c r="F14" s="9"/>
      <c r="G14" s="9"/>
      <c r="H14" s="9"/>
    </row>
    <row r="15" spans="1:8" x14ac:dyDescent="0.2">
      <c r="B15" s="10" t="s">
        <v>3181</v>
      </c>
    </row>
    <row r="17" spans="2:8" ht="13.5" thickBot="1" x14ac:dyDescent="0.25">
      <c r="B17" s="9" t="s">
        <v>45</v>
      </c>
      <c r="C17" s="9"/>
      <c r="D17" s="9"/>
      <c r="E17" s="9"/>
      <c r="F17" s="9"/>
      <c r="G17" s="9"/>
      <c r="H17" s="9"/>
    </row>
    <row r="18" spans="2:8" x14ac:dyDescent="0.2">
      <c r="B18" t="s">
        <v>46</v>
      </c>
    </row>
    <row r="20" spans="2:8" ht="13.5" thickBot="1" x14ac:dyDescent="0.25">
      <c r="B20" s="9" t="s">
        <v>85</v>
      </c>
      <c r="C20" s="9"/>
      <c r="D20" s="9"/>
      <c r="E20" s="9"/>
      <c r="F20" s="9"/>
      <c r="G20" s="9"/>
      <c r="H20" s="9"/>
    </row>
    <row r="21" spans="2:8" x14ac:dyDescent="0.2">
      <c r="B21" t="s">
        <v>3182</v>
      </c>
    </row>
    <row r="22" spans="2:8" x14ac:dyDescent="0.2">
      <c r="B22" t="s">
        <v>3183</v>
      </c>
    </row>
    <row r="24" spans="2:8" x14ac:dyDescent="0.2">
      <c r="C24" s="5" t="s">
        <v>3184</v>
      </c>
      <c r="D24" s="2">
        <v>26</v>
      </c>
    </row>
    <row r="25" spans="2:8" x14ac:dyDescent="0.2">
      <c r="C25" s="5" t="s">
        <v>3185</v>
      </c>
      <c r="D25" s="2">
        <v>8</v>
      </c>
    </row>
    <row r="26" spans="2:8" x14ac:dyDescent="0.2">
      <c r="C26" s="5" t="s">
        <v>3173</v>
      </c>
      <c r="D26" s="422">
        <f>PERMUT(D24,D25)</f>
        <v>62990928000</v>
      </c>
    </row>
    <row r="29" spans="2:8" x14ac:dyDescent="0.2">
      <c r="B29" t="s">
        <v>3186</v>
      </c>
    </row>
    <row r="30" spans="2:8" x14ac:dyDescent="0.2">
      <c r="B30" t="s">
        <v>3187</v>
      </c>
    </row>
    <row r="32" spans="2:8" x14ac:dyDescent="0.2">
      <c r="C32" s="270" t="s">
        <v>586</v>
      </c>
    </row>
    <row r="34" spans="3:6" x14ac:dyDescent="0.2">
      <c r="C34" s="209" t="s">
        <v>3188</v>
      </c>
      <c r="D34" s="270" t="s">
        <v>1247</v>
      </c>
      <c r="E34" s="209" t="s">
        <v>3189</v>
      </c>
      <c r="F34" s="270" t="s">
        <v>3190</v>
      </c>
    </row>
    <row r="35" spans="3:6" x14ac:dyDescent="0.2">
      <c r="C35" s="209" t="s">
        <v>3191</v>
      </c>
      <c r="D35" s="270" t="s">
        <v>1249</v>
      </c>
      <c r="E35" s="209" t="s">
        <v>3192</v>
      </c>
      <c r="F35" s="270" t="s">
        <v>3193</v>
      </c>
    </row>
    <row r="36" spans="3:6" x14ac:dyDescent="0.2">
      <c r="C36" s="209" t="s">
        <v>3194</v>
      </c>
      <c r="D36" s="270" t="s">
        <v>1251</v>
      </c>
      <c r="E36" s="209" t="s">
        <v>3195</v>
      </c>
      <c r="F36" s="270" t="s">
        <v>3196</v>
      </c>
    </row>
    <row r="37" spans="3:6" x14ac:dyDescent="0.2">
      <c r="C37" s="209" t="s">
        <v>3197</v>
      </c>
      <c r="D37" s="270" t="s">
        <v>1253</v>
      </c>
      <c r="E37" s="209" t="s">
        <v>3198</v>
      </c>
      <c r="F37" s="270" t="s">
        <v>3199</v>
      </c>
    </row>
    <row r="38" spans="3:6" x14ac:dyDescent="0.2">
      <c r="C38" s="209" t="s">
        <v>3200</v>
      </c>
      <c r="D38" s="270" t="s">
        <v>1255</v>
      </c>
      <c r="E38" s="209" t="s">
        <v>3201</v>
      </c>
      <c r="F38" s="270" t="s">
        <v>1616</v>
      </c>
    </row>
    <row r="39" spans="3:6" x14ac:dyDescent="0.2">
      <c r="C39" s="209" t="s">
        <v>3202</v>
      </c>
      <c r="D39" s="270" t="s">
        <v>1257</v>
      </c>
      <c r="E39" s="209" t="s">
        <v>3203</v>
      </c>
      <c r="F39" s="270" t="s">
        <v>3204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5953" r:id="rId4" name="Button 1">
              <controlPr defaultSize="0" print="0" autoFill="0" autoLine="0" autoPict="0">
                <anchor>
                  <from>
                    <xdr:col>6</xdr:col>
                    <xdr:colOff>342900</xdr:colOff>
                    <xdr:row>0</xdr:row>
                    <xdr:rowOff>38100</xdr:rowOff>
                  </from>
                  <to>
                    <xdr:col>7</xdr:col>
                    <xdr:colOff>209550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54" r:id="rId5" name="Button 2">
              <controlPr defaultSize="0" print="0" autoFill="0" autoLine="0" autoPict="0">
                <anchor>
                  <from>
                    <xdr:col>7</xdr:col>
                    <xdr:colOff>276225</xdr:colOff>
                    <xdr:row>0</xdr:row>
                    <xdr:rowOff>38100</xdr:rowOff>
                  </from>
                  <to>
                    <xdr:col>7</xdr:col>
                    <xdr:colOff>476250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55" r:id="rId6" name="Button 3">
              <controlPr defaultSize="0" print="0" autoFill="0" autoLine="0" autoPict="0">
                <anchor>
                  <from>
                    <xdr:col>6</xdr:col>
                    <xdr:colOff>66675</xdr:colOff>
                    <xdr:row>0</xdr:row>
                    <xdr:rowOff>38100</xdr:rowOff>
                  </from>
                  <to>
                    <xdr:col>6</xdr:col>
                    <xdr:colOff>276225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10">
    <pageSetUpPr fitToPage="1"/>
  </sheetPr>
  <dimension ref="A1:I22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4" max="4" width="16.5703125" customWidth="1"/>
    <col min="5" max="5" width="12.42578125" customWidth="1"/>
    <col min="9" max="9" width="7" customWidth="1"/>
  </cols>
  <sheetData>
    <row r="1" spans="1:9" ht="18.75" thickBot="1" x14ac:dyDescent="0.3">
      <c r="A1" s="1" t="s">
        <v>3205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D3" s="466" t="s">
        <v>1460</v>
      </c>
    </row>
    <row r="4" spans="1:9" x14ac:dyDescent="0.2">
      <c r="D4" s="467">
        <f>PI()</f>
        <v>3.1415926535897931</v>
      </c>
      <c r="E4" s="8" t="s">
        <v>3206</v>
      </c>
    </row>
    <row r="6" spans="1:9" ht="13.5" thickBot="1" x14ac:dyDescent="0.25">
      <c r="B6" s="9" t="s">
        <v>39</v>
      </c>
      <c r="C6" s="9"/>
      <c r="D6" s="9"/>
      <c r="E6" s="9"/>
      <c r="F6" s="9"/>
      <c r="G6" s="9"/>
      <c r="H6" s="9"/>
      <c r="I6" s="9"/>
    </row>
    <row r="7" spans="1:9" x14ac:dyDescent="0.2">
      <c r="B7" t="s">
        <v>3207</v>
      </c>
    </row>
    <row r="8" spans="1:9" x14ac:dyDescent="0.2">
      <c r="B8" t="s">
        <v>3208</v>
      </c>
    </row>
    <row r="9" spans="1:9" x14ac:dyDescent="0.2">
      <c r="B9" t="s">
        <v>3209</v>
      </c>
    </row>
    <row r="11" spans="1:9" ht="13.5" thickBot="1" x14ac:dyDescent="0.25">
      <c r="B11" s="9" t="s">
        <v>43</v>
      </c>
      <c r="C11" s="9"/>
      <c r="D11" s="9"/>
      <c r="E11" s="9"/>
      <c r="F11" s="9"/>
      <c r="G11" s="9"/>
      <c r="H11" s="9"/>
      <c r="I11" s="9"/>
    </row>
    <row r="12" spans="1:9" x14ac:dyDescent="0.2">
      <c r="B12" s="10" t="s">
        <v>3210</v>
      </c>
    </row>
    <row r="14" spans="1:9" ht="13.5" thickBot="1" x14ac:dyDescent="0.25">
      <c r="B14" s="9" t="s">
        <v>45</v>
      </c>
      <c r="C14" s="9"/>
      <c r="D14" s="9"/>
      <c r="E14" s="9"/>
      <c r="F14" s="9"/>
      <c r="G14" s="9"/>
      <c r="H14" s="9"/>
      <c r="I14" s="9"/>
    </row>
    <row r="15" spans="1:9" x14ac:dyDescent="0.2">
      <c r="B15" t="s">
        <v>46</v>
      </c>
    </row>
    <row r="17" spans="2:9" ht="13.5" thickBot="1" x14ac:dyDescent="0.25">
      <c r="B17" s="9" t="s">
        <v>85</v>
      </c>
      <c r="C17" s="9"/>
      <c r="D17" s="9"/>
      <c r="E17" s="9"/>
      <c r="F17" s="9"/>
      <c r="G17" s="9"/>
      <c r="H17" s="9"/>
      <c r="I17" s="9"/>
    </row>
    <row r="18" spans="2:9" x14ac:dyDescent="0.2">
      <c r="B18" t="s">
        <v>3211</v>
      </c>
    </row>
    <row r="20" spans="2:9" x14ac:dyDescent="0.2">
      <c r="C20" s="5" t="s">
        <v>3212</v>
      </c>
      <c r="D20" s="5" t="s">
        <v>3213</v>
      </c>
    </row>
    <row r="21" spans="2:9" x14ac:dyDescent="0.2">
      <c r="C21" s="2">
        <v>5</v>
      </c>
      <c r="D21" s="171">
        <f>PI()*(C21^2)</f>
        <v>78.539816339744831</v>
      </c>
      <c r="E21" s="8" t="s">
        <v>3214</v>
      </c>
    </row>
    <row r="22" spans="2:9" x14ac:dyDescent="0.2">
      <c r="C22" s="2">
        <v>25</v>
      </c>
      <c r="D22" s="171">
        <f>PI()*(C22^2)</f>
        <v>1963.4954084936207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6977" r:id="rId4" name="Button 1">
              <controlPr defaultSize="0" print="0" autoFill="0" autoLine="0" autoPict="0">
                <anchor>
                  <from>
                    <xdr:col>7</xdr:col>
                    <xdr:colOff>238125</xdr:colOff>
                    <xdr:row>0</xdr:row>
                    <xdr:rowOff>38100</xdr:rowOff>
                  </from>
                  <to>
                    <xdr:col>8</xdr:col>
                    <xdr:colOff>104775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78" r:id="rId5" name="Button 2">
              <controlPr defaultSize="0" print="0" autoFill="0" autoLine="0" autoPict="0">
                <anchor>
                  <from>
                    <xdr:col>8</xdr:col>
                    <xdr:colOff>171450</xdr:colOff>
                    <xdr:row>0</xdr:row>
                    <xdr:rowOff>38100</xdr:rowOff>
                  </from>
                  <to>
                    <xdr:col>8</xdr:col>
                    <xdr:colOff>371475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79" r:id="rId6" name="Button 3">
              <controlPr defaultSize="0" print="0" autoFill="0" autoLine="0" autoPict="0">
                <anchor>
                  <from>
                    <xdr:col>6</xdr:col>
                    <xdr:colOff>571500</xdr:colOff>
                    <xdr:row>0</xdr:row>
                    <xdr:rowOff>38100</xdr:rowOff>
                  </from>
                  <to>
                    <xdr:col>7</xdr:col>
                    <xdr:colOff>171450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11">
    <pageSetUpPr fitToPage="1"/>
  </sheetPr>
  <dimension ref="A1:I25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5" max="5" width="19.42578125" customWidth="1"/>
    <col min="9" max="9" width="7.42578125" customWidth="1"/>
  </cols>
  <sheetData>
    <row r="1" spans="1:9" ht="18.75" thickBot="1" x14ac:dyDescent="0.3">
      <c r="A1" s="1" t="s">
        <v>3215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5" t="s">
        <v>467</v>
      </c>
      <c r="D3" s="5" t="s">
        <v>1413</v>
      </c>
      <c r="E3" s="5" t="s">
        <v>549</v>
      </c>
    </row>
    <row r="4" spans="1:9" x14ac:dyDescent="0.2">
      <c r="C4" s="2">
        <v>3</v>
      </c>
      <c r="D4" s="2">
        <v>2</v>
      </c>
      <c r="E4" s="3">
        <f>POWER(C4,D4)</f>
        <v>9</v>
      </c>
      <c r="F4" s="8" t="s">
        <v>3216</v>
      </c>
    </row>
    <row r="5" spans="1:9" x14ac:dyDescent="0.2">
      <c r="C5" s="2">
        <v>3</v>
      </c>
      <c r="D5" s="2">
        <v>4</v>
      </c>
      <c r="E5" s="3">
        <f>POWER(C5,D5)</f>
        <v>81</v>
      </c>
      <c r="F5" s="8" t="s">
        <v>3217</v>
      </c>
    </row>
    <row r="6" spans="1:9" x14ac:dyDescent="0.2">
      <c r="C6" s="2">
        <v>5</v>
      </c>
      <c r="D6" s="2">
        <v>2</v>
      </c>
      <c r="E6" s="3">
        <f>POWER(C6,D6)</f>
        <v>25</v>
      </c>
      <c r="F6" s="8" t="s">
        <v>3218</v>
      </c>
    </row>
    <row r="7" spans="1:9" x14ac:dyDescent="0.2">
      <c r="C7" s="2">
        <v>5</v>
      </c>
      <c r="D7" s="2">
        <v>4</v>
      </c>
      <c r="E7" s="3">
        <f>POWER(C7,D7)</f>
        <v>625</v>
      </c>
      <c r="F7" s="8" t="s">
        <v>3219</v>
      </c>
    </row>
    <row r="9" spans="1:9" ht="13.5" thickBot="1" x14ac:dyDescent="0.25">
      <c r="B9" s="9" t="s">
        <v>39</v>
      </c>
      <c r="C9" s="9"/>
      <c r="D9" s="9"/>
      <c r="E9" s="9"/>
      <c r="F9" s="9"/>
      <c r="G9" s="9"/>
      <c r="H9" s="9"/>
      <c r="I9" s="9"/>
    </row>
    <row r="10" spans="1:9" x14ac:dyDescent="0.2">
      <c r="B10" t="s">
        <v>3220</v>
      </c>
    </row>
    <row r="11" spans="1:9" x14ac:dyDescent="0.2">
      <c r="B11" t="s">
        <v>3221</v>
      </c>
    </row>
    <row r="12" spans="1:9" x14ac:dyDescent="0.2">
      <c r="B12" t="s">
        <v>3222</v>
      </c>
    </row>
    <row r="14" spans="1:9" ht="13.5" thickBot="1" x14ac:dyDescent="0.25">
      <c r="B14" s="9" t="s">
        <v>43</v>
      </c>
      <c r="C14" s="9"/>
      <c r="D14" s="9"/>
      <c r="E14" s="9"/>
      <c r="F14" s="9"/>
      <c r="G14" s="9"/>
      <c r="H14" s="9"/>
      <c r="I14" s="9"/>
    </row>
    <row r="15" spans="1:9" x14ac:dyDescent="0.2">
      <c r="B15" s="10" t="s">
        <v>3223</v>
      </c>
    </row>
    <row r="17" spans="2:9" ht="13.5" thickBot="1" x14ac:dyDescent="0.25">
      <c r="B17" s="9" t="s">
        <v>45</v>
      </c>
      <c r="C17" s="9"/>
      <c r="D17" s="9"/>
      <c r="E17" s="9"/>
      <c r="F17" s="9"/>
      <c r="G17" s="9"/>
      <c r="H17" s="9"/>
      <c r="I17" s="9"/>
    </row>
    <row r="18" spans="2:9" x14ac:dyDescent="0.2">
      <c r="B18" t="s">
        <v>46</v>
      </c>
    </row>
    <row r="20" spans="2:9" ht="13.5" thickBot="1" x14ac:dyDescent="0.25">
      <c r="B20" s="9" t="s">
        <v>85</v>
      </c>
      <c r="C20" s="9"/>
      <c r="D20" s="9"/>
      <c r="E20" s="9"/>
      <c r="F20" s="9"/>
      <c r="G20" s="9"/>
      <c r="H20" s="9"/>
      <c r="I20" s="9"/>
    </row>
    <row r="21" spans="2:9" x14ac:dyDescent="0.2">
      <c r="B21" t="s">
        <v>3211</v>
      </c>
    </row>
    <row r="23" spans="2:9" x14ac:dyDescent="0.2">
      <c r="C23" s="5" t="s">
        <v>3212</v>
      </c>
      <c r="D23" s="5" t="s">
        <v>3213</v>
      </c>
    </row>
    <row r="24" spans="2:9" x14ac:dyDescent="0.2">
      <c r="C24" s="2">
        <v>5</v>
      </c>
      <c r="D24" s="171">
        <f>PI()*POWER(C24,2)</f>
        <v>78.539816339744831</v>
      </c>
      <c r="E24" s="8" t="s">
        <v>3224</v>
      </c>
    </row>
    <row r="25" spans="2:9" x14ac:dyDescent="0.2">
      <c r="C25" s="2">
        <v>25</v>
      </c>
      <c r="D25" s="171">
        <f>PI()*POWER(C25,2)</f>
        <v>1963.4954084936207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8001" r:id="rId4" name="Button 1">
              <controlPr defaultSize="0" print="0" autoFill="0" autoLine="0" autoPict="0">
                <anchor>
                  <from>
                    <xdr:col>7</xdr:col>
                    <xdr:colOff>285750</xdr:colOff>
                    <xdr:row>0</xdr:row>
                    <xdr:rowOff>38100</xdr:rowOff>
                  </from>
                  <to>
                    <xdr:col>8</xdr:col>
                    <xdr:colOff>152400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02" r:id="rId5" name="Button 2">
              <controlPr defaultSize="0" print="0" autoFill="0" autoLine="0" autoPict="0">
                <anchor>
                  <from>
                    <xdr:col>8</xdr:col>
                    <xdr:colOff>209550</xdr:colOff>
                    <xdr:row>0</xdr:row>
                    <xdr:rowOff>38100</xdr:rowOff>
                  </from>
                  <to>
                    <xdr:col>8</xdr:col>
                    <xdr:colOff>409575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03" r:id="rId6" name="Button 3">
              <controlPr defaultSize="0" print="0" autoFill="0" autoLine="0" autoPict="0">
                <anchor>
                  <from>
                    <xdr:col>7</xdr:col>
                    <xdr:colOff>9525</xdr:colOff>
                    <xdr:row>0</xdr:row>
                    <xdr:rowOff>38100</xdr:rowOff>
                  </from>
                  <to>
                    <xdr:col>7</xdr:col>
                    <xdr:colOff>219075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12">
    <pageSetUpPr fitToPage="1"/>
  </sheetPr>
  <dimension ref="A1:I27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6" max="6" width="20.42578125" customWidth="1"/>
    <col min="9" max="9" width="6.5703125" customWidth="1"/>
  </cols>
  <sheetData>
    <row r="1" spans="1:9" ht="18.75" thickBot="1" x14ac:dyDescent="0.3">
      <c r="A1" s="1" t="s">
        <v>3225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13" t="s">
        <v>2083</v>
      </c>
      <c r="D3" s="15"/>
      <c r="E3" s="5" t="s">
        <v>1561</v>
      </c>
    </row>
    <row r="4" spans="1:9" x14ac:dyDescent="0.2">
      <c r="C4" s="2">
        <v>2</v>
      </c>
      <c r="D4" s="2">
        <v>3</v>
      </c>
      <c r="E4" s="3">
        <f>PRODUCT(C4,D4)</f>
        <v>6</v>
      </c>
      <c r="F4" s="8" t="s">
        <v>3226</v>
      </c>
    </row>
    <row r="5" spans="1:9" x14ac:dyDescent="0.2">
      <c r="C5" s="2">
        <v>5</v>
      </c>
      <c r="D5" s="2">
        <v>10</v>
      </c>
      <c r="E5" s="3">
        <f>PRODUCT(C5:D5)</f>
        <v>50</v>
      </c>
      <c r="F5" s="8" t="s">
        <v>3227</v>
      </c>
    </row>
    <row r="6" spans="1:9" x14ac:dyDescent="0.2">
      <c r="C6" s="2">
        <v>3</v>
      </c>
      <c r="D6" s="2">
        <v>7</v>
      </c>
      <c r="E6" s="3">
        <f>PRODUCT(C6:D6,10)</f>
        <v>210</v>
      </c>
      <c r="F6" s="8" t="s">
        <v>3228</v>
      </c>
    </row>
    <row r="7" spans="1:9" x14ac:dyDescent="0.2">
      <c r="E7" s="3">
        <f>PRODUCT(C4:D6)</f>
        <v>6300</v>
      </c>
      <c r="F7" s="8" t="s">
        <v>3229</v>
      </c>
    </row>
    <row r="9" spans="1:9" ht="13.5" thickBot="1" x14ac:dyDescent="0.25">
      <c r="B9" s="9" t="s">
        <v>39</v>
      </c>
      <c r="C9" s="9"/>
      <c r="D9" s="9"/>
      <c r="E9" s="9"/>
      <c r="F9" s="9"/>
      <c r="G9" s="9"/>
      <c r="H9" s="9"/>
      <c r="I9" s="9"/>
    </row>
    <row r="10" spans="1:9" x14ac:dyDescent="0.2">
      <c r="B10" t="s">
        <v>3230</v>
      </c>
    </row>
    <row r="11" spans="1:9" x14ac:dyDescent="0.2">
      <c r="B11" t="s">
        <v>3231</v>
      </c>
    </row>
    <row r="13" spans="1:9" ht="13.5" thickBot="1" x14ac:dyDescent="0.25">
      <c r="B13" s="9" t="s">
        <v>43</v>
      </c>
      <c r="C13" s="9"/>
      <c r="D13" s="9"/>
      <c r="E13" s="9"/>
      <c r="F13" s="9"/>
      <c r="G13" s="9"/>
      <c r="H13" s="9"/>
      <c r="I13" s="9"/>
    </row>
    <row r="14" spans="1:9" x14ac:dyDescent="0.2">
      <c r="B14" s="10" t="s">
        <v>3232</v>
      </c>
    </row>
    <row r="15" spans="1:9" x14ac:dyDescent="0.2">
      <c r="B15" t="s">
        <v>10</v>
      </c>
    </row>
    <row r="16" spans="1:9" x14ac:dyDescent="0.2">
      <c r="B16" s="10" t="s">
        <v>3233</v>
      </c>
    </row>
    <row r="17" spans="2:9" x14ac:dyDescent="0.2">
      <c r="B17" t="s">
        <v>10</v>
      </c>
    </row>
    <row r="18" spans="2:9" x14ac:dyDescent="0.2">
      <c r="B18" s="10" t="s">
        <v>3234</v>
      </c>
    </row>
    <row r="20" spans="2:9" ht="13.5" thickBot="1" x14ac:dyDescent="0.25">
      <c r="B20" s="9" t="s">
        <v>45</v>
      </c>
      <c r="C20" s="9"/>
      <c r="D20" s="9"/>
      <c r="E20" s="9"/>
      <c r="F20" s="9"/>
      <c r="G20" s="9"/>
      <c r="H20" s="9"/>
      <c r="I20" s="9"/>
    </row>
    <row r="21" spans="2:9" x14ac:dyDescent="0.2">
      <c r="B21" t="s">
        <v>46</v>
      </c>
    </row>
    <row r="27" spans="2:9" x14ac:dyDescent="0.2">
      <c r="D27" s="468"/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9025" r:id="rId4" name="Button 1">
              <controlPr defaultSize="0" print="0" autoFill="0" autoLine="0" autoPict="0">
                <anchor>
                  <from>
                    <xdr:col>7</xdr:col>
                    <xdr:colOff>209550</xdr:colOff>
                    <xdr:row>0</xdr:row>
                    <xdr:rowOff>38100</xdr:rowOff>
                  </from>
                  <to>
                    <xdr:col>8</xdr:col>
                    <xdr:colOff>85725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26" r:id="rId5" name="Button 2">
              <controlPr defaultSize="0" print="0" autoFill="0" autoLine="0" autoPict="0">
                <anchor>
                  <from>
                    <xdr:col>8</xdr:col>
                    <xdr:colOff>152400</xdr:colOff>
                    <xdr:row>0</xdr:row>
                    <xdr:rowOff>38100</xdr:rowOff>
                  </from>
                  <to>
                    <xdr:col>8</xdr:col>
                    <xdr:colOff>352425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27" r:id="rId6" name="Button 3">
              <controlPr defaultSize="0" print="0" autoFill="0" autoLine="0" autoPict="0">
                <anchor>
                  <from>
                    <xdr:col>6</xdr:col>
                    <xdr:colOff>552450</xdr:colOff>
                    <xdr:row>0</xdr:row>
                    <xdr:rowOff>38100</xdr:rowOff>
                  </from>
                  <to>
                    <xdr:col>7</xdr:col>
                    <xdr:colOff>142875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14">
    <pageSetUpPr fitToPage="1"/>
  </sheetPr>
  <dimension ref="A1:K29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4.42578125" customWidth="1"/>
    <col min="3" max="3" width="7.7109375" customWidth="1"/>
    <col min="4" max="4" width="7" customWidth="1"/>
    <col min="5" max="5" width="10.5703125" customWidth="1"/>
    <col min="6" max="6" width="7.7109375" customWidth="1"/>
    <col min="7" max="7" width="2.85546875" customWidth="1"/>
    <col min="8" max="8" width="10.5703125" customWidth="1"/>
    <col min="9" max="9" width="7.7109375" customWidth="1"/>
    <col min="11" max="11" width="14.42578125" customWidth="1"/>
  </cols>
  <sheetData>
    <row r="1" spans="1:11" ht="18.75" thickBot="1" x14ac:dyDescent="0.3">
      <c r="A1" s="1" t="s">
        <v>3235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3.5" thickTop="1" x14ac:dyDescent="0.2"/>
    <row r="3" spans="1:11" x14ac:dyDescent="0.2">
      <c r="C3" s="5" t="s">
        <v>356</v>
      </c>
      <c r="D3" s="274"/>
      <c r="E3" s="5" t="s">
        <v>3236</v>
      </c>
      <c r="F3" s="5" t="s">
        <v>3237</v>
      </c>
    </row>
    <row r="4" spans="1:11" x14ac:dyDescent="0.2">
      <c r="C4" s="2">
        <v>1</v>
      </c>
      <c r="D4" s="62"/>
      <c r="E4" s="2">
        <v>0</v>
      </c>
      <c r="F4" s="3">
        <f>QUARTILE(C4:C8,E4)</f>
        <v>1</v>
      </c>
      <c r="G4" s="8" t="s">
        <v>3238</v>
      </c>
    </row>
    <row r="5" spans="1:11" x14ac:dyDescent="0.2">
      <c r="C5" s="2">
        <v>25</v>
      </c>
      <c r="D5" s="62"/>
      <c r="E5" s="2">
        <v>1</v>
      </c>
      <c r="F5" s="3">
        <f>QUARTILE(C4:C8,E5)</f>
        <v>25</v>
      </c>
      <c r="G5" s="8" t="s">
        <v>3239</v>
      </c>
    </row>
    <row r="6" spans="1:11" x14ac:dyDescent="0.2">
      <c r="C6" s="2">
        <v>50</v>
      </c>
      <c r="D6" s="62"/>
      <c r="E6" s="2">
        <v>2</v>
      </c>
      <c r="F6" s="3">
        <f>QUARTILE(C4:C8,E6)</f>
        <v>50</v>
      </c>
      <c r="G6" s="8" t="s">
        <v>3240</v>
      </c>
    </row>
    <row r="7" spans="1:11" x14ac:dyDescent="0.2">
      <c r="C7" s="2">
        <v>75</v>
      </c>
      <c r="D7" s="62"/>
      <c r="E7" s="2">
        <v>3</v>
      </c>
      <c r="F7" s="3">
        <f>QUARTILE(C4:C8,E7)</f>
        <v>75</v>
      </c>
      <c r="G7" s="8" t="s">
        <v>3241</v>
      </c>
    </row>
    <row r="8" spans="1:11" x14ac:dyDescent="0.2">
      <c r="C8" s="2">
        <v>100</v>
      </c>
      <c r="D8" s="469"/>
      <c r="E8" s="2">
        <v>4</v>
      </c>
      <c r="F8" s="3">
        <f>QUARTILE(C4:C8,E8)</f>
        <v>100</v>
      </c>
      <c r="G8" s="8" t="s">
        <v>3242</v>
      </c>
    </row>
    <row r="11" spans="1:11" x14ac:dyDescent="0.2">
      <c r="C11" s="5" t="s">
        <v>356</v>
      </c>
      <c r="D11" s="274"/>
      <c r="E11" s="274"/>
      <c r="F11" s="274"/>
      <c r="G11" s="274"/>
      <c r="H11" s="5" t="s">
        <v>3236</v>
      </c>
      <c r="I11" s="5" t="s">
        <v>3237</v>
      </c>
    </row>
    <row r="12" spans="1:11" x14ac:dyDescent="0.2">
      <c r="C12" s="2">
        <v>817</v>
      </c>
      <c r="D12" s="2">
        <v>104</v>
      </c>
      <c r="E12" s="2">
        <v>640</v>
      </c>
      <c r="F12" s="2">
        <v>767</v>
      </c>
      <c r="G12" s="62"/>
      <c r="H12" s="2">
        <v>0</v>
      </c>
      <c r="I12" s="3">
        <f>QUARTILE(C12:F16,H12)</f>
        <v>104</v>
      </c>
      <c r="J12" s="8" t="s">
        <v>3243</v>
      </c>
    </row>
    <row r="13" spans="1:11" x14ac:dyDescent="0.2">
      <c r="C13" s="2">
        <v>748</v>
      </c>
      <c r="D13" s="2">
        <v>756</v>
      </c>
      <c r="E13" s="2">
        <v>369</v>
      </c>
      <c r="F13" s="2">
        <v>703</v>
      </c>
      <c r="G13" s="62"/>
      <c r="H13" s="2">
        <v>1</v>
      </c>
      <c r="I13" s="3">
        <f>QUARTILE(C12:F16,H13)</f>
        <v>285.75</v>
      </c>
      <c r="J13" s="8" t="s">
        <v>3244</v>
      </c>
    </row>
    <row r="14" spans="1:11" x14ac:dyDescent="0.2">
      <c r="C14" s="2">
        <v>372</v>
      </c>
      <c r="D14" s="2">
        <v>993</v>
      </c>
      <c r="E14" s="2">
        <v>294</v>
      </c>
      <c r="F14" s="2">
        <v>261</v>
      </c>
      <c r="G14" s="62"/>
      <c r="H14" s="2">
        <v>2</v>
      </c>
      <c r="I14" s="3">
        <f>QUARTILE(C12:F16,H14)</f>
        <v>489</v>
      </c>
      <c r="J14" s="8" t="s">
        <v>3245</v>
      </c>
    </row>
    <row r="15" spans="1:11" x14ac:dyDescent="0.2">
      <c r="C15" s="2">
        <v>487</v>
      </c>
      <c r="D15" s="2">
        <v>384</v>
      </c>
      <c r="E15" s="2">
        <v>185</v>
      </c>
      <c r="F15" s="2">
        <v>491</v>
      </c>
      <c r="G15" s="62"/>
      <c r="H15" s="2">
        <v>3</v>
      </c>
      <c r="I15" s="3">
        <f>QUARTILE(C12:F16,H15)</f>
        <v>750</v>
      </c>
      <c r="J15" s="8" t="s">
        <v>3246</v>
      </c>
    </row>
    <row r="16" spans="1:11" x14ac:dyDescent="0.2">
      <c r="C16" s="2">
        <v>140</v>
      </c>
      <c r="D16" s="2">
        <v>607</v>
      </c>
      <c r="E16" s="2">
        <v>894</v>
      </c>
      <c r="F16" s="2">
        <v>182</v>
      </c>
      <c r="G16" s="469"/>
      <c r="H16" s="2">
        <v>4</v>
      </c>
      <c r="I16" s="3">
        <f>QUARTILE(C12:F16,H16)</f>
        <v>993</v>
      </c>
      <c r="J16" s="8" t="s">
        <v>3247</v>
      </c>
    </row>
    <row r="18" spans="2:11" ht="13.5" thickBot="1" x14ac:dyDescent="0.25">
      <c r="B18" s="9" t="s">
        <v>39</v>
      </c>
      <c r="C18" s="9"/>
      <c r="D18" s="9"/>
      <c r="E18" s="9"/>
      <c r="F18" s="9"/>
      <c r="G18" s="9"/>
      <c r="H18" s="9"/>
      <c r="I18" s="9"/>
      <c r="J18" s="9"/>
      <c r="K18" s="9"/>
    </row>
    <row r="19" spans="2:11" x14ac:dyDescent="0.2">
      <c r="B19" t="s">
        <v>3248</v>
      </c>
    </row>
    <row r="20" spans="2:11" x14ac:dyDescent="0.2">
      <c r="B20" t="s">
        <v>3249</v>
      </c>
    </row>
    <row r="21" spans="2:11" x14ac:dyDescent="0.2">
      <c r="B21" t="s">
        <v>3250</v>
      </c>
    </row>
    <row r="22" spans="2:11" x14ac:dyDescent="0.2">
      <c r="B22" t="s">
        <v>3251</v>
      </c>
    </row>
    <row r="24" spans="2:11" ht="13.5" thickBot="1" x14ac:dyDescent="0.25">
      <c r="B24" s="9" t="s">
        <v>43</v>
      </c>
      <c r="C24" s="9"/>
      <c r="D24" s="9"/>
      <c r="E24" s="9"/>
      <c r="F24" s="9"/>
      <c r="G24" s="9"/>
      <c r="H24" s="9"/>
      <c r="I24" s="9"/>
      <c r="J24" s="9"/>
      <c r="K24" s="9"/>
    </row>
    <row r="25" spans="2:11" x14ac:dyDescent="0.2">
      <c r="B25" s="10" t="s">
        <v>3252</v>
      </c>
    </row>
    <row r="26" spans="2:11" x14ac:dyDescent="0.2">
      <c r="B26" t="s">
        <v>3253</v>
      </c>
    </row>
    <row r="28" spans="2:11" ht="13.5" thickBot="1" x14ac:dyDescent="0.25">
      <c r="B28" s="9" t="s">
        <v>45</v>
      </c>
      <c r="C28" s="9"/>
      <c r="D28" s="9"/>
      <c r="E28" s="9"/>
      <c r="F28" s="9"/>
      <c r="G28" s="9"/>
      <c r="H28" s="9"/>
      <c r="I28" s="9"/>
      <c r="J28" s="9"/>
      <c r="K28" s="9"/>
    </row>
    <row r="29" spans="2:11" x14ac:dyDescent="0.2">
      <c r="B29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0049" r:id="rId4" name="Button 1">
              <controlPr defaultSize="0" print="0" autoFill="0" autoLine="0" autoPict="0">
                <anchor>
                  <from>
                    <xdr:col>10</xdr:col>
                    <xdr:colOff>47625</xdr:colOff>
                    <xdr:row>0</xdr:row>
                    <xdr:rowOff>38100</xdr:rowOff>
                  </from>
                  <to>
                    <xdr:col>10</xdr:col>
                    <xdr:colOff>514350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50" r:id="rId5" name="Button 2">
              <controlPr defaultSize="0" print="0" autoFill="0" autoLine="0" autoPict="0">
                <anchor>
                  <from>
                    <xdr:col>10</xdr:col>
                    <xdr:colOff>581025</xdr:colOff>
                    <xdr:row>0</xdr:row>
                    <xdr:rowOff>38100</xdr:rowOff>
                  </from>
                  <to>
                    <xdr:col>10</xdr:col>
                    <xdr:colOff>781050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51" r:id="rId6" name="Button 3">
              <controlPr defaultSize="0" print="0" autoFill="0" autoLine="0" autoPict="0">
                <anchor>
                  <from>
                    <xdr:col>9</xdr:col>
                    <xdr:colOff>381000</xdr:colOff>
                    <xdr:row>0</xdr:row>
                    <xdr:rowOff>38100</xdr:rowOff>
                  </from>
                  <to>
                    <xdr:col>9</xdr:col>
                    <xdr:colOff>590550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15">
    <pageSetUpPr fitToPage="1"/>
  </sheetPr>
  <dimension ref="A1:G43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0.85546875" customWidth="1"/>
    <col min="6" max="7" width="20.140625" customWidth="1"/>
  </cols>
  <sheetData>
    <row r="1" spans="1:7" ht="18.75" thickBot="1" x14ac:dyDescent="0.3">
      <c r="A1" s="470" t="s">
        <v>3254</v>
      </c>
      <c r="B1" s="1"/>
      <c r="C1" s="1"/>
      <c r="D1" s="1"/>
      <c r="E1" s="1"/>
      <c r="F1" s="1"/>
      <c r="G1" s="1"/>
    </row>
    <row r="2" spans="1:7" ht="13.5" thickTop="1" x14ac:dyDescent="0.2"/>
    <row r="3" spans="1:7" x14ac:dyDescent="0.2">
      <c r="C3" s="5" t="s">
        <v>467</v>
      </c>
      <c r="D3" s="5" t="s">
        <v>2878</v>
      </c>
      <c r="E3" s="5" t="s">
        <v>549</v>
      </c>
    </row>
    <row r="4" spans="1:7" x14ac:dyDescent="0.2">
      <c r="C4" s="2">
        <v>12</v>
      </c>
      <c r="D4" s="2">
        <v>5</v>
      </c>
      <c r="E4" s="3">
        <f>QUOTIENT(C4,D4)</f>
        <v>2</v>
      </c>
      <c r="F4" s="8" t="s">
        <v>3255</v>
      </c>
    </row>
    <row r="5" spans="1:7" x14ac:dyDescent="0.2">
      <c r="C5" s="2">
        <v>20</v>
      </c>
      <c r="D5" s="2">
        <v>3</v>
      </c>
      <c r="E5" s="3">
        <f>QUOTIENT(C5,D5)</f>
        <v>6</v>
      </c>
      <c r="F5" s="8" t="s">
        <v>3256</v>
      </c>
    </row>
    <row r="6" spans="1:7" x14ac:dyDescent="0.2">
      <c r="C6" s="2">
        <v>46</v>
      </c>
      <c r="D6" s="2">
        <v>15</v>
      </c>
      <c r="E6" s="3">
        <f>QUOTIENT(C6,D6)</f>
        <v>3</v>
      </c>
      <c r="F6" s="8" t="s">
        <v>3257</v>
      </c>
    </row>
    <row r="8" spans="1:7" ht="13.5" thickBot="1" x14ac:dyDescent="0.25">
      <c r="B8" s="9" t="s">
        <v>39</v>
      </c>
      <c r="C8" s="9"/>
      <c r="D8" s="9"/>
      <c r="E8" s="9"/>
      <c r="F8" s="9"/>
      <c r="G8" s="9"/>
    </row>
    <row r="9" spans="1:7" x14ac:dyDescent="0.2">
      <c r="B9" t="s">
        <v>3258</v>
      </c>
    </row>
    <row r="10" spans="1:7" x14ac:dyDescent="0.2">
      <c r="B10" t="s">
        <v>3259</v>
      </c>
    </row>
    <row r="12" spans="1:7" ht="13.5" thickBot="1" x14ac:dyDescent="0.25">
      <c r="B12" s="9" t="s">
        <v>43</v>
      </c>
      <c r="C12" s="9"/>
      <c r="D12" s="9"/>
      <c r="E12" s="9"/>
      <c r="F12" s="9"/>
      <c r="G12" s="9"/>
    </row>
    <row r="13" spans="1:7" x14ac:dyDescent="0.2">
      <c r="B13" s="10" t="s">
        <v>3260</v>
      </c>
    </row>
    <row r="15" spans="1:7" ht="13.5" thickBot="1" x14ac:dyDescent="0.25">
      <c r="B15" s="9" t="s">
        <v>45</v>
      </c>
      <c r="C15" s="9"/>
      <c r="D15" s="9"/>
      <c r="E15" s="9"/>
      <c r="F15" s="9"/>
      <c r="G15" s="9"/>
    </row>
    <row r="16" spans="1:7" x14ac:dyDescent="0.2">
      <c r="B16" t="s">
        <v>46</v>
      </c>
    </row>
    <row r="18" spans="2:7" ht="13.5" thickBot="1" x14ac:dyDescent="0.25">
      <c r="B18" s="9" t="s">
        <v>85</v>
      </c>
      <c r="C18" s="9"/>
      <c r="D18" s="9"/>
      <c r="E18" s="9"/>
      <c r="F18" s="9"/>
      <c r="G18" s="9"/>
    </row>
    <row r="19" spans="2:7" x14ac:dyDescent="0.2">
      <c r="B19" t="s">
        <v>3261</v>
      </c>
    </row>
    <row r="20" spans="2:7" x14ac:dyDescent="0.2">
      <c r="B20" t="s">
        <v>3262</v>
      </c>
    </row>
    <row r="21" spans="2:7" x14ac:dyDescent="0.2">
      <c r="B21" t="s">
        <v>3263</v>
      </c>
    </row>
    <row r="23" spans="2:7" x14ac:dyDescent="0.2">
      <c r="C23" t="s">
        <v>3264</v>
      </c>
    </row>
    <row r="24" spans="2:7" x14ac:dyDescent="0.2">
      <c r="C24" t="s">
        <v>3265</v>
      </c>
    </row>
    <row r="26" spans="2:7" x14ac:dyDescent="0.2">
      <c r="C26" t="s">
        <v>229</v>
      </c>
    </row>
    <row r="27" spans="2:7" ht="25.5" x14ac:dyDescent="0.2">
      <c r="C27" s="5" t="s">
        <v>88</v>
      </c>
      <c r="D27" s="21" t="s">
        <v>3266</v>
      </c>
      <c r="E27" s="21" t="s">
        <v>3267</v>
      </c>
      <c r="F27" s="5" t="s">
        <v>3268</v>
      </c>
    </row>
    <row r="28" spans="2:7" x14ac:dyDescent="0.2">
      <c r="C28" s="2" t="s">
        <v>3269</v>
      </c>
      <c r="D28" s="2">
        <v>126</v>
      </c>
      <c r="E28" s="2">
        <v>12</v>
      </c>
      <c r="F28" s="3">
        <f>D28/E28</f>
        <v>10.5</v>
      </c>
      <c r="G28" s="8" t="s">
        <v>3270</v>
      </c>
    </row>
    <row r="29" spans="2:7" x14ac:dyDescent="0.2">
      <c r="C29" s="2" t="s">
        <v>3271</v>
      </c>
      <c r="D29" s="2">
        <v>200</v>
      </c>
      <c r="E29" s="2">
        <v>8</v>
      </c>
      <c r="F29" s="3">
        <f>D29/E29</f>
        <v>25</v>
      </c>
    </row>
    <row r="30" spans="2:7" x14ac:dyDescent="0.2">
      <c r="C30" s="2" t="s">
        <v>3272</v>
      </c>
      <c r="D30" s="2">
        <v>15</v>
      </c>
      <c r="E30" s="2">
        <v>4</v>
      </c>
      <c r="F30" s="3">
        <f>D30/E30</f>
        <v>3.75</v>
      </c>
    </row>
    <row r="31" spans="2:7" x14ac:dyDescent="0.2">
      <c r="C31" s="2" t="s">
        <v>3273</v>
      </c>
      <c r="D31" s="2">
        <v>250</v>
      </c>
      <c r="E31" s="2">
        <v>20</v>
      </c>
      <c r="F31" s="3">
        <f>D31/E31</f>
        <v>12.5</v>
      </c>
    </row>
    <row r="32" spans="2:7" x14ac:dyDescent="0.2">
      <c r="F32" s="4"/>
    </row>
    <row r="34" spans="3:7" x14ac:dyDescent="0.2">
      <c r="C34" t="s">
        <v>3274</v>
      </c>
    </row>
    <row r="35" spans="3:7" x14ac:dyDescent="0.2">
      <c r="C35" t="s">
        <v>3275</v>
      </c>
    </row>
    <row r="37" spans="3:7" x14ac:dyDescent="0.2">
      <c r="C37" t="s">
        <v>924</v>
      </c>
    </row>
    <row r="38" spans="3:7" ht="25.5" x14ac:dyDescent="0.2">
      <c r="C38" s="5" t="s">
        <v>88</v>
      </c>
      <c r="D38" s="21" t="s">
        <v>3266</v>
      </c>
      <c r="E38" s="21" t="s">
        <v>3267</v>
      </c>
      <c r="F38" s="5" t="s">
        <v>3268</v>
      </c>
    </row>
    <row r="39" spans="3:7" x14ac:dyDescent="0.2">
      <c r="C39" s="2" t="s">
        <v>3269</v>
      </c>
      <c r="D39" s="2">
        <v>126</v>
      </c>
      <c r="E39" s="2">
        <v>12</v>
      </c>
      <c r="F39" s="3">
        <f>QUOTIENT(D39,E39)</f>
        <v>10</v>
      </c>
      <c r="G39" s="8" t="s">
        <v>3276</v>
      </c>
    </row>
    <row r="40" spans="3:7" x14ac:dyDescent="0.2">
      <c r="C40" s="2" t="s">
        <v>3271</v>
      </c>
      <c r="D40" s="2">
        <v>200</v>
      </c>
      <c r="E40" s="2">
        <v>8</v>
      </c>
      <c r="F40" s="3">
        <f>QUOTIENT(D40,E40)</f>
        <v>25</v>
      </c>
    </row>
    <row r="41" spans="3:7" x14ac:dyDescent="0.2">
      <c r="C41" s="2" t="s">
        <v>3272</v>
      </c>
      <c r="D41" s="2">
        <v>15</v>
      </c>
      <c r="E41" s="2">
        <v>6</v>
      </c>
      <c r="F41" s="3">
        <f>QUOTIENT(D41,E41)</f>
        <v>2</v>
      </c>
    </row>
    <row r="42" spans="3:7" x14ac:dyDescent="0.2">
      <c r="C42" s="2" t="s">
        <v>3273</v>
      </c>
      <c r="D42" s="2">
        <v>250</v>
      </c>
      <c r="E42" s="2">
        <v>20</v>
      </c>
      <c r="F42" s="3">
        <f>QUOTIENT(D42,E42)</f>
        <v>12</v>
      </c>
    </row>
    <row r="43" spans="3:7" x14ac:dyDescent="0.2">
      <c r="F43" s="4"/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1073" r:id="rId4" name="Button 1">
              <controlPr defaultSize="0" print="0" autoFill="0" autoLine="0" autoPict="0">
                <anchor>
                  <from>
                    <xdr:col>6</xdr:col>
                    <xdr:colOff>685800</xdr:colOff>
                    <xdr:row>0</xdr:row>
                    <xdr:rowOff>38100</xdr:rowOff>
                  </from>
                  <to>
                    <xdr:col>6</xdr:col>
                    <xdr:colOff>1152525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74" r:id="rId5" name="Button 2">
              <controlPr defaultSize="0" print="0" autoFill="0" autoLine="0" autoPict="0">
                <anchor>
                  <from>
                    <xdr:col>6</xdr:col>
                    <xdr:colOff>1219200</xdr:colOff>
                    <xdr:row>0</xdr:row>
                    <xdr:rowOff>38100</xdr:rowOff>
                  </from>
                  <to>
                    <xdr:col>7</xdr:col>
                    <xdr:colOff>85725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75" r:id="rId6" name="Button 3">
              <controlPr defaultSize="0" print="0" autoFill="0" autoLine="0" autoPict="0">
                <anchor>
                  <from>
                    <xdr:col>6</xdr:col>
                    <xdr:colOff>419100</xdr:colOff>
                    <xdr:row>0</xdr:row>
                    <xdr:rowOff>38100</xdr:rowOff>
                  </from>
                  <to>
                    <xdr:col>6</xdr:col>
                    <xdr:colOff>619125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16">
    <pageSetUpPr fitToPage="1"/>
  </sheetPr>
  <dimension ref="A1:I84"/>
  <sheetViews>
    <sheetView showGridLines="0" workbookViewId="0">
      <pane ySplit="1" topLeftCell="A26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1.85546875" style="250" customWidth="1"/>
    <col min="7" max="7" width="12" customWidth="1"/>
    <col min="9" max="9" width="11.140625" customWidth="1"/>
  </cols>
  <sheetData>
    <row r="1" spans="1:9" ht="18.75" thickBot="1" x14ac:dyDescent="0.3">
      <c r="A1" s="1" t="s">
        <v>3277</v>
      </c>
      <c r="B1" s="1"/>
      <c r="C1" s="47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191" t="s">
        <v>3278</v>
      </c>
      <c r="D3" s="24"/>
      <c r="E3" s="24"/>
      <c r="F3" s="24"/>
      <c r="G3" s="25"/>
    </row>
    <row r="4" spans="1:9" x14ac:dyDescent="0.2">
      <c r="C4"/>
      <c r="G4" s="3">
        <f ca="1">RAND()</f>
        <v>0.99676927859840381</v>
      </c>
      <c r="H4" s="8" t="s">
        <v>3279</v>
      </c>
    </row>
    <row r="5" spans="1:9" x14ac:dyDescent="0.2">
      <c r="G5" s="4"/>
    </row>
    <row r="6" spans="1:9" x14ac:dyDescent="0.2">
      <c r="C6" s="191" t="s">
        <v>3280</v>
      </c>
      <c r="D6" s="24"/>
      <c r="E6" s="24"/>
      <c r="F6" s="24"/>
      <c r="G6" s="109"/>
    </row>
    <row r="7" spans="1:9" x14ac:dyDescent="0.2">
      <c r="C7"/>
      <c r="G7" s="3">
        <f ca="1">RAND()*10</f>
        <v>3.067149397806106</v>
      </c>
      <c r="H7" s="8" t="s">
        <v>3281</v>
      </c>
    </row>
    <row r="8" spans="1:9" x14ac:dyDescent="0.2">
      <c r="G8" s="4"/>
    </row>
    <row r="9" spans="1:9" x14ac:dyDescent="0.2">
      <c r="C9" s="191" t="s">
        <v>3282</v>
      </c>
      <c r="D9" s="24"/>
      <c r="E9" s="24"/>
      <c r="F9" s="24"/>
      <c r="G9" s="109"/>
    </row>
    <row r="10" spans="1:9" x14ac:dyDescent="0.2">
      <c r="C10"/>
      <c r="G10" s="3">
        <f ca="1">RAND()*(10-5)+5</f>
        <v>9.2644425354030773</v>
      </c>
      <c r="H10" s="8" t="s">
        <v>3283</v>
      </c>
    </row>
    <row r="12" spans="1:9" ht="13.5" thickBot="1" x14ac:dyDescent="0.25">
      <c r="B12" s="9" t="s">
        <v>39</v>
      </c>
      <c r="C12" s="251"/>
      <c r="D12" s="9"/>
      <c r="E12" s="9"/>
      <c r="F12" s="9"/>
      <c r="G12" s="9"/>
      <c r="H12" s="9"/>
      <c r="I12" s="9"/>
    </row>
    <row r="13" spans="1:9" x14ac:dyDescent="0.2">
      <c r="B13" t="s">
        <v>3284</v>
      </c>
    </row>
    <row r="14" spans="1:9" x14ac:dyDescent="0.2">
      <c r="B14" t="s">
        <v>3285</v>
      </c>
    </row>
    <row r="16" spans="1:9" ht="13.5" thickBot="1" x14ac:dyDescent="0.25">
      <c r="B16" s="9" t="s">
        <v>43</v>
      </c>
      <c r="C16" s="251"/>
      <c r="D16" s="9"/>
      <c r="E16" s="9"/>
      <c r="F16" s="9"/>
      <c r="G16" s="9"/>
      <c r="H16" s="9"/>
      <c r="I16" s="9"/>
    </row>
    <row r="17" spans="2:9" x14ac:dyDescent="0.2">
      <c r="B17" s="10" t="s">
        <v>3286</v>
      </c>
    </row>
    <row r="19" spans="2:9" ht="13.5" thickBot="1" x14ac:dyDescent="0.25">
      <c r="B19" s="9" t="s">
        <v>45</v>
      </c>
      <c r="C19" s="251"/>
      <c r="D19" s="9"/>
      <c r="E19" s="9"/>
      <c r="F19" s="9"/>
      <c r="G19" s="9"/>
      <c r="H19" s="9"/>
      <c r="I19" s="9"/>
    </row>
    <row r="20" spans="2:9" x14ac:dyDescent="0.2">
      <c r="B20" t="s">
        <v>46</v>
      </c>
    </row>
    <row r="22" spans="2:9" ht="13.5" thickBot="1" x14ac:dyDescent="0.25">
      <c r="B22" s="9" t="s">
        <v>1590</v>
      </c>
      <c r="C22" s="251"/>
      <c r="D22" s="9"/>
      <c r="E22" s="9"/>
      <c r="F22" s="9"/>
      <c r="G22" s="9"/>
      <c r="H22" s="9"/>
      <c r="I22" s="9"/>
    </row>
    <row r="23" spans="2:9" x14ac:dyDescent="0.2">
      <c r="B23" t="s">
        <v>3287</v>
      </c>
    </row>
    <row r="24" spans="2:9" x14ac:dyDescent="0.2">
      <c r="B24" t="s">
        <v>3288</v>
      </c>
    </row>
    <row r="26" spans="2:9" x14ac:dyDescent="0.2">
      <c r="B26" t="s">
        <v>3289</v>
      </c>
    </row>
    <row r="27" spans="2:9" x14ac:dyDescent="0.2">
      <c r="B27" t="s">
        <v>3290</v>
      </c>
    </row>
    <row r="28" spans="2:9" x14ac:dyDescent="0.2">
      <c r="B28" t="s">
        <v>3291</v>
      </c>
    </row>
    <row r="30" spans="2:9" x14ac:dyDescent="0.2">
      <c r="B30" t="s">
        <v>3292</v>
      </c>
    </row>
    <row r="32" spans="2:9" ht="13.5" thickBot="1" x14ac:dyDescent="0.25">
      <c r="C32" s="52" t="s">
        <v>3293</v>
      </c>
      <c r="D32" s="52" t="s">
        <v>3294</v>
      </c>
      <c r="F32" s="52" t="s">
        <v>3295</v>
      </c>
      <c r="G32" s="52" t="s">
        <v>3294</v>
      </c>
    </row>
    <row r="33" spans="3:7" ht="13.5" thickTop="1" x14ac:dyDescent="0.2">
      <c r="C33" s="472" t="s">
        <v>3296</v>
      </c>
      <c r="D33" s="473">
        <f t="shared" ref="D33:D84" ca="1" si="0">RAND()</f>
        <v>0.43313425558996077</v>
      </c>
      <c r="F33" s="474">
        <v>29</v>
      </c>
      <c r="G33" s="475">
        <f t="shared" ref="G33:G81" ca="1" si="1">RAND()</f>
        <v>0.87569703766760199</v>
      </c>
    </row>
    <row r="34" spans="3:7" x14ac:dyDescent="0.2">
      <c r="C34" s="472" t="s">
        <v>3297</v>
      </c>
      <c r="D34" s="473">
        <f t="shared" ca="1" si="0"/>
        <v>0.47364259332787573</v>
      </c>
      <c r="F34" s="476">
        <v>34</v>
      </c>
      <c r="G34" s="473">
        <f t="shared" ca="1" si="1"/>
        <v>5.6676230012233986E-2</v>
      </c>
    </row>
    <row r="35" spans="3:7" x14ac:dyDescent="0.2">
      <c r="C35" s="472" t="s">
        <v>3298</v>
      </c>
      <c r="D35" s="473">
        <f t="shared" ca="1" si="0"/>
        <v>0.85568143124005702</v>
      </c>
      <c r="F35" s="476">
        <v>30</v>
      </c>
      <c r="G35" s="473">
        <f t="shared" ca="1" si="1"/>
        <v>0.97086802160205043</v>
      </c>
    </row>
    <row r="36" spans="3:7" x14ac:dyDescent="0.2">
      <c r="C36" s="472" t="s">
        <v>3299</v>
      </c>
      <c r="D36" s="473">
        <f t="shared" ca="1" si="0"/>
        <v>0.57374833582366769</v>
      </c>
      <c r="F36" s="476">
        <v>41</v>
      </c>
      <c r="G36" s="473">
        <f t="shared" ca="1" si="1"/>
        <v>0.96559381133095379</v>
      </c>
    </row>
    <row r="37" spans="3:7" x14ac:dyDescent="0.2">
      <c r="C37" s="472" t="s">
        <v>3300</v>
      </c>
      <c r="D37" s="473">
        <f t="shared" ca="1" si="0"/>
        <v>0.46920464053854971</v>
      </c>
      <c r="F37" s="476">
        <v>40</v>
      </c>
      <c r="G37" s="473">
        <f t="shared" ca="1" si="1"/>
        <v>0.88020827746778829</v>
      </c>
    </row>
    <row r="38" spans="3:7" ht="13.5" thickBot="1" x14ac:dyDescent="0.25">
      <c r="C38" s="472" t="s">
        <v>3301</v>
      </c>
      <c r="D38" s="473">
        <f t="shared" ca="1" si="0"/>
        <v>0.81536747596923376</v>
      </c>
      <c r="F38" s="477">
        <v>37</v>
      </c>
      <c r="G38" s="473">
        <f t="shared" ca="1" si="1"/>
        <v>0.1918374596291933</v>
      </c>
    </row>
    <row r="39" spans="3:7" ht="13.5" thickTop="1" x14ac:dyDescent="0.2">
      <c r="C39" s="472" t="s">
        <v>3302</v>
      </c>
      <c r="D39" s="473">
        <f t="shared" ca="1" si="0"/>
        <v>0.54948778649291397</v>
      </c>
      <c r="F39" s="478">
        <v>26</v>
      </c>
      <c r="G39" s="473">
        <f t="shared" ca="1" si="1"/>
        <v>5.058509533215283E-2</v>
      </c>
    </row>
    <row r="40" spans="3:7" x14ac:dyDescent="0.2">
      <c r="C40" s="472" t="s">
        <v>3303</v>
      </c>
      <c r="D40" s="473">
        <f t="shared" ca="1" si="0"/>
        <v>0.96574965405126056</v>
      </c>
      <c r="F40" s="472">
        <v>32</v>
      </c>
      <c r="G40" s="473">
        <f t="shared" ca="1" si="1"/>
        <v>0.95003629730965955</v>
      </c>
    </row>
    <row r="41" spans="3:7" x14ac:dyDescent="0.2">
      <c r="C41" s="472" t="s">
        <v>3304</v>
      </c>
      <c r="D41" s="473">
        <f t="shared" ca="1" si="0"/>
        <v>0.53030595879453679</v>
      </c>
      <c r="F41" s="472">
        <v>21</v>
      </c>
      <c r="G41" s="473">
        <f t="shared" ca="1" si="1"/>
        <v>9.0920118580670395E-2</v>
      </c>
    </row>
    <row r="42" spans="3:7" x14ac:dyDescent="0.2">
      <c r="C42" s="472" t="s">
        <v>3305</v>
      </c>
      <c r="D42" s="473">
        <f t="shared" ca="1" si="0"/>
        <v>1.8590336917311268E-3</v>
      </c>
      <c r="F42" s="472">
        <v>19</v>
      </c>
      <c r="G42" s="473">
        <f t="shared" ca="1" si="1"/>
        <v>0.37626131409128827</v>
      </c>
    </row>
    <row r="43" spans="3:7" x14ac:dyDescent="0.2">
      <c r="C43" s="472" t="s">
        <v>3306</v>
      </c>
      <c r="D43" s="473">
        <f t="shared" ca="1" si="0"/>
        <v>0.38106623904103298</v>
      </c>
      <c r="F43" s="472">
        <v>7</v>
      </c>
      <c r="G43" s="473">
        <f t="shared" ca="1" si="1"/>
        <v>0.22961774334460483</v>
      </c>
    </row>
    <row r="44" spans="3:7" x14ac:dyDescent="0.2">
      <c r="C44" s="472" t="s">
        <v>3307</v>
      </c>
      <c r="D44" s="473">
        <f t="shared" ca="1" si="0"/>
        <v>0.39901737884685062</v>
      </c>
      <c r="F44" s="472">
        <v>10</v>
      </c>
      <c r="G44" s="473">
        <f t="shared" ca="1" si="1"/>
        <v>0.59548567859303403</v>
      </c>
    </row>
    <row r="45" spans="3:7" x14ac:dyDescent="0.2">
      <c r="C45" s="472" t="s">
        <v>3308</v>
      </c>
      <c r="D45" s="473">
        <f t="shared" ca="1" si="0"/>
        <v>0.8649326364605332</v>
      </c>
      <c r="F45" s="472">
        <v>16</v>
      </c>
      <c r="G45" s="473">
        <f t="shared" ca="1" si="1"/>
        <v>0.87897880149064012</v>
      </c>
    </row>
    <row r="46" spans="3:7" x14ac:dyDescent="0.2">
      <c r="C46" s="472" t="s">
        <v>3309</v>
      </c>
      <c r="D46" s="473">
        <f t="shared" ca="1" si="0"/>
        <v>0.97886594478105515</v>
      </c>
      <c r="F46" s="472">
        <v>8</v>
      </c>
      <c r="G46" s="473">
        <f t="shared" ca="1" si="1"/>
        <v>0.69017893159774368</v>
      </c>
    </row>
    <row r="47" spans="3:7" x14ac:dyDescent="0.2">
      <c r="C47" s="472" t="s">
        <v>3310</v>
      </c>
      <c r="D47" s="473">
        <f t="shared" ca="1" si="0"/>
        <v>0.20640258161333003</v>
      </c>
      <c r="F47" s="472">
        <v>48</v>
      </c>
      <c r="G47" s="473">
        <f t="shared" ca="1" si="1"/>
        <v>0.35641180150728591</v>
      </c>
    </row>
    <row r="48" spans="3:7" x14ac:dyDescent="0.2">
      <c r="C48" s="472" t="s">
        <v>3311</v>
      </c>
      <c r="D48" s="473">
        <f t="shared" ca="1" si="0"/>
        <v>0.49238488588837337</v>
      </c>
      <c r="F48" s="472">
        <v>43</v>
      </c>
      <c r="G48" s="473">
        <f t="shared" ca="1" si="1"/>
        <v>0.75030712078556838</v>
      </c>
    </row>
    <row r="49" spans="3:7" x14ac:dyDescent="0.2">
      <c r="C49" s="472" t="s">
        <v>3312</v>
      </c>
      <c r="D49" s="473">
        <f t="shared" ca="1" si="0"/>
        <v>0.97604716467043462</v>
      </c>
      <c r="F49" s="472">
        <v>44</v>
      </c>
      <c r="G49" s="473">
        <f t="shared" ca="1" si="1"/>
        <v>0.80400937017766971</v>
      </c>
    </row>
    <row r="50" spans="3:7" x14ac:dyDescent="0.2">
      <c r="C50" s="472" t="s">
        <v>3313</v>
      </c>
      <c r="D50" s="473">
        <f t="shared" ca="1" si="0"/>
        <v>0.72382000177653583</v>
      </c>
      <c r="F50" s="472">
        <v>4</v>
      </c>
      <c r="G50" s="473">
        <f t="shared" ca="1" si="1"/>
        <v>7.9907285123137717E-2</v>
      </c>
    </row>
    <row r="51" spans="3:7" x14ac:dyDescent="0.2">
      <c r="C51" s="472" t="s">
        <v>3314</v>
      </c>
      <c r="D51" s="473">
        <f t="shared" ca="1" si="0"/>
        <v>0.14114603257685088</v>
      </c>
      <c r="F51" s="472">
        <v>3</v>
      </c>
      <c r="G51" s="473">
        <f t="shared" ca="1" si="1"/>
        <v>0.96275461365798709</v>
      </c>
    </row>
    <row r="52" spans="3:7" x14ac:dyDescent="0.2">
      <c r="C52" s="472" t="s">
        <v>3315</v>
      </c>
      <c r="D52" s="473">
        <f t="shared" ca="1" si="0"/>
        <v>0.82395655534168299</v>
      </c>
      <c r="F52" s="472">
        <v>45</v>
      </c>
      <c r="G52" s="473">
        <f t="shared" ca="1" si="1"/>
        <v>0.54046787383935124</v>
      </c>
    </row>
    <row r="53" spans="3:7" x14ac:dyDescent="0.2">
      <c r="C53" s="472" t="s">
        <v>3316</v>
      </c>
      <c r="D53" s="473">
        <f t="shared" ca="1" si="0"/>
        <v>0.56934991943277502</v>
      </c>
      <c r="F53" s="472">
        <v>47</v>
      </c>
      <c r="G53" s="473">
        <f t="shared" ca="1" si="1"/>
        <v>0.13426605155555671</v>
      </c>
    </row>
    <row r="54" spans="3:7" x14ac:dyDescent="0.2">
      <c r="C54" s="472" t="s">
        <v>3317</v>
      </c>
      <c r="D54" s="473">
        <f t="shared" ca="1" si="0"/>
        <v>0.25601213842501713</v>
      </c>
      <c r="F54" s="472">
        <v>49</v>
      </c>
      <c r="G54" s="473">
        <f t="shared" ca="1" si="1"/>
        <v>0.24423518933878074</v>
      </c>
    </row>
    <row r="55" spans="3:7" x14ac:dyDescent="0.2">
      <c r="C55" s="472" t="s">
        <v>3318</v>
      </c>
      <c r="D55" s="473">
        <f t="shared" ca="1" si="0"/>
        <v>0.89079646069054874</v>
      </c>
      <c r="F55" s="472">
        <v>35</v>
      </c>
      <c r="G55" s="473">
        <f t="shared" ca="1" si="1"/>
        <v>1.1817557900009934E-2</v>
      </c>
    </row>
    <row r="56" spans="3:7" x14ac:dyDescent="0.2">
      <c r="C56" s="472" t="s">
        <v>3319</v>
      </c>
      <c r="D56" s="473">
        <f t="shared" ca="1" si="0"/>
        <v>0.15108539467386306</v>
      </c>
      <c r="F56" s="472">
        <v>27</v>
      </c>
      <c r="G56" s="473">
        <f t="shared" ca="1" si="1"/>
        <v>0.12538272060157374</v>
      </c>
    </row>
    <row r="57" spans="3:7" x14ac:dyDescent="0.2">
      <c r="C57" s="472" t="s">
        <v>3320</v>
      </c>
      <c r="D57" s="473">
        <f t="shared" ca="1" si="0"/>
        <v>0.53983998428907121</v>
      </c>
      <c r="F57" s="472">
        <v>1</v>
      </c>
      <c r="G57" s="473">
        <f t="shared" ca="1" si="1"/>
        <v>0.90460121542429783</v>
      </c>
    </row>
    <row r="58" spans="3:7" x14ac:dyDescent="0.2">
      <c r="C58" s="472" t="s">
        <v>3321</v>
      </c>
      <c r="D58" s="473">
        <f t="shared" ca="1" si="0"/>
        <v>0.1175202505920433</v>
      </c>
      <c r="F58" s="472">
        <v>13</v>
      </c>
      <c r="G58" s="473">
        <f t="shared" ca="1" si="1"/>
        <v>0.44484196853854485</v>
      </c>
    </row>
    <row r="59" spans="3:7" x14ac:dyDescent="0.2">
      <c r="C59" s="472" t="s">
        <v>3322</v>
      </c>
      <c r="D59" s="473">
        <f t="shared" ca="1" si="0"/>
        <v>0.5268595799589042</v>
      </c>
      <c r="F59" s="472">
        <v>31</v>
      </c>
      <c r="G59" s="473">
        <f t="shared" ca="1" si="1"/>
        <v>0.42758281019341682</v>
      </c>
    </row>
    <row r="60" spans="3:7" x14ac:dyDescent="0.2">
      <c r="C60" s="472" t="s">
        <v>3323</v>
      </c>
      <c r="D60" s="473">
        <f t="shared" ca="1" si="0"/>
        <v>0.41633142890905317</v>
      </c>
      <c r="F60" s="472">
        <v>5</v>
      </c>
      <c r="G60" s="473">
        <f t="shared" ca="1" si="1"/>
        <v>0.72768701721445928</v>
      </c>
    </row>
    <row r="61" spans="3:7" x14ac:dyDescent="0.2">
      <c r="C61" s="472" t="s">
        <v>3324</v>
      </c>
      <c r="D61" s="473">
        <f t="shared" ca="1" si="0"/>
        <v>0.59373417713376719</v>
      </c>
      <c r="F61" s="472">
        <v>18</v>
      </c>
      <c r="G61" s="473">
        <f t="shared" ca="1" si="1"/>
        <v>6.7917811389334393E-2</v>
      </c>
    </row>
    <row r="62" spans="3:7" x14ac:dyDescent="0.2">
      <c r="C62" s="472" t="s">
        <v>3325</v>
      </c>
      <c r="D62" s="473">
        <f t="shared" ca="1" si="0"/>
        <v>6.709141479855163E-2</v>
      </c>
      <c r="F62" s="472">
        <v>39</v>
      </c>
      <c r="G62" s="473">
        <f t="shared" ca="1" si="1"/>
        <v>0.33307651415490525</v>
      </c>
    </row>
    <row r="63" spans="3:7" x14ac:dyDescent="0.2">
      <c r="C63" s="472" t="s">
        <v>3326</v>
      </c>
      <c r="D63" s="473">
        <f t="shared" ca="1" si="0"/>
        <v>0.50233760398420413</v>
      </c>
      <c r="F63" s="472">
        <v>23</v>
      </c>
      <c r="G63" s="473">
        <f t="shared" ca="1" si="1"/>
        <v>0.37999179320109666</v>
      </c>
    </row>
    <row r="64" spans="3:7" x14ac:dyDescent="0.2">
      <c r="C64" s="472" t="s">
        <v>3327</v>
      </c>
      <c r="D64" s="473">
        <f t="shared" ca="1" si="0"/>
        <v>0.37247676691266018</v>
      </c>
      <c r="F64" s="472">
        <v>12</v>
      </c>
      <c r="G64" s="473">
        <f t="shared" ca="1" si="1"/>
        <v>0.90714889881211003</v>
      </c>
    </row>
    <row r="65" spans="3:7" x14ac:dyDescent="0.2">
      <c r="C65" s="472" t="s">
        <v>3328</v>
      </c>
      <c r="D65" s="473">
        <f t="shared" ca="1" si="0"/>
        <v>3.9650237145581468E-2</v>
      </c>
      <c r="F65" s="472">
        <v>11</v>
      </c>
      <c r="G65" s="473">
        <f t="shared" ca="1" si="1"/>
        <v>0.72494955974069875</v>
      </c>
    </row>
    <row r="66" spans="3:7" x14ac:dyDescent="0.2">
      <c r="C66" s="472" t="s">
        <v>3329</v>
      </c>
      <c r="D66" s="473">
        <f t="shared" ca="1" si="0"/>
        <v>0.84625057900290013</v>
      </c>
      <c r="F66" s="472">
        <v>20</v>
      </c>
      <c r="G66" s="473">
        <f t="shared" ca="1" si="1"/>
        <v>0.80226869990073757</v>
      </c>
    </row>
    <row r="67" spans="3:7" x14ac:dyDescent="0.2">
      <c r="C67" s="472" t="s">
        <v>3330</v>
      </c>
      <c r="D67" s="473">
        <f t="shared" ca="1" si="0"/>
        <v>0.72762052968148661</v>
      </c>
      <c r="F67" s="472">
        <v>33</v>
      </c>
      <c r="G67" s="473">
        <f t="shared" ca="1" si="1"/>
        <v>0.43249736815672646</v>
      </c>
    </row>
    <row r="68" spans="3:7" x14ac:dyDescent="0.2">
      <c r="C68" s="472" t="s">
        <v>3331</v>
      </c>
      <c r="D68" s="473">
        <f t="shared" ca="1" si="0"/>
        <v>0.38671000768456754</v>
      </c>
      <c r="F68" s="472">
        <v>42</v>
      </c>
      <c r="G68" s="473">
        <f t="shared" ca="1" si="1"/>
        <v>0.58100595000708399</v>
      </c>
    </row>
    <row r="69" spans="3:7" x14ac:dyDescent="0.2">
      <c r="C69" s="472" t="s">
        <v>3332</v>
      </c>
      <c r="D69" s="473">
        <f t="shared" ca="1" si="0"/>
        <v>0.96234736336103477</v>
      </c>
      <c r="F69" s="472">
        <v>24</v>
      </c>
      <c r="G69" s="473">
        <f t="shared" ca="1" si="1"/>
        <v>0.65571932603358485</v>
      </c>
    </row>
    <row r="70" spans="3:7" x14ac:dyDescent="0.2">
      <c r="C70" s="472" t="s">
        <v>3333</v>
      </c>
      <c r="D70" s="473">
        <f t="shared" ca="1" si="0"/>
        <v>0.51152086279772124</v>
      </c>
      <c r="F70" s="472">
        <v>2</v>
      </c>
      <c r="G70" s="473">
        <f t="shared" ca="1" si="1"/>
        <v>1.26097374765064E-2</v>
      </c>
    </row>
    <row r="71" spans="3:7" x14ac:dyDescent="0.2">
      <c r="C71" s="472" t="s">
        <v>3334</v>
      </c>
      <c r="D71" s="473">
        <f t="shared" ca="1" si="0"/>
        <v>0.36897296410444158</v>
      </c>
      <c r="F71" s="472">
        <v>14</v>
      </c>
      <c r="G71" s="473">
        <f t="shared" ca="1" si="1"/>
        <v>0.32505745160655308</v>
      </c>
    </row>
    <row r="72" spans="3:7" x14ac:dyDescent="0.2">
      <c r="C72" s="472" t="s">
        <v>3335</v>
      </c>
      <c r="D72" s="473">
        <f t="shared" ca="1" si="0"/>
        <v>0.57189389950049963</v>
      </c>
      <c r="F72" s="472">
        <v>25</v>
      </c>
      <c r="G72" s="473">
        <f t="shared" ca="1" si="1"/>
        <v>0.88729753181776649</v>
      </c>
    </row>
    <row r="73" spans="3:7" x14ac:dyDescent="0.2">
      <c r="C73" s="472" t="s">
        <v>3336</v>
      </c>
      <c r="D73" s="473">
        <f t="shared" ca="1" si="0"/>
        <v>0.55911916078915624</v>
      </c>
      <c r="F73" s="472">
        <v>9</v>
      </c>
      <c r="G73" s="473">
        <f t="shared" ca="1" si="1"/>
        <v>0.61764505573552486</v>
      </c>
    </row>
    <row r="74" spans="3:7" x14ac:dyDescent="0.2">
      <c r="C74" s="472" t="s">
        <v>3337</v>
      </c>
      <c r="D74" s="473">
        <f t="shared" ca="1" si="0"/>
        <v>0.97488107479939567</v>
      </c>
      <c r="F74" s="472">
        <v>38</v>
      </c>
      <c r="G74" s="473">
        <f t="shared" ca="1" si="1"/>
        <v>0.54136441963694326</v>
      </c>
    </row>
    <row r="75" spans="3:7" x14ac:dyDescent="0.2">
      <c r="C75" s="472" t="s">
        <v>3338</v>
      </c>
      <c r="D75" s="473">
        <f t="shared" ca="1" si="0"/>
        <v>0.65564437761485472</v>
      </c>
      <c r="F75" s="472">
        <v>15</v>
      </c>
      <c r="G75" s="473">
        <f t="shared" ca="1" si="1"/>
        <v>0.81415995253881368</v>
      </c>
    </row>
    <row r="76" spans="3:7" x14ac:dyDescent="0.2">
      <c r="C76" s="472" t="s">
        <v>3339</v>
      </c>
      <c r="D76" s="473">
        <f t="shared" ca="1" si="0"/>
        <v>1.1842000770656336E-2</v>
      </c>
      <c r="F76" s="472">
        <v>28</v>
      </c>
      <c r="G76" s="473">
        <f t="shared" ca="1" si="1"/>
        <v>0.33495798859360781</v>
      </c>
    </row>
    <row r="77" spans="3:7" x14ac:dyDescent="0.2">
      <c r="C77" s="472" t="s">
        <v>3340</v>
      </c>
      <c r="D77" s="473">
        <f t="shared" ca="1" si="0"/>
        <v>0.66993684930045294</v>
      </c>
      <c r="F77" s="472">
        <v>17</v>
      </c>
      <c r="G77" s="473">
        <f t="shared" ca="1" si="1"/>
        <v>0.70624159518829355</v>
      </c>
    </row>
    <row r="78" spans="3:7" x14ac:dyDescent="0.2">
      <c r="C78" s="472" t="s">
        <v>3341</v>
      </c>
      <c r="D78" s="473">
        <f t="shared" ca="1" si="0"/>
        <v>0.34272266113599381</v>
      </c>
      <c r="F78" s="472">
        <v>6</v>
      </c>
      <c r="G78" s="473">
        <f t="shared" ca="1" si="1"/>
        <v>0.3309743344285051</v>
      </c>
    </row>
    <row r="79" spans="3:7" x14ac:dyDescent="0.2">
      <c r="C79" s="472" t="s">
        <v>3342</v>
      </c>
      <c r="D79" s="473">
        <f t="shared" ca="1" si="0"/>
        <v>0.87695290717096896</v>
      </c>
      <c r="F79" s="472">
        <v>22</v>
      </c>
      <c r="G79" s="473">
        <f t="shared" ca="1" si="1"/>
        <v>0.30794013517670338</v>
      </c>
    </row>
    <row r="80" spans="3:7" x14ac:dyDescent="0.2">
      <c r="C80" s="472" t="s">
        <v>3343</v>
      </c>
      <c r="D80" s="473">
        <f t="shared" ca="1" si="0"/>
        <v>0.71666016128723331</v>
      </c>
      <c r="F80" s="472">
        <v>46</v>
      </c>
      <c r="G80" s="473">
        <f t="shared" ca="1" si="1"/>
        <v>0.58232917152287456</v>
      </c>
    </row>
    <row r="81" spans="3:7" x14ac:dyDescent="0.2">
      <c r="C81" s="472" t="s">
        <v>3344</v>
      </c>
      <c r="D81" s="473">
        <f t="shared" ca="1" si="0"/>
        <v>0.87459969919570713</v>
      </c>
      <c r="F81" s="479">
        <v>36</v>
      </c>
      <c r="G81" s="480">
        <f t="shared" ca="1" si="1"/>
        <v>0.76857147801338799</v>
      </c>
    </row>
    <row r="82" spans="3:7" x14ac:dyDescent="0.2">
      <c r="C82" s="472" t="s">
        <v>3345</v>
      </c>
      <c r="D82" s="473">
        <f t="shared" ca="1" si="0"/>
        <v>0.36675853763126864</v>
      </c>
    </row>
    <row r="83" spans="3:7" x14ac:dyDescent="0.2">
      <c r="C83" s="472" t="s">
        <v>3346</v>
      </c>
      <c r="D83" s="473">
        <f t="shared" ca="1" si="0"/>
        <v>0.81806301712577256</v>
      </c>
    </row>
    <row r="84" spans="3:7" x14ac:dyDescent="0.2">
      <c r="C84" s="479" t="s">
        <v>3347</v>
      </c>
      <c r="D84" s="480">
        <f t="shared" ca="1" si="0"/>
        <v>3.5914118742617407E-2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2097" r:id="rId4" name="Button 1">
              <controlPr defaultSize="0" print="0" autoFill="0" autoLine="0" autoPict="0">
                <anchor>
                  <from>
                    <xdr:col>7</xdr:col>
                    <xdr:colOff>590550</xdr:colOff>
                    <xdr:row>0</xdr:row>
                    <xdr:rowOff>38100</xdr:rowOff>
                  </from>
                  <to>
                    <xdr:col>8</xdr:col>
                    <xdr:colOff>447675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98" r:id="rId5" name="Button 2">
              <controlPr defaultSize="0" print="0" autoFill="0" autoLine="0" autoPict="0">
                <anchor>
                  <from>
                    <xdr:col>8</xdr:col>
                    <xdr:colOff>514350</xdr:colOff>
                    <xdr:row>0</xdr:row>
                    <xdr:rowOff>38100</xdr:rowOff>
                  </from>
                  <to>
                    <xdr:col>8</xdr:col>
                    <xdr:colOff>714375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99" r:id="rId6" name="Button 3">
              <controlPr defaultSize="0" print="0" autoFill="0" autoLine="0" autoPict="0">
                <anchor>
                  <from>
                    <xdr:col>7</xdr:col>
                    <xdr:colOff>314325</xdr:colOff>
                    <xdr:row>0</xdr:row>
                    <xdr:rowOff>38100</xdr:rowOff>
                  </from>
                  <to>
                    <xdr:col>7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17">
    <pageSetUpPr fitToPage="1"/>
  </sheetPr>
  <dimension ref="A1:I36"/>
  <sheetViews>
    <sheetView showGridLines="0" workbookViewId="0">
      <pane ySplit="1" topLeftCell="A14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5" max="5" width="12.85546875" customWidth="1"/>
    <col min="8" max="8" width="11.28515625" customWidth="1"/>
    <col min="9" max="9" width="12.85546875" customWidth="1"/>
  </cols>
  <sheetData>
    <row r="1" spans="1:9" ht="18.75" thickBot="1" x14ac:dyDescent="0.3">
      <c r="A1" s="1" t="s">
        <v>3348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5" t="s">
        <v>3349</v>
      </c>
      <c r="D3" s="5" t="s">
        <v>3350</v>
      </c>
      <c r="E3" s="5" t="s">
        <v>3294</v>
      </c>
    </row>
    <row r="4" spans="1:9" x14ac:dyDescent="0.2">
      <c r="C4" s="2">
        <v>5</v>
      </c>
      <c r="D4" s="2">
        <v>10</v>
      </c>
      <c r="E4" s="3">
        <f ca="1">RANDBETWEEN(C4,D4)</f>
        <v>6</v>
      </c>
      <c r="F4" s="8" t="s">
        <v>3351</v>
      </c>
    </row>
    <row r="5" spans="1:9" x14ac:dyDescent="0.2">
      <c r="C5" s="2">
        <v>1</v>
      </c>
      <c r="D5" s="2">
        <v>49</v>
      </c>
      <c r="E5" s="3">
        <f ca="1">RANDBETWEEN(C5,D5)</f>
        <v>22</v>
      </c>
      <c r="F5" s="8" t="s">
        <v>3352</v>
      </c>
    </row>
    <row r="7" spans="1:9" ht="13.5" thickBot="1" x14ac:dyDescent="0.25">
      <c r="B7" s="9" t="s">
        <v>39</v>
      </c>
      <c r="C7" s="9"/>
      <c r="D7" s="9"/>
      <c r="E7" s="9"/>
      <c r="F7" s="9"/>
      <c r="G7" s="9"/>
      <c r="H7" s="9"/>
      <c r="I7" s="9"/>
    </row>
    <row r="8" spans="1:9" x14ac:dyDescent="0.2">
      <c r="B8" t="s">
        <v>3353</v>
      </c>
    </row>
    <row r="9" spans="1:9" x14ac:dyDescent="0.2">
      <c r="B9" t="s">
        <v>3354</v>
      </c>
    </row>
    <row r="11" spans="1:9" ht="13.5" thickBot="1" x14ac:dyDescent="0.25">
      <c r="B11" s="9" t="s">
        <v>43</v>
      </c>
      <c r="C11" s="9"/>
      <c r="D11" s="9"/>
      <c r="E11" s="9"/>
      <c r="F11" s="9"/>
      <c r="G11" s="9"/>
      <c r="H11" s="9"/>
      <c r="I11" s="9"/>
    </row>
    <row r="12" spans="1:9" x14ac:dyDescent="0.2">
      <c r="B12" s="10" t="s">
        <v>3355</v>
      </c>
    </row>
    <row r="14" spans="1:9" ht="13.5" thickBot="1" x14ac:dyDescent="0.25">
      <c r="B14" s="9" t="s">
        <v>45</v>
      </c>
      <c r="C14" s="9"/>
      <c r="D14" s="9"/>
      <c r="E14" s="9"/>
      <c r="F14" s="9"/>
      <c r="G14" s="9"/>
      <c r="H14" s="9"/>
      <c r="I14" s="9"/>
    </row>
    <row r="15" spans="1:9" x14ac:dyDescent="0.2">
      <c r="B15" t="s">
        <v>46</v>
      </c>
    </row>
    <row r="17" spans="2:9" ht="13.5" thickBot="1" x14ac:dyDescent="0.25">
      <c r="B17" s="9" t="s">
        <v>85</v>
      </c>
      <c r="C17" s="9"/>
      <c r="D17" s="9"/>
      <c r="E17" s="9"/>
      <c r="F17" s="9"/>
      <c r="G17" s="9"/>
      <c r="H17" s="9"/>
      <c r="I17" s="9"/>
    </row>
    <row r="18" spans="2:9" x14ac:dyDescent="0.2">
      <c r="B18" t="s">
        <v>3356</v>
      </c>
    </row>
    <row r="19" spans="2:9" x14ac:dyDescent="0.2">
      <c r="B19" t="s">
        <v>3357</v>
      </c>
    </row>
    <row r="20" spans="2:9" x14ac:dyDescent="0.2">
      <c r="B20" t="s">
        <v>3358</v>
      </c>
    </row>
    <row r="21" spans="2:9" x14ac:dyDescent="0.2">
      <c r="B21" t="s">
        <v>3359</v>
      </c>
    </row>
    <row r="23" spans="2:9" ht="25.5" x14ac:dyDescent="0.2">
      <c r="C23" s="13" t="s">
        <v>3360</v>
      </c>
      <c r="D23" s="15"/>
      <c r="E23" s="21" t="s">
        <v>3361</v>
      </c>
    </row>
    <row r="24" spans="2:9" x14ac:dyDescent="0.2">
      <c r="C24" s="2">
        <v>1</v>
      </c>
      <c r="D24" s="2">
        <v>49</v>
      </c>
      <c r="E24" s="3">
        <f t="shared" ref="E24:E30" ca="1" si="0">RANDBETWEEN($C$24,$D$24)</f>
        <v>8</v>
      </c>
      <c r="F24" s="8" t="s">
        <v>3362</v>
      </c>
      <c r="I24" t="s">
        <v>3363</v>
      </c>
    </row>
    <row r="25" spans="2:9" x14ac:dyDescent="0.2">
      <c r="E25" s="3">
        <f t="shared" ca="1" si="0"/>
        <v>48</v>
      </c>
      <c r="F25" s="8" t="s">
        <v>3362</v>
      </c>
      <c r="I25" t="s">
        <v>3364</v>
      </c>
    </row>
    <row r="26" spans="2:9" x14ac:dyDescent="0.2">
      <c r="C26" s="105" t="s">
        <v>3365</v>
      </c>
      <c r="D26" s="105"/>
      <c r="E26" s="3">
        <f t="shared" ca="1" si="0"/>
        <v>16</v>
      </c>
      <c r="F26" s="8" t="s">
        <v>3362</v>
      </c>
      <c r="I26" t="s">
        <v>3366</v>
      </c>
    </row>
    <row r="27" spans="2:9" x14ac:dyDescent="0.2">
      <c r="C27" s="105" t="s">
        <v>3367</v>
      </c>
      <c r="D27" s="105"/>
      <c r="E27" s="3">
        <f t="shared" ca="1" si="0"/>
        <v>41</v>
      </c>
      <c r="F27" s="8" t="s">
        <v>3362</v>
      </c>
      <c r="I27" t="s">
        <v>3368</v>
      </c>
    </row>
    <row r="28" spans="2:9" x14ac:dyDescent="0.2">
      <c r="E28" s="3">
        <f t="shared" ca="1" si="0"/>
        <v>8</v>
      </c>
      <c r="F28" s="8" t="s">
        <v>3362</v>
      </c>
      <c r="I28" t="s">
        <v>3369</v>
      </c>
    </row>
    <row r="29" spans="2:9" x14ac:dyDescent="0.2">
      <c r="E29" s="3">
        <f t="shared" ca="1" si="0"/>
        <v>32</v>
      </c>
      <c r="F29" s="8" t="s">
        <v>3362</v>
      </c>
      <c r="I29" t="s">
        <v>3370</v>
      </c>
    </row>
    <row r="30" spans="2:9" x14ac:dyDescent="0.2">
      <c r="E30" s="3">
        <f t="shared" ca="1" si="0"/>
        <v>3</v>
      </c>
      <c r="F30" s="8" t="s">
        <v>3362</v>
      </c>
      <c r="I30" t="s">
        <v>3371</v>
      </c>
    </row>
    <row r="33" spans="4:6" x14ac:dyDescent="0.2">
      <c r="D33" s="481"/>
      <c r="E33" s="314" t="str">
        <f t="array" aca="1" ref="E33" ca="1">IF(SUM(1/COUNTIF(E24:E30,E24:E30))&lt;&gt;7,"Duplicates! Spin again","All OK")</f>
        <v>Duplicates! Spin again</v>
      </c>
      <c r="F33" s="482"/>
    </row>
    <row r="34" spans="4:6" x14ac:dyDescent="0.2">
      <c r="E34" s="19" t="s">
        <v>3372</v>
      </c>
    </row>
    <row r="35" spans="4:6" x14ac:dyDescent="0.2">
      <c r="E35" s="4" t="s">
        <v>3373</v>
      </c>
    </row>
    <row r="36" spans="4:6" x14ac:dyDescent="0.2">
      <c r="E36" s="4" t="s">
        <v>3374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21" r:id="rId4" name="Button 1">
              <controlPr defaultSize="0" print="0" autoFill="0" autoLine="0" autoPict="0">
                <anchor>
                  <from>
                    <xdr:col>7</xdr:col>
                    <xdr:colOff>723900</xdr:colOff>
                    <xdr:row>0</xdr:row>
                    <xdr:rowOff>38100</xdr:rowOff>
                  </from>
                  <to>
                    <xdr:col>8</xdr:col>
                    <xdr:colOff>438150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22" r:id="rId5" name="Button 2">
              <controlPr defaultSize="0" print="0" autoFill="0" autoLine="0" autoPict="0">
                <anchor>
                  <from>
                    <xdr:col>8</xdr:col>
                    <xdr:colOff>504825</xdr:colOff>
                    <xdr:row>0</xdr:row>
                    <xdr:rowOff>38100</xdr:rowOff>
                  </from>
                  <to>
                    <xdr:col>8</xdr:col>
                    <xdr:colOff>704850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23" r:id="rId6" name="Button 3">
              <controlPr defaultSize="0" print="0" autoFill="0" autoLine="0" autoPict="0">
                <anchor>
                  <from>
                    <xdr:col>7</xdr:col>
                    <xdr:colOff>457200</xdr:colOff>
                    <xdr:row>0</xdr:row>
                    <xdr:rowOff>38100</xdr:rowOff>
                  </from>
                  <to>
                    <xdr:col>7</xdr:col>
                    <xdr:colOff>657225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18">
    <pageSetUpPr fitToPage="1"/>
  </sheetPr>
  <dimension ref="A1:I58"/>
  <sheetViews>
    <sheetView showGridLines="0" workbookViewId="0">
      <pane ySplit="1" topLeftCell="A20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4" max="4" width="15" customWidth="1"/>
    <col min="9" max="9" width="11.85546875" customWidth="1"/>
  </cols>
  <sheetData>
    <row r="1" spans="1:9" ht="18.75" thickBot="1" x14ac:dyDescent="0.3">
      <c r="A1" s="1" t="s">
        <v>3375</v>
      </c>
      <c r="B1" s="1"/>
      <c r="C1" s="1"/>
      <c r="D1" s="1"/>
      <c r="E1" s="1"/>
      <c r="F1" s="58"/>
      <c r="G1" s="1"/>
      <c r="H1" s="1"/>
      <c r="I1" s="1"/>
    </row>
    <row r="2" spans="1:9" ht="13.5" thickTop="1" x14ac:dyDescent="0.2"/>
    <row r="3" spans="1:9" ht="38.25" x14ac:dyDescent="0.2">
      <c r="C3" s="59" t="s">
        <v>356</v>
      </c>
      <c r="D3" s="60" t="s">
        <v>3376</v>
      </c>
    </row>
    <row r="4" spans="1:9" x14ac:dyDescent="0.2">
      <c r="C4" s="2">
        <v>7</v>
      </c>
      <c r="D4" s="3">
        <f>RANK(C4,$C$4:$C$8)</f>
        <v>4</v>
      </c>
      <c r="E4" s="8" t="s">
        <v>3377</v>
      </c>
    </row>
    <row r="5" spans="1:9" x14ac:dyDescent="0.2">
      <c r="C5" s="2">
        <v>4</v>
      </c>
      <c r="D5" s="3">
        <f>RANK(C5,$C$4:$C$8)</f>
        <v>5</v>
      </c>
      <c r="E5" s="8" t="s">
        <v>3378</v>
      </c>
    </row>
    <row r="6" spans="1:9" x14ac:dyDescent="0.2">
      <c r="C6" s="2">
        <v>25</v>
      </c>
      <c r="D6" s="3">
        <f>RANK(C6,$C$4:$C$8)</f>
        <v>1</v>
      </c>
      <c r="E6" s="8" t="s">
        <v>3379</v>
      </c>
    </row>
    <row r="7" spans="1:9" x14ac:dyDescent="0.2">
      <c r="C7" s="2">
        <v>8</v>
      </c>
      <c r="D7" s="3">
        <f>RANK(C7,$C$4:$C$8)</f>
        <v>3</v>
      </c>
      <c r="E7" s="8" t="s">
        <v>3380</v>
      </c>
    </row>
    <row r="8" spans="1:9" x14ac:dyDescent="0.2">
      <c r="C8" s="2">
        <v>16</v>
      </c>
      <c r="D8" s="3">
        <f>RANK(C8,$C$4:$C$8)</f>
        <v>2</v>
      </c>
      <c r="E8" s="8" t="s">
        <v>3381</v>
      </c>
    </row>
    <row r="10" spans="1:9" ht="38.25" x14ac:dyDescent="0.2">
      <c r="C10" s="59" t="s">
        <v>356</v>
      </c>
      <c r="D10" s="60" t="s">
        <v>3382</v>
      </c>
    </row>
    <row r="11" spans="1:9" x14ac:dyDescent="0.2">
      <c r="C11" s="2">
        <v>7</v>
      </c>
      <c r="D11" s="3">
        <f>RANK(C11,$C$11:$C$15,1)</f>
        <v>2</v>
      </c>
      <c r="E11" s="8" t="s">
        <v>3383</v>
      </c>
    </row>
    <row r="12" spans="1:9" x14ac:dyDescent="0.2">
      <c r="C12" s="2">
        <v>4</v>
      </c>
      <c r="D12" s="3">
        <f>RANK(C12,$C$11:$C$15,1)</f>
        <v>1</v>
      </c>
      <c r="E12" s="8" t="s">
        <v>3384</v>
      </c>
    </row>
    <row r="13" spans="1:9" x14ac:dyDescent="0.2">
      <c r="C13" s="2">
        <v>25</v>
      </c>
      <c r="D13" s="3">
        <f>RANK(C13,$C$11:$C$15,1)</f>
        <v>5</v>
      </c>
      <c r="E13" s="8" t="s">
        <v>3385</v>
      </c>
    </row>
    <row r="14" spans="1:9" x14ac:dyDescent="0.2">
      <c r="C14" s="2">
        <v>8</v>
      </c>
      <c r="D14" s="3">
        <f>RANK(C14,$C$11:$C$15,1)</f>
        <v>3</v>
      </c>
      <c r="E14" s="8" t="s">
        <v>3386</v>
      </c>
    </row>
    <row r="15" spans="1:9" x14ac:dyDescent="0.2">
      <c r="C15" s="2">
        <v>16</v>
      </c>
      <c r="D15" s="3">
        <f>RANK(C15,$C$11:$C$15,1)</f>
        <v>4</v>
      </c>
      <c r="E15" s="8" t="s">
        <v>3387</v>
      </c>
    </row>
    <row r="17" spans="2:9" ht="38.25" x14ac:dyDescent="0.2">
      <c r="C17" s="59" t="s">
        <v>356</v>
      </c>
      <c r="D17" s="60" t="s">
        <v>3376</v>
      </c>
    </row>
    <row r="18" spans="2:9" x14ac:dyDescent="0.2">
      <c r="C18" s="2">
        <v>10</v>
      </c>
      <c r="D18" s="3">
        <f>RANK(C18,$C$18:$C$22)</f>
        <v>5</v>
      </c>
      <c r="E18" s="8" t="s">
        <v>3388</v>
      </c>
    </row>
    <row r="19" spans="2:9" x14ac:dyDescent="0.2">
      <c r="C19" s="2">
        <v>30</v>
      </c>
      <c r="D19" s="3">
        <f>RANK(C19,$C$18:$C$22)</f>
        <v>2</v>
      </c>
      <c r="E19" s="8" t="s">
        <v>3389</v>
      </c>
    </row>
    <row r="20" spans="2:9" x14ac:dyDescent="0.2">
      <c r="C20" s="2">
        <v>20</v>
      </c>
      <c r="D20" s="3">
        <f>RANK(C20,$C$18:$C$22)</f>
        <v>4</v>
      </c>
      <c r="E20" s="8" t="s">
        <v>3390</v>
      </c>
    </row>
    <row r="21" spans="2:9" x14ac:dyDescent="0.2">
      <c r="C21" s="2">
        <v>30</v>
      </c>
      <c r="D21" s="3">
        <f>RANK(C21,$C$18:$C$22)</f>
        <v>2</v>
      </c>
      <c r="E21" s="8" t="s">
        <v>3391</v>
      </c>
    </row>
    <row r="22" spans="2:9" x14ac:dyDescent="0.2">
      <c r="C22" s="2">
        <v>40</v>
      </c>
      <c r="D22" s="3">
        <f>RANK(C22,$C$18:$C$22)</f>
        <v>1</v>
      </c>
      <c r="E22" s="8" t="s">
        <v>3392</v>
      </c>
    </row>
    <row r="24" spans="2:9" ht="13.5" thickBot="1" x14ac:dyDescent="0.25">
      <c r="B24" s="9" t="s">
        <v>39</v>
      </c>
      <c r="C24" s="9"/>
      <c r="D24" s="9"/>
      <c r="E24" s="9"/>
      <c r="F24" s="9"/>
      <c r="G24" s="9"/>
      <c r="H24" s="9"/>
      <c r="I24" s="9"/>
    </row>
    <row r="25" spans="2:9" x14ac:dyDescent="0.2">
      <c r="B25" t="s">
        <v>3393</v>
      </c>
    </row>
    <row r="26" spans="2:9" x14ac:dyDescent="0.2">
      <c r="B26" t="s">
        <v>3394</v>
      </c>
    </row>
    <row r="27" spans="2:9" x14ac:dyDescent="0.2">
      <c r="B27" t="s">
        <v>3395</v>
      </c>
    </row>
    <row r="28" spans="2:9" x14ac:dyDescent="0.2">
      <c r="B28" t="s">
        <v>3396</v>
      </c>
    </row>
    <row r="29" spans="2:9" x14ac:dyDescent="0.2">
      <c r="B29" t="s">
        <v>3397</v>
      </c>
    </row>
    <row r="30" spans="2:9" x14ac:dyDescent="0.2">
      <c r="B30" t="s">
        <v>3398</v>
      </c>
    </row>
    <row r="31" spans="2:9" x14ac:dyDescent="0.2">
      <c r="B31" t="s">
        <v>3399</v>
      </c>
    </row>
    <row r="33" spans="2:9" x14ac:dyDescent="0.2">
      <c r="B33" s="59" t="s">
        <v>2184</v>
      </c>
      <c r="C33" s="59" t="s">
        <v>3400</v>
      </c>
    </row>
    <row r="34" spans="2:9" x14ac:dyDescent="0.2">
      <c r="B34" s="2">
        <v>30</v>
      </c>
      <c r="C34" s="3">
        <f>RANK(B34,$B$34:$B$37)</f>
        <v>1</v>
      </c>
      <c r="D34" s="8" t="s">
        <v>3401</v>
      </c>
    </row>
    <row r="35" spans="2:9" x14ac:dyDescent="0.2">
      <c r="B35" s="2">
        <v>20</v>
      </c>
      <c r="C35" s="3">
        <f>RANK(B35,$B$34:$B$37)</f>
        <v>2</v>
      </c>
      <c r="D35" s="8" t="s">
        <v>3402</v>
      </c>
    </row>
    <row r="36" spans="2:9" x14ac:dyDescent="0.2">
      <c r="B36" s="2">
        <v>20</v>
      </c>
      <c r="C36" s="3">
        <f>RANK(B36,$B$34:$B$37)</f>
        <v>2</v>
      </c>
      <c r="D36" s="8" t="s">
        <v>3403</v>
      </c>
    </row>
    <row r="37" spans="2:9" x14ac:dyDescent="0.2">
      <c r="B37" s="2">
        <v>10</v>
      </c>
      <c r="C37" s="3">
        <f>RANK(B37,$B$34:$B$37)</f>
        <v>4</v>
      </c>
      <c r="D37" s="8" t="s">
        <v>3404</v>
      </c>
    </row>
    <row r="39" spans="2:9" ht="13.5" thickBot="1" x14ac:dyDescent="0.25">
      <c r="B39" s="9" t="s">
        <v>43</v>
      </c>
      <c r="C39" s="9"/>
      <c r="D39" s="9"/>
      <c r="E39" s="9"/>
      <c r="F39" s="9"/>
      <c r="G39" s="9"/>
      <c r="H39" s="9"/>
      <c r="I39" s="9"/>
    </row>
    <row r="40" spans="2:9" x14ac:dyDescent="0.2">
      <c r="B40" s="10" t="s">
        <v>3405</v>
      </c>
    </row>
    <row r="41" spans="2:9" x14ac:dyDescent="0.2">
      <c r="B41" t="s">
        <v>3406</v>
      </c>
    </row>
    <row r="42" spans="2:9" x14ac:dyDescent="0.2">
      <c r="B42" t="s">
        <v>3407</v>
      </c>
    </row>
    <row r="43" spans="2:9" x14ac:dyDescent="0.2">
      <c r="B43" t="s">
        <v>3408</v>
      </c>
    </row>
    <row r="45" spans="2:9" ht="13.5" thickBot="1" x14ac:dyDescent="0.25">
      <c r="B45" s="9" t="s">
        <v>45</v>
      </c>
      <c r="C45" s="9"/>
      <c r="D45" s="9"/>
      <c r="E45" s="9"/>
      <c r="F45" s="9"/>
      <c r="G45" s="9"/>
      <c r="H45" s="9"/>
      <c r="I45" s="9"/>
    </row>
    <row r="46" spans="2:9" x14ac:dyDescent="0.2">
      <c r="B46" t="s">
        <v>46</v>
      </c>
    </row>
    <row r="48" spans="2:9" ht="13.5" thickBot="1" x14ac:dyDescent="0.25">
      <c r="B48" s="9" t="s">
        <v>85</v>
      </c>
      <c r="C48" s="9"/>
      <c r="D48" s="9"/>
      <c r="E48" s="9"/>
      <c r="F48" s="9"/>
      <c r="G48" s="9"/>
      <c r="H48" s="9"/>
      <c r="I48" s="9"/>
    </row>
    <row r="49" spans="2:5" x14ac:dyDescent="0.2">
      <c r="B49" t="s">
        <v>3409</v>
      </c>
    </row>
    <row r="50" spans="2:5" x14ac:dyDescent="0.2">
      <c r="B50" t="s">
        <v>3410</v>
      </c>
    </row>
    <row r="52" spans="2:5" x14ac:dyDescent="0.2">
      <c r="B52" s="59" t="s">
        <v>3411</v>
      </c>
      <c r="C52" s="59" t="s">
        <v>1197</v>
      </c>
      <c r="D52" s="59" t="s">
        <v>3412</v>
      </c>
    </row>
    <row r="53" spans="2:5" x14ac:dyDescent="0.2">
      <c r="B53" s="2" t="s">
        <v>3413</v>
      </c>
      <c r="C53" s="17">
        <v>6.25E-2</v>
      </c>
      <c r="D53" s="3">
        <f t="shared" ref="D53:D58" si="0">RANK(C53,$C$53:$C$58,1)</f>
        <v>4</v>
      </c>
      <c r="E53" s="8" t="s">
        <v>3414</v>
      </c>
    </row>
    <row r="54" spans="2:5" x14ac:dyDescent="0.2">
      <c r="B54" s="2" t="s">
        <v>118</v>
      </c>
      <c r="C54" s="17">
        <v>7.2916666666666671E-2</v>
      </c>
      <c r="D54" s="3">
        <f t="shared" si="0"/>
        <v>6</v>
      </c>
      <c r="E54" s="8" t="s">
        <v>3415</v>
      </c>
    </row>
    <row r="55" spans="2:5" x14ac:dyDescent="0.2">
      <c r="B55" s="2" t="s">
        <v>122</v>
      </c>
      <c r="C55" s="17">
        <v>4.3055555555555562E-2</v>
      </c>
      <c r="D55" s="3">
        <f t="shared" si="0"/>
        <v>1</v>
      </c>
      <c r="E55" s="8" t="s">
        <v>3416</v>
      </c>
    </row>
    <row r="56" spans="2:5" x14ac:dyDescent="0.2">
      <c r="B56" s="2" t="s">
        <v>3417</v>
      </c>
      <c r="C56" s="17">
        <v>6.6666666666666666E-2</v>
      </c>
      <c r="D56" s="3">
        <f t="shared" si="0"/>
        <v>5</v>
      </c>
      <c r="E56" s="8" t="s">
        <v>3418</v>
      </c>
    </row>
    <row r="57" spans="2:5" x14ac:dyDescent="0.2">
      <c r="B57" s="2" t="s">
        <v>3419</v>
      </c>
      <c r="C57" s="17">
        <v>6.0416666666666667E-2</v>
      </c>
      <c r="D57" s="3">
        <f t="shared" si="0"/>
        <v>3</v>
      </c>
      <c r="E57" s="8" t="s">
        <v>3420</v>
      </c>
    </row>
    <row r="58" spans="2:5" x14ac:dyDescent="0.2">
      <c r="B58" s="2" t="s">
        <v>3421</v>
      </c>
      <c r="C58" s="17">
        <v>4.3749999999999997E-2</v>
      </c>
      <c r="D58" s="3">
        <f t="shared" si="0"/>
        <v>2</v>
      </c>
      <c r="E58" s="8" t="s">
        <v>3422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4145" r:id="rId4" name="Button 1">
              <controlPr defaultSize="0" print="0" autoFill="0" autoLine="0" autoPict="0">
                <anchor>
                  <from>
                    <xdr:col>8</xdr:col>
                    <xdr:colOff>0</xdr:colOff>
                    <xdr:row>0</xdr:row>
                    <xdr:rowOff>38100</xdr:rowOff>
                  </from>
                  <to>
                    <xdr:col>8</xdr:col>
                    <xdr:colOff>466725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46" r:id="rId5" name="Button 2">
              <controlPr defaultSize="0" print="0" autoFill="0" autoLine="0" autoPict="0">
                <anchor>
                  <from>
                    <xdr:col>8</xdr:col>
                    <xdr:colOff>533400</xdr:colOff>
                    <xdr:row>0</xdr:row>
                    <xdr:rowOff>38100</xdr:rowOff>
                  </from>
                  <to>
                    <xdr:col>8</xdr:col>
                    <xdr:colOff>733425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47" r:id="rId6" name="Button 3">
              <controlPr defaultSize="0" print="0" autoFill="0" autoLine="0" autoPict="0">
                <anchor>
                  <from>
                    <xdr:col>7</xdr:col>
                    <xdr:colOff>342900</xdr:colOff>
                    <xdr:row>0</xdr:row>
                    <xdr:rowOff>38100</xdr:rowOff>
                  </from>
                  <to>
                    <xdr:col>7</xdr:col>
                    <xdr:colOff>542925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20">
    <pageSetUpPr fitToPage="1"/>
  </sheetPr>
  <dimension ref="A1:I45"/>
  <sheetViews>
    <sheetView showGridLines="0" workbookViewId="0">
      <pane ySplit="1" topLeftCell="A23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8.42578125" customWidth="1"/>
    <col min="4" max="4" width="10.28515625" customWidth="1"/>
    <col min="5" max="5" width="14" customWidth="1"/>
    <col min="9" max="9" width="12.28515625" customWidth="1"/>
  </cols>
  <sheetData>
    <row r="1" spans="1:9" ht="18.75" thickBot="1" x14ac:dyDescent="0.3">
      <c r="A1" s="1" t="s">
        <v>3423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ht="25.5" x14ac:dyDescent="0.2">
      <c r="C3" s="21" t="s">
        <v>3424</v>
      </c>
      <c r="D3" s="21" t="s">
        <v>3425</v>
      </c>
      <c r="E3" s="21" t="s">
        <v>3426</v>
      </c>
    </row>
    <row r="4" spans="1:9" x14ac:dyDescent="0.2">
      <c r="C4" s="2" t="s">
        <v>766</v>
      </c>
      <c r="D4" s="2">
        <v>3</v>
      </c>
      <c r="E4" s="3" t="str">
        <f>REPT(C4,D4)</f>
        <v>AAA</v>
      </c>
      <c r="F4" s="8" t="s">
        <v>3427</v>
      </c>
    </row>
    <row r="5" spans="1:9" x14ac:dyDescent="0.2">
      <c r="C5" s="2" t="s">
        <v>1247</v>
      </c>
      <c r="D5" s="2">
        <v>3</v>
      </c>
      <c r="E5" s="3" t="str">
        <f>REPT(C5,D5)</f>
        <v>ABABAB</v>
      </c>
      <c r="F5" s="8" t="s">
        <v>3428</v>
      </c>
    </row>
    <row r="6" spans="1:9" x14ac:dyDescent="0.2">
      <c r="C6" s="2" t="s">
        <v>3429</v>
      </c>
      <c r="D6" s="2">
        <v>10</v>
      </c>
      <c r="E6" s="3" t="str">
        <f>REPT(C6,D6)</f>
        <v>----------</v>
      </c>
      <c r="F6" s="8" t="s">
        <v>3430</v>
      </c>
    </row>
    <row r="7" spans="1:9" x14ac:dyDescent="0.2">
      <c r="C7" s="2" t="s">
        <v>3431</v>
      </c>
      <c r="D7" s="2">
        <v>10</v>
      </c>
      <c r="E7" s="3" t="str">
        <f>REPT(C7,D7)</f>
        <v>||||||||||</v>
      </c>
      <c r="F7" s="8" t="s">
        <v>3432</v>
      </c>
    </row>
    <row r="9" spans="1:9" ht="13.5" thickBot="1" x14ac:dyDescent="0.25">
      <c r="B9" s="9" t="s">
        <v>39</v>
      </c>
      <c r="C9" s="9"/>
      <c r="D9" s="9"/>
      <c r="E9" s="9"/>
      <c r="F9" s="9"/>
      <c r="G9" s="9"/>
      <c r="H9" s="9"/>
      <c r="I9" s="9"/>
    </row>
    <row r="10" spans="1:9" x14ac:dyDescent="0.2">
      <c r="B10" t="s">
        <v>3433</v>
      </c>
    </row>
    <row r="11" spans="1:9" x14ac:dyDescent="0.2">
      <c r="B11" t="s">
        <v>3434</v>
      </c>
    </row>
    <row r="13" spans="1:9" ht="13.5" thickBot="1" x14ac:dyDescent="0.25">
      <c r="B13" s="9" t="s">
        <v>43</v>
      </c>
      <c r="C13" s="9"/>
      <c r="D13" s="9"/>
      <c r="E13" s="9"/>
      <c r="F13" s="9"/>
      <c r="G13" s="9"/>
      <c r="H13" s="9"/>
      <c r="I13" s="9"/>
    </row>
    <row r="14" spans="1:9" x14ac:dyDescent="0.2">
      <c r="B14" s="10" t="s">
        <v>3435</v>
      </c>
    </row>
    <row r="15" spans="1:9" x14ac:dyDescent="0.2">
      <c r="B15" t="s">
        <v>3436</v>
      </c>
    </row>
    <row r="17" spans="2:9" ht="13.5" thickBot="1" x14ac:dyDescent="0.25">
      <c r="B17" s="9" t="s">
        <v>45</v>
      </c>
      <c r="C17" s="9"/>
      <c r="D17" s="9"/>
      <c r="E17" s="9"/>
      <c r="F17" s="9"/>
      <c r="G17" s="9"/>
      <c r="H17" s="9"/>
      <c r="I17" s="9"/>
    </row>
    <row r="18" spans="2:9" x14ac:dyDescent="0.2">
      <c r="B18" t="s">
        <v>46</v>
      </c>
    </row>
    <row r="20" spans="2:9" ht="13.5" thickBot="1" x14ac:dyDescent="0.25">
      <c r="B20" s="9" t="s">
        <v>286</v>
      </c>
      <c r="C20" s="9"/>
      <c r="D20" s="9"/>
      <c r="E20" s="9"/>
      <c r="F20" s="9"/>
      <c r="G20" s="9"/>
      <c r="H20" s="9"/>
      <c r="I20" s="9"/>
    </row>
    <row r="21" spans="2:9" x14ac:dyDescent="0.2">
      <c r="B21" t="s">
        <v>3437</v>
      </c>
    </row>
    <row r="22" spans="2:9" x14ac:dyDescent="0.2">
      <c r="B22" t="s">
        <v>3438</v>
      </c>
    </row>
    <row r="23" spans="2:9" x14ac:dyDescent="0.2">
      <c r="B23" t="s">
        <v>3439</v>
      </c>
    </row>
    <row r="25" spans="2:9" x14ac:dyDescent="0.2">
      <c r="C25" s="5" t="s">
        <v>1468</v>
      </c>
      <c r="D25" s="5" t="s">
        <v>371</v>
      </c>
    </row>
    <row r="26" spans="2:9" x14ac:dyDescent="0.2">
      <c r="C26" s="5" t="s">
        <v>12</v>
      </c>
      <c r="D26" s="18">
        <v>1000</v>
      </c>
      <c r="E26" s="8" t="str">
        <f>REPT("||",D26/100)</f>
        <v>||||||||||||||||||||</v>
      </c>
    </row>
    <row r="27" spans="2:9" x14ac:dyDescent="0.2">
      <c r="C27" s="5" t="s">
        <v>13</v>
      </c>
      <c r="D27" s="18">
        <v>5000</v>
      </c>
      <c r="E27" s="8" t="str">
        <f>REPT("||",D27/100)</f>
        <v>||||||||||||||||||||||||||||||||||||||||||||||||||||||||||||||||||||||||||||||||||||||||||||||||||||</v>
      </c>
    </row>
    <row r="28" spans="2:9" x14ac:dyDescent="0.2">
      <c r="C28" s="5" t="s">
        <v>14</v>
      </c>
      <c r="D28" s="18">
        <v>3000</v>
      </c>
      <c r="E28" s="8" t="str">
        <f>REPT("||",D28/100)</f>
        <v>||||||||||||||||||||||||||||||||||||||||||||||||||||||||||||</v>
      </c>
    </row>
    <row r="29" spans="2:9" x14ac:dyDescent="0.2">
      <c r="C29" s="5" t="s">
        <v>1472</v>
      </c>
      <c r="D29" s="18">
        <v>2000</v>
      </c>
      <c r="E29" s="8" t="str">
        <f>REPT("||",D29/100)</f>
        <v>||||||||||||||||||||||||||||||||||||||||</v>
      </c>
    </row>
    <row r="30" spans="2:9" x14ac:dyDescent="0.2">
      <c r="E30" s="8" t="s">
        <v>3440</v>
      </c>
    </row>
    <row r="32" spans="2:9" ht="13.5" thickBot="1" x14ac:dyDescent="0.25">
      <c r="B32" s="9" t="s">
        <v>305</v>
      </c>
      <c r="C32" s="9"/>
      <c r="D32" s="9"/>
      <c r="E32" s="9"/>
      <c r="F32" s="9"/>
      <c r="G32" s="9"/>
      <c r="H32" s="9"/>
      <c r="I32" s="9"/>
    </row>
    <row r="33" spans="2:4" x14ac:dyDescent="0.2">
      <c r="B33" t="s">
        <v>2792</v>
      </c>
    </row>
    <row r="34" spans="2:4" x14ac:dyDescent="0.2">
      <c r="B34" t="s">
        <v>2793</v>
      </c>
    </row>
    <row r="35" spans="2:4" x14ac:dyDescent="0.2">
      <c r="B35" t="s">
        <v>2794</v>
      </c>
    </row>
    <row r="36" spans="2:4" x14ac:dyDescent="0.2">
      <c r="B36" t="s">
        <v>2795</v>
      </c>
    </row>
    <row r="38" spans="2:4" x14ac:dyDescent="0.2">
      <c r="C38" s="5" t="s">
        <v>2796</v>
      </c>
    </row>
    <row r="39" spans="2:4" x14ac:dyDescent="0.2">
      <c r="C39" s="57" t="s">
        <v>2797</v>
      </c>
      <c r="D39" s="8" t="str">
        <f ca="1">REPT("|",HOUR(NOW()))&amp;" "&amp;TEXT(HOUR(NOW()),"00")</f>
        <v>|||||||||||||||| 16</v>
      </c>
    </row>
    <row r="40" spans="2:4" x14ac:dyDescent="0.2">
      <c r="C40" s="57" t="s">
        <v>2798</v>
      </c>
      <c r="D40" s="8" t="str">
        <f ca="1">REPT("|",MINUTE(NOW()))&amp;" "&amp;TEXT(MINUTE(NOW()),"00")</f>
        <v>||||||||||||| 13</v>
      </c>
    </row>
    <row r="41" spans="2:4" x14ac:dyDescent="0.2">
      <c r="C41" s="57" t="s">
        <v>2799</v>
      </c>
      <c r="D41" s="8" t="str">
        <f ca="1">REPT("|",SECOND(NOW()))&amp;" "&amp;TEXT(SECOND(NOW()),"00")</f>
        <v>|||||||||||||||||||||||||||||||||||||||||||||||||| 50</v>
      </c>
    </row>
    <row r="43" spans="2:4" x14ac:dyDescent="0.2">
      <c r="D43" s="8" t="s">
        <v>2800</v>
      </c>
    </row>
    <row r="44" spans="2:4" x14ac:dyDescent="0.2">
      <c r="D44" s="8" t="s">
        <v>2801</v>
      </c>
    </row>
    <row r="45" spans="2:4" x14ac:dyDescent="0.2">
      <c r="D45" s="8" t="s">
        <v>2802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5169" r:id="rId4" name="Button 1">
              <controlPr defaultSize="0" print="0" autoFill="0" autoLine="0" autoPict="0">
                <anchor>
                  <from>
                    <xdr:col>7</xdr:col>
                    <xdr:colOff>590550</xdr:colOff>
                    <xdr:row>0</xdr:row>
                    <xdr:rowOff>38100</xdr:rowOff>
                  </from>
                  <to>
                    <xdr:col>8</xdr:col>
                    <xdr:colOff>447675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70" r:id="rId5" name="Button 2">
              <controlPr defaultSize="0" print="0" autoFill="0" autoLine="0" autoPict="0">
                <anchor>
                  <from>
                    <xdr:col>8</xdr:col>
                    <xdr:colOff>504825</xdr:colOff>
                    <xdr:row>0</xdr:row>
                    <xdr:rowOff>38100</xdr:rowOff>
                  </from>
                  <to>
                    <xdr:col>8</xdr:col>
                    <xdr:colOff>704850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71" r:id="rId6" name="Button 3">
              <controlPr defaultSize="0" print="0" autoFill="0" autoLine="0" autoPict="0">
                <anchor>
                  <from>
                    <xdr:col>7</xdr:col>
                    <xdr:colOff>314325</xdr:colOff>
                    <xdr:row>0</xdr:row>
                    <xdr:rowOff>38100</xdr:rowOff>
                  </from>
                  <to>
                    <xdr:col>7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21">
    <pageSetUpPr fitToPage="1"/>
  </sheetPr>
  <dimension ref="A1:I30"/>
  <sheetViews>
    <sheetView showGridLines="0" workbookViewId="0">
      <pane ySplit="1" topLeftCell="A8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3" customWidth="1"/>
    <col min="4" max="4" width="13.42578125" customWidth="1"/>
    <col min="5" max="5" width="9.42578125" customWidth="1"/>
  </cols>
  <sheetData>
    <row r="1" spans="1:9" ht="18.75" thickBot="1" x14ac:dyDescent="0.3">
      <c r="A1" s="1" t="s">
        <v>3441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ht="38.25" x14ac:dyDescent="0.2">
      <c r="C3" s="21" t="s">
        <v>3442</v>
      </c>
      <c r="D3" s="21" t="s">
        <v>382</v>
      </c>
      <c r="E3" s="21" t="s">
        <v>3443</v>
      </c>
    </row>
    <row r="4" spans="1:9" x14ac:dyDescent="0.2">
      <c r="C4" s="2" t="s">
        <v>384</v>
      </c>
      <c r="D4" s="2">
        <v>1</v>
      </c>
      <c r="E4" s="3" t="str">
        <f>RIGHT(C4,D4)</f>
        <v>s</v>
      </c>
      <c r="F4" s="8" t="s">
        <v>3444</v>
      </c>
    </row>
    <row r="5" spans="1:9" x14ac:dyDescent="0.2">
      <c r="C5" s="2" t="s">
        <v>384</v>
      </c>
      <c r="D5" s="2">
        <v>2</v>
      </c>
      <c r="E5" s="3" t="str">
        <f>RIGHT(C5,D5)</f>
        <v>es</v>
      </c>
      <c r="F5" s="8" t="s">
        <v>3445</v>
      </c>
    </row>
    <row r="6" spans="1:9" x14ac:dyDescent="0.2">
      <c r="C6" s="2" t="s">
        <v>384</v>
      </c>
      <c r="D6" s="2">
        <v>3</v>
      </c>
      <c r="E6" s="3" t="str">
        <f>RIGHT(C6,D6)</f>
        <v>nes</v>
      </c>
      <c r="F6" s="8" t="s">
        <v>3446</v>
      </c>
    </row>
    <row r="7" spans="1:9" x14ac:dyDescent="0.2">
      <c r="C7" s="2" t="s">
        <v>388</v>
      </c>
      <c r="D7" s="2">
        <v>6</v>
      </c>
      <c r="E7" s="3" t="str">
        <f>RIGHT(C7,D7)</f>
        <v>ardiff</v>
      </c>
      <c r="F7" s="8" t="s">
        <v>3447</v>
      </c>
    </row>
    <row r="8" spans="1:9" x14ac:dyDescent="0.2">
      <c r="C8" s="2" t="s">
        <v>390</v>
      </c>
      <c r="D8" s="2">
        <v>4</v>
      </c>
      <c r="E8" s="3" t="str">
        <f>RIGHT(C8,D8)</f>
        <v>C123</v>
      </c>
      <c r="F8" s="8" t="s">
        <v>3448</v>
      </c>
    </row>
    <row r="10" spans="1:9" ht="13.5" thickBot="1" x14ac:dyDescent="0.25">
      <c r="B10" s="9" t="s">
        <v>39</v>
      </c>
      <c r="C10" s="9"/>
      <c r="D10" s="9"/>
      <c r="E10" s="9"/>
      <c r="F10" s="9"/>
      <c r="G10" s="9"/>
      <c r="H10" s="9"/>
      <c r="I10" s="9"/>
    </row>
    <row r="11" spans="1:9" x14ac:dyDescent="0.2">
      <c r="B11" t="s">
        <v>3449</v>
      </c>
    </row>
    <row r="12" spans="1:9" x14ac:dyDescent="0.2">
      <c r="B12" t="s">
        <v>393</v>
      </c>
    </row>
    <row r="14" spans="1:9" ht="13.5" thickBot="1" x14ac:dyDescent="0.25">
      <c r="B14" s="9" t="s">
        <v>43</v>
      </c>
      <c r="C14" s="9"/>
      <c r="D14" s="9"/>
      <c r="E14" s="9"/>
      <c r="F14" s="9"/>
      <c r="G14" s="9"/>
      <c r="H14" s="9"/>
      <c r="I14" s="9"/>
    </row>
    <row r="15" spans="1:9" x14ac:dyDescent="0.2">
      <c r="B15" s="10" t="s">
        <v>3450</v>
      </c>
    </row>
    <row r="17" spans="2:9" ht="13.5" thickBot="1" x14ac:dyDescent="0.25">
      <c r="B17" s="9" t="s">
        <v>45</v>
      </c>
      <c r="C17" s="9"/>
      <c r="D17" s="9"/>
      <c r="E17" s="9"/>
      <c r="F17" s="9"/>
      <c r="G17" s="9"/>
      <c r="H17" s="9"/>
      <c r="I17" s="9"/>
    </row>
    <row r="18" spans="2:9" x14ac:dyDescent="0.2">
      <c r="B18" t="s">
        <v>46</v>
      </c>
    </row>
    <row r="20" spans="2:9" ht="13.5" thickBot="1" x14ac:dyDescent="0.25">
      <c r="B20" s="9" t="s">
        <v>85</v>
      </c>
      <c r="C20" s="9"/>
      <c r="D20" s="9"/>
      <c r="E20" s="9"/>
      <c r="F20" s="9"/>
      <c r="G20" s="9"/>
      <c r="H20" s="9"/>
      <c r="I20" s="9"/>
    </row>
    <row r="21" spans="2:9" x14ac:dyDescent="0.2">
      <c r="B21" t="s">
        <v>3451</v>
      </c>
    </row>
    <row r="22" spans="2:9" x14ac:dyDescent="0.2">
      <c r="B22" t="s">
        <v>3452</v>
      </c>
    </row>
    <row r="23" spans="2:9" x14ac:dyDescent="0.2">
      <c r="B23" t="s">
        <v>3453</v>
      </c>
    </row>
    <row r="24" spans="2:9" x14ac:dyDescent="0.2">
      <c r="B24" t="s">
        <v>3454</v>
      </c>
    </row>
    <row r="25" spans="2:9" x14ac:dyDescent="0.2">
      <c r="B25" t="s">
        <v>3455</v>
      </c>
    </row>
    <row r="27" spans="2:9" x14ac:dyDescent="0.2">
      <c r="C27" s="373" t="s">
        <v>399</v>
      </c>
      <c r="D27" s="373" t="s">
        <v>3456</v>
      </c>
    </row>
    <row r="28" spans="2:9" x14ac:dyDescent="0.2">
      <c r="C28" s="323" t="s">
        <v>384</v>
      </c>
      <c r="D28" s="324" t="str">
        <f>RIGHT(C28,LEN(C28)-FIND(" ",C28))</f>
        <v>Jones</v>
      </c>
      <c r="E28" t="s">
        <v>3457</v>
      </c>
    </row>
    <row r="29" spans="2:9" x14ac:dyDescent="0.2">
      <c r="C29" s="323" t="s">
        <v>402</v>
      </c>
      <c r="D29" s="324" t="str">
        <f>RIGHT(C29,LEN(C29)-FIND(" ",C29))</f>
        <v>Smith</v>
      </c>
      <c r="E29" t="s">
        <v>3458</v>
      </c>
    </row>
    <row r="30" spans="2:9" x14ac:dyDescent="0.2">
      <c r="C30" s="323" t="s">
        <v>404</v>
      </c>
      <c r="D30" s="324" t="str">
        <f>RIGHT(C30,LEN(C30)-FIND(" ",C30))</f>
        <v>Williams</v>
      </c>
      <c r="E30" t="s">
        <v>3459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6193" r:id="rId4" name="Button 1">
              <controlPr defaultSize="0" print="0" autoFill="0" autoLine="0" autoPict="0">
                <anchor>
                  <from>
                    <xdr:col>7</xdr:col>
                    <xdr:colOff>371475</xdr:colOff>
                    <xdr:row>0</xdr:row>
                    <xdr:rowOff>38100</xdr:rowOff>
                  </from>
                  <to>
                    <xdr:col>8</xdr:col>
                    <xdr:colOff>247650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94" r:id="rId5" name="Button 2">
              <controlPr defaultSize="0" print="0" autoFill="0" autoLine="0" autoPict="0">
                <anchor>
                  <from>
                    <xdr:col>8</xdr:col>
                    <xdr:colOff>314325</xdr:colOff>
                    <xdr:row>0</xdr:row>
                    <xdr:rowOff>38100</xdr:rowOff>
                  </from>
                  <to>
                    <xdr:col>8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95" r:id="rId6" name="Button 3">
              <controlPr defaultSize="0" print="0" autoFill="0" autoLine="0" autoPict="0">
                <anchor>
                  <from>
                    <xdr:col>7</xdr:col>
                    <xdr:colOff>95250</xdr:colOff>
                    <xdr:row>0</xdr:row>
                    <xdr:rowOff>38100</xdr:rowOff>
                  </from>
                  <to>
                    <xdr:col>7</xdr:col>
                    <xdr:colOff>304800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44">
    <tabColor rgb="FF00B050"/>
    <pageSetUpPr fitToPage="1"/>
  </sheetPr>
  <dimension ref="A1:I17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6" max="6" width="12.5703125" customWidth="1"/>
    <col min="7" max="7" width="18.28515625" customWidth="1"/>
  </cols>
  <sheetData>
    <row r="1" spans="1:9" ht="18.75" thickBot="1" x14ac:dyDescent="0.3">
      <c r="A1" s="1" t="s">
        <v>3460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5" t="s">
        <v>1374</v>
      </c>
      <c r="D3" s="5" t="s">
        <v>1377</v>
      </c>
      <c r="E3" s="5" t="s">
        <v>1380</v>
      </c>
      <c r="F3" s="5" t="s">
        <v>1197</v>
      </c>
    </row>
    <row r="4" spans="1:9" x14ac:dyDescent="0.2">
      <c r="C4" s="2">
        <v>14</v>
      </c>
      <c r="D4" s="2">
        <v>30</v>
      </c>
      <c r="E4" s="2">
        <v>59</v>
      </c>
      <c r="F4" s="483">
        <f>TIME(C4,D4,E4)</f>
        <v>0.60484953703703703</v>
      </c>
      <c r="G4" s="26" t="s">
        <v>3461</v>
      </c>
    </row>
    <row r="5" spans="1:9" x14ac:dyDescent="0.2">
      <c r="C5" s="2">
        <v>14</v>
      </c>
      <c r="D5" s="2">
        <v>30</v>
      </c>
      <c r="E5" s="2">
        <v>59</v>
      </c>
      <c r="F5" s="484">
        <f>TIME(C5,D5,E5)</f>
        <v>0.60484953703703703</v>
      </c>
      <c r="G5" s="26" t="s">
        <v>3462</v>
      </c>
    </row>
    <row r="6" spans="1:9" x14ac:dyDescent="0.2">
      <c r="C6" s="2">
        <v>14</v>
      </c>
      <c r="D6" s="2">
        <v>30</v>
      </c>
      <c r="E6" s="2">
        <v>59</v>
      </c>
      <c r="F6" s="485">
        <f>TIME(C6,D6,E6)</f>
        <v>0.60484953703703703</v>
      </c>
      <c r="G6" s="26" t="s">
        <v>3463</v>
      </c>
    </row>
    <row r="8" spans="1:9" ht="13.5" thickBot="1" x14ac:dyDescent="0.25">
      <c r="B8" s="9" t="s">
        <v>64</v>
      </c>
      <c r="C8" s="9"/>
      <c r="D8" s="9"/>
      <c r="E8" s="9"/>
      <c r="F8" s="9"/>
      <c r="G8" s="9"/>
      <c r="H8" s="9"/>
      <c r="I8" s="9"/>
    </row>
    <row r="9" spans="1:9" x14ac:dyDescent="0.2">
      <c r="B9" t="s">
        <v>3464</v>
      </c>
    </row>
    <row r="11" spans="1:9" ht="13.5" thickBot="1" x14ac:dyDescent="0.25">
      <c r="B11" s="9" t="s">
        <v>43</v>
      </c>
      <c r="C11" s="9"/>
      <c r="D11" s="9"/>
      <c r="E11" s="9"/>
      <c r="F11" s="9"/>
      <c r="G11" s="9"/>
      <c r="H11" s="9"/>
      <c r="I11" s="9"/>
    </row>
    <row r="12" spans="1:9" x14ac:dyDescent="0.2">
      <c r="B12" t="s">
        <v>3465</v>
      </c>
    </row>
    <row r="14" spans="1:9" ht="13.5" thickBot="1" x14ac:dyDescent="0.25">
      <c r="B14" s="9" t="s">
        <v>45</v>
      </c>
      <c r="C14" s="9"/>
      <c r="D14" s="9"/>
      <c r="E14" s="9"/>
      <c r="F14" s="9"/>
      <c r="G14" s="9"/>
      <c r="H14" s="9"/>
      <c r="I14" s="9"/>
    </row>
    <row r="15" spans="1:9" x14ac:dyDescent="0.2">
      <c r="B15" t="s">
        <v>3466</v>
      </c>
    </row>
    <row r="16" spans="1:9" x14ac:dyDescent="0.2">
      <c r="B16" t="s">
        <v>3467</v>
      </c>
    </row>
    <row r="17" spans="2:2" x14ac:dyDescent="0.2">
      <c r="B17" t="s">
        <v>3468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5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7217" r:id="rId4" name="Button 1">
              <controlPr defaultSize="0" print="0" autoFill="0" autoLine="0" autoPict="0">
                <anchor>
                  <from>
                    <xdr:col>7</xdr:col>
                    <xdr:colOff>104775</xdr:colOff>
                    <xdr:row>0</xdr:row>
                    <xdr:rowOff>38100</xdr:rowOff>
                  </from>
                  <to>
                    <xdr:col>7</xdr:col>
                    <xdr:colOff>581025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18" r:id="rId5" name="Button 2">
              <controlPr defaultSize="0" print="0" autoFill="0" autoLine="0" autoPict="0">
                <anchor>
                  <from>
                    <xdr:col>8</xdr:col>
                    <xdr:colOff>47625</xdr:colOff>
                    <xdr:row>0</xdr:row>
                    <xdr:rowOff>38100</xdr:rowOff>
                  </from>
                  <to>
                    <xdr:col>8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19" r:id="rId6" name="Button 3">
              <controlPr defaultSize="0" print="0" autoFill="0" autoLine="0" autoPict="0">
                <anchor>
                  <from>
                    <xdr:col>6</xdr:col>
                    <xdr:colOff>1057275</xdr:colOff>
                    <xdr:row>0</xdr:row>
                    <xdr:rowOff>38100</xdr:rowOff>
                  </from>
                  <to>
                    <xdr:col>7</xdr:col>
                    <xdr:colOff>38100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59">
    <tabColor rgb="FF00B050"/>
    <pageSetUpPr fitToPage="1"/>
  </sheetPr>
  <dimension ref="A1:I13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5703125" customWidth="1"/>
    <col min="5" max="5" width="11.42578125" customWidth="1"/>
  </cols>
  <sheetData>
    <row r="1" spans="1:9" ht="18.75" thickBot="1" x14ac:dyDescent="0.3">
      <c r="A1" s="1" t="s">
        <v>3469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5" t="s">
        <v>163</v>
      </c>
      <c r="D3" s="5" t="s">
        <v>1372</v>
      </c>
    </row>
    <row r="4" spans="1:9" x14ac:dyDescent="0.2">
      <c r="C4" s="16">
        <v>36154</v>
      </c>
      <c r="D4" s="3">
        <f>YEAR(C4)</f>
        <v>1998</v>
      </c>
      <c r="E4" s="26" t="s">
        <v>3470</v>
      </c>
    </row>
    <row r="6" spans="1:9" ht="13.5" thickBot="1" x14ac:dyDescent="0.25">
      <c r="B6" s="9" t="s">
        <v>64</v>
      </c>
      <c r="C6" s="9"/>
      <c r="D6" s="9"/>
      <c r="E6" s="9"/>
      <c r="F6" s="9"/>
      <c r="G6" s="9"/>
      <c r="H6" s="9"/>
      <c r="I6" s="9"/>
    </row>
    <row r="7" spans="1:9" x14ac:dyDescent="0.2">
      <c r="B7" t="s">
        <v>3471</v>
      </c>
    </row>
    <row r="9" spans="1:9" ht="13.5" thickBot="1" x14ac:dyDescent="0.25">
      <c r="B9" s="9" t="s">
        <v>43</v>
      </c>
      <c r="C9" s="9"/>
      <c r="D9" s="9"/>
      <c r="E9" s="9"/>
      <c r="F9" s="9"/>
      <c r="G9" s="9"/>
      <c r="H9" s="9"/>
      <c r="I9" s="9"/>
    </row>
    <row r="10" spans="1:9" x14ac:dyDescent="0.2">
      <c r="B10" t="s">
        <v>3472</v>
      </c>
    </row>
    <row r="12" spans="1:9" ht="13.5" thickBot="1" x14ac:dyDescent="0.25">
      <c r="B12" s="9" t="s">
        <v>45</v>
      </c>
      <c r="C12" s="9"/>
      <c r="D12" s="9"/>
      <c r="E12" s="9"/>
      <c r="F12" s="9"/>
      <c r="G12" s="9"/>
      <c r="H12" s="9"/>
      <c r="I12" s="9"/>
    </row>
    <row r="13" spans="1:9" x14ac:dyDescent="0.2">
      <c r="B13" t="s">
        <v>3473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8241" r:id="rId4" name="Button 1">
              <controlPr defaultSize="0" print="0" autoFill="0" autoLine="0" autoPict="0">
                <anchor>
                  <from>
                    <xdr:col>8</xdr:col>
                    <xdr:colOff>228600</xdr:colOff>
                    <xdr:row>0</xdr:row>
                    <xdr:rowOff>38100</xdr:rowOff>
                  </from>
                  <to>
                    <xdr:col>9</xdr:col>
                    <xdr:colOff>95250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42" r:id="rId5" name="Button 2">
              <controlPr defaultSize="0" print="0" autoFill="0" autoLine="0" autoPict="0">
                <anchor>
                  <from>
                    <xdr:col>9</xdr:col>
                    <xdr:colOff>171450</xdr:colOff>
                    <xdr:row>0</xdr:row>
                    <xdr:rowOff>38100</xdr:rowOff>
                  </from>
                  <to>
                    <xdr:col>9</xdr:col>
                    <xdr:colOff>381000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43" r:id="rId6" name="Button 3">
              <controlPr defaultSize="0" print="0" autoFill="0" autoLine="0" autoPict="0">
                <anchor>
                  <from>
                    <xdr:col>7</xdr:col>
                    <xdr:colOff>561975</xdr:colOff>
                    <xdr:row>0</xdr:row>
                    <xdr:rowOff>38100</xdr:rowOff>
                  </from>
                  <to>
                    <xdr:col>8</xdr:col>
                    <xdr:colOff>161925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58">
    <tabColor rgb="FF00B050"/>
    <pageSetUpPr fitToPage="1"/>
  </sheetPr>
  <dimension ref="A1:H32"/>
  <sheetViews>
    <sheetView showGridLines="0" workbookViewId="0">
      <pane ySplit="1" topLeftCell="A17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10.42578125" customWidth="1"/>
    <col min="3" max="3" width="3" customWidth="1"/>
    <col min="4" max="4" width="14.140625" customWidth="1"/>
    <col min="5" max="5" width="13.28515625" customWidth="1"/>
    <col min="6" max="6" width="14.7109375" customWidth="1"/>
    <col min="7" max="7" width="21.42578125" customWidth="1"/>
  </cols>
  <sheetData>
    <row r="1" spans="1:8" ht="18.75" thickBot="1" x14ac:dyDescent="0.3">
      <c r="A1" s="1" t="s">
        <v>3474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D3" s="5" t="s">
        <v>1601</v>
      </c>
      <c r="E3" s="5" t="s">
        <v>3475</v>
      </c>
      <c r="F3" s="5" t="s">
        <v>549</v>
      </c>
    </row>
    <row r="4" spans="1:8" x14ac:dyDescent="0.2">
      <c r="D4" s="16">
        <v>35796</v>
      </c>
      <c r="E4" s="2">
        <v>28</v>
      </c>
      <c r="F4" s="300">
        <f>WORKDAY(D4,E4)</f>
        <v>35836</v>
      </c>
      <c r="G4" s="8" t="s">
        <v>3476</v>
      </c>
    </row>
    <row r="5" spans="1:8" x14ac:dyDescent="0.2">
      <c r="D5" s="16">
        <v>35796</v>
      </c>
      <c r="E5" s="2">
        <v>28</v>
      </c>
      <c r="F5" s="61">
        <f>WORKDAY(D5,E5)</f>
        <v>35836</v>
      </c>
      <c r="G5" s="8" t="s">
        <v>3477</v>
      </c>
    </row>
    <row r="7" spans="1:8" ht="13.5" thickBot="1" x14ac:dyDescent="0.25">
      <c r="B7" s="9" t="s">
        <v>64</v>
      </c>
      <c r="C7" s="9"/>
      <c r="D7" s="9"/>
      <c r="E7" s="9"/>
      <c r="F7" s="9"/>
      <c r="G7" s="9"/>
      <c r="H7" s="9"/>
    </row>
    <row r="8" spans="1:8" x14ac:dyDescent="0.2">
      <c r="B8" t="s">
        <v>3478</v>
      </c>
    </row>
    <row r="9" spans="1:8" x14ac:dyDescent="0.2">
      <c r="B9" t="s">
        <v>3479</v>
      </c>
    </row>
    <row r="10" spans="1:8" x14ac:dyDescent="0.2">
      <c r="B10" t="s">
        <v>3480</v>
      </c>
    </row>
    <row r="12" spans="1:8" ht="13.5" thickBot="1" x14ac:dyDescent="0.25">
      <c r="B12" s="9" t="s">
        <v>43</v>
      </c>
      <c r="C12" s="9"/>
      <c r="D12" s="9"/>
      <c r="E12" s="9"/>
      <c r="F12" s="9"/>
      <c r="G12" s="9"/>
      <c r="H12" s="9"/>
    </row>
    <row r="13" spans="1:8" x14ac:dyDescent="0.2">
      <c r="B13" t="s">
        <v>3481</v>
      </c>
    </row>
    <row r="15" spans="1:8" ht="13.5" thickBot="1" x14ac:dyDescent="0.25">
      <c r="B15" s="9" t="s">
        <v>45</v>
      </c>
      <c r="C15" s="9"/>
      <c r="D15" s="9"/>
      <c r="E15" s="9"/>
      <c r="F15" s="9"/>
      <c r="G15" s="9"/>
      <c r="H15" s="9"/>
    </row>
    <row r="16" spans="1:8" x14ac:dyDescent="0.2">
      <c r="B16" t="s">
        <v>3482</v>
      </c>
    </row>
    <row r="17" spans="2:8" x14ac:dyDescent="0.2">
      <c r="B17" t="s">
        <v>3483</v>
      </c>
    </row>
    <row r="19" spans="2:8" ht="13.5" thickBot="1" x14ac:dyDescent="0.25">
      <c r="B19" s="9" t="s">
        <v>85</v>
      </c>
      <c r="C19" s="9"/>
      <c r="D19" s="9"/>
      <c r="E19" s="9"/>
      <c r="F19" s="9"/>
      <c r="G19" s="9"/>
      <c r="H19" s="9"/>
    </row>
    <row r="20" spans="2:8" x14ac:dyDescent="0.2">
      <c r="B20" t="s">
        <v>3484</v>
      </c>
    </row>
    <row r="21" spans="2:8" x14ac:dyDescent="0.2">
      <c r="B21" t="s">
        <v>3485</v>
      </c>
    </row>
    <row r="23" spans="2:8" x14ac:dyDescent="0.2">
      <c r="D23" s="5" t="s">
        <v>3486</v>
      </c>
      <c r="E23" s="5" t="s">
        <v>3487</v>
      </c>
      <c r="F23" s="5" t="s">
        <v>3488</v>
      </c>
    </row>
    <row r="24" spans="2:8" x14ac:dyDescent="0.2">
      <c r="D24" s="450">
        <v>35828</v>
      </c>
      <c r="E24" s="2">
        <v>2</v>
      </c>
      <c r="F24" s="486">
        <f>WORKDAY(D24,E24,$D$28:$D$32)</f>
        <v>35830</v>
      </c>
    </row>
    <row r="25" spans="2:8" x14ac:dyDescent="0.2">
      <c r="D25" s="450">
        <v>36144</v>
      </c>
      <c r="E25" s="2">
        <v>28</v>
      </c>
      <c r="F25" s="486">
        <f>WORKDAY(D25,E25,$D$28:$D$32)</f>
        <v>36186</v>
      </c>
    </row>
    <row r="26" spans="2:8" x14ac:dyDescent="0.2">
      <c r="F26" s="8" t="s">
        <v>3489</v>
      </c>
    </row>
    <row r="27" spans="2:8" x14ac:dyDescent="0.2">
      <c r="D27" s="5" t="s">
        <v>2988</v>
      </c>
    </row>
    <row r="28" spans="2:8" x14ac:dyDescent="0.2">
      <c r="B28" s="178" t="s">
        <v>2989</v>
      </c>
      <c r="D28" s="487">
        <v>35916</v>
      </c>
    </row>
    <row r="29" spans="2:8" x14ac:dyDescent="0.2">
      <c r="B29" s="178" t="s">
        <v>2990</v>
      </c>
      <c r="D29" s="487">
        <v>36154</v>
      </c>
    </row>
    <row r="30" spans="2:8" x14ac:dyDescent="0.2">
      <c r="B30" s="178" t="s">
        <v>2991</v>
      </c>
      <c r="D30" s="487">
        <v>35431</v>
      </c>
    </row>
    <row r="31" spans="2:8" x14ac:dyDescent="0.2">
      <c r="B31" s="178" t="s">
        <v>2991</v>
      </c>
      <c r="D31" s="487">
        <v>35796</v>
      </c>
    </row>
    <row r="32" spans="2:8" x14ac:dyDescent="0.2">
      <c r="B32" s="178" t="s">
        <v>2991</v>
      </c>
      <c r="D32" s="488">
        <v>36161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2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9265" r:id="rId4" name="Button 1">
              <controlPr defaultSize="0" print="0" autoFill="0" autoLine="0" autoPict="0">
                <anchor>
                  <from>
                    <xdr:col>6</xdr:col>
                    <xdr:colOff>828675</xdr:colOff>
                    <xdr:row>0</xdr:row>
                    <xdr:rowOff>38100</xdr:rowOff>
                  </from>
                  <to>
                    <xdr:col>6</xdr:col>
                    <xdr:colOff>1295400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66" r:id="rId5" name="Button 2">
              <controlPr defaultSize="0" print="0" autoFill="0" autoLine="0" autoPict="0">
                <anchor>
                  <from>
                    <xdr:col>6</xdr:col>
                    <xdr:colOff>1362075</xdr:colOff>
                    <xdr:row>0</xdr:row>
                    <xdr:rowOff>38100</xdr:rowOff>
                  </from>
                  <to>
                    <xdr:col>7</xdr:col>
                    <xdr:colOff>133350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67" r:id="rId6" name="Button 3">
              <controlPr defaultSize="0" print="0" autoFill="0" autoLine="0" autoPict="0">
                <anchor>
                  <from>
                    <xdr:col>6</xdr:col>
                    <xdr:colOff>561975</xdr:colOff>
                    <xdr:row>0</xdr:row>
                    <xdr:rowOff>38100</xdr:rowOff>
                  </from>
                  <to>
                    <xdr:col>6</xdr:col>
                    <xdr:colOff>762000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22">
    <pageSetUpPr fitToPage="1"/>
  </sheetPr>
  <dimension ref="A1:I36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4" max="4" width="12.42578125" customWidth="1"/>
    <col min="9" max="9" width="13.42578125" customWidth="1"/>
  </cols>
  <sheetData>
    <row r="1" spans="1:9" ht="18.75" thickBot="1" x14ac:dyDescent="0.3">
      <c r="A1" s="1" t="s">
        <v>3490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5" t="s">
        <v>467</v>
      </c>
      <c r="D3" s="5" t="s">
        <v>3491</v>
      </c>
    </row>
    <row r="4" spans="1:9" x14ac:dyDescent="0.2">
      <c r="C4" s="11">
        <v>1</v>
      </c>
      <c r="D4" s="3" t="str">
        <f t="shared" ref="D4:D9" si="0">ROMAN(C4)</f>
        <v>I</v>
      </c>
      <c r="E4" s="8" t="s">
        <v>3492</v>
      </c>
    </row>
    <row r="5" spans="1:9" x14ac:dyDescent="0.2">
      <c r="C5" s="11">
        <v>2</v>
      </c>
      <c r="D5" s="3" t="str">
        <f t="shared" si="0"/>
        <v>II</v>
      </c>
      <c r="E5" s="8" t="s">
        <v>3493</v>
      </c>
    </row>
    <row r="6" spans="1:9" x14ac:dyDescent="0.2">
      <c r="C6" s="11">
        <v>3</v>
      </c>
      <c r="D6" s="3" t="str">
        <f t="shared" si="0"/>
        <v>III</v>
      </c>
      <c r="E6" s="8" t="s">
        <v>3494</v>
      </c>
    </row>
    <row r="7" spans="1:9" x14ac:dyDescent="0.2">
      <c r="C7" s="11">
        <v>5</v>
      </c>
      <c r="D7" s="3" t="str">
        <f t="shared" si="0"/>
        <v>V</v>
      </c>
      <c r="E7" s="8" t="s">
        <v>3495</v>
      </c>
    </row>
    <row r="8" spans="1:9" x14ac:dyDescent="0.2">
      <c r="C8" s="11">
        <v>10</v>
      </c>
      <c r="D8" s="3" t="str">
        <f t="shared" si="0"/>
        <v>X</v>
      </c>
      <c r="E8" s="8" t="s">
        <v>3496</v>
      </c>
    </row>
    <row r="9" spans="1:9" x14ac:dyDescent="0.2">
      <c r="C9" s="11">
        <v>1998</v>
      </c>
      <c r="D9" s="3" t="str">
        <f t="shared" si="0"/>
        <v>MCMXCVIII</v>
      </c>
      <c r="E9" s="8" t="s">
        <v>3497</v>
      </c>
    </row>
    <row r="10" spans="1:9" x14ac:dyDescent="0.2">
      <c r="C10" s="11">
        <v>1998</v>
      </c>
      <c r="D10" s="3" t="str">
        <f>ROMAN(C10,0)</f>
        <v>MCMXCVIII</v>
      </c>
      <c r="E10" s="8" t="s">
        <v>3498</v>
      </c>
    </row>
    <row r="11" spans="1:9" x14ac:dyDescent="0.2">
      <c r="C11" s="11">
        <v>1998</v>
      </c>
      <c r="D11" s="3" t="str">
        <f>ROMAN(C11,1)</f>
        <v>MLMVLIII</v>
      </c>
      <c r="E11" s="8" t="s">
        <v>3499</v>
      </c>
    </row>
    <row r="12" spans="1:9" x14ac:dyDescent="0.2">
      <c r="C12" s="11">
        <v>1998</v>
      </c>
      <c r="D12" s="3" t="str">
        <f>ROMAN(C12,2)</f>
        <v>MXMVIII</v>
      </c>
      <c r="E12" s="8" t="s">
        <v>3500</v>
      </c>
    </row>
    <row r="13" spans="1:9" x14ac:dyDescent="0.2">
      <c r="C13" s="11">
        <v>1998</v>
      </c>
      <c r="D13" s="3" t="str">
        <f>ROMAN(C13,3)</f>
        <v>MVMIII</v>
      </c>
      <c r="E13" s="8" t="s">
        <v>3501</v>
      </c>
    </row>
    <row r="14" spans="1:9" x14ac:dyDescent="0.2">
      <c r="C14" s="11">
        <v>1998</v>
      </c>
      <c r="D14" s="3" t="str">
        <f>ROMAN(C14,4)</f>
        <v>MVMIII</v>
      </c>
      <c r="E14" s="8" t="s">
        <v>3502</v>
      </c>
    </row>
    <row r="15" spans="1:9" x14ac:dyDescent="0.2">
      <c r="C15" s="11">
        <v>1998</v>
      </c>
      <c r="D15" s="3" t="str">
        <f>ROMAN(C15,TRUE)</f>
        <v>MCMXCVIII</v>
      </c>
      <c r="E15" s="8" t="s">
        <v>3503</v>
      </c>
    </row>
    <row r="16" spans="1:9" x14ac:dyDescent="0.2">
      <c r="C16" s="11">
        <v>1998</v>
      </c>
      <c r="D16" s="3" t="str">
        <f>ROMAN(C16,FALSE)</f>
        <v>MVMIII</v>
      </c>
      <c r="E16" s="8" t="s">
        <v>3504</v>
      </c>
    </row>
    <row r="18" spans="2:9" ht="13.5" thickBot="1" x14ac:dyDescent="0.25">
      <c r="B18" s="9" t="s">
        <v>39</v>
      </c>
      <c r="C18" s="9"/>
      <c r="D18" s="9"/>
      <c r="E18" s="9"/>
      <c r="F18" s="9"/>
      <c r="G18" s="9"/>
      <c r="H18" s="9"/>
      <c r="I18" s="9"/>
    </row>
    <row r="19" spans="2:9" x14ac:dyDescent="0.2">
      <c r="B19" t="s">
        <v>3505</v>
      </c>
    </row>
    <row r="21" spans="2:9" ht="13.5" thickBot="1" x14ac:dyDescent="0.25">
      <c r="B21" s="9" t="s">
        <v>43</v>
      </c>
      <c r="C21" s="9"/>
      <c r="D21" s="9"/>
      <c r="E21" s="9"/>
      <c r="F21" s="9"/>
      <c r="G21" s="9"/>
      <c r="H21" s="9"/>
      <c r="I21" s="9"/>
    </row>
    <row r="22" spans="2:9" x14ac:dyDescent="0.2">
      <c r="B22" s="10" t="s">
        <v>3506</v>
      </c>
    </row>
    <row r="23" spans="2:9" x14ac:dyDescent="0.2">
      <c r="B23" t="s">
        <v>3507</v>
      </c>
    </row>
    <row r="24" spans="2:9" x14ac:dyDescent="0.2">
      <c r="B24" t="s">
        <v>3508</v>
      </c>
    </row>
    <row r="25" spans="2:9" x14ac:dyDescent="0.2">
      <c r="B25" t="s">
        <v>3509</v>
      </c>
    </row>
    <row r="26" spans="2:9" x14ac:dyDescent="0.2">
      <c r="B26" t="s">
        <v>3510</v>
      </c>
    </row>
    <row r="27" spans="2:9" x14ac:dyDescent="0.2">
      <c r="B27" t="s">
        <v>3511</v>
      </c>
    </row>
    <row r="28" spans="2:9" x14ac:dyDescent="0.2">
      <c r="B28" t="s">
        <v>3512</v>
      </c>
    </row>
    <row r="29" spans="2:9" x14ac:dyDescent="0.2">
      <c r="B29" t="s">
        <v>3513</v>
      </c>
    </row>
    <row r="30" spans="2:9" x14ac:dyDescent="0.2">
      <c r="B30" t="s">
        <v>3514</v>
      </c>
    </row>
    <row r="32" spans="2:9" ht="13.5" thickBot="1" x14ac:dyDescent="0.25">
      <c r="B32" s="9" t="s">
        <v>45</v>
      </c>
      <c r="C32" s="9"/>
      <c r="D32" s="9"/>
      <c r="E32" s="9"/>
      <c r="F32" s="9"/>
      <c r="G32" s="9"/>
      <c r="H32" s="9"/>
      <c r="I32" s="9"/>
    </row>
    <row r="33" spans="2:9" x14ac:dyDescent="0.2">
      <c r="B33" t="s">
        <v>46</v>
      </c>
    </row>
    <row r="35" spans="2:9" ht="13.5" thickBot="1" x14ac:dyDescent="0.25">
      <c r="B35" s="9" t="s">
        <v>47</v>
      </c>
      <c r="C35" s="9"/>
      <c r="D35" s="9"/>
      <c r="E35" s="9"/>
      <c r="F35" s="9"/>
      <c r="G35" s="9"/>
      <c r="H35" s="9"/>
      <c r="I35" s="9"/>
    </row>
    <row r="36" spans="2:9" x14ac:dyDescent="0.2">
      <c r="B36" t="s">
        <v>3515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0289" r:id="rId4" name="Button 1">
              <controlPr defaultSize="0" print="0" autoFill="0" autoLine="0" autoPict="0">
                <anchor>
                  <from>
                    <xdr:col>8</xdr:col>
                    <xdr:colOff>152400</xdr:colOff>
                    <xdr:row>0</xdr:row>
                    <xdr:rowOff>38100</xdr:rowOff>
                  </from>
                  <to>
                    <xdr:col>8</xdr:col>
                    <xdr:colOff>619125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90" r:id="rId5" name="Button 2">
              <controlPr defaultSize="0" print="0" autoFill="0" autoLine="0" autoPict="0">
                <anchor>
                  <from>
                    <xdr:col>8</xdr:col>
                    <xdr:colOff>685800</xdr:colOff>
                    <xdr:row>0</xdr:row>
                    <xdr:rowOff>38100</xdr:rowOff>
                  </from>
                  <to>
                    <xdr:col>8</xdr:col>
                    <xdr:colOff>885825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91" r:id="rId6" name="Button 3">
              <controlPr defaultSize="0" print="0" autoFill="0" autoLine="0" autoPict="0">
                <anchor>
                  <from>
                    <xdr:col>7</xdr:col>
                    <xdr:colOff>485775</xdr:colOff>
                    <xdr:row>0</xdr:row>
                    <xdr:rowOff>38100</xdr:rowOff>
                  </from>
                  <to>
                    <xdr:col>8</xdr:col>
                    <xdr:colOff>85725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23">
    <pageSetUpPr fitToPage="1"/>
  </sheetPr>
  <dimension ref="A1:I20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4.7109375" customWidth="1"/>
    <col min="9" max="9" width="11.7109375" customWidth="1"/>
  </cols>
  <sheetData>
    <row r="1" spans="1:9" ht="18.75" thickBot="1" x14ac:dyDescent="0.3">
      <c r="A1" s="1" t="s">
        <v>3516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ht="38.25" x14ac:dyDescent="0.2">
      <c r="C3" s="5" t="s">
        <v>467</v>
      </c>
      <c r="D3" s="21" t="s">
        <v>3517</v>
      </c>
      <c r="E3" s="21" t="s">
        <v>3518</v>
      </c>
    </row>
    <row r="4" spans="1:9" x14ac:dyDescent="0.2">
      <c r="C4" s="11">
        <v>1.4758899999999999</v>
      </c>
      <c r="D4" s="2">
        <v>0</v>
      </c>
      <c r="E4" s="69">
        <f t="shared" ref="E4:E9" si="0">ROUND(C4,D4)</f>
        <v>1</v>
      </c>
      <c r="F4" s="8" t="s">
        <v>3519</v>
      </c>
    </row>
    <row r="5" spans="1:9" x14ac:dyDescent="0.2">
      <c r="C5" s="11">
        <v>1.4758899999999999</v>
      </c>
      <c r="D5" s="2">
        <v>1</v>
      </c>
      <c r="E5" s="69">
        <f>ROUND(C5,D5)</f>
        <v>1.5</v>
      </c>
      <c r="F5" s="8" t="s">
        <v>3520</v>
      </c>
    </row>
    <row r="6" spans="1:9" x14ac:dyDescent="0.2">
      <c r="C6" s="11">
        <v>1.4758899999999999</v>
      </c>
      <c r="D6" s="2">
        <v>2</v>
      </c>
      <c r="E6" s="69">
        <f t="shared" si="0"/>
        <v>1.48</v>
      </c>
      <c r="F6" s="8" t="s">
        <v>3521</v>
      </c>
    </row>
    <row r="7" spans="1:9" x14ac:dyDescent="0.2">
      <c r="C7" s="11">
        <v>13643.47589</v>
      </c>
      <c r="D7" s="2">
        <v>-1</v>
      </c>
      <c r="E7" s="69">
        <f t="shared" si="0"/>
        <v>13640</v>
      </c>
      <c r="F7" s="8" t="s">
        <v>3522</v>
      </c>
    </row>
    <row r="8" spans="1:9" x14ac:dyDescent="0.2">
      <c r="C8" s="11">
        <v>13643.47589</v>
      </c>
      <c r="D8" s="2">
        <v>-2</v>
      </c>
      <c r="E8" s="69">
        <f t="shared" si="0"/>
        <v>13600</v>
      </c>
      <c r="F8" s="8" t="s">
        <v>3523</v>
      </c>
    </row>
    <row r="9" spans="1:9" x14ac:dyDescent="0.2">
      <c r="C9" s="11">
        <v>13643.47589</v>
      </c>
      <c r="D9" s="2">
        <v>-3</v>
      </c>
      <c r="E9" s="69">
        <f t="shared" si="0"/>
        <v>14000</v>
      </c>
      <c r="F9" s="8" t="s">
        <v>3524</v>
      </c>
    </row>
    <row r="11" spans="1:9" ht="13.5" thickBot="1" x14ac:dyDescent="0.25">
      <c r="B11" s="9" t="s">
        <v>39</v>
      </c>
      <c r="C11" s="9"/>
      <c r="D11" s="9"/>
      <c r="E11" s="9"/>
      <c r="F11" s="9"/>
      <c r="G11" s="9"/>
      <c r="H11" s="9"/>
      <c r="I11" s="9"/>
    </row>
    <row r="12" spans="1:9" x14ac:dyDescent="0.2">
      <c r="B12" t="s">
        <v>3525</v>
      </c>
    </row>
    <row r="13" spans="1:9" x14ac:dyDescent="0.2">
      <c r="B13" t="s">
        <v>3526</v>
      </c>
    </row>
    <row r="14" spans="1:9" x14ac:dyDescent="0.2">
      <c r="B14" t="s">
        <v>3527</v>
      </c>
    </row>
    <row r="16" spans="1:9" ht="13.5" thickBot="1" x14ac:dyDescent="0.25">
      <c r="B16" s="9" t="s">
        <v>43</v>
      </c>
      <c r="C16" s="9"/>
      <c r="D16" s="9"/>
      <c r="E16" s="9"/>
      <c r="F16" s="9"/>
      <c r="G16" s="9"/>
      <c r="H16" s="9"/>
      <c r="I16" s="9"/>
    </row>
    <row r="17" spans="2:9" x14ac:dyDescent="0.2">
      <c r="B17" s="10" t="s">
        <v>3528</v>
      </c>
    </row>
    <row r="19" spans="2:9" ht="13.5" thickBot="1" x14ac:dyDescent="0.25">
      <c r="B19" s="9" t="s">
        <v>45</v>
      </c>
      <c r="C19" s="9"/>
      <c r="D19" s="9"/>
      <c r="E19" s="9"/>
      <c r="F19" s="9"/>
      <c r="G19" s="9"/>
      <c r="H19" s="9"/>
      <c r="I19" s="9"/>
    </row>
    <row r="20" spans="2:9" x14ac:dyDescent="0.2">
      <c r="B20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1313" r:id="rId4" name="Button 1">
              <controlPr defaultSize="0" print="0" autoFill="0" autoLine="0" autoPict="0">
                <anchor>
                  <from>
                    <xdr:col>8</xdr:col>
                    <xdr:colOff>0</xdr:colOff>
                    <xdr:row>0</xdr:row>
                    <xdr:rowOff>38100</xdr:rowOff>
                  </from>
                  <to>
                    <xdr:col>8</xdr:col>
                    <xdr:colOff>466725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14" r:id="rId5" name="Button 2">
              <controlPr defaultSize="0" print="0" autoFill="0" autoLine="0" autoPict="0">
                <anchor>
                  <from>
                    <xdr:col>8</xdr:col>
                    <xdr:colOff>533400</xdr:colOff>
                    <xdr:row>0</xdr:row>
                    <xdr:rowOff>38100</xdr:rowOff>
                  </from>
                  <to>
                    <xdr:col>8</xdr:col>
                    <xdr:colOff>733425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15" r:id="rId6" name="Button 3">
              <controlPr defaultSize="0" print="0" autoFill="0" autoLine="0" autoPict="0">
                <anchor>
                  <from>
                    <xdr:col>7</xdr:col>
                    <xdr:colOff>333375</xdr:colOff>
                    <xdr:row>0</xdr:row>
                    <xdr:rowOff>38100</xdr:rowOff>
                  </from>
                  <to>
                    <xdr:col>7</xdr:col>
                    <xdr:colOff>542925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24">
    <pageSetUpPr fitToPage="1"/>
  </sheetPr>
  <dimension ref="A1:J20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10" max="10" width="8.5703125" customWidth="1"/>
  </cols>
  <sheetData>
    <row r="1" spans="1:10" ht="18.75" thickBot="1" x14ac:dyDescent="0.3">
      <c r="A1" s="1" t="s">
        <v>3529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ht="38.25" x14ac:dyDescent="0.2">
      <c r="C3" s="5" t="s">
        <v>467</v>
      </c>
      <c r="D3" s="21" t="s">
        <v>3517</v>
      </c>
      <c r="E3" s="21" t="s">
        <v>3530</v>
      </c>
    </row>
    <row r="4" spans="1:10" x14ac:dyDescent="0.2">
      <c r="C4" s="11">
        <v>1.4758899999999999</v>
      </c>
      <c r="D4" s="2">
        <v>0</v>
      </c>
      <c r="E4" s="69">
        <f t="shared" ref="E4:E9" si="0">ROUNDDOWN(C4,D4)</f>
        <v>1</v>
      </c>
      <c r="F4" s="8" t="s">
        <v>3531</v>
      </c>
    </row>
    <row r="5" spans="1:10" x14ac:dyDescent="0.2">
      <c r="C5" s="11">
        <v>1.4758899999999999</v>
      </c>
      <c r="D5" s="2">
        <v>1</v>
      </c>
      <c r="E5" s="69">
        <f t="shared" si="0"/>
        <v>1.4</v>
      </c>
      <c r="F5" s="8" t="s">
        <v>3532</v>
      </c>
    </row>
    <row r="6" spans="1:10" x14ac:dyDescent="0.2">
      <c r="C6" s="11">
        <v>1.4758899999999999</v>
      </c>
      <c r="D6" s="2">
        <v>2</v>
      </c>
      <c r="E6" s="69">
        <f t="shared" si="0"/>
        <v>1.47</v>
      </c>
      <c r="F6" s="8" t="s">
        <v>3533</v>
      </c>
    </row>
    <row r="7" spans="1:10" x14ac:dyDescent="0.2">
      <c r="C7" s="11">
        <v>13643.47589</v>
      </c>
      <c r="D7" s="2">
        <v>-1</v>
      </c>
      <c r="E7" s="69">
        <f t="shared" si="0"/>
        <v>13640</v>
      </c>
      <c r="F7" s="8" t="s">
        <v>3534</v>
      </c>
    </row>
    <row r="8" spans="1:10" x14ac:dyDescent="0.2">
      <c r="C8" s="11">
        <v>13643.47589</v>
      </c>
      <c r="D8" s="2">
        <v>-2</v>
      </c>
      <c r="E8" s="69">
        <f t="shared" si="0"/>
        <v>13600</v>
      </c>
      <c r="F8" s="8" t="s">
        <v>3535</v>
      </c>
    </row>
    <row r="9" spans="1:10" x14ac:dyDescent="0.2">
      <c r="C9" s="11">
        <v>13643.47589</v>
      </c>
      <c r="D9" s="2">
        <v>-3</v>
      </c>
      <c r="E9" s="69">
        <f t="shared" si="0"/>
        <v>13000</v>
      </c>
      <c r="F9" s="8" t="s">
        <v>3536</v>
      </c>
    </row>
    <row r="11" spans="1:10" ht="13.5" thickBot="1" x14ac:dyDescent="0.25">
      <c r="B11" s="9" t="s">
        <v>39</v>
      </c>
      <c r="C11" s="9"/>
      <c r="D11" s="9"/>
      <c r="E11" s="9"/>
      <c r="F11" s="9"/>
      <c r="G11" s="9"/>
      <c r="H11" s="9"/>
      <c r="I11" s="9"/>
      <c r="J11" s="9"/>
    </row>
    <row r="12" spans="1:10" x14ac:dyDescent="0.2">
      <c r="B12" t="s">
        <v>3537</v>
      </c>
    </row>
    <row r="13" spans="1:10" x14ac:dyDescent="0.2">
      <c r="B13" t="s">
        <v>3538</v>
      </c>
    </row>
    <row r="14" spans="1:10" x14ac:dyDescent="0.2">
      <c r="B14" t="s">
        <v>3527</v>
      </c>
    </row>
    <row r="16" spans="1:10" ht="13.5" thickBot="1" x14ac:dyDescent="0.25">
      <c r="B16" s="9" t="s">
        <v>43</v>
      </c>
      <c r="C16" s="9"/>
      <c r="D16" s="9"/>
      <c r="E16" s="9"/>
      <c r="F16" s="9"/>
      <c r="G16" s="9"/>
      <c r="H16" s="9"/>
      <c r="I16" s="9"/>
      <c r="J16" s="9"/>
    </row>
    <row r="17" spans="2:10" x14ac:dyDescent="0.2">
      <c r="B17" s="10" t="s">
        <v>3539</v>
      </c>
    </row>
    <row r="19" spans="2:10" ht="13.5" thickBot="1" x14ac:dyDescent="0.25">
      <c r="B19" s="9" t="s">
        <v>45</v>
      </c>
      <c r="C19" s="9"/>
      <c r="D19" s="9"/>
      <c r="E19" s="9"/>
      <c r="F19" s="9"/>
      <c r="G19" s="9"/>
      <c r="H19" s="9"/>
      <c r="I19" s="9"/>
      <c r="J19" s="9"/>
    </row>
    <row r="20" spans="2:10" x14ac:dyDescent="0.2">
      <c r="B20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2337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38" r:id="rId5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39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25">
    <pageSetUpPr fitToPage="1"/>
  </sheetPr>
  <dimension ref="A1:J20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10" max="10" width="8.5703125" customWidth="1"/>
  </cols>
  <sheetData>
    <row r="1" spans="1:10" ht="18.75" thickBot="1" x14ac:dyDescent="0.3">
      <c r="A1" s="1" t="s">
        <v>3540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ht="38.25" x14ac:dyDescent="0.2">
      <c r="C3" s="5" t="s">
        <v>467</v>
      </c>
      <c r="D3" s="21" t="s">
        <v>3517</v>
      </c>
      <c r="E3" s="21" t="s">
        <v>3541</v>
      </c>
    </row>
    <row r="4" spans="1:10" x14ac:dyDescent="0.2">
      <c r="C4" s="11">
        <v>1.4758899999999999</v>
      </c>
      <c r="D4" s="2">
        <v>0</v>
      </c>
      <c r="E4" s="69">
        <f t="shared" ref="E4:E9" si="0">ROUNDUP(C4,D4)</f>
        <v>2</v>
      </c>
      <c r="F4" s="8" t="s">
        <v>3542</v>
      </c>
    </row>
    <row r="5" spans="1:10" x14ac:dyDescent="0.2">
      <c r="C5" s="11">
        <v>1.4758899999999999</v>
      </c>
      <c r="D5" s="2">
        <v>1</v>
      </c>
      <c r="E5" s="69">
        <f t="shared" si="0"/>
        <v>1.5</v>
      </c>
      <c r="F5" s="8" t="s">
        <v>3543</v>
      </c>
    </row>
    <row r="6" spans="1:10" x14ac:dyDescent="0.2">
      <c r="C6" s="11">
        <v>1.4758899999999999</v>
      </c>
      <c r="D6" s="2">
        <v>2</v>
      </c>
      <c r="E6" s="69">
        <f t="shared" si="0"/>
        <v>1.48</v>
      </c>
      <c r="F6" s="8" t="s">
        <v>3544</v>
      </c>
    </row>
    <row r="7" spans="1:10" x14ac:dyDescent="0.2">
      <c r="C7" s="11">
        <v>13643.47589</v>
      </c>
      <c r="D7" s="2">
        <v>-1</v>
      </c>
      <c r="E7" s="69">
        <f t="shared" si="0"/>
        <v>13650</v>
      </c>
      <c r="F7" s="8" t="s">
        <v>3545</v>
      </c>
    </row>
    <row r="8" spans="1:10" x14ac:dyDescent="0.2">
      <c r="C8" s="11">
        <v>13643.47589</v>
      </c>
      <c r="D8" s="2">
        <v>-2</v>
      </c>
      <c r="E8" s="69">
        <f t="shared" si="0"/>
        <v>13700</v>
      </c>
      <c r="F8" s="8" t="s">
        <v>3546</v>
      </c>
    </row>
    <row r="9" spans="1:10" x14ac:dyDescent="0.2">
      <c r="C9" s="11">
        <v>13643.47589</v>
      </c>
      <c r="D9" s="2">
        <v>-3</v>
      </c>
      <c r="E9" s="69">
        <f t="shared" si="0"/>
        <v>14000</v>
      </c>
      <c r="F9" s="8" t="s">
        <v>3547</v>
      </c>
    </row>
    <row r="11" spans="1:10" ht="13.5" thickBot="1" x14ac:dyDescent="0.25">
      <c r="B11" s="9" t="s">
        <v>39</v>
      </c>
      <c r="C11" s="9"/>
      <c r="D11" s="9"/>
      <c r="E11" s="9"/>
      <c r="F11" s="9"/>
      <c r="G11" s="9"/>
      <c r="H11" s="9"/>
      <c r="I11" s="9"/>
      <c r="J11" s="9"/>
    </row>
    <row r="12" spans="1:10" x14ac:dyDescent="0.2">
      <c r="B12" t="s">
        <v>3548</v>
      </c>
    </row>
    <row r="13" spans="1:10" x14ac:dyDescent="0.2">
      <c r="B13" t="s">
        <v>3549</v>
      </c>
    </row>
    <row r="14" spans="1:10" x14ac:dyDescent="0.2">
      <c r="B14" t="s">
        <v>3527</v>
      </c>
    </row>
    <row r="16" spans="1:10" ht="13.5" thickBot="1" x14ac:dyDescent="0.25">
      <c r="B16" s="9" t="s">
        <v>43</v>
      </c>
      <c r="C16" s="9"/>
      <c r="D16" s="9"/>
      <c r="E16" s="9"/>
      <c r="F16" s="9"/>
      <c r="G16" s="9"/>
      <c r="H16" s="9"/>
      <c r="I16" s="9"/>
      <c r="J16" s="9"/>
    </row>
    <row r="17" spans="2:10" x14ac:dyDescent="0.2">
      <c r="B17" s="10" t="s">
        <v>3550</v>
      </c>
    </row>
    <row r="19" spans="2:10" ht="13.5" thickBot="1" x14ac:dyDescent="0.25">
      <c r="B19" s="9" t="s">
        <v>45</v>
      </c>
      <c r="C19" s="9"/>
      <c r="D19" s="9"/>
      <c r="E19" s="9"/>
      <c r="F19" s="9"/>
      <c r="G19" s="9"/>
      <c r="H19" s="9"/>
      <c r="I19" s="9"/>
      <c r="J19" s="9"/>
    </row>
    <row r="20" spans="2:10" x14ac:dyDescent="0.2">
      <c r="B20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361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62" r:id="rId5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63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26">
    <pageSetUpPr fitToPage="1"/>
  </sheetPr>
  <dimension ref="A1:H37"/>
  <sheetViews>
    <sheetView showGridLines="0" workbookViewId="0">
      <pane ySplit="1" topLeftCell="A11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8.28515625" customWidth="1"/>
    <col min="5" max="5" width="16.7109375" customWidth="1"/>
  </cols>
  <sheetData>
    <row r="1" spans="1:8" ht="18.75" thickBot="1" x14ac:dyDescent="0.3">
      <c r="A1" s="1" t="s">
        <v>3551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C3" s="5" t="s">
        <v>467</v>
      </c>
      <c r="D3" s="5" t="s">
        <v>1380</v>
      </c>
    </row>
    <row r="4" spans="1:8" x14ac:dyDescent="0.2">
      <c r="C4" s="489">
        <f ca="1">NOW()</f>
        <v>44452.676272685188</v>
      </c>
      <c r="D4" s="3">
        <f ca="1">SECOND(C4)</f>
        <v>50</v>
      </c>
      <c r="E4" s="8" t="s">
        <v>3552</v>
      </c>
    </row>
    <row r="5" spans="1:8" x14ac:dyDescent="0.2">
      <c r="C5" s="416">
        <v>0.5</v>
      </c>
      <c r="D5" s="3">
        <f>SECOND(C5)</f>
        <v>0</v>
      </c>
      <c r="E5" s="8" t="s">
        <v>3553</v>
      </c>
    </row>
    <row r="6" spans="1:8" x14ac:dyDescent="0.2">
      <c r="C6" s="326">
        <v>0.5</v>
      </c>
      <c r="D6" s="3">
        <f>SECOND(C6)</f>
        <v>0</v>
      </c>
      <c r="E6" s="8" t="s">
        <v>3554</v>
      </c>
    </row>
    <row r="7" spans="1:8" x14ac:dyDescent="0.2">
      <c r="C7" s="2">
        <v>0.51</v>
      </c>
      <c r="D7" s="3">
        <f>SECOND(C7)</f>
        <v>24</v>
      </c>
      <c r="E7" s="8" t="s">
        <v>3555</v>
      </c>
    </row>
    <row r="8" spans="1:8" x14ac:dyDescent="0.2">
      <c r="C8" s="2">
        <v>1.51</v>
      </c>
      <c r="D8" s="3">
        <f>SECOND(C8)</f>
        <v>24</v>
      </c>
      <c r="E8" s="8" t="s">
        <v>3556</v>
      </c>
    </row>
    <row r="10" spans="1:8" ht="13.5" thickBot="1" x14ac:dyDescent="0.25">
      <c r="B10" s="9" t="s">
        <v>64</v>
      </c>
      <c r="C10" s="9"/>
      <c r="D10" s="9"/>
      <c r="E10" s="9"/>
      <c r="F10" s="9"/>
      <c r="G10" s="9"/>
      <c r="H10" s="9"/>
    </row>
    <row r="11" spans="1:8" x14ac:dyDescent="0.2">
      <c r="B11" t="s">
        <v>3557</v>
      </c>
    </row>
    <row r="12" spans="1:8" x14ac:dyDescent="0.2">
      <c r="B12" t="s">
        <v>2789</v>
      </c>
    </row>
    <row r="14" spans="1:8" ht="13.5" thickBot="1" x14ac:dyDescent="0.25">
      <c r="B14" s="9" t="s">
        <v>43</v>
      </c>
      <c r="C14" s="9"/>
      <c r="D14" s="9"/>
      <c r="E14" s="9"/>
      <c r="F14" s="9"/>
      <c r="G14" s="9"/>
      <c r="H14" s="9"/>
    </row>
    <row r="15" spans="1:8" x14ac:dyDescent="0.2">
      <c r="B15" s="10" t="s">
        <v>3558</v>
      </c>
    </row>
    <row r="17" spans="2:8" ht="13.5" thickBot="1" x14ac:dyDescent="0.25">
      <c r="B17" s="9" t="s">
        <v>45</v>
      </c>
      <c r="C17" s="9"/>
      <c r="D17" s="9"/>
      <c r="E17" s="9"/>
      <c r="F17" s="9"/>
      <c r="G17" s="9"/>
      <c r="H17" s="9"/>
    </row>
    <row r="18" spans="2:8" x14ac:dyDescent="0.2">
      <c r="B18" t="s">
        <v>2791</v>
      </c>
    </row>
    <row r="20" spans="2:8" ht="13.5" thickBot="1" x14ac:dyDescent="0.25">
      <c r="B20" s="9" t="s">
        <v>85</v>
      </c>
      <c r="C20" s="9"/>
      <c r="D20" s="9"/>
      <c r="E20" s="9"/>
      <c r="F20" s="9"/>
      <c r="G20" s="9"/>
      <c r="H20" s="9"/>
    </row>
    <row r="21" spans="2:8" x14ac:dyDescent="0.2">
      <c r="B21" t="s">
        <v>3559</v>
      </c>
    </row>
    <row r="22" spans="2:8" x14ac:dyDescent="0.2">
      <c r="B22" t="s">
        <v>3560</v>
      </c>
    </row>
    <row r="23" spans="2:8" x14ac:dyDescent="0.2">
      <c r="B23" t="s">
        <v>3561</v>
      </c>
    </row>
    <row r="24" spans="2:8" x14ac:dyDescent="0.2">
      <c r="B24" t="s">
        <v>3562</v>
      </c>
    </row>
    <row r="25" spans="2:8" x14ac:dyDescent="0.2">
      <c r="B25" t="s">
        <v>3563</v>
      </c>
    </row>
    <row r="26" spans="2:8" x14ac:dyDescent="0.2">
      <c r="B26" t="s">
        <v>3564</v>
      </c>
    </row>
    <row r="27" spans="2:8" x14ac:dyDescent="0.2">
      <c r="B27" t="s">
        <v>3565</v>
      </c>
    </row>
    <row r="28" spans="2:8" x14ac:dyDescent="0.2">
      <c r="B28" t="s">
        <v>3566</v>
      </c>
    </row>
    <row r="30" spans="2:8" x14ac:dyDescent="0.2">
      <c r="E30" s="57" t="s">
        <v>3567</v>
      </c>
      <c r="F30" s="490">
        <v>0.01</v>
      </c>
    </row>
    <row r="32" spans="2:8" x14ac:dyDescent="0.2">
      <c r="D32" s="13" t="s">
        <v>3568</v>
      </c>
      <c r="E32" s="15"/>
    </row>
    <row r="33" spans="3:6" x14ac:dyDescent="0.2">
      <c r="C33" s="5" t="s">
        <v>667</v>
      </c>
      <c r="D33" s="5" t="s">
        <v>3569</v>
      </c>
      <c r="E33" s="5" t="s">
        <v>3570</v>
      </c>
      <c r="F33" s="5" t="s">
        <v>164</v>
      </c>
    </row>
    <row r="34" spans="3:6" x14ac:dyDescent="0.2">
      <c r="C34" s="491">
        <v>7.8703703703703705E-4</v>
      </c>
      <c r="D34" s="3">
        <f>MINUTE(C34)</f>
        <v>1</v>
      </c>
      <c r="E34" s="3">
        <f>CEILING(SECOND(C34),5)</f>
        <v>10</v>
      </c>
      <c r="F34" s="269">
        <f>(D34*60*$F$30)+(E34*$F$30)</f>
        <v>0.7</v>
      </c>
    </row>
    <row r="35" spans="3:6" x14ac:dyDescent="0.2">
      <c r="C35" s="491">
        <v>1.423611111111111E-3</v>
      </c>
      <c r="D35" s="3">
        <f>MINUTE(C35)</f>
        <v>2</v>
      </c>
      <c r="E35" s="3">
        <f>CEILING(SECOND(C35),5)</f>
        <v>5</v>
      </c>
      <c r="F35" s="269">
        <f>(D35*60*$F$30)+(E35*$F$30)</f>
        <v>1.25</v>
      </c>
    </row>
    <row r="36" spans="3:6" x14ac:dyDescent="0.2">
      <c r="C36" s="491">
        <v>1.2384259259259258E-3</v>
      </c>
      <c r="D36" s="3">
        <f>MINUTE(C36)</f>
        <v>1</v>
      </c>
      <c r="E36" s="3">
        <f>CEILING(SECOND(C36),5)</f>
        <v>50</v>
      </c>
      <c r="F36" s="269">
        <f>(D36*60*$F$30)+(E36*$F$30)</f>
        <v>1.1000000000000001</v>
      </c>
    </row>
    <row r="37" spans="3:6" x14ac:dyDescent="0.2">
      <c r="E37" s="19" t="s">
        <v>3571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4385" r:id="rId4" name="Button 1">
              <controlPr defaultSize="0" print="0" autoFill="0" autoLine="0" autoPict="0">
                <anchor>
                  <from>
                    <xdr:col>6</xdr:col>
                    <xdr:colOff>438150</xdr:colOff>
                    <xdr:row>0</xdr:row>
                    <xdr:rowOff>38100</xdr:rowOff>
                  </from>
                  <to>
                    <xdr:col>7</xdr:col>
                    <xdr:colOff>304800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86" r:id="rId5" name="Button 2">
              <controlPr defaultSize="0" print="0" autoFill="0" autoLine="0" autoPict="0">
                <anchor>
                  <from>
                    <xdr:col>7</xdr:col>
                    <xdr:colOff>371475</xdr:colOff>
                    <xdr:row>0</xdr:row>
                    <xdr:rowOff>38100</xdr:rowOff>
                  </from>
                  <to>
                    <xdr:col>7</xdr:col>
                    <xdr:colOff>581025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87" r:id="rId6" name="Button 3">
              <controlPr defaultSize="0" print="0" autoFill="0" autoLine="0" autoPict="0">
                <anchor>
                  <from>
                    <xdr:col>6</xdr:col>
                    <xdr:colOff>161925</xdr:colOff>
                    <xdr:row>0</xdr:row>
                    <xdr:rowOff>38100</xdr:rowOff>
                  </from>
                  <to>
                    <xdr:col>6</xdr:col>
                    <xdr:colOff>371475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27">
    <pageSetUpPr fitToPage="1"/>
  </sheetPr>
  <dimension ref="A1:J21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4" max="4" width="10.42578125" customWidth="1"/>
    <col min="10" max="10" width="7.140625" customWidth="1"/>
  </cols>
  <sheetData>
    <row r="1" spans="1:10" ht="18.75" thickBot="1" x14ac:dyDescent="0.3">
      <c r="A1" s="1" t="s">
        <v>3572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ht="25.5" x14ac:dyDescent="0.2">
      <c r="C3" s="5" t="s">
        <v>2184</v>
      </c>
      <c r="D3" s="21" t="s">
        <v>3573</v>
      </c>
    </row>
    <row r="4" spans="1:10" x14ac:dyDescent="0.2">
      <c r="C4" s="143">
        <v>10</v>
      </c>
      <c r="D4" s="3">
        <f>SIGN(C4)</f>
        <v>1</v>
      </c>
      <c r="E4" s="8" t="s">
        <v>3574</v>
      </c>
    </row>
    <row r="5" spans="1:10" x14ac:dyDescent="0.2">
      <c r="C5" s="143">
        <v>20</v>
      </c>
      <c r="D5" s="3">
        <f>SIGN(C5)</f>
        <v>1</v>
      </c>
      <c r="E5" s="8" t="s">
        <v>3575</v>
      </c>
    </row>
    <row r="6" spans="1:10" x14ac:dyDescent="0.2">
      <c r="C6" s="143">
        <v>0</v>
      </c>
      <c r="D6" s="3">
        <f>SIGN(C6)</f>
        <v>0</v>
      </c>
      <c r="E6" s="8" t="s">
        <v>3576</v>
      </c>
    </row>
    <row r="7" spans="1:10" x14ac:dyDescent="0.2">
      <c r="C7" s="143">
        <v>-10</v>
      </c>
      <c r="D7" s="3">
        <f>SIGN(C7)</f>
        <v>-1</v>
      </c>
      <c r="E7" s="8" t="s">
        <v>3577</v>
      </c>
    </row>
    <row r="8" spans="1:10" x14ac:dyDescent="0.2">
      <c r="C8" s="143">
        <v>-20</v>
      </c>
      <c r="D8" s="3">
        <f>SIGN(C8)</f>
        <v>-1</v>
      </c>
      <c r="E8" s="8" t="s">
        <v>3578</v>
      </c>
    </row>
    <row r="10" spans="1:10" ht="13.5" thickBot="1" x14ac:dyDescent="0.25">
      <c r="B10" s="9" t="s">
        <v>39</v>
      </c>
      <c r="C10" s="9"/>
      <c r="D10" s="9"/>
      <c r="E10" s="9"/>
      <c r="F10" s="9"/>
      <c r="G10" s="9"/>
      <c r="H10" s="9"/>
      <c r="I10" s="9"/>
      <c r="J10" s="9"/>
    </row>
    <row r="11" spans="1:10" x14ac:dyDescent="0.2">
      <c r="B11" t="s">
        <v>3579</v>
      </c>
    </row>
    <row r="12" spans="1:10" x14ac:dyDescent="0.2">
      <c r="B12" t="s">
        <v>3580</v>
      </c>
    </row>
    <row r="13" spans="1:10" x14ac:dyDescent="0.2">
      <c r="B13" t="s">
        <v>3581</v>
      </c>
    </row>
    <row r="14" spans="1:10" x14ac:dyDescent="0.2">
      <c r="B14" t="s">
        <v>3582</v>
      </c>
    </row>
    <row r="16" spans="1:10" ht="13.5" thickBot="1" x14ac:dyDescent="0.25">
      <c r="B16" s="9" t="s">
        <v>43</v>
      </c>
      <c r="C16" s="9"/>
      <c r="D16" s="9"/>
      <c r="E16" s="9"/>
      <c r="F16" s="9"/>
      <c r="G16" s="9"/>
      <c r="H16" s="9"/>
      <c r="I16" s="9"/>
      <c r="J16" s="9"/>
    </row>
    <row r="17" spans="2:10" x14ac:dyDescent="0.2">
      <c r="B17" s="10" t="s">
        <v>3583</v>
      </c>
    </row>
    <row r="18" spans="2:10" x14ac:dyDescent="0.2">
      <c r="B18" t="s">
        <v>3584</v>
      </c>
    </row>
    <row r="20" spans="2:10" ht="13.5" thickBot="1" x14ac:dyDescent="0.25">
      <c r="B20" s="9" t="s">
        <v>45</v>
      </c>
      <c r="C20" s="9"/>
      <c r="D20" s="9"/>
      <c r="E20" s="9"/>
      <c r="F20" s="9"/>
      <c r="G20" s="9"/>
      <c r="H20" s="9"/>
      <c r="I20" s="9"/>
      <c r="J20" s="9"/>
    </row>
    <row r="21" spans="2:10" x14ac:dyDescent="0.2">
      <c r="B21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5409" r:id="rId4" name="Button 1">
              <controlPr defaultSize="0" print="0" autoFill="0" autoLine="0" autoPict="0">
                <anchor>
                  <from>
                    <xdr:col>8</xdr:col>
                    <xdr:colOff>285750</xdr:colOff>
                    <xdr:row>0</xdr:row>
                    <xdr:rowOff>38100</xdr:rowOff>
                  </from>
                  <to>
                    <xdr:col>9</xdr:col>
                    <xdr:colOff>152400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10" r:id="rId5" name="Button 2">
              <controlPr defaultSize="0" print="0" autoFill="0" autoLine="0" autoPict="0">
                <anchor>
                  <from>
                    <xdr:col>9</xdr:col>
                    <xdr:colOff>219075</xdr:colOff>
                    <xdr:row>0</xdr:row>
                    <xdr:rowOff>38100</xdr:rowOff>
                  </from>
                  <to>
                    <xdr:col>9</xdr:col>
                    <xdr:colOff>419100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11" r:id="rId6" name="Button 3">
              <controlPr defaultSize="0" print="0" autoFill="0" autoLine="0" autoPict="0">
                <anchor>
                  <from>
                    <xdr:col>8</xdr:col>
                    <xdr:colOff>19050</xdr:colOff>
                    <xdr:row>0</xdr:row>
                    <xdr:rowOff>38100</xdr:rowOff>
                  </from>
                  <to>
                    <xdr:col>8</xdr:col>
                    <xdr:colOff>228600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28">
    <pageSetUpPr fitToPage="1"/>
  </sheetPr>
  <dimension ref="A1:I32"/>
  <sheetViews>
    <sheetView showGridLines="0" workbookViewId="0">
      <selection activeCell="F30" activeCellId="4" sqref="F16 K30 G30 P30 F30"/>
    </sheetView>
  </sheetViews>
  <sheetFormatPr defaultRowHeight="12.75" x14ac:dyDescent="0.2"/>
  <cols>
    <col min="1" max="1" width="2.7109375" customWidth="1"/>
    <col min="4" max="4" width="9.42578125" customWidth="1"/>
    <col min="5" max="5" width="13.42578125" customWidth="1"/>
    <col min="9" max="9" width="13.140625" customWidth="1"/>
  </cols>
  <sheetData>
    <row r="1" spans="1:9" ht="18.75" thickBot="1" x14ac:dyDescent="0.3">
      <c r="A1" s="1" t="s">
        <v>3585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D3" s="22"/>
      <c r="E3" s="35" t="s">
        <v>164</v>
      </c>
      <c r="F3" s="376">
        <v>12000</v>
      </c>
    </row>
    <row r="4" spans="1:9" x14ac:dyDescent="0.2">
      <c r="D4" s="22"/>
      <c r="E4" s="35" t="s">
        <v>3586</v>
      </c>
      <c r="F4" s="376">
        <v>2000</v>
      </c>
    </row>
    <row r="5" spans="1:9" x14ac:dyDescent="0.2">
      <c r="D5" s="22"/>
      <c r="E5" s="35" t="s">
        <v>3587</v>
      </c>
      <c r="F5" s="492">
        <v>4</v>
      </c>
    </row>
    <row r="6" spans="1:9" x14ac:dyDescent="0.2">
      <c r="D6" s="22"/>
      <c r="E6" s="35" t="s">
        <v>3588</v>
      </c>
      <c r="F6" s="325">
        <f>SLN(F3,F4,F5)</f>
        <v>2500</v>
      </c>
      <c r="G6" s="8" t="s">
        <v>3589</v>
      </c>
    </row>
    <row r="9" spans="1:9" x14ac:dyDescent="0.2">
      <c r="C9" s="22"/>
      <c r="D9" s="24"/>
      <c r="E9" s="23" t="s">
        <v>3590</v>
      </c>
      <c r="F9" s="376">
        <v>20000</v>
      </c>
    </row>
    <row r="10" spans="1:9" x14ac:dyDescent="0.2">
      <c r="C10" s="22"/>
      <c r="D10" s="24"/>
      <c r="E10" s="23" t="s">
        <v>3591</v>
      </c>
      <c r="F10" s="376">
        <v>8000</v>
      </c>
    </row>
    <row r="11" spans="1:9" x14ac:dyDescent="0.2">
      <c r="C11" s="22"/>
      <c r="D11" s="24"/>
      <c r="E11" s="23" t="s">
        <v>3592</v>
      </c>
      <c r="F11" s="492">
        <v>6</v>
      </c>
    </row>
    <row r="12" spans="1:9" x14ac:dyDescent="0.2">
      <c r="C12" s="22"/>
      <c r="D12" s="24"/>
      <c r="E12" s="23" t="s">
        <v>3593</v>
      </c>
      <c r="F12" s="325">
        <f>SLN(F9,F10,F11)</f>
        <v>2000</v>
      </c>
      <c r="G12" s="8" t="s">
        <v>3594</v>
      </c>
    </row>
    <row r="14" spans="1:9" ht="13.5" thickBot="1" x14ac:dyDescent="0.25">
      <c r="B14" s="9" t="s">
        <v>39</v>
      </c>
      <c r="C14" s="9"/>
      <c r="D14" s="9"/>
      <c r="E14" s="9"/>
      <c r="F14" s="9"/>
      <c r="G14" s="9"/>
      <c r="H14" s="9"/>
      <c r="I14" s="9"/>
    </row>
    <row r="15" spans="1:9" x14ac:dyDescent="0.2">
      <c r="B15" t="s">
        <v>3595</v>
      </c>
    </row>
    <row r="16" spans="1:9" x14ac:dyDescent="0.2">
      <c r="B16" t="s">
        <v>3596</v>
      </c>
    </row>
    <row r="17" spans="2:9" x14ac:dyDescent="0.2">
      <c r="B17" t="s">
        <v>3597</v>
      </c>
    </row>
    <row r="18" spans="2:9" x14ac:dyDescent="0.2">
      <c r="B18" t="s">
        <v>3598</v>
      </c>
    </row>
    <row r="20" spans="2:9" x14ac:dyDescent="0.2">
      <c r="B20" t="s">
        <v>3599</v>
      </c>
    </row>
    <row r="21" spans="2:9" x14ac:dyDescent="0.2">
      <c r="B21" t="s">
        <v>3600</v>
      </c>
    </row>
    <row r="22" spans="2:9" x14ac:dyDescent="0.2">
      <c r="B22" t="s">
        <v>3601</v>
      </c>
    </row>
    <row r="23" spans="2:9" x14ac:dyDescent="0.2">
      <c r="B23" t="s">
        <v>3602</v>
      </c>
    </row>
    <row r="25" spans="2:9" ht="13.5" thickBot="1" x14ac:dyDescent="0.25">
      <c r="B25" s="9" t="s">
        <v>43</v>
      </c>
      <c r="C25" s="9"/>
      <c r="D25" s="9"/>
      <c r="E25" s="9"/>
      <c r="F25" s="9"/>
      <c r="G25" s="9"/>
      <c r="H25" s="9"/>
      <c r="I25" s="9"/>
    </row>
    <row r="26" spans="2:9" x14ac:dyDescent="0.2">
      <c r="B26" s="10" t="s">
        <v>3603</v>
      </c>
    </row>
    <row r="27" spans="2:9" x14ac:dyDescent="0.2">
      <c r="B27" t="s">
        <v>3604</v>
      </c>
    </row>
    <row r="28" spans="2:9" x14ac:dyDescent="0.2">
      <c r="B28" t="s">
        <v>3605</v>
      </c>
    </row>
    <row r="29" spans="2:9" x14ac:dyDescent="0.2">
      <c r="B29" t="s">
        <v>3606</v>
      </c>
    </row>
    <row r="31" spans="2:9" ht="13.5" thickBot="1" x14ac:dyDescent="0.25">
      <c r="B31" s="9" t="s">
        <v>45</v>
      </c>
      <c r="C31" s="9"/>
      <c r="D31" s="9"/>
      <c r="E31" s="9"/>
      <c r="F31" s="9"/>
      <c r="G31" s="9"/>
      <c r="H31" s="9"/>
      <c r="I31" s="9"/>
    </row>
    <row r="32" spans="2:9" x14ac:dyDescent="0.2">
      <c r="B32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6433" r:id="rId4" name="Button 1">
              <controlPr defaultSize="0" print="0" autoFill="0" autoLine="0" autoPict="0">
                <anchor>
                  <from>
                    <xdr:col>8</xdr:col>
                    <xdr:colOff>47625</xdr:colOff>
                    <xdr:row>0</xdr:row>
                    <xdr:rowOff>38100</xdr:rowOff>
                  </from>
                  <to>
                    <xdr:col>8</xdr:col>
                    <xdr:colOff>514350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434" r:id="rId5" name="Button 2">
              <controlPr defaultSize="0" print="0" autoFill="0" autoLine="0" autoPict="0">
                <anchor>
                  <from>
                    <xdr:col>8</xdr:col>
                    <xdr:colOff>581025</xdr:colOff>
                    <xdr:row>0</xdr:row>
                    <xdr:rowOff>38100</xdr:rowOff>
                  </from>
                  <to>
                    <xdr:col>8</xdr:col>
                    <xdr:colOff>781050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435" r:id="rId6" name="Button 3">
              <controlPr defaultSize="0" print="0" autoFill="0" autoLine="0" autoPict="0">
                <anchor>
                  <from>
                    <xdr:col>7</xdr:col>
                    <xdr:colOff>381000</xdr:colOff>
                    <xdr:row>0</xdr:row>
                    <xdr:rowOff>38100</xdr:rowOff>
                  </from>
                  <to>
                    <xdr:col>7</xdr:col>
                    <xdr:colOff>590550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30">
    <pageSetUpPr fitToPage="1"/>
  </sheetPr>
  <dimension ref="A1:F8"/>
  <sheetViews>
    <sheetView showGridLines="0" workbookViewId="0">
      <selection activeCell="F30" activeCellId="4" sqref="F16 K30 G30 P30 F30"/>
    </sheetView>
  </sheetViews>
  <sheetFormatPr defaultColWidth="8.85546875" defaultRowHeight="12.75" x14ac:dyDescent="0.2"/>
  <sheetData>
    <row r="1" spans="1:6" x14ac:dyDescent="0.2">
      <c r="A1" t="s">
        <v>3607</v>
      </c>
    </row>
    <row r="2" spans="1:6" x14ac:dyDescent="0.2">
      <c r="A2" t="s">
        <v>1856</v>
      </c>
    </row>
    <row r="4" spans="1:6" x14ac:dyDescent="0.2">
      <c r="C4" s="5" t="s">
        <v>12</v>
      </c>
      <c r="D4" s="5" t="s">
        <v>13</v>
      </c>
      <c r="E4" s="5" t="s">
        <v>14</v>
      </c>
      <c r="F4" s="5" t="s">
        <v>15</v>
      </c>
    </row>
    <row r="5" spans="1:6" x14ac:dyDescent="0.2">
      <c r="B5" s="5" t="s">
        <v>118</v>
      </c>
      <c r="C5" s="2">
        <v>100</v>
      </c>
      <c r="D5" s="2">
        <v>200</v>
      </c>
      <c r="E5" s="2">
        <v>300</v>
      </c>
      <c r="F5" s="3">
        <f>SUM(C5:E5)</f>
        <v>600</v>
      </c>
    </row>
    <row r="6" spans="1:6" x14ac:dyDescent="0.2">
      <c r="B6" s="5" t="s">
        <v>120</v>
      </c>
      <c r="C6" s="2">
        <v>400</v>
      </c>
      <c r="D6" s="2">
        <v>500</v>
      </c>
      <c r="E6" s="2">
        <v>600</v>
      </c>
      <c r="F6" s="3">
        <f>SUM(C6:E6)</f>
        <v>1500</v>
      </c>
    </row>
    <row r="7" spans="1:6" x14ac:dyDescent="0.2">
      <c r="B7" s="5" t="s">
        <v>121</v>
      </c>
      <c r="C7" s="2">
        <v>700</v>
      </c>
      <c r="D7" s="2">
        <v>800</v>
      </c>
      <c r="E7" s="2">
        <v>900</v>
      </c>
      <c r="F7" s="3">
        <f>SUM(C7:E7)</f>
        <v>2400</v>
      </c>
    </row>
    <row r="8" spans="1:6" x14ac:dyDescent="0.2">
      <c r="B8" s="5" t="s">
        <v>15</v>
      </c>
      <c r="C8" s="3">
        <f>SUM(C5:C7)</f>
        <v>1200</v>
      </c>
      <c r="D8" s="3">
        <f>SUM(D5:D7)</f>
        <v>1500</v>
      </c>
      <c r="E8" s="3">
        <f>SUM(E5:E7)</f>
        <v>1800</v>
      </c>
      <c r="F8" s="3">
        <f>SUM(C8:E8)</f>
        <v>4500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7457" r:id="rId4" name="Button 1">
              <controlPr defaultSize="0" print="0" autoFill="0" autoLine="0" autoPict="0">
                <anchor>
                  <from>
                    <xdr:col>7</xdr:col>
                    <xdr:colOff>561975</xdr:colOff>
                    <xdr:row>0</xdr:row>
                    <xdr:rowOff>38100</xdr:rowOff>
                  </from>
                  <to>
                    <xdr:col>8</xdr:col>
                    <xdr:colOff>438150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58" r:id="rId5" name="Button 2">
              <controlPr defaultSize="0" print="0" autoFill="0" autoLine="0" autoPict="0">
                <anchor>
                  <from>
                    <xdr:col>8</xdr:col>
                    <xdr:colOff>504825</xdr:colOff>
                    <xdr:row>0</xdr:row>
                    <xdr:rowOff>38100</xdr:rowOff>
                  </from>
                  <to>
                    <xdr:col>9</xdr:col>
                    <xdr:colOff>114300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59" r:id="rId6" name="Button 3">
              <controlPr defaultSize="0" print="0" autoFill="0" autoLine="0" autoPict="0">
                <anchor>
                  <from>
                    <xdr:col>7</xdr:col>
                    <xdr:colOff>295275</xdr:colOff>
                    <xdr:row>0</xdr:row>
                    <xdr:rowOff>38100</xdr:rowOff>
                  </from>
                  <to>
                    <xdr:col>7</xdr:col>
                    <xdr:colOff>495300</xdr:colOff>
                    <xdr:row>1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31">
    <pageSetUpPr fitToPage="1"/>
  </sheetPr>
  <dimension ref="A1:J47"/>
  <sheetViews>
    <sheetView showGridLines="0" workbookViewId="0">
      <pane ySplit="1" topLeftCell="A23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7" max="7" width="9.7109375" customWidth="1"/>
    <col min="8" max="8" width="10" customWidth="1"/>
    <col min="10" max="10" width="7" customWidth="1"/>
  </cols>
  <sheetData>
    <row r="1" spans="1:10" ht="18.75" thickBot="1" x14ac:dyDescent="0.3">
      <c r="A1" s="1" t="s">
        <v>3608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x14ac:dyDescent="0.2">
      <c r="C3" s="5" t="s">
        <v>356</v>
      </c>
      <c r="E3" s="5" t="s">
        <v>356</v>
      </c>
      <c r="G3" s="5" t="s">
        <v>356</v>
      </c>
    </row>
    <row r="4" spans="1:10" x14ac:dyDescent="0.2">
      <c r="C4" s="2">
        <v>10</v>
      </c>
      <c r="E4" s="2">
        <v>10</v>
      </c>
      <c r="G4" s="2">
        <v>10</v>
      </c>
    </row>
    <row r="5" spans="1:10" x14ac:dyDescent="0.2">
      <c r="C5" s="2">
        <v>10</v>
      </c>
      <c r="E5" s="2">
        <v>10</v>
      </c>
      <c r="G5" s="2">
        <v>11</v>
      </c>
    </row>
    <row r="6" spans="1:10" x14ac:dyDescent="0.2">
      <c r="C6" s="2">
        <v>9</v>
      </c>
      <c r="E6" s="2">
        <v>11</v>
      </c>
      <c r="G6" s="2">
        <v>9</v>
      </c>
    </row>
    <row r="7" spans="1:10" x14ac:dyDescent="0.2">
      <c r="C7" s="2">
        <v>10</v>
      </c>
      <c r="E7" s="2">
        <v>10</v>
      </c>
      <c r="G7" s="2">
        <v>12</v>
      </c>
    </row>
    <row r="9" spans="1:10" x14ac:dyDescent="0.2">
      <c r="C9" s="3">
        <f>STDEV(C4:C7)</f>
        <v>0.5</v>
      </c>
      <c r="E9" s="3">
        <f>STDEV(E4:E7)</f>
        <v>0.5</v>
      </c>
      <c r="G9" s="3">
        <f>STDEV(G4:G7)</f>
        <v>1.2909944487358056</v>
      </c>
    </row>
    <row r="10" spans="1:10" x14ac:dyDescent="0.2">
      <c r="C10" s="19" t="s">
        <v>3609</v>
      </c>
      <c r="E10" s="19" t="s">
        <v>3610</v>
      </c>
      <c r="G10" s="19" t="s">
        <v>3611</v>
      </c>
    </row>
    <row r="12" spans="1:10" ht="13.5" thickBot="1" x14ac:dyDescent="0.25">
      <c r="B12" s="9" t="s">
        <v>39</v>
      </c>
      <c r="C12" s="9"/>
      <c r="D12" s="9"/>
      <c r="E12" s="9"/>
      <c r="F12" s="9"/>
      <c r="G12" s="9"/>
      <c r="H12" s="9"/>
      <c r="I12" s="9"/>
      <c r="J12" s="9"/>
    </row>
    <row r="13" spans="1:10" x14ac:dyDescent="0.2">
      <c r="B13" t="s">
        <v>3612</v>
      </c>
    </row>
    <row r="14" spans="1:10" x14ac:dyDescent="0.2">
      <c r="B14" t="s">
        <v>3613</v>
      </c>
    </row>
    <row r="16" spans="1:10" ht="13.5" thickBot="1" x14ac:dyDescent="0.25">
      <c r="B16" s="9" t="s">
        <v>43</v>
      </c>
      <c r="C16" s="9"/>
      <c r="D16" s="9"/>
      <c r="E16" s="9"/>
      <c r="F16" s="9"/>
      <c r="G16" s="9"/>
      <c r="H16" s="9"/>
      <c r="I16" s="9"/>
      <c r="J16" s="9"/>
    </row>
    <row r="17" spans="2:10" x14ac:dyDescent="0.2">
      <c r="B17" s="10" t="s">
        <v>3614</v>
      </c>
    </row>
    <row r="19" spans="2:10" ht="13.5" thickBot="1" x14ac:dyDescent="0.25">
      <c r="B19" s="9" t="s">
        <v>45</v>
      </c>
      <c r="C19" s="9"/>
      <c r="D19" s="9"/>
      <c r="E19" s="9"/>
      <c r="F19" s="9"/>
      <c r="G19" s="9"/>
      <c r="H19" s="9"/>
      <c r="I19" s="9"/>
      <c r="J19" s="9"/>
    </row>
    <row r="20" spans="2:10" x14ac:dyDescent="0.2">
      <c r="B20" t="s">
        <v>46</v>
      </c>
    </row>
    <row r="22" spans="2:10" ht="13.5" thickBot="1" x14ac:dyDescent="0.25">
      <c r="B22" s="9" t="s">
        <v>85</v>
      </c>
      <c r="C22" s="9"/>
      <c r="D22" s="9"/>
      <c r="E22" s="9"/>
      <c r="F22" s="9"/>
      <c r="G22" s="9"/>
      <c r="H22" s="9"/>
      <c r="I22" s="9"/>
      <c r="J22" s="9"/>
    </row>
    <row r="23" spans="2:10" x14ac:dyDescent="0.2">
      <c r="B23" t="s">
        <v>3615</v>
      </c>
    </row>
    <row r="24" spans="2:10" x14ac:dyDescent="0.2">
      <c r="B24" t="s">
        <v>3616</v>
      </c>
    </row>
    <row r="25" spans="2:10" x14ac:dyDescent="0.2">
      <c r="B25" t="s">
        <v>3617</v>
      </c>
    </row>
    <row r="26" spans="2:10" x14ac:dyDescent="0.2">
      <c r="B26" t="s">
        <v>3618</v>
      </c>
    </row>
    <row r="27" spans="2:10" x14ac:dyDescent="0.2">
      <c r="B27" t="s">
        <v>3619</v>
      </c>
    </row>
    <row r="28" spans="2:10" x14ac:dyDescent="0.2">
      <c r="B28" t="s">
        <v>3620</v>
      </c>
    </row>
    <row r="29" spans="2:10" x14ac:dyDescent="0.2">
      <c r="B29" t="s">
        <v>3621</v>
      </c>
    </row>
    <row r="30" spans="2:10" x14ac:dyDescent="0.2">
      <c r="B30" t="s">
        <v>3622</v>
      </c>
    </row>
    <row r="32" spans="2:10" x14ac:dyDescent="0.2">
      <c r="D32" s="13" t="s">
        <v>3623</v>
      </c>
      <c r="E32" s="14"/>
      <c r="F32" s="14"/>
      <c r="G32" s="14"/>
      <c r="H32" s="15"/>
    </row>
    <row r="33" spans="2:10" x14ac:dyDescent="0.2">
      <c r="D33" s="5" t="s">
        <v>919</v>
      </c>
      <c r="E33" s="5" t="s">
        <v>920</v>
      </c>
      <c r="F33" s="5" t="s">
        <v>921</v>
      </c>
      <c r="G33" s="5" t="s">
        <v>3624</v>
      </c>
      <c r="H33" s="5" t="s">
        <v>3625</v>
      </c>
    </row>
    <row r="34" spans="2:10" x14ac:dyDescent="0.2">
      <c r="C34" s="5" t="s">
        <v>3626</v>
      </c>
      <c r="D34" s="2">
        <v>1.4</v>
      </c>
      <c r="E34" s="2">
        <v>1.5</v>
      </c>
      <c r="F34" s="2">
        <v>1.6</v>
      </c>
      <c r="G34" s="2">
        <v>1.5</v>
      </c>
      <c r="H34" s="493">
        <f>STDEV(D34:G34)</f>
        <v>8.1649658092772678E-2</v>
      </c>
      <c r="I34" s="8" t="s">
        <v>3627</v>
      </c>
    </row>
    <row r="35" spans="2:10" x14ac:dyDescent="0.2">
      <c r="C35" s="5" t="s">
        <v>3628</v>
      </c>
      <c r="D35" s="2">
        <v>1.5</v>
      </c>
      <c r="E35" s="2">
        <v>1.5</v>
      </c>
      <c r="F35" s="2">
        <v>1.4</v>
      </c>
      <c r="G35" s="2">
        <v>1.5</v>
      </c>
      <c r="H35" s="493">
        <f>STDEV(D35:G35)</f>
        <v>5.0000000000000044E-2</v>
      </c>
      <c r="I35" s="8" t="s">
        <v>3629</v>
      </c>
    </row>
    <row r="36" spans="2:10" x14ac:dyDescent="0.2">
      <c r="C36" s="5" t="s">
        <v>3630</v>
      </c>
      <c r="D36" s="2">
        <v>1.5</v>
      </c>
      <c r="E36" s="2">
        <v>1.6</v>
      </c>
      <c r="F36" s="2">
        <v>1.7</v>
      </c>
      <c r="G36" s="2">
        <v>1.8</v>
      </c>
      <c r="H36" s="493">
        <f>STDEV(D36:G36)</f>
        <v>0.12909944487358055</v>
      </c>
      <c r="I36" s="8" t="s">
        <v>3631</v>
      </c>
    </row>
    <row r="38" spans="2:10" x14ac:dyDescent="0.2">
      <c r="E38" s="22"/>
      <c r="F38" s="24"/>
      <c r="G38" s="23" t="s">
        <v>3632</v>
      </c>
      <c r="H38" s="493">
        <f>MIN(H34:H36)</f>
        <v>5.0000000000000044E-2</v>
      </c>
      <c r="I38" s="8" t="s">
        <v>3633</v>
      </c>
    </row>
    <row r="40" spans="2:10" x14ac:dyDescent="0.2">
      <c r="D40" s="22"/>
      <c r="E40" s="24"/>
      <c r="F40" s="24"/>
      <c r="G40" s="57" t="s">
        <v>3634</v>
      </c>
      <c r="H40" s="3" t="str">
        <f>INDEX(C34:C36,MATCH(MIN(H34:H36),H34:H36,0))</f>
        <v>Machine 2</v>
      </c>
    </row>
    <row r="41" spans="2:10" x14ac:dyDescent="0.2">
      <c r="H41" s="32" t="s">
        <v>3635</v>
      </c>
    </row>
    <row r="43" spans="2:10" ht="13.5" thickBot="1" x14ac:dyDescent="0.25">
      <c r="B43" s="9" t="s">
        <v>3636</v>
      </c>
      <c r="C43" s="9"/>
      <c r="D43" s="9"/>
      <c r="E43" s="9"/>
      <c r="F43" s="9"/>
      <c r="G43" s="9"/>
      <c r="H43" s="9"/>
      <c r="I43" s="9"/>
      <c r="J43" s="9"/>
    </row>
    <row r="44" spans="2:10" x14ac:dyDescent="0.2">
      <c r="E44" s="178" t="s">
        <v>3637</v>
      </c>
      <c r="F44" s="250" t="s">
        <v>3633</v>
      </c>
    </row>
    <row r="45" spans="2:10" x14ac:dyDescent="0.2">
      <c r="E45" s="178" t="s">
        <v>3638</v>
      </c>
      <c r="F45" s="250" t="s">
        <v>3639</v>
      </c>
    </row>
    <row r="46" spans="2:10" x14ac:dyDescent="0.2">
      <c r="D46" s="178"/>
      <c r="E46" s="178" t="s">
        <v>3640</v>
      </c>
      <c r="F46" s="250" t="s">
        <v>3635</v>
      </c>
    </row>
    <row r="47" spans="2:10" x14ac:dyDescent="0.2">
      <c r="E47" s="178" t="s">
        <v>3641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87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8481" r:id="rId4" name="Button 1">
              <controlPr defaultSize="0" print="0" autoFill="0" autoLine="0" autoPict="0">
                <anchor>
                  <from>
                    <xdr:col>8</xdr:col>
                    <xdr:colOff>266700</xdr:colOff>
                    <xdr:row>0</xdr:row>
                    <xdr:rowOff>38100</xdr:rowOff>
                  </from>
                  <to>
                    <xdr:col>9</xdr:col>
                    <xdr:colOff>133350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482" r:id="rId5" name="Button 2">
              <controlPr defaultSize="0" print="0" autoFill="0" autoLine="0" autoPict="0">
                <anchor>
                  <from>
                    <xdr:col>9</xdr:col>
                    <xdr:colOff>200025</xdr:colOff>
                    <xdr:row>0</xdr:row>
                    <xdr:rowOff>38100</xdr:rowOff>
                  </from>
                  <to>
                    <xdr:col>9</xdr:col>
                    <xdr:colOff>400050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483" r:id="rId6" name="Button 3">
              <controlPr defaultSize="0" print="0" autoFill="0" autoLine="0" autoPict="0">
                <anchor>
                  <from>
                    <xdr:col>7</xdr:col>
                    <xdr:colOff>657225</xdr:colOff>
                    <xdr:row>0</xdr:row>
                    <xdr:rowOff>38100</xdr:rowOff>
                  </from>
                  <to>
                    <xdr:col>8</xdr:col>
                    <xdr:colOff>200025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32">
    <pageSetUpPr fitToPage="1"/>
  </sheetPr>
  <dimension ref="A1:K46"/>
  <sheetViews>
    <sheetView showGridLines="0" workbookViewId="0">
      <pane ySplit="1" topLeftCell="A26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4" max="7" width="8.7109375" customWidth="1"/>
    <col min="8" max="8" width="10" customWidth="1"/>
    <col min="10" max="10" width="9.5703125" customWidth="1"/>
    <col min="11" max="11" width="1.7109375" customWidth="1"/>
  </cols>
  <sheetData>
    <row r="1" spans="1:10" ht="18.75" thickBot="1" x14ac:dyDescent="0.3">
      <c r="A1" s="1" t="s">
        <v>3642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x14ac:dyDescent="0.2">
      <c r="C3" s="5" t="s">
        <v>356</v>
      </c>
      <c r="E3" s="5" t="s">
        <v>356</v>
      </c>
      <c r="G3" s="5" t="s">
        <v>356</v>
      </c>
    </row>
    <row r="4" spans="1:10" x14ac:dyDescent="0.2">
      <c r="C4" s="2">
        <v>10</v>
      </c>
      <c r="E4" s="2">
        <v>10</v>
      </c>
      <c r="G4" s="2">
        <v>10</v>
      </c>
    </row>
    <row r="5" spans="1:10" x14ac:dyDescent="0.2">
      <c r="C5" s="2">
        <v>10</v>
      </c>
      <c r="E5" s="2">
        <v>10</v>
      </c>
      <c r="G5" s="2">
        <v>11</v>
      </c>
    </row>
    <row r="6" spans="1:10" x14ac:dyDescent="0.2">
      <c r="C6" s="2">
        <v>9</v>
      </c>
      <c r="E6" s="2">
        <v>11</v>
      </c>
      <c r="G6" s="2">
        <v>9</v>
      </c>
    </row>
    <row r="7" spans="1:10" x14ac:dyDescent="0.2">
      <c r="C7" s="2">
        <v>10</v>
      </c>
      <c r="E7" s="2">
        <v>10</v>
      </c>
      <c r="G7" s="2">
        <v>12</v>
      </c>
    </row>
    <row r="9" spans="1:10" x14ac:dyDescent="0.2">
      <c r="C9" s="3">
        <f>STDEVP(C4:C7)</f>
        <v>0.4330127018922193</v>
      </c>
      <c r="E9" s="3">
        <f>STDEVP(E4:E7)</f>
        <v>0.4330127018922193</v>
      </c>
      <c r="G9" s="3">
        <f>STDEVP(G4:G7)</f>
        <v>1.1180339887498949</v>
      </c>
    </row>
    <row r="10" spans="1:10" x14ac:dyDescent="0.2">
      <c r="C10" s="19" t="s">
        <v>3643</v>
      </c>
      <c r="E10" s="19" t="s">
        <v>3644</v>
      </c>
      <c r="G10" s="19" t="s">
        <v>3645</v>
      </c>
    </row>
    <row r="12" spans="1:10" ht="13.5" thickBot="1" x14ac:dyDescent="0.25">
      <c r="B12" s="9" t="s">
        <v>39</v>
      </c>
      <c r="C12" s="9"/>
      <c r="D12" s="9"/>
      <c r="E12" s="9"/>
      <c r="F12" s="9"/>
      <c r="G12" s="9"/>
      <c r="H12" s="9"/>
      <c r="I12" s="9"/>
      <c r="J12" s="9"/>
    </row>
    <row r="13" spans="1:10" x14ac:dyDescent="0.2">
      <c r="B13" t="s">
        <v>3646</v>
      </c>
    </row>
    <row r="14" spans="1:10" x14ac:dyDescent="0.2">
      <c r="B14" t="s">
        <v>3647</v>
      </c>
    </row>
    <row r="16" spans="1:10" ht="13.5" thickBot="1" x14ac:dyDescent="0.25">
      <c r="B16" s="9" t="s">
        <v>43</v>
      </c>
      <c r="C16" s="9"/>
      <c r="D16" s="9"/>
      <c r="E16" s="9"/>
      <c r="F16" s="9"/>
      <c r="G16" s="9"/>
      <c r="H16" s="9"/>
      <c r="I16" s="9"/>
      <c r="J16" s="9"/>
    </row>
    <row r="17" spans="2:10" x14ac:dyDescent="0.2">
      <c r="B17" s="10" t="s">
        <v>3648</v>
      </c>
    </row>
    <row r="19" spans="2:10" ht="13.5" thickBot="1" x14ac:dyDescent="0.25">
      <c r="B19" s="9" t="s">
        <v>45</v>
      </c>
      <c r="C19" s="9"/>
      <c r="D19" s="9"/>
      <c r="E19" s="9"/>
      <c r="F19" s="9"/>
      <c r="G19" s="9"/>
      <c r="H19" s="9"/>
      <c r="I19" s="9"/>
      <c r="J19" s="9"/>
    </row>
    <row r="20" spans="2:10" x14ac:dyDescent="0.2">
      <c r="B20" t="s">
        <v>46</v>
      </c>
    </row>
    <row r="22" spans="2:10" ht="13.5" thickBot="1" x14ac:dyDescent="0.25">
      <c r="B22" s="9" t="s">
        <v>85</v>
      </c>
      <c r="C22" s="9"/>
      <c r="D22" s="9"/>
      <c r="E22" s="9"/>
      <c r="F22" s="9"/>
      <c r="G22" s="9"/>
      <c r="H22" s="9"/>
      <c r="I22" s="9"/>
      <c r="J22" s="9"/>
    </row>
    <row r="23" spans="2:10" x14ac:dyDescent="0.2">
      <c r="B23" t="s">
        <v>3615</v>
      </c>
    </row>
    <row r="24" spans="2:10" x14ac:dyDescent="0.2">
      <c r="B24" t="s">
        <v>3616</v>
      </c>
    </row>
    <row r="25" spans="2:10" x14ac:dyDescent="0.2">
      <c r="B25" t="s">
        <v>3649</v>
      </c>
    </row>
    <row r="26" spans="2:10" x14ac:dyDescent="0.2">
      <c r="B26" t="s">
        <v>3650</v>
      </c>
    </row>
    <row r="27" spans="2:10" x14ac:dyDescent="0.2">
      <c r="B27" t="s">
        <v>3651</v>
      </c>
    </row>
    <row r="28" spans="2:10" x14ac:dyDescent="0.2">
      <c r="B28" t="s">
        <v>3652</v>
      </c>
    </row>
    <row r="30" spans="2:10" x14ac:dyDescent="0.2">
      <c r="D30" s="13" t="s">
        <v>3623</v>
      </c>
      <c r="E30" s="14"/>
      <c r="F30" s="14"/>
      <c r="G30" s="14"/>
      <c r="H30" s="15"/>
    </row>
    <row r="31" spans="2:10" x14ac:dyDescent="0.2">
      <c r="D31" s="5" t="s">
        <v>919</v>
      </c>
      <c r="E31" s="5" t="s">
        <v>920</v>
      </c>
      <c r="F31" s="5" t="s">
        <v>921</v>
      </c>
      <c r="G31" s="5" t="s">
        <v>3624</v>
      </c>
      <c r="H31" s="5" t="s">
        <v>3625</v>
      </c>
    </row>
    <row r="32" spans="2:10" x14ac:dyDescent="0.2">
      <c r="C32" s="5" t="s">
        <v>3626</v>
      </c>
      <c r="D32" s="2">
        <v>1.4</v>
      </c>
      <c r="E32" s="2">
        <v>1.5</v>
      </c>
      <c r="F32" s="2">
        <v>1.6</v>
      </c>
      <c r="G32" s="2">
        <v>1.5</v>
      </c>
      <c r="H32" s="493">
        <f>STDEVP(D32:G32)</f>
        <v>7.0710678118654821E-2</v>
      </c>
      <c r="I32" s="8" t="s">
        <v>3653</v>
      </c>
    </row>
    <row r="33" spans="2:11" x14ac:dyDescent="0.2">
      <c r="C33" s="5" t="s">
        <v>3628</v>
      </c>
      <c r="D33" s="2">
        <v>1.5</v>
      </c>
      <c r="E33" s="2">
        <v>1.5</v>
      </c>
      <c r="F33" s="2">
        <v>1.4</v>
      </c>
      <c r="G33" s="2">
        <v>1.5</v>
      </c>
      <c r="H33" s="493">
        <f>STDEVP(D33:G33)</f>
        <v>4.3301270189221974E-2</v>
      </c>
      <c r="I33" s="8" t="s">
        <v>3654</v>
      </c>
    </row>
    <row r="34" spans="2:11" x14ac:dyDescent="0.2">
      <c r="C34" s="5" t="s">
        <v>3630</v>
      </c>
      <c r="D34" s="2">
        <v>1.5</v>
      </c>
      <c r="E34" s="2">
        <v>1.6</v>
      </c>
      <c r="F34" s="2">
        <v>1.7</v>
      </c>
      <c r="G34" s="2">
        <v>1.8</v>
      </c>
      <c r="H34" s="493">
        <f>STDEVP(D34:G34)</f>
        <v>0.11180339887498948</v>
      </c>
      <c r="I34" s="8" t="s">
        <v>3655</v>
      </c>
    </row>
    <row r="36" spans="2:11" x14ac:dyDescent="0.2">
      <c r="E36" s="22"/>
      <c r="F36" s="24"/>
      <c r="G36" s="23" t="s">
        <v>3656</v>
      </c>
      <c r="H36" s="493">
        <f>MIN(H32:H34)</f>
        <v>4.3301270189221974E-2</v>
      </c>
      <c r="I36" s="8" t="s">
        <v>3657</v>
      </c>
    </row>
    <row r="38" spans="2:11" x14ac:dyDescent="0.2">
      <c r="D38" s="22" t="s">
        <v>3658</v>
      </c>
      <c r="E38" s="24"/>
      <c r="F38" s="24"/>
      <c r="G38" s="24"/>
      <c r="H38" s="3" t="str">
        <f>INDEX(C32:C34,MATCH(MIN(H32:H34),H32:H34,0))</f>
        <v>Machine 2</v>
      </c>
    </row>
    <row r="39" spans="2:11" x14ac:dyDescent="0.2">
      <c r="H39" s="32" t="s">
        <v>3659</v>
      </c>
    </row>
    <row r="41" spans="2:11" ht="13.5" thickBot="1" x14ac:dyDescent="0.25">
      <c r="B41" s="9" t="s">
        <v>3636</v>
      </c>
      <c r="C41" s="9"/>
      <c r="D41" s="9"/>
      <c r="E41" s="9"/>
      <c r="F41" s="9"/>
      <c r="G41" s="9"/>
      <c r="H41" s="9"/>
      <c r="I41" s="9"/>
      <c r="J41" s="9"/>
    </row>
    <row r="42" spans="2:11" x14ac:dyDescent="0.2">
      <c r="E42" s="178" t="s">
        <v>3637</v>
      </c>
      <c r="F42" s="250" t="s">
        <v>3660</v>
      </c>
    </row>
    <row r="43" spans="2:11" x14ac:dyDescent="0.2">
      <c r="E43" s="178" t="s">
        <v>3638</v>
      </c>
      <c r="F43" s="250" t="s">
        <v>3661</v>
      </c>
    </row>
    <row r="44" spans="2:11" x14ac:dyDescent="0.2">
      <c r="D44" s="178"/>
      <c r="E44" s="178" t="s">
        <v>3640</v>
      </c>
      <c r="F44" s="250" t="s">
        <v>3659</v>
      </c>
    </row>
    <row r="45" spans="2:11" x14ac:dyDescent="0.2">
      <c r="E45" s="178" t="s">
        <v>3641</v>
      </c>
    </row>
    <row r="46" spans="2:11" x14ac:dyDescent="0.2">
      <c r="K46" s="361"/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9505" r:id="rId4" name="Button 1">
              <controlPr defaultSize="0" print="0" autoFill="0" autoLine="0" autoPict="0">
                <anchor>
                  <from>
                    <xdr:col>8</xdr:col>
                    <xdr:colOff>381000</xdr:colOff>
                    <xdr:row>0</xdr:row>
                    <xdr:rowOff>38100</xdr:rowOff>
                  </from>
                  <to>
                    <xdr:col>9</xdr:col>
                    <xdr:colOff>247650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506" r:id="rId5" name="Button 2">
              <controlPr defaultSize="0" print="0" autoFill="0" autoLine="0" autoPict="0">
                <anchor>
                  <from>
                    <xdr:col>9</xdr:col>
                    <xdr:colOff>314325</xdr:colOff>
                    <xdr:row>0</xdr:row>
                    <xdr:rowOff>38100</xdr:rowOff>
                  </from>
                  <to>
                    <xdr:col>9</xdr:col>
                    <xdr:colOff>514350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507" r:id="rId6" name="Button 3">
              <controlPr defaultSize="0" print="0" autoFill="0" autoLine="0" autoPict="0">
                <anchor>
                  <from>
                    <xdr:col>8</xdr:col>
                    <xdr:colOff>104775</xdr:colOff>
                    <xdr:row>0</xdr:row>
                    <xdr:rowOff>38100</xdr:rowOff>
                  </from>
                  <to>
                    <xdr:col>8</xdr:col>
                    <xdr:colOff>314325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33">
    <pageSetUpPr fitToPage="1"/>
  </sheetPr>
  <dimension ref="A1:H51"/>
  <sheetViews>
    <sheetView showGridLines="0" workbookViewId="0">
      <pane ySplit="1" topLeftCell="A29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15.85546875" customWidth="1"/>
    <col min="3" max="3" width="10.42578125" customWidth="1"/>
    <col min="5" max="5" width="14.28515625" customWidth="1"/>
    <col min="6" max="6" width="14.5703125" customWidth="1"/>
    <col min="8" max="8" width="8" customWidth="1"/>
  </cols>
  <sheetData>
    <row r="1" spans="1:8" ht="18.75" thickBot="1" x14ac:dyDescent="0.3">
      <c r="A1" s="1" t="s">
        <v>3662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ht="25.5" x14ac:dyDescent="0.2">
      <c r="B3" s="5" t="s">
        <v>478</v>
      </c>
      <c r="C3" s="21" t="s">
        <v>3663</v>
      </c>
      <c r="D3" s="21" t="s">
        <v>3664</v>
      </c>
      <c r="E3" s="5" t="s">
        <v>3665</v>
      </c>
    </row>
    <row r="4" spans="1:8" x14ac:dyDescent="0.2">
      <c r="B4" s="2" t="s">
        <v>3666</v>
      </c>
      <c r="C4" s="2" t="s">
        <v>1257</v>
      </c>
      <c r="D4" s="2" t="s">
        <v>501</v>
      </c>
      <c r="E4" s="3" t="str">
        <f>SUBSTITUTE(B4,C4,D4)</f>
        <v>ABhelloEF</v>
      </c>
      <c r="F4" s="8" t="s">
        <v>3667</v>
      </c>
    </row>
    <row r="5" spans="1:8" x14ac:dyDescent="0.2">
      <c r="B5" s="2" t="s">
        <v>3668</v>
      </c>
      <c r="C5" s="2" t="s">
        <v>1257</v>
      </c>
      <c r="D5" s="2" t="s">
        <v>501</v>
      </c>
      <c r="E5" s="3" t="str">
        <f>SUBSTITUTE(B5,C5,D5)</f>
        <v>ABhelloABhello</v>
      </c>
      <c r="F5" s="8" t="s">
        <v>3669</v>
      </c>
    </row>
    <row r="6" spans="1:8" x14ac:dyDescent="0.2">
      <c r="B6" s="2" t="s">
        <v>3670</v>
      </c>
      <c r="C6" s="2" t="s">
        <v>803</v>
      </c>
      <c r="D6" s="2" t="s">
        <v>3213</v>
      </c>
      <c r="E6" s="3" t="str">
        <f>SUBSTITUTE(B6,C6,D6)</f>
        <v>Northern Area</v>
      </c>
      <c r="F6" s="8" t="s">
        <v>3671</v>
      </c>
    </row>
    <row r="7" spans="1:8" x14ac:dyDescent="0.2">
      <c r="B7" s="2" t="s">
        <v>3672</v>
      </c>
      <c r="C7" s="2" t="s">
        <v>3673</v>
      </c>
      <c r="D7" s="2" t="s">
        <v>3674</v>
      </c>
      <c r="E7" s="3" t="str">
        <f>SUBSTITUTE(B7,C7,D7)</f>
        <v>S&amp; &amp; Cement</v>
      </c>
      <c r="F7" s="8" t="s">
        <v>3675</v>
      </c>
    </row>
    <row r="9" spans="1:8" ht="25.5" x14ac:dyDescent="0.2">
      <c r="B9" s="5" t="s">
        <v>478</v>
      </c>
      <c r="C9" s="21" t="s">
        <v>3663</v>
      </c>
      <c r="D9" s="21" t="s">
        <v>3664</v>
      </c>
      <c r="E9" s="21" t="s">
        <v>3676</v>
      </c>
      <c r="F9" s="5" t="s">
        <v>3665</v>
      </c>
    </row>
    <row r="10" spans="1:8" x14ac:dyDescent="0.2">
      <c r="B10" s="2" t="s">
        <v>3677</v>
      </c>
      <c r="C10" s="2" t="s">
        <v>3678</v>
      </c>
      <c r="D10" s="2" t="s">
        <v>501</v>
      </c>
      <c r="E10" s="2">
        <v>3</v>
      </c>
      <c r="F10" s="3" t="str">
        <f>SUBSTITUTE(B10,C10,D10,E10)</f>
        <v>ABCABChello</v>
      </c>
    </row>
    <row r="11" spans="1:8" x14ac:dyDescent="0.2">
      <c r="B11" s="2" t="s">
        <v>3672</v>
      </c>
      <c r="C11" s="2" t="s">
        <v>3673</v>
      </c>
      <c r="D11" s="2" t="s">
        <v>3674</v>
      </c>
      <c r="E11" s="2">
        <v>2</v>
      </c>
      <c r="F11" s="3" t="str">
        <f>SUBSTITUTE(B11,C11,D11,E11)</f>
        <v>Sand &amp; Cement</v>
      </c>
    </row>
    <row r="12" spans="1:8" x14ac:dyDescent="0.2">
      <c r="F12" s="8" t="s">
        <v>3679</v>
      </c>
    </row>
    <row r="13" spans="1:8" x14ac:dyDescent="0.2">
      <c r="F13" s="8" t="s">
        <v>3680</v>
      </c>
    </row>
    <row r="15" spans="1:8" ht="13.5" thickBot="1" x14ac:dyDescent="0.25">
      <c r="B15" s="9" t="s">
        <v>39</v>
      </c>
      <c r="C15" s="9"/>
      <c r="D15" s="9"/>
      <c r="E15" s="9"/>
      <c r="F15" s="9"/>
      <c r="G15" s="9"/>
      <c r="H15" s="9"/>
    </row>
    <row r="16" spans="1:8" x14ac:dyDescent="0.2">
      <c r="B16" t="s">
        <v>3681</v>
      </c>
    </row>
    <row r="17" spans="2:8" x14ac:dyDescent="0.2">
      <c r="B17" t="s">
        <v>3682</v>
      </c>
    </row>
    <row r="18" spans="2:8" x14ac:dyDescent="0.2">
      <c r="B18" t="s">
        <v>3683</v>
      </c>
    </row>
    <row r="20" spans="2:8" ht="13.5" thickBot="1" x14ac:dyDescent="0.25">
      <c r="B20" s="9" t="s">
        <v>43</v>
      </c>
      <c r="C20" s="9"/>
      <c r="D20" s="9"/>
      <c r="E20" s="9"/>
      <c r="F20" s="9"/>
      <c r="G20" s="9"/>
      <c r="H20" s="9"/>
    </row>
    <row r="21" spans="2:8" x14ac:dyDescent="0.2">
      <c r="B21" s="10" t="s">
        <v>3684</v>
      </c>
    </row>
    <row r="22" spans="2:8" x14ac:dyDescent="0.2">
      <c r="B22" t="s">
        <v>3685</v>
      </c>
    </row>
    <row r="24" spans="2:8" ht="13.5" thickBot="1" x14ac:dyDescent="0.25">
      <c r="B24" s="9" t="s">
        <v>45</v>
      </c>
      <c r="C24" s="9"/>
      <c r="D24" s="9"/>
      <c r="E24" s="9"/>
      <c r="F24" s="9"/>
      <c r="G24" s="9"/>
      <c r="H24" s="9"/>
    </row>
    <row r="25" spans="2:8" x14ac:dyDescent="0.2">
      <c r="B25" t="s">
        <v>46</v>
      </c>
    </row>
    <row r="27" spans="2:8" ht="13.5" thickBot="1" x14ac:dyDescent="0.25">
      <c r="B27" s="9" t="s">
        <v>47</v>
      </c>
      <c r="C27" s="9"/>
      <c r="D27" s="9"/>
      <c r="E27" s="9"/>
      <c r="F27" s="9"/>
      <c r="G27" s="9"/>
      <c r="H27" s="9"/>
    </row>
    <row r="28" spans="2:8" x14ac:dyDescent="0.2">
      <c r="B28" t="s">
        <v>3686</v>
      </c>
    </row>
    <row r="29" spans="2:8" x14ac:dyDescent="0.2">
      <c r="B29" t="s">
        <v>3687</v>
      </c>
    </row>
    <row r="31" spans="2:8" x14ac:dyDescent="0.2">
      <c r="B31" t="s">
        <v>3688</v>
      </c>
    </row>
    <row r="33" spans="2:5" x14ac:dyDescent="0.2">
      <c r="B33" t="s">
        <v>229</v>
      </c>
    </row>
    <row r="34" spans="2:5" ht="25.5" x14ac:dyDescent="0.2">
      <c r="B34" s="5" t="s">
        <v>478</v>
      </c>
      <c r="C34" s="21" t="s">
        <v>3663</v>
      </c>
      <c r="D34" s="21" t="s">
        <v>3664</v>
      </c>
      <c r="E34" s="5" t="s">
        <v>3665</v>
      </c>
    </row>
    <row r="35" spans="2:5" x14ac:dyDescent="0.2">
      <c r="B35" s="2" t="s">
        <v>3670</v>
      </c>
      <c r="C35" s="2" t="s">
        <v>803</v>
      </c>
      <c r="D35" s="2" t="s">
        <v>3213</v>
      </c>
      <c r="E35" s="3" t="str">
        <f>SUBSTITUTE(B35,C35,D35)</f>
        <v>Northern Area</v>
      </c>
    </row>
    <row r="36" spans="2:5" x14ac:dyDescent="0.2">
      <c r="B36" s="2" t="s">
        <v>3689</v>
      </c>
      <c r="C36" s="2" t="s">
        <v>803</v>
      </c>
      <c r="D36" s="2" t="s">
        <v>3213</v>
      </c>
      <c r="E36" s="3" t="str">
        <f>SUBSTITUTE(B36,C36,D36)</f>
        <v>Northern region</v>
      </c>
    </row>
    <row r="37" spans="2:5" x14ac:dyDescent="0.2">
      <c r="B37" s="2" t="s">
        <v>3670</v>
      </c>
      <c r="C37" s="377" t="s">
        <v>3690</v>
      </c>
      <c r="D37" s="2" t="s">
        <v>3213</v>
      </c>
      <c r="E37" s="3" t="str">
        <f>SUBSTITUTE(B37,C37,D37)</f>
        <v>Northern Region</v>
      </c>
    </row>
    <row r="38" spans="2:5" x14ac:dyDescent="0.2">
      <c r="B38" s="2" t="s">
        <v>3670</v>
      </c>
      <c r="C38" s="2" t="s">
        <v>803</v>
      </c>
      <c r="D38" s="377" t="s">
        <v>3691</v>
      </c>
      <c r="E38" s="3" t="str">
        <f>SUBSTITUTE(B38,C38,D38)</f>
        <v>Northern area</v>
      </c>
    </row>
    <row r="39" spans="2:5" x14ac:dyDescent="0.2">
      <c r="B39" s="2" t="s">
        <v>3670</v>
      </c>
      <c r="C39" s="377" t="s">
        <v>3690</v>
      </c>
      <c r="D39" s="377" t="s">
        <v>3691</v>
      </c>
      <c r="E39" s="3" t="str">
        <f>SUBSTITUTE(B39,C39,D39)</f>
        <v>Northern Region</v>
      </c>
    </row>
    <row r="40" spans="2:5" x14ac:dyDescent="0.2">
      <c r="E40" s="8" t="s">
        <v>3692</v>
      </c>
    </row>
    <row r="42" spans="2:5" x14ac:dyDescent="0.2">
      <c r="B42" t="s">
        <v>3693</v>
      </c>
    </row>
    <row r="44" spans="2:5" x14ac:dyDescent="0.2">
      <c r="B44" t="s">
        <v>924</v>
      </c>
    </row>
    <row r="45" spans="2:5" ht="25.5" x14ac:dyDescent="0.2">
      <c r="B45" s="5" t="s">
        <v>478</v>
      </c>
      <c r="C45" s="21" t="s">
        <v>3663</v>
      </c>
      <c r="D45" s="21" t="s">
        <v>3664</v>
      </c>
      <c r="E45" s="5" t="s">
        <v>3665</v>
      </c>
    </row>
    <row r="46" spans="2:5" x14ac:dyDescent="0.2">
      <c r="B46" s="2" t="s">
        <v>3670</v>
      </c>
      <c r="C46" s="2" t="s">
        <v>803</v>
      </c>
      <c r="D46" s="2" t="s">
        <v>3213</v>
      </c>
      <c r="E46" s="3" t="str">
        <f>SUBSTITUTE(PROPER(B46),PROPER(C46),PROPER(D46))</f>
        <v>Northern Area</v>
      </c>
    </row>
    <row r="47" spans="2:5" x14ac:dyDescent="0.2">
      <c r="B47" s="2" t="s">
        <v>3689</v>
      </c>
      <c r="C47" s="2" t="s">
        <v>803</v>
      </c>
      <c r="D47" s="2" t="s">
        <v>3213</v>
      </c>
      <c r="E47" s="3" t="str">
        <f>SUBSTITUTE(PROPER(B47),PROPER(C47),PROPER(D47))</f>
        <v>Northern Area</v>
      </c>
    </row>
    <row r="48" spans="2:5" x14ac:dyDescent="0.2">
      <c r="B48" s="2" t="s">
        <v>3670</v>
      </c>
      <c r="C48" s="377" t="s">
        <v>3690</v>
      </c>
      <c r="D48" s="2" t="s">
        <v>3213</v>
      </c>
      <c r="E48" s="3" t="str">
        <f>SUBSTITUTE(PROPER(B48),PROPER(C48),PROPER(D48))</f>
        <v>Northern Area</v>
      </c>
    </row>
    <row r="49" spans="2:5" x14ac:dyDescent="0.2">
      <c r="B49" s="2" t="s">
        <v>3670</v>
      </c>
      <c r="C49" s="2" t="s">
        <v>803</v>
      </c>
      <c r="D49" s="377" t="s">
        <v>3691</v>
      </c>
      <c r="E49" s="3" t="str">
        <f>SUBSTITUTE(PROPER(B49),PROPER(C49),PROPER(D49))</f>
        <v>Northern Area</v>
      </c>
    </row>
    <row r="50" spans="2:5" x14ac:dyDescent="0.2">
      <c r="B50" s="2" t="s">
        <v>3670</v>
      </c>
      <c r="C50" s="377" t="s">
        <v>3690</v>
      </c>
      <c r="D50" s="377" t="s">
        <v>3691</v>
      </c>
      <c r="E50" s="3" t="str">
        <f>SUBSTITUTE(PROPER(B50),PROPER(C50),PROPER(D50))</f>
        <v>Northern Area</v>
      </c>
    </row>
    <row r="51" spans="2:5" x14ac:dyDescent="0.2">
      <c r="E51" s="19" t="s">
        <v>3694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0529" r:id="rId4" name="Button 1">
              <controlPr defaultSize="0" print="0" autoFill="0" autoLine="0" autoPict="0">
                <anchor>
                  <from>
                    <xdr:col>6</xdr:col>
                    <xdr:colOff>266700</xdr:colOff>
                    <xdr:row>0</xdr:row>
                    <xdr:rowOff>38100</xdr:rowOff>
                  </from>
                  <to>
                    <xdr:col>7</xdr:col>
                    <xdr:colOff>133350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530" r:id="rId5" name="Button 2">
              <controlPr defaultSize="0" print="0" autoFill="0" autoLine="0" autoPict="0">
                <anchor>
                  <from>
                    <xdr:col>7</xdr:col>
                    <xdr:colOff>200025</xdr:colOff>
                    <xdr:row>0</xdr:row>
                    <xdr:rowOff>38100</xdr:rowOff>
                  </from>
                  <to>
                    <xdr:col>7</xdr:col>
                    <xdr:colOff>400050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531" r:id="rId6" name="Button 3">
              <controlPr defaultSize="0" print="0" autoFill="0" autoLine="0" autoPict="0">
                <anchor>
                  <from>
                    <xdr:col>5</xdr:col>
                    <xdr:colOff>962025</xdr:colOff>
                    <xdr:row>0</xdr:row>
                    <xdr:rowOff>38100</xdr:rowOff>
                  </from>
                  <to>
                    <xdr:col>6</xdr:col>
                    <xdr:colOff>200025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37">
    <pageSetUpPr fitToPage="1"/>
  </sheetPr>
  <dimension ref="A1:J40"/>
  <sheetViews>
    <sheetView showGridLines="0" workbookViewId="0">
      <pane ySplit="1" topLeftCell="A17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10" max="10" width="8.85546875" customWidth="1"/>
  </cols>
  <sheetData>
    <row r="1" spans="1:10" ht="18.75" thickBot="1" x14ac:dyDescent="0.3">
      <c r="A1" s="1" t="s">
        <v>3695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4" spans="1:10" ht="13.5" thickBot="1" x14ac:dyDescent="0.25">
      <c r="C4" s="9" t="s">
        <v>3696</v>
      </c>
      <c r="D4" s="9"/>
      <c r="E4" s="9"/>
      <c r="F4" s="9"/>
      <c r="G4" s="9"/>
      <c r="H4" s="9"/>
      <c r="I4" s="9"/>
      <c r="J4" s="9"/>
    </row>
    <row r="6" spans="1:10" ht="25.5" x14ac:dyDescent="0.2">
      <c r="C6" s="5" t="s">
        <v>1468</v>
      </c>
      <c r="D6" s="5" t="s">
        <v>371</v>
      </c>
      <c r="E6" s="21" t="s">
        <v>3697</v>
      </c>
    </row>
    <row r="7" spans="1:10" x14ac:dyDescent="0.2">
      <c r="C7" s="143" t="s">
        <v>12</v>
      </c>
      <c r="D7" s="494">
        <v>10</v>
      </c>
      <c r="E7" s="3">
        <f>SUM($D$7:D7)</f>
        <v>10</v>
      </c>
      <c r="F7" s="8" t="s">
        <v>3698</v>
      </c>
    </row>
    <row r="8" spans="1:10" x14ac:dyDescent="0.2">
      <c r="C8" s="143" t="s">
        <v>13</v>
      </c>
      <c r="D8" s="2">
        <v>50</v>
      </c>
      <c r="E8" s="3">
        <f>SUM($D$7:D8)</f>
        <v>60</v>
      </c>
      <c r="F8" s="8" t="s">
        <v>3699</v>
      </c>
    </row>
    <row r="9" spans="1:10" x14ac:dyDescent="0.2">
      <c r="C9" s="143" t="s">
        <v>14</v>
      </c>
      <c r="D9" s="2">
        <v>30</v>
      </c>
      <c r="E9" s="3">
        <f>SUM($D$7:D9)</f>
        <v>90</v>
      </c>
      <c r="F9" s="8" t="s">
        <v>3700</v>
      </c>
    </row>
    <row r="10" spans="1:10" x14ac:dyDescent="0.2">
      <c r="C10" s="143" t="s">
        <v>1472</v>
      </c>
      <c r="D10" s="2">
        <v>20</v>
      </c>
      <c r="E10" s="3">
        <f>SUM($D$7:D10)</f>
        <v>110</v>
      </c>
      <c r="F10" s="8" t="s">
        <v>3701</v>
      </c>
    </row>
    <row r="11" spans="1:10" x14ac:dyDescent="0.2">
      <c r="C11" s="143" t="s">
        <v>1473</v>
      </c>
      <c r="D11" s="2"/>
      <c r="E11" s="3">
        <f>SUM($D$7:D11)</f>
        <v>110</v>
      </c>
      <c r="F11" s="8" t="s">
        <v>3702</v>
      </c>
    </row>
    <row r="12" spans="1:10" x14ac:dyDescent="0.2">
      <c r="C12" s="143" t="s">
        <v>1474</v>
      </c>
      <c r="D12" s="2"/>
      <c r="E12" s="3">
        <f>SUM($D$7:D12)</f>
        <v>110</v>
      </c>
      <c r="F12" s="8" t="s">
        <v>3703</v>
      </c>
    </row>
    <row r="13" spans="1:10" x14ac:dyDescent="0.2">
      <c r="C13" s="143" t="s">
        <v>3704</v>
      </c>
      <c r="D13" s="2"/>
      <c r="E13" s="3">
        <f>SUM($D$7:D13)</f>
        <v>110</v>
      </c>
      <c r="F13" s="8" t="s">
        <v>3705</v>
      </c>
    </row>
    <row r="14" spans="1:10" x14ac:dyDescent="0.2">
      <c r="C14" s="143" t="s">
        <v>3706</v>
      </c>
      <c r="D14" s="2"/>
      <c r="E14" s="3">
        <f>SUM($D$7:D14)</f>
        <v>110</v>
      </c>
      <c r="F14" s="8" t="s">
        <v>3707</v>
      </c>
    </row>
    <row r="15" spans="1:10" x14ac:dyDescent="0.2">
      <c r="C15" s="143" t="s">
        <v>3708</v>
      </c>
      <c r="D15" s="2"/>
      <c r="E15" s="3">
        <f>SUM($D$7:D15)</f>
        <v>110</v>
      </c>
      <c r="F15" s="8" t="s">
        <v>3709</v>
      </c>
    </row>
    <row r="16" spans="1:10" x14ac:dyDescent="0.2">
      <c r="C16" s="143" t="s">
        <v>3710</v>
      </c>
      <c r="D16" s="2"/>
      <c r="E16" s="3">
        <f>SUM($D$7:D16)</f>
        <v>110</v>
      </c>
      <c r="F16" s="8" t="s">
        <v>3711</v>
      </c>
    </row>
    <row r="17" spans="3:6" x14ac:dyDescent="0.2">
      <c r="C17" s="143" t="s">
        <v>3712</v>
      </c>
      <c r="D17" s="2"/>
      <c r="E17" s="3">
        <f>SUM($D$7:D17)</f>
        <v>110</v>
      </c>
      <c r="F17" s="8" t="s">
        <v>3713</v>
      </c>
    </row>
    <row r="18" spans="3:6" x14ac:dyDescent="0.2">
      <c r="C18" s="143" t="s">
        <v>3714</v>
      </c>
      <c r="D18" s="2"/>
      <c r="E18" s="3">
        <f>SUM($D$7:D18)</f>
        <v>110</v>
      </c>
      <c r="F18" s="8" t="s">
        <v>3715</v>
      </c>
    </row>
    <row r="20" spans="3:6" x14ac:dyDescent="0.2">
      <c r="C20" t="s">
        <v>3716</v>
      </c>
    </row>
    <row r="21" spans="3:6" x14ac:dyDescent="0.2">
      <c r="C21" t="s">
        <v>3717</v>
      </c>
    </row>
    <row r="22" spans="3:6" x14ac:dyDescent="0.2">
      <c r="C22" t="s">
        <v>3718</v>
      </c>
    </row>
    <row r="23" spans="3:6" x14ac:dyDescent="0.2">
      <c r="C23" t="s">
        <v>3719</v>
      </c>
    </row>
    <row r="25" spans="3:6" x14ac:dyDescent="0.2">
      <c r="C25" t="s">
        <v>3720</v>
      </c>
    </row>
    <row r="26" spans="3:6" x14ac:dyDescent="0.2">
      <c r="C26" t="s">
        <v>3721</v>
      </c>
    </row>
    <row r="28" spans="3:6" ht="25.5" x14ac:dyDescent="0.2">
      <c r="C28" s="5" t="s">
        <v>1468</v>
      </c>
      <c r="D28" s="5" t="s">
        <v>371</v>
      </c>
      <c r="E28" s="21" t="s">
        <v>3697</v>
      </c>
    </row>
    <row r="29" spans="3:6" x14ac:dyDescent="0.2">
      <c r="C29" s="143" t="s">
        <v>12</v>
      </c>
      <c r="D29" s="2">
        <v>10</v>
      </c>
      <c r="E29" s="3">
        <f>SUM(IF(D7,$D$7:D7,0))</f>
        <v>10</v>
      </c>
      <c r="F29" s="8" t="s">
        <v>3722</v>
      </c>
    </row>
    <row r="30" spans="3:6" x14ac:dyDescent="0.2">
      <c r="C30" s="143" t="s">
        <v>13</v>
      </c>
      <c r="D30" s="2">
        <v>50</v>
      </c>
      <c r="E30" s="3">
        <f>SUM(IF(D8,$D$7:D8,0))</f>
        <v>60</v>
      </c>
      <c r="F30" s="8" t="s">
        <v>3723</v>
      </c>
    </row>
    <row r="31" spans="3:6" x14ac:dyDescent="0.2">
      <c r="C31" s="143" t="s">
        <v>14</v>
      </c>
      <c r="D31" s="2">
        <v>30</v>
      </c>
      <c r="E31" s="3">
        <f>SUM(IF(D9,$D$7:D9,0))</f>
        <v>90</v>
      </c>
      <c r="F31" s="8" t="s">
        <v>3724</v>
      </c>
    </row>
    <row r="32" spans="3:6" x14ac:dyDescent="0.2">
      <c r="C32" s="143" t="s">
        <v>1472</v>
      </c>
      <c r="D32" s="2">
        <v>20</v>
      </c>
      <c r="E32" s="3">
        <f>SUM(IF(D10,$D$7:D10,0))</f>
        <v>110</v>
      </c>
      <c r="F32" s="8" t="s">
        <v>3725</v>
      </c>
    </row>
    <row r="33" spans="3:6" x14ac:dyDescent="0.2">
      <c r="C33" s="143" t="s">
        <v>1473</v>
      </c>
      <c r="D33" s="2"/>
      <c r="E33" s="3">
        <f>SUM(IF(D11,$D$7:D11,0))</f>
        <v>0</v>
      </c>
      <c r="F33" s="8" t="s">
        <v>3726</v>
      </c>
    </row>
    <row r="34" spans="3:6" x14ac:dyDescent="0.2">
      <c r="C34" s="143" t="s">
        <v>1474</v>
      </c>
      <c r="D34" s="2"/>
      <c r="E34" s="3">
        <f>SUM(IF(D12,$D$7:D12,0))</f>
        <v>0</v>
      </c>
      <c r="F34" s="8" t="s">
        <v>3727</v>
      </c>
    </row>
    <row r="35" spans="3:6" x14ac:dyDescent="0.2">
      <c r="C35" s="143" t="s">
        <v>3704</v>
      </c>
      <c r="D35" s="2"/>
      <c r="E35" s="3">
        <f>SUM(IF(D13,$D$7:D13,0))</f>
        <v>0</v>
      </c>
      <c r="F35" t="s">
        <v>3728</v>
      </c>
    </row>
    <row r="36" spans="3:6" x14ac:dyDescent="0.2">
      <c r="C36" s="143" t="s">
        <v>3706</v>
      </c>
      <c r="D36" s="2"/>
      <c r="E36" s="3">
        <f>SUM(IF(D14,$D$7:D14,0))</f>
        <v>0</v>
      </c>
      <c r="F36" t="s">
        <v>3729</v>
      </c>
    </row>
    <row r="37" spans="3:6" x14ac:dyDescent="0.2">
      <c r="C37" s="143" t="s">
        <v>3708</v>
      </c>
      <c r="D37" s="2"/>
      <c r="E37" s="3">
        <f>SUM(IF(D15,$D$7:D15,0))</f>
        <v>0</v>
      </c>
      <c r="F37" t="s">
        <v>3730</v>
      </c>
    </row>
    <row r="38" spans="3:6" x14ac:dyDescent="0.2">
      <c r="C38" s="143" t="s">
        <v>3710</v>
      </c>
      <c r="D38" s="2"/>
      <c r="E38" s="3">
        <f>SUM(IF(D16,$D$7:D16,0))</f>
        <v>0</v>
      </c>
    </row>
    <row r="39" spans="3:6" x14ac:dyDescent="0.2">
      <c r="C39" s="143" t="s">
        <v>3712</v>
      </c>
      <c r="D39" s="2"/>
      <c r="E39" s="3">
        <f>SUM(IF(D17,$D$7:D17,0))</f>
        <v>0</v>
      </c>
    </row>
    <row r="40" spans="3:6" x14ac:dyDescent="0.2">
      <c r="C40" s="143" t="s">
        <v>3714</v>
      </c>
      <c r="D40" s="2"/>
      <c r="E40" s="3">
        <f>SUM(IF(D18,$D$7:D18,0))</f>
        <v>0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8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1553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54" r:id="rId5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55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38">
    <pageSetUpPr fitToPage="1"/>
  </sheetPr>
  <dimension ref="A1:J100"/>
  <sheetViews>
    <sheetView showGridLines="0" workbookViewId="0">
      <pane ySplit="1" topLeftCell="A77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4.42578125" customWidth="1"/>
    <col min="10" max="10" width="13.28515625" customWidth="1"/>
  </cols>
  <sheetData>
    <row r="1" spans="1:10" ht="18.75" thickBot="1" x14ac:dyDescent="0.3">
      <c r="A1" s="1" t="s">
        <v>3731</v>
      </c>
      <c r="B1" s="1"/>
      <c r="C1" s="1"/>
      <c r="D1" s="1"/>
      <c r="E1" s="1"/>
      <c r="F1" s="58"/>
      <c r="G1" s="1"/>
      <c r="H1" s="1"/>
      <c r="I1" s="1"/>
      <c r="J1" s="1"/>
    </row>
    <row r="2" spans="1:10" ht="13.5" thickTop="1" x14ac:dyDescent="0.2"/>
    <row r="3" spans="1:10" x14ac:dyDescent="0.2">
      <c r="C3" t="s">
        <v>3732</v>
      </c>
    </row>
    <row r="4" spans="1:10" x14ac:dyDescent="0.2">
      <c r="C4" t="s">
        <v>3733</v>
      </c>
    </row>
    <row r="5" spans="1:10" x14ac:dyDescent="0.2">
      <c r="C5" t="s">
        <v>3734</v>
      </c>
    </row>
    <row r="7" spans="1:10" x14ac:dyDescent="0.2">
      <c r="C7" t="s">
        <v>3735</v>
      </c>
    </row>
    <row r="8" spans="1:10" x14ac:dyDescent="0.2">
      <c r="C8" t="s">
        <v>3736</v>
      </c>
    </row>
    <row r="10" spans="1:10" x14ac:dyDescent="0.2">
      <c r="C10" t="s">
        <v>3737</v>
      </c>
    </row>
    <row r="11" spans="1:10" x14ac:dyDescent="0.2">
      <c r="C11" t="s">
        <v>3738</v>
      </c>
    </row>
    <row r="13" spans="1:10" x14ac:dyDescent="0.2">
      <c r="C13" t="s">
        <v>3739</v>
      </c>
    </row>
    <row r="14" spans="1:10" x14ac:dyDescent="0.2">
      <c r="C14" t="s">
        <v>3740</v>
      </c>
    </row>
    <row r="15" spans="1:10" x14ac:dyDescent="0.2">
      <c r="C15" t="s">
        <v>3741</v>
      </c>
    </row>
    <row r="16" spans="1:10" x14ac:dyDescent="0.2">
      <c r="C16" t="s">
        <v>3742</v>
      </c>
    </row>
    <row r="18" spans="3:9" x14ac:dyDescent="0.2">
      <c r="C18" t="s">
        <v>3743</v>
      </c>
    </row>
    <row r="19" spans="3:9" x14ac:dyDescent="0.2">
      <c r="D19" t="s">
        <v>3744</v>
      </c>
    </row>
    <row r="20" spans="3:9" x14ac:dyDescent="0.2">
      <c r="D20" t="s">
        <v>3745</v>
      </c>
    </row>
    <row r="21" spans="3:9" x14ac:dyDescent="0.2">
      <c r="D21" t="s">
        <v>3746</v>
      </c>
    </row>
    <row r="23" spans="3:9" x14ac:dyDescent="0.2">
      <c r="C23" s="59" t="s">
        <v>15</v>
      </c>
      <c r="D23" s="62"/>
      <c r="E23" s="59" t="s">
        <v>12</v>
      </c>
      <c r="F23" s="59" t="s">
        <v>13</v>
      </c>
      <c r="G23" s="59" t="s">
        <v>14</v>
      </c>
      <c r="H23" s="59" t="s">
        <v>1472</v>
      </c>
      <c r="I23" s="59" t="s">
        <v>1473</v>
      </c>
    </row>
    <row r="24" spans="3:9" x14ac:dyDescent="0.2">
      <c r="C24" s="3">
        <f ca="1">SUM(E24:OFFSET(E24,0,0))</f>
        <v>10</v>
      </c>
      <c r="E24" s="377">
        <v>10</v>
      </c>
      <c r="F24" s="2">
        <v>400</v>
      </c>
      <c r="G24" s="2">
        <v>500</v>
      </c>
      <c r="H24" s="2">
        <v>600</v>
      </c>
      <c r="I24" s="2">
        <v>700</v>
      </c>
    </row>
    <row r="25" spans="3:9" x14ac:dyDescent="0.2">
      <c r="C25" s="495" t="s">
        <v>3747</v>
      </c>
    </row>
    <row r="26" spans="3:9" x14ac:dyDescent="0.2">
      <c r="C26" t="s">
        <v>3748</v>
      </c>
    </row>
    <row r="27" spans="3:9" x14ac:dyDescent="0.2">
      <c r="C27" t="s">
        <v>3749</v>
      </c>
    </row>
    <row r="29" spans="3:9" x14ac:dyDescent="0.2">
      <c r="C29" s="3">
        <f ca="1">SUM(E29:OFFSET(E29,0,1))</f>
        <v>410</v>
      </c>
      <c r="E29" s="377">
        <v>10</v>
      </c>
      <c r="F29" s="377">
        <v>400</v>
      </c>
      <c r="G29" s="2">
        <v>500</v>
      </c>
      <c r="H29" s="2">
        <v>600</v>
      </c>
      <c r="I29" s="2">
        <v>700</v>
      </c>
    </row>
    <row r="30" spans="3:9" x14ac:dyDescent="0.2">
      <c r="C30" s="495" t="s">
        <v>3750</v>
      </c>
      <c r="D30" s="62"/>
      <c r="E30" s="62"/>
      <c r="F30" s="62"/>
      <c r="G30" s="62"/>
      <c r="H30" s="62"/>
      <c r="I30" s="62"/>
    </row>
    <row r="31" spans="3:9" x14ac:dyDescent="0.2">
      <c r="C31" s="62" t="s">
        <v>3751</v>
      </c>
      <c r="D31" s="62"/>
      <c r="E31" s="62"/>
      <c r="F31" s="62"/>
      <c r="G31" s="62"/>
      <c r="H31" s="62"/>
      <c r="I31" s="62"/>
    </row>
    <row r="32" spans="3:9" x14ac:dyDescent="0.2">
      <c r="C32" s="62" t="s">
        <v>3752</v>
      </c>
      <c r="D32" s="62"/>
      <c r="E32" s="62"/>
      <c r="F32" s="62"/>
      <c r="G32" s="62"/>
      <c r="H32" s="62"/>
      <c r="I32" s="62"/>
    </row>
    <row r="34" spans="3:10" x14ac:dyDescent="0.2">
      <c r="C34" s="3">
        <f ca="1">SUM(E34:OFFSET(E34,0,2))</f>
        <v>910</v>
      </c>
      <c r="E34" s="377">
        <v>10</v>
      </c>
      <c r="F34" s="377">
        <v>400</v>
      </c>
      <c r="G34" s="377">
        <v>500</v>
      </c>
      <c r="H34" s="2">
        <v>600</v>
      </c>
      <c r="I34" s="2">
        <v>700</v>
      </c>
    </row>
    <row r="35" spans="3:10" x14ac:dyDescent="0.2">
      <c r="C35" s="10" t="s">
        <v>3753</v>
      </c>
    </row>
    <row r="36" spans="3:10" x14ac:dyDescent="0.2">
      <c r="C36" s="62" t="s">
        <v>3754</v>
      </c>
    </row>
    <row r="37" spans="3:10" x14ac:dyDescent="0.2">
      <c r="C37" s="62" t="s">
        <v>3755</v>
      </c>
    </row>
    <row r="39" spans="3:10" ht="13.5" thickBot="1" x14ac:dyDescent="0.25">
      <c r="C39" s="9" t="s">
        <v>3756</v>
      </c>
      <c r="D39" s="9"/>
      <c r="E39" s="9"/>
      <c r="F39" s="9"/>
      <c r="G39" s="9"/>
      <c r="H39" s="9"/>
      <c r="I39" s="9"/>
      <c r="J39" s="9"/>
    </row>
    <row r="41" spans="3:10" x14ac:dyDescent="0.2">
      <c r="C41" t="s">
        <v>3757</v>
      </c>
    </row>
    <row r="42" spans="3:10" x14ac:dyDescent="0.2">
      <c r="C42" t="s">
        <v>3758</v>
      </c>
    </row>
    <row r="44" spans="3:10" x14ac:dyDescent="0.2">
      <c r="C44" s="59" t="s">
        <v>15</v>
      </c>
      <c r="D44" s="62"/>
      <c r="E44" s="59" t="s">
        <v>12</v>
      </c>
      <c r="F44" s="59" t="s">
        <v>13</v>
      </c>
      <c r="G44" s="59" t="s">
        <v>14</v>
      </c>
      <c r="H44" s="59" t="s">
        <v>1472</v>
      </c>
      <c r="I44" s="59" t="s">
        <v>1473</v>
      </c>
    </row>
    <row r="45" spans="3:10" x14ac:dyDescent="0.2">
      <c r="C45" s="3">
        <f ca="1">SUM(OFFSET(E45,0,1):OFFSET(E45,0,1))</f>
        <v>400</v>
      </c>
      <c r="E45" s="2">
        <v>10</v>
      </c>
      <c r="F45" s="377">
        <v>400</v>
      </c>
      <c r="G45" s="2">
        <v>500</v>
      </c>
      <c r="H45" s="2">
        <v>600</v>
      </c>
      <c r="I45" s="2">
        <v>700</v>
      </c>
    </row>
    <row r="46" spans="3:10" x14ac:dyDescent="0.2">
      <c r="C46" s="496" t="s">
        <v>3759</v>
      </c>
    </row>
    <row r="47" spans="3:10" x14ac:dyDescent="0.2">
      <c r="C47" s="62" t="s">
        <v>3760</v>
      </c>
    </row>
    <row r="48" spans="3:10" x14ac:dyDescent="0.2">
      <c r="C48" s="62" t="s">
        <v>3761</v>
      </c>
    </row>
    <row r="49" spans="3:10" x14ac:dyDescent="0.2">
      <c r="C49" s="62" t="s">
        <v>3762</v>
      </c>
    </row>
    <row r="50" spans="3:10" x14ac:dyDescent="0.2">
      <c r="C50" s="62"/>
    </row>
    <row r="51" spans="3:10" x14ac:dyDescent="0.2">
      <c r="C51" s="3">
        <f ca="1">SUM(OFFSET(E51,0,1):OFFSET(E51,0,2))</f>
        <v>900</v>
      </c>
      <c r="E51" s="2">
        <v>10</v>
      </c>
      <c r="F51" s="377">
        <v>400</v>
      </c>
      <c r="G51" s="377">
        <v>500</v>
      </c>
      <c r="H51" s="2">
        <v>600</v>
      </c>
      <c r="I51" s="2">
        <v>700</v>
      </c>
    </row>
    <row r="52" spans="3:10" x14ac:dyDescent="0.2">
      <c r="C52" s="496" t="s">
        <v>3763</v>
      </c>
    </row>
    <row r="53" spans="3:10" x14ac:dyDescent="0.2">
      <c r="C53" t="s">
        <v>3764</v>
      </c>
    </row>
    <row r="54" spans="3:10" x14ac:dyDescent="0.2">
      <c r="C54" t="s">
        <v>3765</v>
      </c>
    </row>
    <row r="55" spans="3:10" x14ac:dyDescent="0.2">
      <c r="C55" t="s">
        <v>3766</v>
      </c>
    </row>
    <row r="57" spans="3:10" x14ac:dyDescent="0.2">
      <c r="C57" s="3">
        <f ca="1">SUM(OFFSET(E57,0,1):OFFSET(E57,0,3))</f>
        <v>1500</v>
      </c>
      <c r="E57" s="2">
        <v>10</v>
      </c>
      <c r="F57" s="377">
        <v>400</v>
      </c>
      <c r="G57" s="377">
        <v>500</v>
      </c>
      <c r="H57" s="377">
        <v>600</v>
      </c>
      <c r="I57" s="2">
        <v>700</v>
      </c>
    </row>
    <row r="58" spans="3:10" x14ac:dyDescent="0.2">
      <c r="C58" s="496" t="s">
        <v>3767</v>
      </c>
    </row>
    <row r="59" spans="3:10" x14ac:dyDescent="0.2">
      <c r="C59" s="62" t="s">
        <v>3768</v>
      </c>
      <c r="D59" s="62"/>
      <c r="E59" s="62"/>
      <c r="F59" s="62"/>
      <c r="G59" s="62"/>
      <c r="H59" s="62"/>
      <c r="I59" s="62"/>
    </row>
    <row r="60" spans="3:10" x14ac:dyDescent="0.2">
      <c r="C60" t="s">
        <v>3769</v>
      </c>
    </row>
    <row r="61" spans="3:10" x14ac:dyDescent="0.2">
      <c r="C61" t="s">
        <v>3766</v>
      </c>
    </row>
    <row r="64" spans="3:10" ht="13.5" thickBot="1" x14ac:dyDescent="0.25">
      <c r="C64" s="9" t="s">
        <v>85</v>
      </c>
      <c r="D64" s="9"/>
      <c r="E64" s="9"/>
      <c r="F64" s="9"/>
      <c r="G64" s="9"/>
      <c r="H64" s="9"/>
      <c r="I64" s="9"/>
      <c r="J64" s="9"/>
    </row>
    <row r="66" spans="3:9" x14ac:dyDescent="0.2">
      <c r="C66" t="s">
        <v>3770</v>
      </c>
    </row>
    <row r="67" spans="3:9" x14ac:dyDescent="0.2">
      <c r="C67" t="s">
        <v>3771</v>
      </c>
    </row>
    <row r="68" spans="3:9" x14ac:dyDescent="0.2">
      <c r="C68" t="s">
        <v>3772</v>
      </c>
    </row>
    <row r="69" spans="3:9" x14ac:dyDescent="0.2">
      <c r="C69" t="s">
        <v>3773</v>
      </c>
    </row>
    <row r="71" spans="3:9" x14ac:dyDescent="0.2">
      <c r="E71" s="178" t="s">
        <v>3774</v>
      </c>
      <c r="F71" s="497">
        <v>35827</v>
      </c>
    </row>
    <row r="72" spans="3:9" x14ac:dyDescent="0.2">
      <c r="E72" s="178" t="s">
        <v>3775</v>
      </c>
      <c r="F72" s="497">
        <v>35855</v>
      </c>
    </row>
    <row r="74" spans="3:9" x14ac:dyDescent="0.2">
      <c r="C74" s="59" t="s">
        <v>15</v>
      </c>
      <c r="D74" s="62"/>
      <c r="E74" s="498">
        <v>35796</v>
      </c>
      <c r="F74" s="498">
        <v>35827</v>
      </c>
      <c r="G74" s="498">
        <v>35855</v>
      </c>
      <c r="H74" s="498">
        <v>35886</v>
      </c>
      <c r="I74" s="498">
        <v>35916</v>
      </c>
    </row>
    <row r="75" spans="3:9" x14ac:dyDescent="0.2">
      <c r="C75" s="3">
        <f ca="1">SUM(OFFSET(D75,0,MONTH($F$71)):OFFSET(D75,0,MONTH($F$72)))</f>
        <v>900</v>
      </c>
      <c r="D75" s="62"/>
      <c r="E75" s="2">
        <v>10</v>
      </c>
      <c r="F75" s="2">
        <v>400</v>
      </c>
      <c r="G75" s="2">
        <v>500</v>
      </c>
      <c r="H75" s="2">
        <v>600</v>
      </c>
      <c r="I75" s="2">
        <v>700</v>
      </c>
    </row>
    <row r="76" spans="3:9" x14ac:dyDescent="0.2">
      <c r="D76" s="62"/>
      <c r="E76" s="62"/>
      <c r="F76" s="62"/>
      <c r="G76" s="62"/>
      <c r="H76" s="62"/>
      <c r="I76" s="62"/>
    </row>
    <row r="77" spans="3:9" x14ac:dyDescent="0.2">
      <c r="C77" s="3">
        <f ca="1">SUM(OFFSET(D77,0,MONTH($F$71)):OFFSET(D77,0,MONTH($F$72)))</f>
        <v>1020</v>
      </c>
      <c r="D77" s="62"/>
      <c r="E77" s="2">
        <v>15</v>
      </c>
      <c r="F77" s="2">
        <v>20</v>
      </c>
      <c r="G77" s="2">
        <v>1000</v>
      </c>
      <c r="H77" s="2">
        <v>2000</v>
      </c>
      <c r="I77" s="2">
        <v>3000</v>
      </c>
    </row>
    <row r="78" spans="3:9" x14ac:dyDescent="0.2">
      <c r="D78" s="62"/>
      <c r="E78" s="62"/>
      <c r="F78" s="62"/>
      <c r="G78" s="62"/>
      <c r="H78" s="62"/>
      <c r="I78" s="62"/>
    </row>
    <row r="79" spans="3:9" x14ac:dyDescent="0.2">
      <c r="C79" s="3">
        <f ca="1">SUM(OFFSET(D79,0,MONTH($F$71)):OFFSET(D79,0,MONTH($F$72)))</f>
        <v>13</v>
      </c>
      <c r="E79" s="2">
        <v>5</v>
      </c>
      <c r="F79" s="2">
        <v>3</v>
      </c>
      <c r="G79" s="2">
        <v>10</v>
      </c>
      <c r="H79" s="2">
        <v>800</v>
      </c>
      <c r="I79" s="2">
        <v>900</v>
      </c>
    </row>
    <row r="80" spans="3:9" x14ac:dyDescent="0.2">
      <c r="C80" s="8" t="s">
        <v>3776</v>
      </c>
    </row>
    <row r="82" spans="3:10" ht="13.5" thickBot="1" x14ac:dyDescent="0.25">
      <c r="C82" s="9" t="s">
        <v>1085</v>
      </c>
      <c r="D82" s="9"/>
      <c r="E82" s="9"/>
      <c r="F82" s="9"/>
      <c r="G82" s="9"/>
      <c r="H82" s="9"/>
      <c r="I82" s="9"/>
      <c r="J82" s="9"/>
    </row>
    <row r="83" spans="3:10" x14ac:dyDescent="0.2">
      <c r="C83" t="s">
        <v>3777</v>
      </c>
    </row>
    <row r="84" spans="3:10" x14ac:dyDescent="0.2">
      <c r="C84" t="s">
        <v>3778</v>
      </c>
    </row>
    <row r="85" spans="3:10" x14ac:dyDescent="0.2">
      <c r="C85" t="s">
        <v>3779</v>
      </c>
    </row>
    <row r="87" spans="3:10" x14ac:dyDescent="0.2">
      <c r="C87" s="266" t="s">
        <v>3780</v>
      </c>
      <c r="D87" s="176" t="s">
        <v>3781</v>
      </c>
    </row>
    <row r="88" spans="3:10" x14ac:dyDescent="0.2">
      <c r="D88" t="s">
        <v>3782</v>
      </c>
    </row>
    <row r="90" spans="3:10" x14ac:dyDescent="0.2">
      <c r="C90" s="266" t="s">
        <v>3783</v>
      </c>
      <c r="D90" s="8" t="str">
        <f>"=SUM( OFFSET(D79,0,MONTH("&amp;TEXT(MONTH($F$71),"0")&amp;")) : OFFSET(D79,0,MONTH("&amp;TEXT(MONTH($F$72),"0")&amp;")) )"</f>
        <v>=SUM( OFFSET(D79,0,MONTH(2)) : OFFSET(D79,0,MONTH(3)) )</v>
      </c>
    </row>
    <row r="91" spans="3:10" x14ac:dyDescent="0.2">
      <c r="D91" t="s">
        <v>3784</v>
      </c>
    </row>
    <row r="92" spans="3:10" x14ac:dyDescent="0.2">
      <c r="D92" t="str">
        <f>"In this example the values of the months are "&amp;MONTH(F71)&amp;" and "&amp;MONTH(F72)&amp;" for "&amp;TEXT(F71,"mmm")&amp;" and "&amp;TEXT(F72,"mmm")&amp;"."</f>
        <v>In this example the values of the months are 2 and 3 for Feb and Mar.</v>
      </c>
    </row>
    <row r="93" spans="3:10" x14ac:dyDescent="0.2">
      <c r="D93" t="s">
        <v>3785</v>
      </c>
    </row>
    <row r="95" spans="3:10" x14ac:dyDescent="0.2">
      <c r="C95" s="266" t="s">
        <v>3786</v>
      </c>
      <c r="D95" s="499" t="str">
        <f>"=SUM( OFFSET(D79,0,"&amp;TEXT(MONTH($F$71),"0")&amp;") : OFFSET(D79,0,"&amp;TEXT(MONTH($F$72),"0")&amp;") )"</f>
        <v>=SUM( OFFSET(D79,0,2) : OFFSET(D79,0,3) )</v>
      </c>
    </row>
    <row r="96" spans="3:10" x14ac:dyDescent="0.2">
      <c r="D96" t="s">
        <v>3787</v>
      </c>
    </row>
    <row r="98" spans="3:4" x14ac:dyDescent="0.2">
      <c r="C98" s="266" t="s">
        <v>3788</v>
      </c>
      <c r="D98" s="499" t="str">
        <f ca="1">SUBSTITUTE("=SUM( "&amp;CELL("address",OFFSET(D79,0,MONTH($F$71)))&amp;":"&amp;CELL("address",OFFSET(D79,0,MONTH($F$72)))&amp;" )","$","")</f>
        <v>=SUM( F79:G79 )</v>
      </c>
    </row>
    <row r="99" spans="3:4" x14ac:dyDescent="0.2">
      <c r="D99" t="s">
        <v>3789</v>
      </c>
    </row>
    <row r="100" spans="3:4" x14ac:dyDescent="0.2">
      <c r="D100" t="s">
        <v>3790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2577" r:id="rId4" name="Button 1">
              <controlPr defaultSize="0" print="0" autoFill="0" autoLine="0" autoPict="0">
                <anchor>
                  <from>
                    <xdr:col>9</xdr:col>
                    <xdr:colOff>95250</xdr:colOff>
                    <xdr:row>0</xdr:row>
                    <xdr:rowOff>38100</xdr:rowOff>
                  </from>
                  <to>
                    <xdr:col>9</xdr:col>
                    <xdr:colOff>561975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78" r:id="rId5" name="Button 2">
              <controlPr defaultSize="0" print="0" autoFill="0" autoLine="0" autoPict="0">
                <anchor>
                  <from>
                    <xdr:col>9</xdr:col>
                    <xdr:colOff>628650</xdr:colOff>
                    <xdr:row>0</xdr:row>
                    <xdr:rowOff>38100</xdr:rowOff>
                  </from>
                  <to>
                    <xdr:col>9</xdr:col>
                    <xdr:colOff>828675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79" r:id="rId6" name="Button 3">
              <controlPr defaultSize="0" print="0" autoFill="0" autoLine="0" autoPict="0">
                <anchor>
                  <from>
                    <xdr:col>8</xdr:col>
                    <xdr:colOff>438150</xdr:colOff>
                    <xdr:row>0</xdr:row>
                    <xdr:rowOff>38100</xdr:rowOff>
                  </from>
                  <to>
                    <xdr:col>9</xdr:col>
                    <xdr:colOff>28575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39">
    <tabColor rgb="FF00B050"/>
    <pageSetUpPr fitToPage="1"/>
  </sheetPr>
  <dimension ref="A1:I35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4" max="4" width="11.5703125" customWidth="1"/>
    <col min="9" max="9" width="14.42578125" customWidth="1"/>
  </cols>
  <sheetData>
    <row r="1" spans="1:9" ht="18.75" thickBot="1" x14ac:dyDescent="0.3">
      <c r="A1" s="1" t="s">
        <v>3791</v>
      </c>
      <c r="B1" s="1"/>
      <c r="C1" s="1"/>
      <c r="D1" s="1"/>
      <c r="E1" s="1"/>
      <c r="F1" s="58"/>
      <c r="G1" s="1"/>
      <c r="H1" s="1"/>
      <c r="I1" s="1"/>
    </row>
    <row r="2" spans="1:9" ht="13.5" thickTop="1" x14ac:dyDescent="0.2"/>
    <row r="3" spans="1:9" x14ac:dyDescent="0.2">
      <c r="C3" s="59" t="s">
        <v>88</v>
      </c>
      <c r="D3" s="59" t="s">
        <v>163</v>
      </c>
      <c r="E3" s="59" t="s">
        <v>164</v>
      </c>
    </row>
    <row r="4" spans="1:9" x14ac:dyDescent="0.2">
      <c r="C4" s="2" t="s">
        <v>165</v>
      </c>
      <c r="D4" s="16">
        <v>35796</v>
      </c>
      <c r="E4" s="2">
        <v>80</v>
      </c>
    </row>
    <row r="5" spans="1:9" x14ac:dyDescent="0.2">
      <c r="C5" s="2" t="s">
        <v>166</v>
      </c>
      <c r="D5" s="16">
        <v>35925</v>
      </c>
      <c r="E5" s="2">
        <v>25</v>
      </c>
    </row>
    <row r="6" spans="1:9" x14ac:dyDescent="0.2">
      <c r="C6" s="2" t="s">
        <v>165</v>
      </c>
      <c r="D6" s="16">
        <v>35827</v>
      </c>
      <c r="E6" s="2">
        <v>80</v>
      </c>
    </row>
    <row r="7" spans="1:9" x14ac:dyDescent="0.2">
      <c r="C7" s="2" t="s">
        <v>167</v>
      </c>
      <c r="D7" s="16">
        <v>35855</v>
      </c>
      <c r="E7" s="2">
        <v>150</v>
      </c>
    </row>
    <row r="8" spans="1:9" x14ac:dyDescent="0.2">
      <c r="C8" s="2" t="s">
        <v>167</v>
      </c>
      <c r="D8" s="16">
        <v>35800</v>
      </c>
      <c r="E8" s="2">
        <v>300</v>
      </c>
    </row>
    <row r="9" spans="1:9" x14ac:dyDescent="0.2">
      <c r="C9" s="2" t="s">
        <v>168</v>
      </c>
      <c r="D9" s="16">
        <v>35947</v>
      </c>
      <c r="E9" s="2">
        <v>50</v>
      </c>
    </row>
    <row r="10" spans="1:9" x14ac:dyDescent="0.2">
      <c r="C10" s="2" t="s">
        <v>166</v>
      </c>
      <c r="D10" s="16">
        <v>35886</v>
      </c>
      <c r="E10" s="2">
        <v>200</v>
      </c>
    </row>
    <row r="11" spans="1:9" x14ac:dyDescent="0.2">
      <c r="C11" s="2" t="s">
        <v>166</v>
      </c>
      <c r="D11" s="16">
        <v>35855</v>
      </c>
      <c r="E11" s="2">
        <v>100</v>
      </c>
    </row>
    <row r="12" spans="1:9" x14ac:dyDescent="0.2">
      <c r="C12" s="2" t="s">
        <v>169</v>
      </c>
      <c r="D12" s="16">
        <v>35916</v>
      </c>
      <c r="E12" s="2">
        <v>250</v>
      </c>
    </row>
    <row r="14" spans="1:9" x14ac:dyDescent="0.2">
      <c r="B14" s="279" t="s">
        <v>3792</v>
      </c>
      <c r="C14" s="286"/>
      <c r="D14" s="286"/>
      <c r="E14" s="500"/>
      <c r="F14" s="3">
        <f>SUMIF(C4:C12,"Brakes",E4:E12)</f>
        <v>160</v>
      </c>
      <c r="G14" s="8" t="s">
        <v>3793</v>
      </c>
    </row>
    <row r="15" spans="1:9" x14ac:dyDescent="0.2">
      <c r="B15" s="279" t="s">
        <v>3794</v>
      </c>
      <c r="C15" s="286"/>
      <c r="D15" s="286"/>
      <c r="E15" s="500"/>
      <c r="F15" s="3">
        <f>SUMIF(C4:C12,"Tyres",E4:E12)</f>
        <v>325</v>
      </c>
      <c r="G15" s="8" t="s">
        <v>3795</v>
      </c>
    </row>
    <row r="16" spans="1:9" x14ac:dyDescent="0.2">
      <c r="B16" s="279" t="s">
        <v>3796</v>
      </c>
      <c r="C16" s="286"/>
      <c r="D16" s="286"/>
      <c r="E16" s="500"/>
      <c r="F16" s="3">
        <f>SUMIF(E4:E12,"&gt;=100")</f>
        <v>1000</v>
      </c>
      <c r="G16" s="8" t="s">
        <v>3797</v>
      </c>
    </row>
    <row r="18" spans="2:9" x14ac:dyDescent="0.2">
      <c r="B18" s="501" t="s">
        <v>3798</v>
      </c>
      <c r="C18" s="286"/>
      <c r="D18" s="286"/>
      <c r="E18" s="2" t="s">
        <v>177</v>
      </c>
      <c r="F18" s="3">
        <f>SUMIF(C4:C12,E18,E4:E12)</f>
        <v>450</v>
      </c>
      <c r="G18" s="8" t="s">
        <v>3799</v>
      </c>
    </row>
    <row r="21" spans="2:9" ht="13.5" thickBot="1" x14ac:dyDescent="0.25">
      <c r="B21" s="9" t="s">
        <v>39</v>
      </c>
      <c r="C21" s="9"/>
      <c r="D21" s="9"/>
      <c r="E21" s="9"/>
      <c r="F21" s="9"/>
      <c r="G21" s="9"/>
      <c r="H21" s="9"/>
      <c r="I21" s="9"/>
    </row>
    <row r="22" spans="2:9" x14ac:dyDescent="0.2">
      <c r="B22" t="s">
        <v>3800</v>
      </c>
    </row>
    <row r="24" spans="2:9" ht="13.5" thickBot="1" x14ac:dyDescent="0.25">
      <c r="B24" s="9" t="s">
        <v>43</v>
      </c>
      <c r="C24" s="9"/>
      <c r="D24" s="9"/>
      <c r="E24" s="9"/>
      <c r="F24" s="9"/>
      <c r="G24" s="9"/>
      <c r="H24" s="9"/>
      <c r="I24" s="9"/>
    </row>
    <row r="25" spans="2:9" x14ac:dyDescent="0.2">
      <c r="B25" s="12" t="s">
        <v>3801</v>
      </c>
    </row>
    <row r="27" spans="2:9" x14ac:dyDescent="0.2">
      <c r="B27" s="10" t="s">
        <v>3802</v>
      </c>
      <c r="E27" t="s">
        <v>3803</v>
      </c>
    </row>
    <row r="28" spans="2:9" x14ac:dyDescent="0.2">
      <c r="E28" t="s">
        <v>3804</v>
      </c>
    </row>
    <row r="29" spans="2:9" x14ac:dyDescent="0.2">
      <c r="E29" t="s">
        <v>3805</v>
      </c>
    </row>
    <row r="31" spans="2:9" x14ac:dyDescent="0.2">
      <c r="B31" t="s">
        <v>3797</v>
      </c>
      <c r="E31" t="s">
        <v>3806</v>
      </c>
    </row>
    <row r="32" spans="2:9" x14ac:dyDescent="0.2">
      <c r="E32" t="s">
        <v>3807</v>
      </c>
    </row>
    <row r="34" spans="2:9" ht="13.5" thickBot="1" x14ac:dyDescent="0.25">
      <c r="B34" s="9" t="s">
        <v>45</v>
      </c>
      <c r="C34" s="9"/>
      <c r="D34" s="9"/>
      <c r="E34" s="9"/>
      <c r="F34" s="9"/>
      <c r="G34" s="9"/>
      <c r="H34" s="9"/>
      <c r="I34" s="9"/>
    </row>
    <row r="35" spans="2:9" x14ac:dyDescent="0.2">
      <c r="B35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01" r:id="rId4" name="Button 1">
              <controlPr defaultSize="0" print="0" autoFill="0" autoLine="0" autoPict="0">
                <anchor>
                  <from>
                    <xdr:col>8</xdr:col>
                    <xdr:colOff>228600</xdr:colOff>
                    <xdr:row>0</xdr:row>
                    <xdr:rowOff>38100</xdr:rowOff>
                  </from>
                  <to>
                    <xdr:col>8</xdr:col>
                    <xdr:colOff>695325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2" r:id="rId5" name="Button 2">
              <controlPr defaultSize="0" print="0" autoFill="0" autoLine="0" autoPict="0">
                <anchor>
                  <from>
                    <xdr:col>8</xdr:col>
                    <xdr:colOff>762000</xdr:colOff>
                    <xdr:row>0</xdr:row>
                    <xdr:rowOff>38100</xdr:rowOff>
                  </from>
                  <to>
                    <xdr:col>9</xdr:col>
                    <xdr:colOff>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3" r:id="rId6" name="Button 3">
              <controlPr defaultSize="0" print="0" autoFill="0" autoLine="0" autoPict="0">
                <anchor>
                  <from>
                    <xdr:col>7</xdr:col>
                    <xdr:colOff>571500</xdr:colOff>
                    <xdr:row>0</xdr:row>
                    <xdr:rowOff>38100</xdr:rowOff>
                  </from>
                  <to>
                    <xdr:col>8</xdr:col>
                    <xdr:colOff>161925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0">
    <pageSetUpPr fitToPage="1"/>
  </sheetPr>
  <dimension ref="A1:I46"/>
  <sheetViews>
    <sheetView showGridLines="0" workbookViewId="0">
      <selection activeCell="F30" activeCellId="4" sqref="F16 K30 G30 P30 F30"/>
    </sheetView>
  </sheetViews>
  <sheetFormatPr defaultRowHeight="12.75" x14ac:dyDescent="0.2"/>
  <cols>
    <col min="1" max="1" width="2.7109375" customWidth="1"/>
    <col min="2" max="2" width="10.5703125" customWidth="1"/>
    <col min="8" max="8" width="11.42578125" customWidth="1"/>
    <col min="9" max="9" width="13.85546875" customWidth="1"/>
  </cols>
  <sheetData>
    <row r="1" spans="1:9" ht="18.75" thickBot="1" x14ac:dyDescent="0.3">
      <c r="A1" s="1" t="s">
        <v>3808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5" t="s">
        <v>88</v>
      </c>
      <c r="D3" s="5" t="s">
        <v>3809</v>
      </c>
      <c r="E3" s="5" t="s">
        <v>3810</v>
      </c>
    </row>
    <row r="4" spans="1:9" x14ac:dyDescent="0.2">
      <c r="C4" s="5" t="s">
        <v>166</v>
      </c>
      <c r="D4" s="2">
        <v>5</v>
      </c>
      <c r="E4" s="2">
        <v>100</v>
      </c>
    </row>
    <row r="5" spans="1:9" x14ac:dyDescent="0.2">
      <c r="C5" s="5" t="s">
        <v>3811</v>
      </c>
      <c r="D5" s="2">
        <v>2</v>
      </c>
      <c r="E5" s="2">
        <v>10</v>
      </c>
    </row>
    <row r="6" spans="1:9" x14ac:dyDescent="0.2">
      <c r="C6" s="5" t="s">
        <v>3812</v>
      </c>
      <c r="D6" s="2">
        <v>3</v>
      </c>
      <c r="E6" s="2">
        <v>2</v>
      </c>
    </row>
    <row r="8" spans="1:9" x14ac:dyDescent="0.2">
      <c r="C8" s="22"/>
      <c r="D8" s="23" t="s">
        <v>3813</v>
      </c>
      <c r="E8" s="3">
        <f>SUMPRODUCT(D4:D6,E4:E6)</f>
        <v>526</v>
      </c>
      <c r="F8" s="8" t="s">
        <v>3814</v>
      </c>
    </row>
    <row r="10" spans="1:9" ht="13.5" thickBot="1" x14ac:dyDescent="0.25">
      <c r="B10" s="9" t="s">
        <v>39</v>
      </c>
      <c r="C10" s="9"/>
      <c r="D10" s="9"/>
      <c r="E10" s="9"/>
      <c r="F10" s="9"/>
      <c r="G10" s="9"/>
      <c r="H10" s="9"/>
      <c r="I10" s="9"/>
    </row>
    <row r="11" spans="1:9" x14ac:dyDescent="0.2">
      <c r="B11" t="s">
        <v>3815</v>
      </c>
    </row>
    <row r="12" spans="1:9" x14ac:dyDescent="0.2">
      <c r="B12" t="s">
        <v>3816</v>
      </c>
    </row>
    <row r="13" spans="1:9" x14ac:dyDescent="0.2">
      <c r="B13" t="s">
        <v>3817</v>
      </c>
    </row>
    <row r="15" spans="1:9" ht="13.5" thickBot="1" x14ac:dyDescent="0.25">
      <c r="B15" s="9" t="s">
        <v>43</v>
      </c>
      <c r="C15" s="9"/>
      <c r="D15" s="9"/>
      <c r="E15" s="9"/>
      <c r="F15" s="9"/>
      <c r="G15" s="9"/>
      <c r="H15" s="9"/>
      <c r="I15" s="9"/>
    </row>
    <row r="16" spans="1:9" x14ac:dyDescent="0.2">
      <c r="B16" s="10" t="s">
        <v>3818</v>
      </c>
    </row>
    <row r="18" spans="2:9" ht="13.5" thickBot="1" x14ac:dyDescent="0.25">
      <c r="B18" s="9" t="s">
        <v>45</v>
      </c>
      <c r="C18" s="9"/>
      <c r="D18" s="9"/>
      <c r="E18" s="9"/>
      <c r="F18" s="9"/>
      <c r="G18" s="9"/>
      <c r="H18" s="9"/>
      <c r="I18" s="9"/>
    </row>
    <row r="19" spans="2:9" x14ac:dyDescent="0.2">
      <c r="B19" t="s">
        <v>46</v>
      </c>
    </row>
    <row r="21" spans="2:9" ht="13.5" thickBot="1" x14ac:dyDescent="0.25">
      <c r="B21" s="9" t="s">
        <v>85</v>
      </c>
      <c r="C21" s="9"/>
      <c r="D21" s="9"/>
      <c r="E21" s="9"/>
      <c r="F21" s="9"/>
      <c r="G21" s="9"/>
      <c r="H21" s="9"/>
      <c r="I21" s="9"/>
    </row>
    <row r="22" spans="2:9" x14ac:dyDescent="0.2">
      <c r="B22" t="s">
        <v>3819</v>
      </c>
    </row>
    <row r="23" spans="2:9" x14ac:dyDescent="0.2">
      <c r="B23" t="s">
        <v>3820</v>
      </c>
    </row>
    <row r="24" spans="2:9" x14ac:dyDescent="0.2">
      <c r="B24" t="s">
        <v>3821</v>
      </c>
    </row>
    <row r="26" spans="2:9" x14ac:dyDescent="0.2">
      <c r="B26" t="s">
        <v>3822</v>
      </c>
    </row>
    <row r="27" spans="2:9" x14ac:dyDescent="0.2">
      <c r="B27" t="s">
        <v>3823</v>
      </c>
    </row>
    <row r="29" spans="2:9" x14ac:dyDescent="0.2">
      <c r="B29" t="s">
        <v>3824</v>
      </c>
    </row>
    <row r="30" spans="2:9" x14ac:dyDescent="0.2">
      <c r="B30" t="s">
        <v>3825</v>
      </c>
    </row>
    <row r="31" spans="2:9" x14ac:dyDescent="0.2">
      <c r="B31" t="s">
        <v>3826</v>
      </c>
    </row>
    <row r="34" spans="2:8" ht="25.5" x14ac:dyDescent="0.2">
      <c r="B34" s="7" t="s">
        <v>1561</v>
      </c>
      <c r="C34" s="21" t="s">
        <v>3827</v>
      </c>
      <c r="D34" s="21" t="s">
        <v>3828</v>
      </c>
      <c r="E34" s="21" t="s">
        <v>3829</v>
      </c>
      <c r="F34" s="21" t="s">
        <v>3830</v>
      </c>
      <c r="G34" s="21" t="s">
        <v>3831</v>
      </c>
      <c r="H34" s="21" t="s">
        <v>3832</v>
      </c>
    </row>
    <row r="35" spans="2:8" x14ac:dyDescent="0.2">
      <c r="B35" s="5" t="s">
        <v>3833</v>
      </c>
      <c r="C35" s="2">
        <v>10</v>
      </c>
      <c r="D35" s="18">
        <v>120</v>
      </c>
      <c r="E35" s="2">
        <v>10</v>
      </c>
      <c r="F35" s="269">
        <f>D35/E35</f>
        <v>12</v>
      </c>
      <c r="G35" s="126">
        <v>0.25</v>
      </c>
      <c r="H35" s="269">
        <f>F35+F35*G35</f>
        <v>15</v>
      </c>
    </row>
    <row r="36" spans="2:8" x14ac:dyDescent="0.2">
      <c r="B36" s="5" t="s">
        <v>3834</v>
      </c>
      <c r="C36" s="2">
        <v>8</v>
      </c>
      <c r="D36" s="18">
        <v>130</v>
      </c>
      <c r="E36" s="2">
        <v>10</v>
      </c>
      <c r="F36" s="269">
        <f>D36/E36</f>
        <v>13</v>
      </c>
      <c r="G36" s="126">
        <v>0.25</v>
      </c>
      <c r="H36" s="269">
        <f>F36+F36*G36</f>
        <v>16.25</v>
      </c>
    </row>
    <row r="37" spans="2:8" x14ac:dyDescent="0.2">
      <c r="B37" s="5" t="s">
        <v>3271</v>
      </c>
      <c r="C37" s="2">
        <v>5</v>
      </c>
      <c r="D37" s="18">
        <v>200</v>
      </c>
      <c r="E37" s="2">
        <v>6</v>
      </c>
      <c r="F37" s="269">
        <f>D37/E37</f>
        <v>33.333333333333336</v>
      </c>
      <c r="G37" s="126">
        <v>0.8</v>
      </c>
      <c r="H37" s="269">
        <f>F37+F37*G37</f>
        <v>60.000000000000007</v>
      </c>
    </row>
    <row r="38" spans="2:8" x14ac:dyDescent="0.2">
      <c r="B38" s="5" t="s">
        <v>3273</v>
      </c>
      <c r="C38" s="2">
        <v>50</v>
      </c>
      <c r="D38" s="18">
        <v>24</v>
      </c>
      <c r="E38" s="2">
        <v>12</v>
      </c>
      <c r="F38" s="269">
        <f>D38/E38</f>
        <v>2</v>
      </c>
      <c r="G38" s="126">
        <v>0.2</v>
      </c>
      <c r="H38" s="269">
        <f>F38+F38*G38</f>
        <v>2.4</v>
      </c>
    </row>
    <row r="39" spans="2:8" x14ac:dyDescent="0.2">
      <c r="B39" s="5" t="s">
        <v>3835</v>
      </c>
      <c r="C39" s="2">
        <v>100</v>
      </c>
      <c r="D39" s="18">
        <v>30</v>
      </c>
      <c r="E39" s="2">
        <v>12</v>
      </c>
      <c r="F39" s="269">
        <f>D39/E39</f>
        <v>2.5</v>
      </c>
      <c r="G39" s="126">
        <v>0.25</v>
      </c>
      <c r="H39" s="269">
        <f>F39+F39*G39</f>
        <v>3.125</v>
      </c>
    </row>
    <row r="40" spans="2:8" x14ac:dyDescent="0.2">
      <c r="F40" s="19" t="s">
        <v>3836</v>
      </c>
      <c r="H40" s="8" t="s">
        <v>3837</v>
      </c>
    </row>
    <row r="43" spans="2:8" x14ac:dyDescent="0.2">
      <c r="B43" s="22"/>
      <c r="C43" s="24"/>
      <c r="D43" s="23" t="s">
        <v>3838</v>
      </c>
      <c r="E43" s="325">
        <f>SUMPRODUCT(C35:C39,D35:D39)</f>
        <v>7440</v>
      </c>
      <c r="F43" s="8" t="s">
        <v>3839</v>
      </c>
    </row>
    <row r="44" spans="2:8" x14ac:dyDescent="0.2">
      <c r="B44" s="22"/>
      <c r="C44" s="24"/>
      <c r="D44" s="23" t="s">
        <v>3840</v>
      </c>
      <c r="E44" s="325">
        <f>SUMPRODUCT(C35:C39,E35:E39,H35:H39)</f>
        <v>9790</v>
      </c>
      <c r="F44" s="8" t="s">
        <v>3841</v>
      </c>
    </row>
    <row r="46" spans="2:8" x14ac:dyDescent="0.2">
      <c r="D46" s="57" t="s">
        <v>3842</v>
      </c>
      <c r="E46" s="325">
        <f>E44-E43</f>
        <v>2350</v>
      </c>
      <c r="F46" s="8" t="s">
        <v>3843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horizontalDpi="0" verticalDpi="0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4625" r:id="rId4" name="Button 1">
              <controlPr defaultSize="0" print="0" autoFill="0" autoLine="0" autoPict="0">
                <anchor>
                  <from>
                    <xdr:col>8</xdr:col>
                    <xdr:colOff>104775</xdr:colOff>
                    <xdr:row>0</xdr:row>
                    <xdr:rowOff>38100</xdr:rowOff>
                  </from>
                  <to>
                    <xdr:col>8</xdr:col>
                    <xdr:colOff>571500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26" r:id="rId5" name="Button 2">
              <controlPr defaultSize="0" print="0" autoFill="0" autoLine="0" autoPict="0">
                <anchor>
                  <from>
                    <xdr:col>8</xdr:col>
                    <xdr:colOff>638175</xdr:colOff>
                    <xdr:row>0</xdr:row>
                    <xdr:rowOff>38100</xdr:rowOff>
                  </from>
                  <to>
                    <xdr:col>8</xdr:col>
                    <xdr:colOff>838200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27" r:id="rId6" name="Button 3">
              <controlPr defaultSize="0" print="0" autoFill="0" autoLine="0" autoPict="0">
                <anchor>
                  <from>
                    <xdr:col>7</xdr:col>
                    <xdr:colOff>600075</xdr:colOff>
                    <xdr:row>0</xdr:row>
                    <xdr:rowOff>38100</xdr:rowOff>
                  </from>
                  <to>
                    <xdr:col>8</xdr:col>
                    <xdr:colOff>38100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41">
    <pageSetUpPr fitToPage="1"/>
  </sheetPr>
  <dimension ref="A1:I91"/>
  <sheetViews>
    <sheetView showGridLines="0" workbookViewId="0">
      <pane ySplit="1" topLeftCell="A8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4" max="4" width="11.42578125" customWidth="1"/>
    <col min="5" max="5" width="12.140625" customWidth="1"/>
    <col min="6" max="6" width="11.28515625" customWidth="1"/>
    <col min="9" max="9" width="10.140625" customWidth="1"/>
  </cols>
  <sheetData>
    <row r="1" spans="1:9" ht="18.75" thickBot="1" x14ac:dyDescent="0.3">
      <c r="A1" s="1" t="s">
        <v>3844</v>
      </c>
      <c r="B1" s="1"/>
      <c r="C1" s="1"/>
      <c r="D1" s="1"/>
      <c r="E1" s="1"/>
      <c r="F1" s="1"/>
      <c r="G1" s="1"/>
      <c r="H1" s="1"/>
      <c r="I1" s="1"/>
    </row>
    <row r="2" spans="1:9" ht="13.5" thickTop="1" x14ac:dyDescent="0.2"/>
    <row r="3" spans="1:9" x14ac:dyDescent="0.2">
      <c r="C3" s="22"/>
      <c r="D3" s="24"/>
      <c r="E3" s="23" t="s">
        <v>3590</v>
      </c>
      <c r="F3" s="376">
        <v>20000</v>
      </c>
    </row>
    <row r="4" spans="1:9" x14ac:dyDescent="0.2">
      <c r="C4" s="22"/>
      <c r="D4" s="24"/>
      <c r="E4" s="23" t="s">
        <v>3591</v>
      </c>
      <c r="F4" s="376">
        <v>8000</v>
      </c>
    </row>
    <row r="5" spans="1:9" x14ac:dyDescent="0.2">
      <c r="C5" s="22"/>
      <c r="D5" s="24"/>
      <c r="E5" s="23" t="s">
        <v>3592</v>
      </c>
      <c r="F5" s="492">
        <v>6</v>
      </c>
    </row>
    <row r="7" spans="1:9" x14ac:dyDescent="0.2">
      <c r="D7" s="22"/>
      <c r="E7" s="23" t="s">
        <v>3845</v>
      </c>
      <c r="F7" s="325">
        <f>SYD($F$3,$F$4,$F$5,1)</f>
        <v>3428.5714285714284</v>
      </c>
      <c r="G7" s="8" t="s">
        <v>3846</v>
      </c>
    </row>
    <row r="8" spans="1:9" x14ac:dyDescent="0.2">
      <c r="D8" s="22"/>
      <c r="E8" s="23" t="s">
        <v>3847</v>
      </c>
      <c r="F8" s="325">
        <f>SYD($F$3,$F$4,$F$5,2)</f>
        <v>2857.1428571428573</v>
      </c>
      <c r="G8" s="8" t="s">
        <v>3848</v>
      </c>
    </row>
    <row r="9" spans="1:9" x14ac:dyDescent="0.2">
      <c r="D9" s="22"/>
      <c r="E9" s="23" t="s">
        <v>3849</v>
      </c>
      <c r="F9" s="325">
        <f>SYD($F$3,$F$4,$F$5,3)</f>
        <v>2285.7142857142858</v>
      </c>
      <c r="G9" s="8" t="s">
        <v>3850</v>
      </c>
    </row>
    <row r="10" spans="1:9" x14ac:dyDescent="0.2">
      <c r="D10" s="22"/>
      <c r="E10" s="23" t="s">
        <v>3851</v>
      </c>
      <c r="F10" s="325">
        <f>SYD($F$3,$F$4,$F$5,4)</f>
        <v>1714.2857142857142</v>
      </c>
      <c r="G10" s="8" t="s">
        <v>3852</v>
      </c>
    </row>
    <row r="11" spans="1:9" x14ac:dyDescent="0.2">
      <c r="D11" s="22"/>
      <c r="E11" s="23" t="s">
        <v>3853</v>
      </c>
      <c r="F11" s="325">
        <f>SYD($F$3,$F$4,$F$5,5)</f>
        <v>1142.8571428571429</v>
      </c>
      <c r="G11" s="8" t="s">
        <v>3854</v>
      </c>
    </row>
    <row r="12" spans="1:9" x14ac:dyDescent="0.2">
      <c r="D12" s="22"/>
      <c r="E12" s="23" t="s">
        <v>3855</v>
      </c>
      <c r="F12" s="325">
        <f>SYD($F$3,$F$4,$F$5,6)</f>
        <v>571.42857142857144</v>
      </c>
      <c r="G12" s="8" t="s">
        <v>3856</v>
      </c>
    </row>
    <row r="14" spans="1:9" x14ac:dyDescent="0.2">
      <c r="D14" s="22"/>
      <c r="E14" s="35" t="s">
        <v>3857</v>
      </c>
      <c r="F14" s="325">
        <f>SUM(F7:F12)</f>
        <v>12000</v>
      </c>
      <c r="G14" s="8" t="s">
        <v>3858</v>
      </c>
    </row>
    <row r="16" spans="1:9" ht="13.5" thickBot="1" x14ac:dyDescent="0.25">
      <c r="B16" s="9" t="s">
        <v>39</v>
      </c>
      <c r="C16" s="9"/>
      <c r="D16" s="9"/>
      <c r="E16" s="9"/>
      <c r="F16" s="9"/>
      <c r="G16" s="9"/>
      <c r="H16" s="9"/>
      <c r="I16" s="9"/>
    </row>
    <row r="17" spans="2:9" x14ac:dyDescent="0.2">
      <c r="B17" t="s">
        <v>3859</v>
      </c>
    </row>
    <row r="18" spans="2:9" x14ac:dyDescent="0.2">
      <c r="B18" t="s">
        <v>3860</v>
      </c>
    </row>
    <row r="19" spans="2:9" x14ac:dyDescent="0.2">
      <c r="B19" t="s">
        <v>3861</v>
      </c>
    </row>
    <row r="21" spans="2:9" ht="13.5" thickBot="1" x14ac:dyDescent="0.25">
      <c r="B21" s="9" t="s">
        <v>3862</v>
      </c>
      <c r="C21" s="9"/>
      <c r="D21" s="9"/>
      <c r="E21" s="9"/>
      <c r="F21" s="9"/>
      <c r="G21" s="9"/>
      <c r="H21" s="9"/>
      <c r="I21" s="9"/>
    </row>
    <row r="22" spans="2:9" x14ac:dyDescent="0.2">
      <c r="B22" t="s">
        <v>3863</v>
      </c>
      <c r="C22" s="312"/>
      <c r="D22" s="312"/>
      <c r="E22" s="312"/>
      <c r="F22" s="312"/>
      <c r="G22" s="312"/>
      <c r="H22" s="312"/>
      <c r="I22" s="312"/>
    </row>
    <row r="23" spans="2:9" x14ac:dyDescent="0.2">
      <c r="B23" t="s">
        <v>3864</v>
      </c>
      <c r="C23" s="312"/>
      <c r="D23" s="312"/>
      <c r="E23" s="312"/>
      <c r="F23" s="312"/>
      <c r="G23" s="312"/>
      <c r="H23" s="312"/>
      <c r="I23" s="312"/>
    </row>
    <row r="24" spans="2:9" x14ac:dyDescent="0.2">
      <c r="B24" t="s">
        <v>3865</v>
      </c>
      <c r="C24" s="312"/>
      <c r="D24" s="312"/>
      <c r="E24" s="312"/>
      <c r="F24" s="312"/>
      <c r="G24" s="312"/>
      <c r="H24" s="312"/>
      <c r="I24" s="312"/>
    </row>
    <row r="25" spans="2:9" x14ac:dyDescent="0.2">
      <c r="B25" t="s">
        <v>3866</v>
      </c>
      <c r="C25" s="312"/>
      <c r="D25" s="312"/>
      <c r="E25" s="312"/>
      <c r="F25" s="312"/>
      <c r="G25" s="312"/>
      <c r="H25" s="312"/>
      <c r="I25" s="312"/>
    </row>
    <row r="26" spans="2:9" x14ac:dyDescent="0.2">
      <c r="B26" t="s">
        <v>3867</v>
      </c>
      <c r="C26" s="312"/>
      <c r="D26" s="312"/>
      <c r="E26" s="312"/>
      <c r="F26" s="312"/>
      <c r="G26" s="312"/>
      <c r="H26" s="312"/>
      <c r="I26" s="312"/>
    </row>
    <row r="27" spans="2:9" x14ac:dyDescent="0.2">
      <c r="B27" t="s">
        <v>3868</v>
      </c>
      <c r="C27" s="312"/>
      <c r="D27" s="312"/>
      <c r="E27" s="312"/>
      <c r="F27" s="312"/>
      <c r="G27" s="312"/>
      <c r="H27" s="312"/>
      <c r="I27" s="312"/>
    </row>
    <row r="28" spans="2:9" x14ac:dyDescent="0.2">
      <c r="C28" s="312"/>
      <c r="D28" s="312"/>
      <c r="E28" s="312"/>
      <c r="F28" s="312"/>
      <c r="G28" s="312"/>
      <c r="H28" s="312"/>
      <c r="I28" s="312"/>
    </row>
    <row r="29" spans="2:9" x14ac:dyDescent="0.2">
      <c r="E29" s="468">
        <v>9000</v>
      </c>
    </row>
    <row r="30" spans="2:9" x14ac:dyDescent="0.2">
      <c r="C30" s="143">
        <v>1</v>
      </c>
      <c r="D30" s="502">
        <f>C30/SUM($C$30:$C$32)</f>
        <v>0.16666666666666666</v>
      </c>
      <c r="E30" s="503">
        <f>$E$29*D30</f>
        <v>1500</v>
      </c>
    </row>
    <row r="31" spans="2:9" x14ac:dyDescent="0.2">
      <c r="C31" s="143">
        <v>2</v>
      </c>
      <c r="D31" s="502">
        <f>C31/SUM($C$30:$C$32)</f>
        <v>0.33333333333333331</v>
      </c>
      <c r="E31" s="503">
        <f>$E$29*D31</f>
        <v>3000</v>
      </c>
    </row>
    <row r="32" spans="2:9" x14ac:dyDescent="0.2">
      <c r="C32" s="143">
        <v>3</v>
      </c>
      <c r="D32" s="502">
        <f>C32/SUM($C$30:$C$32)</f>
        <v>0.5</v>
      </c>
      <c r="E32" s="503">
        <f>$E$29*D32</f>
        <v>4500</v>
      </c>
    </row>
    <row r="33" spans="2:9" x14ac:dyDescent="0.2">
      <c r="C33" s="504"/>
      <c r="D33" s="468"/>
    </row>
    <row r="34" spans="2:9" x14ac:dyDescent="0.2">
      <c r="B34" t="s">
        <v>3869</v>
      </c>
      <c r="C34" s="504"/>
      <c r="D34" s="468"/>
    </row>
    <row r="35" spans="2:9" x14ac:dyDescent="0.2">
      <c r="B35" t="s">
        <v>3870</v>
      </c>
      <c r="C35" s="504"/>
      <c r="D35" s="468"/>
    </row>
    <row r="36" spans="2:9" x14ac:dyDescent="0.2">
      <c r="C36" s="504"/>
      <c r="D36" s="468"/>
    </row>
    <row r="37" spans="2:9" ht="13.5" thickBot="1" x14ac:dyDescent="0.25">
      <c r="B37" s="9" t="s">
        <v>286</v>
      </c>
      <c r="C37" s="505"/>
      <c r="D37" s="506"/>
      <c r="E37" s="9"/>
      <c r="F37" s="9"/>
      <c r="G37" s="9"/>
      <c r="H37" s="9"/>
      <c r="I37" s="9"/>
    </row>
    <row r="39" spans="2:9" x14ac:dyDescent="0.2">
      <c r="B39" s="22"/>
      <c r="C39" s="24"/>
      <c r="D39" s="23" t="s">
        <v>3871</v>
      </c>
      <c r="E39" s="281">
        <v>10000</v>
      </c>
    </row>
    <row r="40" spans="2:9" x14ac:dyDescent="0.2">
      <c r="B40" s="22"/>
      <c r="C40" s="24"/>
      <c r="D40" s="23" t="s">
        <v>3872</v>
      </c>
      <c r="E40" s="281">
        <v>1000</v>
      </c>
    </row>
    <row r="41" spans="2:9" x14ac:dyDescent="0.2">
      <c r="B41" s="22"/>
      <c r="C41" s="24"/>
      <c r="D41" s="23" t="s">
        <v>3873</v>
      </c>
      <c r="E41" s="137">
        <v>3</v>
      </c>
    </row>
    <row r="42" spans="2:9" x14ac:dyDescent="0.2">
      <c r="G42" s="6"/>
      <c r="H42" s="507" t="s">
        <v>3874</v>
      </c>
      <c r="I42" s="109"/>
    </row>
    <row r="43" spans="2:9" x14ac:dyDescent="0.2">
      <c r="C43" s="22"/>
      <c r="D43" s="23" t="s">
        <v>3875</v>
      </c>
      <c r="E43" s="325">
        <f>SYD($E$39,$E$40,$E$41,1)</f>
        <v>4500</v>
      </c>
      <c r="F43" s="508" t="s">
        <v>3876</v>
      </c>
      <c r="G43" s="105"/>
      <c r="H43" s="3">
        <f>E43/($E$39-$E$40)</f>
        <v>0.5</v>
      </c>
    </row>
    <row r="44" spans="2:9" x14ac:dyDescent="0.2">
      <c r="C44" s="22"/>
      <c r="D44" s="23" t="s">
        <v>3877</v>
      </c>
      <c r="E44" s="325">
        <f>SYD($E$39,$E$40,$E$41,2)</f>
        <v>3000</v>
      </c>
      <c r="F44" s="508" t="s">
        <v>3876</v>
      </c>
      <c r="G44" s="105"/>
      <c r="H44" s="3">
        <f>E44/($E$39-$E$40)</f>
        <v>0.33333333333333331</v>
      </c>
    </row>
    <row r="45" spans="2:9" x14ac:dyDescent="0.2">
      <c r="C45" s="22"/>
      <c r="D45" s="23" t="s">
        <v>3878</v>
      </c>
      <c r="E45" s="325">
        <f>SYD($E$39,$E$40,$E$41,3)</f>
        <v>1500</v>
      </c>
      <c r="F45" s="508" t="s">
        <v>3876</v>
      </c>
      <c r="G45" s="105"/>
      <c r="H45" s="3">
        <f>E45/($E$39-$E$40)</f>
        <v>0.16666666666666666</v>
      </c>
    </row>
    <row r="46" spans="2:9" x14ac:dyDescent="0.2">
      <c r="D46" s="178"/>
      <c r="E46" s="8" t="s">
        <v>3879</v>
      </c>
    </row>
    <row r="47" spans="2:9" x14ac:dyDescent="0.2">
      <c r="D47" s="178"/>
      <c r="E47" s="285"/>
    </row>
    <row r="48" spans="2:9" x14ac:dyDescent="0.2">
      <c r="B48" t="s">
        <v>3880</v>
      </c>
      <c r="D48" s="178"/>
      <c r="E48" s="285"/>
    </row>
    <row r="49" spans="2:9" x14ac:dyDescent="0.2">
      <c r="B49" t="s">
        <v>3881</v>
      </c>
      <c r="D49" s="178"/>
      <c r="E49" s="285"/>
    </row>
    <row r="50" spans="2:9" x14ac:dyDescent="0.2">
      <c r="B50" t="s">
        <v>3882</v>
      </c>
      <c r="D50" s="178"/>
      <c r="E50" s="285"/>
    </row>
    <row r="51" spans="2:9" x14ac:dyDescent="0.2">
      <c r="B51" t="s">
        <v>3883</v>
      </c>
      <c r="D51" s="178"/>
      <c r="E51" s="285"/>
    </row>
    <row r="52" spans="2:9" x14ac:dyDescent="0.2">
      <c r="B52" t="s">
        <v>3884</v>
      </c>
      <c r="D52" s="178"/>
      <c r="E52" s="285"/>
    </row>
    <row r="53" spans="2:9" x14ac:dyDescent="0.2">
      <c r="B53" t="s">
        <v>3885</v>
      </c>
      <c r="D53" s="178"/>
      <c r="E53" s="285"/>
    </row>
    <row r="54" spans="2:9" x14ac:dyDescent="0.2">
      <c r="D54" s="178"/>
      <c r="E54" s="285"/>
    </row>
    <row r="55" spans="2:9" ht="13.5" thickBot="1" x14ac:dyDescent="0.25">
      <c r="B55" s="9" t="s">
        <v>305</v>
      </c>
      <c r="C55" s="9"/>
      <c r="D55" s="460"/>
      <c r="E55" s="509"/>
      <c r="F55" s="9"/>
      <c r="G55" s="9"/>
      <c r="H55" s="9"/>
      <c r="I55" s="9"/>
    </row>
    <row r="56" spans="2:9" x14ac:dyDescent="0.2">
      <c r="B56" t="s">
        <v>3886</v>
      </c>
      <c r="D56" s="178"/>
      <c r="E56" s="285"/>
    </row>
    <row r="57" spans="2:9" x14ac:dyDescent="0.2">
      <c r="D57" s="178"/>
      <c r="E57" s="285"/>
    </row>
    <row r="58" spans="2:9" x14ac:dyDescent="0.2">
      <c r="B58" s="22"/>
      <c r="C58" s="24"/>
      <c r="D58" s="23" t="s">
        <v>3871</v>
      </c>
      <c r="E58" s="281">
        <v>10000</v>
      </c>
    </row>
    <row r="59" spans="2:9" x14ac:dyDescent="0.2">
      <c r="B59" s="22"/>
      <c r="C59" s="24"/>
      <c r="D59" s="23" t="s">
        <v>3872</v>
      </c>
      <c r="E59" s="281">
        <v>1000</v>
      </c>
    </row>
    <row r="60" spans="2:9" x14ac:dyDescent="0.2">
      <c r="B60" s="22"/>
      <c r="C60" s="24"/>
      <c r="D60" s="23" t="s">
        <v>3873</v>
      </c>
      <c r="E60" s="137">
        <v>4</v>
      </c>
    </row>
    <row r="61" spans="2:9" x14ac:dyDescent="0.2">
      <c r="G61" s="6"/>
      <c r="H61" s="507" t="s">
        <v>3887</v>
      </c>
      <c r="I61" s="109"/>
    </row>
    <row r="62" spans="2:9" x14ac:dyDescent="0.2">
      <c r="C62" s="22"/>
      <c r="D62" s="23" t="s">
        <v>3875</v>
      </c>
      <c r="E62" s="325">
        <f>SYD($E$58,$E$59,$E$60,1)</f>
        <v>3600</v>
      </c>
      <c r="H62" s="69">
        <f>E62/($E$58-$E$59)</f>
        <v>0.4</v>
      </c>
    </row>
    <row r="63" spans="2:9" x14ac:dyDescent="0.2">
      <c r="C63" s="22"/>
      <c r="D63" s="23" t="s">
        <v>3877</v>
      </c>
      <c r="E63" s="325">
        <f>SYD($E$58,$E$59,$E$60,2)</f>
        <v>2700</v>
      </c>
      <c r="H63" s="69">
        <f>E63/($E$58-$E$59)</f>
        <v>0.3</v>
      </c>
    </row>
    <row r="64" spans="2:9" x14ac:dyDescent="0.2">
      <c r="C64" s="22"/>
      <c r="D64" s="23" t="s">
        <v>3878</v>
      </c>
      <c r="E64" s="325">
        <f>SYD($E$58,$E$59,$E$60,3)</f>
        <v>1800</v>
      </c>
      <c r="H64" s="69">
        <f>E64/($E$58-$E$59)</f>
        <v>0.2</v>
      </c>
    </row>
    <row r="65" spans="2:9" x14ac:dyDescent="0.2">
      <c r="C65" s="22"/>
      <c r="D65" s="23" t="s">
        <v>3888</v>
      </c>
      <c r="E65" s="325">
        <f>SYD($E$58,$E$59,$E$60,4)</f>
        <v>900</v>
      </c>
      <c r="H65" s="69">
        <f>E65/($E$58-$E$59)</f>
        <v>0.1</v>
      </c>
    </row>
    <row r="66" spans="2:9" x14ac:dyDescent="0.2">
      <c r="C66" s="22"/>
      <c r="D66" s="23" t="s">
        <v>1626</v>
      </c>
      <c r="E66" s="325">
        <f>SUM(E62:E65)</f>
        <v>9000</v>
      </c>
      <c r="H66" s="504">
        <f>SUM(H62:H65)</f>
        <v>0.99999999999999989</v>
      </c>
    </row>
    <row r="67" spans="2:9" x14ac:dyDescent="0.2">
      <c r="D67" s="178"/>
      <c r="E67" s="285"/>
      <c r="H67" s="504"/>
    </row>
    <row r="68" spans="2:9" ht="13.5" thickBot="1" x14ac:dyDescent="0.25">
      <c r="B68" s="9" t="s">
        <v>323</v>
      </c>
      <c r="C68" s="9"/>
      <c r="D68" s="460"/>
      <c r="E68" s="509"/>
      <c r="F68" s="9"/>
      <c r="G68" s="9"/>
      <c r="H68" s="505"/>
      <c r="I68" s="9"/>
    </row>
    <row r="69" spans="2:9" x14ac:dyDescent="0.2">
      <c r="B69" t="s">
        <v>3889</v>
      </c>
      <c r="D69" s="178"/>
      <c r="E69" s="285"/>
      <c r="H69" s="504"/>
    </row>
    <row r="70" spans="2:9" x14ac:dyDescent="0.2">
      <c r="D70" s="178"/>
      <c r="E70" s="285"/>
      <c r="G70" s="459"/>
    </row>
    <row r="71" spans="2:9" x14ac:dyDescent="0.2">
      <c r="B71" s="22"/>
      <c r="C71" s="24"/>
      <c r="D71" s="23" t="s">
        <v>3871</v>
      </c>
      <c r="E71" s="503">
        <v>10000</v>
      </c>
      <c r="G71" s="459"/>
    </row>
    <row r="72" spans="2:9" x14ac:dyDescent="0.2">
      <c r="B72" s="22"/>
      <c r="C72" s="24"/>
      <c r="D72" s="23" t="s">
        <v>3872</v>
      </c>
      <c r="E72" s="503">
        <v>1000</v>
      </c>
      <c r="G72" s="459"/>
    </row>
    <row r="73" spans="2:9" x14ac:dyDescent="0.2">
      <c r="B73" s="22"/>
      <c r="C73" s="24"/>
      <c r="D73" s="282" t="s">
        <v>3890</v>
      </c>
      <c r="E73" s="510">
        <v>7</v>
      </c>
      <c r="G73" s="459"/>
    </row>
    <row r="74" spans="2:9" x14ac:dyDescent="0.2">
      <c r="D74" s="178"/>
      <c r="E74" s="285"/>
      <c r="G74" s="6"/>
      <c r="H74" s="507" t="s">
        <v>3887</v>
      </c>
      <c r="I74" s="109"/>
    </row>
    <row r="75" spans="2:9" x14ac:dyDescent="0.2">
      <c r="C75" s="5" t="s">
        <v>1372</v>
      </c>
      <c r="D75" s="3">
        <v>1</v>
      </c>
      <c r="E75" s="325">
        <f>SYD($E$71,$E$72,$E$73,D75)</f>
        <v>2250</v>
      </c>
      <c r="H75" s="56">
        <f>E75/($E$71-$E$72)</f>
        <v>0.25</v>
      </c>
    </row>
    <row r="76" spans="2:9" x14ac:dyDescent="0.2">
      <c r="C76" s="5" t="s">
        <v>1372</v>
      </c>
      <c r="D76" s="3">
        <f>IF(D75&lt;$E$73,D75+1,"")</f>
        <v>2</v>
      </c>
      <c r="E76" s="325">
        <f>IF(D76&lt;=$E$73,SYD($E$71,$E$72,$E$73,D76),"")</f>
        <v>1928.5714285714287</v>
      </c>
      <c r="H76" s="56">
        <f t="shared" ref="H76:H84" si="0">IF(D76&lt;=$E$73,E76/($E$71-$E$72),"")</f>
        <v>0.2142857142857143</v>
      </c>
    </row>
    <row r="77" spans="2:9" x14ac:dyDescent="0.2">
      <c r="C77" s="5" t="s">
        <v>1372</v>
      </c>
      <c r="D77" s="3">
        <f t="shared" ref="D77:D84" si="1">IF(D76&lt;$E$73,D76+1,"")</f>
        <v>3</v>
      </c>
      <c r="E77" s="325">
        <f t="shared" ref="E77:E84" si="2">IF(D77&lt;=$E$73,SYD($E$71,$E$72,$E$73,D77),"")</f>
        <v>1607.1428571428571</v>
      </c>
      <c r="H77" s="56">
        <f t="shared" si="0"/>
        <v>0.17857142857142858</v>
      </c>
    </row>
    <row r="78" spans="2:9" x14ac:dyDescent="0.2">
      <c r="C78" s="5" t="s">
        <v>1372</v>
      </c>
      <c r="D78" s="3">
        <f t="shared" si="1"/>
        <v>4</v>
      </c>
      <c r="E78" s="325">
        <f t="shared" si="2"/>
        <v>1285.7142857142858</v>
      </c>
      <c r="H78" s="56">
        <f t="shared" si="0"/>
        <v>0.14285714285714288</v>
      </c>
    </row>
    <row r="79" spans="2:9" x14ac:dyDescent="0.2">
      <c r="C79" s="5" t="s">
        <v>1372</v>
      </c>
      <c r="D79" s="3">
        <f t="shared" si="1"/>
        <v>5</v>
      </c>
      <c r="E79" s="325">
        <f t="shared" si="2"/>
        <v>964.28571428571433</v>
      </c>
      <c r="H79" s="56">
        <f t="shared" si="0"/>
        <v>0.10714285714285715</v>
      </c>
    </row>
    <row r="80" spans="2:9" x14ac:dyDescent="0.2">
      <c r="C80" s="5" t="s">
        <v>1372</v>
      </c>
      <c r="D80" s="3">
        <f t="shared" si="1"/>
        <v>6</v>
      </c>
      <c r="E80" s="325">
        <f t="shared" si="2"/>
        <v>642.85714285714289</v>
      </c>
      <c r="H80" s="56">
        <f t="shared" si="0"/>
        <v>7.1428571428571438E-2</v>
      </c>
    </row>
    <row r="81" spans="2:9" x14ac:dyDescent="0.2">
      <c r="C81" s="5" t="s">
        <v>1372</v>
      </c>
      <c r="D81" s="3">
        <f t="shared" si="1"/>
        <v>7</v>
      </c>
      <c r="E81" s="325">
        <f t="shared" si="2"/>
        <v>321.42857142857144</v>
      </c>
      <c r="H81" s="56">
        <f t="shared" si="0"/>
        <v>3.5714285714285719E-2</v>
      </c>
    </row>
    <row r="82" spans="2:9" x14ac:dyDescent="0.2">
      <c r="C82" s="5" t="s">
        <v>1372</v>
      </c>
      <c r="D82" s="3" t="str">
        <f t="shared" si="1"/>
        <v/>
      </c>
      <c r="E82" s="325" t="str">
        <f t="shared" si="2"/>
        <v/>
      </c>
      <c r="H82" s="56" t="str">
        <f t="shared" si="0"/>
        <v/>
      </c>
    </row>
    <row r="83" spans="2:9" x14ac:dyDescent="0.2">
      <c r="C83" s="5" t="s">
        <v>1372</v>
      </c>
      <c r="D83" s="3" t="str">
        <f t="shared" si="1"/>
        <v/>
      </c>
      <c r="E83" s="325" t="str">
        <f t="shared" si="2"/>
        <v/>
      </c>
      <c r="H83" s="56" t="str">
        <f t="shared" si="0"/>
        <v/>
      </c>
    </row>
    <row r="84" spans="2:9" x14ac:dyDescent="0.2">
      <c r="C84" s="5" t="s">
        <v>1372</v>
      </c>
      <c r="D84" s="3" t="str">
        <f t="shared" si="1"/>
        <v/>
      </c>
      <c r="E84" s="325" t="str">
        <f t="shared" si="2"/>
        <v/>
      </c>
      <c r="H84" s="56" t="str">
        <f t="shared" si="0"/>
        <v/>
      </c>
    </row>
    <row r="85" spans="2:9" x14ac:dyDescent="0.2">
      <c r="D85" s="511"/>
      <c r="E85" s="325">
        <f>SUM(E75:E84)</f>
        <v>8999.9999999999982</v>
      </c>
      <c r="H85" s="504">
        <f>SUM(H75:H84)</f>
        <v>1.0000000000000002</v>
      </c>
    </row>
    <row r="86" spans="2:9" x14ac:dyDescent="0.2">
      <c r="D86" s="511"/>
      <c r="E86" s="285"/>
      <c r="G86" s="459"/>
    </row>
    <row r="87" spans="2:9" ht="13.5" thickBot="1" x14ac:dyDescent="0.25">
      <c r="B87" s="9" t="s">
        <v>43</v>
      </c>
      <c r="C87" s="9"/>
      <c r="D87" s="9"/>
      <c r="E87" s="9"/>
      <c r="F87" s="9"/>
      <c r="G87" s="9"/>
      <c r="H87" s="9"/>
      <c r="I87" s="9"/>
    </row>
    <row r="88" spans="2:9" x14ac:dyDescent="0.2">
      <c r="B88" s="10" t="s">
        <v>3891</v>
      </c>
    </row>
    <row r="90" spans="2:9" ht="13.5" thickBot="1" x14ac:dyDescent="0.25">
      <c r="B90" s="9" t="s">
        <v>45</v>
      </c>
      <c r="C90" s="9"/>
      <c r="D90" s="9"/>
      <c r="E90" s="9"/>
      <c r="F90" s="9"/>
      <c r="G90" s="9"/>
      <c r="H90" s="9"/>
      <c r="I90" s="9"/>
    </row>
    <row r="91" spans="2:9" x14ac:dyDescent="0.2">
      <c r="B91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5649" r:id="rId4" name="Button 1">
              <controlPr defaultSize="0" print="0" autoFill="0" autoLine="0" autoPict="0">
                <anchor>
                  <from>
                    <xdr:col>7</xdr:col>
                    <xdr:colOff>438150</xdr:colOff>
                    <xdr:row>0</xdr:row>
                    <xdr:rowOff>38100</xdr:rowOff>
                  </from>
                  <to>
                    <xdr:col>8</xdr:col>
                    <xdr:colOff>304800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50" r:id="rId5" name="Button 2">
              <controlPr defaultSize="0" print="0" autoFill="0" autoLine="0" autoPict="0">
                <anchor>
                  <from>
                    <xdr:col>8</xdr:col>
                    <xdr:colOff>371475</xdr:colOff>
                    <xdr:row>0</xdr:row>
                    <xdr:rowOff>38100</xdr:rowOff>
                  </from>
                  <to>
                    <xdr:col>8</xdr:col>
                    <xdr:colOff>571500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51" r:id="rId6" name="Button 3">
              <controlPr defaultSize="0" print="0" autoFill="0" autoLine="0" autoPict="0">
                <anchor>
                  <from>
                    <xdr:col>7</xdr:col>
                    <xdr:colOff>171450</xdr:colOff>
                    <xdr:row>0</xdr:row>
                    <xdr:rowOff>38100</xdr:rowOff>
                  </from>
                  <to>
                    <xdr:col>7</xdr:col>
                    <xdr:colOff>381000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43">
    <pageSetUpPr fitToPage="1"/>
  </sheetPr>
  <dimension ref="A1:J19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1.7109375" customWidth="1"/>
    <col min="10" max="10" width="6" customWidth="1"/>
  </cols>
  <sheetData>
    <row r="1" spans="1:10" ht="18.75" thickBot="1" x14ac:dyDescent="0.3">
      <c r="A1" s="1" t="s">
        <v>3892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ht="25.5" x14ac:dyDescent="0.2">
      <c r="C3" s="21" t="s">
        <v>200</v>
      </c>
      <c r="D3" s="21" t="s">
        <v>201</v>
      </c>
    </row>
    <row r="4" spans="1:10" x14ac:dyDescent="0.2">
      <c r="C4" s="2">
        <v>10</v>
      </c>
      <c r="D4" s="3" t="str">
        <f>TEXT(C4,"0.00")</f>
        <v>10.00</v>
      </c>
      <c r="E4" s="8" t="s">
        <v>3893</v>
      </c>
    </row>
    <row r="5" spans="1:10" x14ac:dyDescent="0.2">
      <c r="C5" s="2">
        <v>10</v>
      </c>
      <c r="D5" s="3" t="str">
        <f>TEXT(C5,"£0.00")</f>
        <v>£10.00</v>
      </c>
      <c r="E5" s="8" t="s">
        <v>3894</v>
      </c>
    </row>
    <row r="6" spans="1:10" x14ac:dyDescent="0.2">
      <c r="C6" s="2">
        <v>10</v>
      </c>
      <c r="D6" s="3" t="str">
        <f>TEXT(C6,"0")</f>
        <v>10</v>
      </c>
      <c r="E6" s="8" t="s">
        <v>3895</v>
      </c>
    </row>
    <row r="7" spans="1:10" x14ac:dyDescent="0.2">
      <c r="C7" s="2">
        <v>10</v>
      </c>
      <c r="D7" s="3" t="str">
        <f>TEXT(C7,"£0")</f>
        <v>£10</v>
      </c>
      <c r="E7" s="8" t="s">
        <v>3896</v>
      </c>
    </row>
    <row r="8" spans="1:10" x14ac:dyDescent="0.2">
      <c r="C8" s="2">
        <v>10.25</v>
      </c>
      <c r="D8" s="3" t="str">
        <f>TEXT(C8,"0.0")</f>
        <v>10.3</v>
      </c>
      <c r="E8" s="8" t="s">
        <v>3897</v>
      </c>
    </row>
    <row r="9" spans="1:10" x14ac:dyDescent="0.2">
      <c r="C9" s="2">
        <v>10.25</v>
      </c>
      <c r="D9" s="3" t="str">
        <f>TEXT(C9,"£0.0")</f>
        <v>£10.3</v>
      </c>
      <c r="E9" s="8" t="s">
        <v>3898</v>
      </c>
    </row>
    <row r="11" spans="1:10" ht="13.5" thickBot="1" x14ac:dyDescent="0.25">
      <c r="B11" s="9" t="s">
        <v>39</v>
      </c>
      <c r="C11" s="9"/>
      <c r="D11" s="9"/>
      <c r="E11" s="9"/>
      <c r="F11" s="9"/>
      <c r="G11" s="9"/>
      <c r="H11" s="9"/>
      <c r="I11" s="9"/>
      <c r="J11" s="9"/>
    </row>
    <row r="12" spans="1:10" x14ac:dyDescent="0.2">
      <c r="B12" t="s">
        <v>3899</v>
      </c>
    </row>
    <row r="13" spans="1:10" x14ac:dyDescent="0.2">
      <c r="B13" t="s">
        <v>3900</v>
      </c>
    </row>
    <row r="15" spans="1:10" ht="13.5" thickBot="1" x14ac:dyDescent="0.25">
      <c r="B15" s="9" t="s">
        <v>43</v>
      </c>
      <c r="C15" s="9"/>
      <c r="D15" s="9"/>
      <c r="E15" s="9"/>
      <c r="F15" s="9"/>
      <c r="G15" s="9"/>
      <c r="H15" s="9"/>
      <c r="I15" s="9"/>
      <c r="J15" s="9"/>
    </row>
    <row r="16" spans="1:10" x14ac:dyDescent="0.2">
      <c r="B16" s="10" t="s">
        <v>3901</v>
      </c>
    </row>
    <row r="18" spans="2:10" ht="13.5" thickBot="1" x14ac:dyDescent="0.25">
      <c r="B18" s="9" t="s">
        <v>45</v>
      </c>
      <c r="C18" s="9"/>
      <c r="D18" s="9"/>
      <c r="E18" s="9"/>
      <c r="F18" s="9"/>
      <c r="G18" s="9"/>
      <c r="H18" s="9"/>
      <c r="I18" s="9"/>
      <c r="J18" s="9"/>
    </row>
    <row r="19" spans="2:10" x14ac:dyDescent="0.2">
      <c r="B19" t="s">
        <v>1190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6673" r:id="rId4" name="Button 1">
              <controlPr defaultSize="0" print="0" autoFill="0" autoLine="0" autoPict="0">
                <anchor>
                  <from>
                    <xdr:col>8</xdr:col>
                    <xdr:colOff>209550</xdr:colOff>
                    <xdr:row>0</xdr:row>
                    <xdr:rowOff>38100</xdr:rowOff>
                  </from>
                  <to>
                    <xdr:col>9</xdr:col>
                    <xdr:colOff>76200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74" r:id="rId5" name="Button 2">
              <controlPr defaultSize="0" print="0" autoFill="0" autoLine="0" autoPict="0">
                <anchor>
                  <from>
                    <xdr:col>9</xdr:col>
                    <xdr:colOff>142875</xdr:colOff>
                    <xdr:row>0</xdr:row>
                    <xdr:rowOff>38100</xdr:rowOff>
                  </from>
                  <to>
                    <xdr:col>9</xdr:col>
                    <xdr:colOff>342900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75" r:id="rId6" name="Button 3">
              <controlPr defaultSize="0" print="0" autoFill="0" autoLine="0" autoPict="0">
                <anchor>
                  <from>
                    <xdr:col>7</xdr:col>
                    <xdr:colOff>542925</xdr:colOff>
                    <xdr:row>0</xdr:row>
                    <xdr:rowOff>38100</xdr:rowOff>
                  </from>
                  <to>
                    <xdr:col>8</xdr:col>
                    <xdr:colOff>133350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45">
    <pageSetUpPr fitToPage="1"/>
  </sheetPr>
  <dimension ref="A1:H18"/>
  <sheetViews>
    <sheetView showGridLines="0" workbookViewId="0">
      <pane ySplit="1" topLeftCell="A17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3.28515625" customWidth="1"/>
    <col min="4" max="4" width="14.85546875" customWidth="1"/>
    <col min="5" max="5" width="18.85546875" customWidth="1"/>
    <col min="8" max="8" width="7" customWidth="1"/>
  </cols>
  <sheetData>
    <row r="1" spans="1:8" ht="18.75" thickBot="1" x14ac:dyDescent="0.3">
      <c r="A1" s="1" t="s">
        <v>3902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C3" s="183" t="s">
        <v>240</v>
      </c>
      <c r="D3" s="5" t="s">
        <v>1197</v>
      </c>
    </row>
    <row r="4" spans="1:8" x14ac:dyDescent="0.2">
      <c r="C4" s="512" t="s">
        <v>3903</v>
      </c>
      <c r="D4" s="3">
        <f>TIMEVALUE(C4)</f>
        <v>0.60484953703703703</v>
      </c>
      <c r="E4" s="26" t="s">
        <v>3904</v>
      </c>
    </row>
    <row r="5" spans="1:8" x14ac:dyDescent="0.2">
      <c r="C5" s="512" t="s">
        <v>3903</v>
      </c>
      <c r="D5" s="483">
        <f>TIMEVALUE(C5)</f>
        <v>0.60484953703703703</v>
      </c>
      <c r="E5" s="26" t="s">
        <v>3905</v>
      </c>
    </row>
    <row r="6" spans="1:8" x14ac:dyDescent="0.2">
      <c r="C6" s="512" t="s">
        <v>3903</v>
      </c>
      <c r="D6" s="484">
        <f>TIMEVALUE(C6)</f>
        <v>0.60484953703703703</v>
      </c>
      <c r="E6" s="26" t="s">
        <v>3906</v>
      </c>
    </row>
    <row r="8" spans="1:8" ht="13.5" thickBot="1" x14ac:dyDescent="0.25">
      <c r="B8" s="9" t="s">
        <v>64</v>
      </c>
      <c r="C8" s="9"/>
      <c r="D8" s="9"/>
      <c r="E8" s="9"/>
      <c r="F8" s="9"/>
      <c r="G8" s="9"/>
      <c r="H8" s="9"/>
    </row>
    <row r="9" spans="1:8" x14ac:dyDescent="0.2">
      <c r="B9" t="s">
        <v>3907</v>
      </c>
    </row>
    <row r="10" spans="1:8" x14ac:dyDescent="0.2">
      <c r="B10" t="s">
        <v>3908</v>
      </c>
    </row>
    <row r="11" spans="1:8" x14ac:dyDescent="0.2">
      <c r="B11" t="s">
        <v>3909</v>
      </c>
    </row>
    <row r="13" spans="1:8" ht="13.5" thickBot="1" x14ac:dyDescent="0.25">
      <c r="B13" s="9" t="s">
        <v>43</v>
      </c>
      <c r="C13" s="9"/>
      <c r="D13" s="9"/>
      <c r="E13" s="9"/>
      <c r="F13" s="9"/>
      <c r="G13" s="9"/>
      <c r="H13" s="9"/>
    </row>
    <row r="14" spans="1:8" x14ac:dyDescent="0.2">
      <c r="B14" t="s">
        <v>3910</v>
      </c>
    </row>
    <row r="16" spans="1:8" ht="13.5" thickBot="1" x14ac:dyDescent="0.25">
      <c r="B16" s="9" t="s">
        <v>45</v>
      </c>
      <c r="C16" s="9"/>
      <c r="D16" s="9"/>
      <c r="E16" s="9"/>
      <c r="F16" s="9"/>
      <c r="G16" s="9"/>
      <c r="H16" s="9"/>
    </row>
    <row r="17" spans="2:2" x14ac:dyDescent="0.2">
      <c r="B17" t="s">
        <v>3911</v>
      </c>
    </row>
    <row r="18" spans="2:2" x14ac:dyDescent="0.2">
      <c r="B18" t="s">
        <v>3912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7697" r:id="rId4" name="Button 1">
              <controlPr defaultSize="0" print="0" autoFill="0" autoLine="0" autoPict="0">
                <anchor>
                  <from>
                    <xdr:col>6</xdr:col>
                    <xdr:colOff>209550</xdr:colOff>
                    <xdr:row>0</xdr:row>
                    <xdr:rowOff>38100</xdr:rowOff>
                  </from>
                  <to>
                    <xdr:col>7</xdr:col>
                    <xdr:colOff>85725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98" r:id="rId5" name="Button 2">
              <controlPr defaultSize="0" print="0" autoFill="0" autoLine="0" autoPict="0">
                <anchor>
                  <from>
                    <xdr:col>7</xdr:col>
                    <xdr:colOff>152400</xdr:colOff>
                    <xdr:row>0</xdr:row>
                    <xdr:rowOff>38100</xdr:rowOff>
                  </from>
                  <to>
                    <xdr:col>7</xdr:col>
                    <xdr:colOff>352425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99" r:id="rId6" name="Button 3">
              <controlPr defaultSize="0" print="0" autoFill="0" autoLine="0" autoPict="0">
                <anchor>
                  <from>
                    <xdr:col>5</xdr:col>
                    <xdr:colOff>552450</xdr:colOff>
                    <xdr:row>0</xdr:row>
                    <xdr:rowOff>38100</xdr:rowOff>
                  </from>
                  <to>
                    <xdr:col>6</xdr:col>
                    <xdr:colOff>142875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47">
    <pageSetUpPr fitToPage="1"/>
  </sheetPr>
  <dimension ref="A1:J34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10" max="10" width="8.7109375" customWidth="1"/>
  </cols>
  <sheetData>
    <row r="1" spans="1:10" ht="18.75" thickBot="1" x14ac:dyDescent="0.3">
      <c r="A1" s="1" t="s">
        <v>3913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x14ac:dyDescent="0.2">
      <c r="D3" s="5" t="s">
        <v>12</v>
      </c>
      <c r="E3" s="5" t="s">
        <v>13</v>
      </c>
    </row>
    <row r="4" spans="1:10" x14ac:dyDescent="0.2">
      <c r="C4" s="5" t="s">
        <v>118</v>
      </c>
      <c r="D4" s="2">
        <v>10</v>
      </c>
      <c r="E4" s="2">
        <v>30</v>
      </c>
    </row>
    <row r="5" spans="1:10" x14ac:dyDescent="0.2">
      <c r="C5" s="5" t="s">
        <v>120</v>
      </c>
      <c r="D5" s="2">
        <v>40</v>
      </c>
      <c r="E5" s="2">
        <v>50</v>
      </c>
    </row>
    <row r="6" spans="1:10" x14ac:dyDescent="0.2">
      <c r="C6" s="5" t="s">
        <v>121</v>
      </c>
      <c r="D6" s="2">
        <v>70</v>
      </c>
      <c r="E6" s="2">
        <v>80</v>
      </c>
    </row>
    <row r="7" spans="1:10" x14ac:dyDescent="0.2">
      <c r="C7" s="5" t="s">
        <v>15</v>
      </c>
      <c r="D7" s="3">
        <f>SUM(D4:D6)</f>
        <v>120</v>
      </c>
      <c r="E7" s="3">
        <f>SUM(E4:E6)</f>
        <v>160</v>
      </c>
    </row>
    <row r="9" spans="1:10" x14ac:dyDescent="0.2">
      <c r="C9" s="3">
        <f t="array" ref="C9:G11">TRANSPOSE(C3:E7)</f>
        <v>0</v>
      </c>
      <c r="D9" s="3" t="str">
        <v>Alan</v>
      </c>
      <c r="E9" s="3" t="str">
        <v>Bob</v>
      </c>
      <c r="F9" s="3" t="str">
        <v>Carol</v>
      </c>
      <c r="G9" s="3" t="str">
        <v>Total</v>
      </c>
    </row>
    <row r="10" spans="1:10" x14ac:dyDescent="0.2">
      <c r="C10" s="3" t="str">
        <v>Jan</v>
      </c>
      <c r="D10" s="3">
        <v>10</v>
      </c>
      <c r="E10" s="3">
        <v>40</v>
      </c>
      <c r="F10" s="3">
        <v>70</v>
      </c>
      <c r="G10" s="3">
        <v>120</v>
      </c>
    </row>
    <row r="11" spans="1:10" x14ac:dyDescent="0.2">
      <c r="C11" s="3" t="str">
        <v>Feb</v>
      </c>
      <c r="D11" s="3">
        <v>30</v>
      </c>
      <c r="E11" s="3">
        <v>50</v>
      </c>
      <c r="F11" s="3">
        <v>80</v>
      </c>
      <c r="G11" s="3">
        <v>160</v>
      </c>
    </row>
    <row r="13" spans="1:10" x14ac:dyDescent="0.2">
      <c r="C13" s="513" t="s">
        <v>3914</v>
      </c>
      <c r="D13" s="514"/>
      <c r="E13" s="514"/>
      <c r="F13" s="514"/>
      <c r="G13" s="514"/>
    </row>
    <row r="14" spans="1:10" x14ac:dyDescent="0.2">
      <c r="C14" s="514"/>
      <c r="D14" s="514"/>
      <c r="F14" s="514"/>
      <c r="G14" s="514"/>
    </row>
    <row r="15" spans="1:10" x14ac:dyDescent="0.2">
      <c r="C15" s="514"/>
      <c r="D15" s="514"/>
      <c r="E15" s="514"/>
      <c r="F15" s="514"/>
      <c r="G15" s="514"/>
    </row>
    <row r="16" spans="1:10" x14ac:dyDescent="0.2">
      <c r="E16" s="4" t="s">
        <v>3915</v>
      </c>
    </row>
    <row r="18" spans="2:10" ht="13.5" thickBot="1" x14ac:dyDescent="0.25">
      <c r="B18" s="9" t="s">
        <v>39</v>
      </c>
      <c r="C18" s="9"/>
      <c r="D18" s="9"/>
      <c r="E18" s="9"/>
      <c r="F18" s="9"/>
      <c r="G18" s="9"/>
      <c r="H18" s="9"/>
      <c r="I18" s="9"/>
      <c r="J18" s="9"/>
    </row>
    <row r="19" spans="2:10" x14ac:dyDescent="0.2">
      <c r="B19" t="s">
        <v>3916</v>
      </c>
    </row>
    <row r="20" spans="2:10" x14ac:dyDescent="0.2">
      <c r="B20" t="s">
        <v>3917</v>
      </c>
    </row>
    <row r="21" spans="2:10" x14ac:dyDescent="0.2">
      <c r="B21" t="s">
        <v>3918</v>
      </c>
    </row>
    <row r="22" spans="2:10" x14ac:dyDescent="0.2">
      <c r="B22" t="s">
        <v>3919</v>
      </c>
    </row>
    <row r="23" spans="2:10" ht="18.95" customHeight="1" x14ac:dyDescent="0.2">
      <c r="B23" t="s">
        <v>3920</v>
      </c>
    </row>
    <row r="24" spans="2:10" ht="18.95" customHeight="1" x14ac:dyDescent="0.2">
      <c r="B24" t="s">
        <v>3921</v>
      </c>
    </row>
    <row r="25" spans="2:10" x14ac:dyDescent="0.2">
      <c r="B25" t="s">
        <v>3922</v>
      </c>
    </row>
    <row r="26" spans="2:10" x14ac:dyDescent="0.2">
      <c r="B26" t="s">
        <v>3923</v>
      </c>
    </row>
    <row r="27" spans="2:10" ht="18.95" customHeight="1" x14ac:dyDescent="0.2">
      <c r="B27" t="s">
        <v>3924</v>
      </c>
    </row>
    <row r="28" spans="2:10" x14ac:dyDescent="0.2">
      <c r="B28" t="s">
        <v>3925</v>
      </c>
    </row>
    <row r="30" spans="2:10" ht="13.5" thickBot="1" x14ac:dyDescent="0.25">
      <c r="B30" s="9" t="s">
        <v>43</v>
      </c>
      <c r="C30" s="9"/>
      <c r="D30" s="9"/>
      <c r="E30" s="9"/>
      <c r="F30" s="9"/>
      <c r="G30" s="9"/>
      <c r="H30" s="9"/>
      <c r="I30" s="9"/>
      <c r="J30" s="9"/>
    </row>
    <row r="31" spans="2:10" x14ac:dyDescent="0.2">
      <c r="B31" s="10" t="s">
        <v>3926</v>
      </c>
    </row>
    <row r="33" spans="2:10" ht="13.5" thickBot="1" x14ac:dyDescent="0.25">
      <c r="B33" s="9" t="s">
        <v>45</v>
      </c>
      <c r="C33" s="9"/>
      <c r="D33" s="9"/>
      <c r="E33" s="9"/>
      <c r="F33" s="9"/>
      <c r="G33" s="9"/>
      <c r="H33" s="9"/>
      <c r="I33" s="9"/>
      <c r="J33" s="9"/>
    </row>
    <row r="34" spans="2:10" x14ac:dyDescent="0.2">
      <c r="B34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8721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22" r:id="rId5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23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48">
    <pageSetUpPr fitToPage="1"/>
  </sheetPr>
  <dimension ref="A1:J58"/>
  <sheetViews>
    <sheetView showGridLines="0" workbookViewId="0">
      <pane ySplit="1" topLeftCell="A35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10" max="10" width="8.7109375" customWidth="1"/>
  </cols>
  <sheetData>
    <row r="1" spans="1:10" ht="18.75" thickBot="1" x14ac:dyDescent="0.3">
      <c r="A1" s="1" t="s">
        <v>3927</v>
      </c>
      <c r="B1" s="1"/>
      <c r="C1" s="1" t="s">
        <v>3928</v>
      </c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x14ac:dyDescent="0.2">
      <c r="B3" s="13" t="s">
        <v>3929</v>
      </c>
      <c r="C3" s="15"/>
      <c r="E3" s="13" t="s">
        <v>3930</v>
      </c>
      <c r="F3" s="15"/>
    </row>
    <row r="4" spans="1:10" x14ac:dyDescent="0.2">
      <c r="B4" s="5" t="s">
        <v>1468</v>
      </c>
      <c r="C4" s="5" t="s">
        <v>371</v>
      </c>
      <c r="E4" s="5" t="s">
        <v>1468</v>
      </c>
      <c r="F4" s="5" t="s">
        <v>371</v>
      </c>
    </row>
    <row r="5" spans="1:10" x14ac:dyDescent="0.2">
      <c r="B5" s="2">
        <v>1</v>
      </c>
      <c r="C5" s="18">
        <v>1000</v>
      </c>
      <c r="E5" s="2">
        <v>7</v>
      </c>
      <c r="F5" s="55">
        <f t="array" ref="F5:F10">TREND(C5:C10,B5:B10,E5:E10)</f>
        <v>4940</v>
      </c>
      <c r="G5" s="8" t="s">
        <v>3931</v>
      </c>
    </row>
    <row r="6" spans="1:10" x14ac:dyDescent="0.2">
      <c r="B6" s="2">
        <v>2</v>
      </c>
      <c r="C6" s="18">
        <v>2000</v>
      </c>
      <c r="E6" s="2">
        <v>8</v>
      </c>
      <c r="F6" s="55">
        <v>5551.4285714285716</v>
      </c>
      <c r="G6" s="8" t="s">
        <v>3932</v>
      </c>
    </row>
    <row r="7" spans="1:10" x14ac:dyDescent="0.2">
      <c r="B7" s="2">
        <v>3</v>
      </c>
      <c r="C7" s="18">
        <v>2500</v>
      </c>
      <c r="E7" s="2">
        <v>9</v>
      </c>
      <c r="F7" s="55">
        <v>6162.8571428571431</v>
      </c>
      <c r="G7" s="8" t="s">
        <v>3932</v>
      </c>
    </row>
    <row r="8" spans="1:10" x14ac:dyDescent="0.2">
      <c r="B8" s="2">
        <v>4</v>
      </c>
      <c r="C8" s="18">
        <v>3500</v>
      </c>
      <c r="E8" s="2">
        <v>10</v>
      </c>
      <c r="F8" s="55">
        <v>6774.2857142857147</v>
      </c>
      <c r="G8" s="8" t="s">
        <v>3932</v>
      </c>
    </row>
    <row r="9" spans="1:10" x14ac:dyDescent="0.2">
      <c r="B9" s="2">
        <v>5</v>
      </c>
      <c r="C9" s="18">
        <v>3800</v>
      </c>
      <c r="E9" s="2">
        <v>11</v>
      </c>
      <c r="F9" s="55">
        <v>7385.7142857142862</v>
      </c>
      <c r="G9" s="8" t="s">
        <v>3932</v>
      </c>
    </row>
    <row r="10" spans="1:10" x14ac:dyDescent="0.2">
      <c r="B10" s="2">
        <v>6</v>
      </c>
      <c r="C10" s="18">
        <v>4000</v>
      </c>
      <c r="E10" s="2">
        <v>12</v>
      </c>
      <c r="F10" s="55">
        <v>7997.1428571428569</v>
      </c>
      <c r="G10" s="8" t="s">
        <v>3932</v>
      </c>
    </row>
    <row r="12" spans="1:10" ht="13.5" thickBot="1" x14ac:dyDescent="0.25">
      <c r="B12" s="9" t="s">
        <v>39</v>
      </c>
      <c r="C12" s="9"/>
      <c r="D12" s="9"/>
      <c r="E12" s="9"/>
      <c r="F12" s="9"/>
      <c r="G12" s="9"/>
      <c r="H12" s="9"/>
      <c r="I12" s="9"/>
      <c r="J12" s="9"/>
    </row>
    <row r="13" spans="1:10" x14ac:dyDescent="0.2">
      <c r="B13" t="s">
        <v>3933</v>
      </c>
    </row>
    <row r="14" spans="1:10" x14ac:dyDescent="0.2">
      <c r="B14" t="s">
        <v>3934</v>
      </c>
    </row>
    <row r="15" spans="1:10" x14ac:dyDescent="0.2">
      <c r="B15" t="s">
        <v>3935</v>
      </c>
    </row>
    <row r="17" spans="2:10" ht="13.5" thickBot="1" x14ac:dyDescent="0.25">
      <c r="B17" s="9" t="s">
        <v>43</v>
      </c>
      <c r="C17" s="9"/>
      <c r="D17" s="9"/>
      <c r="E17" s="9"/>
      <c r="F17" s="9"/>
      <c r="G17" s="9"/>
      <c r="H17" s="9"/>
      <c r="I17" s="9"/>
      <c r="J17" s="9"/>
    </row>
    <row r="18" spans="2:10" x14ac:dyDescent="0.2">
      <c r="B18" s="10" t="s">
        <v>3936</v>
      </c>
    </row>
    <row r="19" spans="2:10" x14ac:dyDescent="0.2">
      <c r="B19" t="s">
        <v>3937</v>
      </c>
    </row>
    <row r="20" spans="2:10" x14ac:dyDescent="0.2">
      <c r="B20" t="s">
        <v>3938</v>
      </c>
    </row>
    <row r="21" spans="2:10" x14ac:dyDescent="0.2">
      <c r="B21" t="s">
        <v>3939</v>
      </c>
    </row>
    <row r="24" spans="2:10" ht="13.5" thickBot="1" x14ac:dyDescent="0.25">
      <c r="B24" s="9" t="s">
        <v>45</v>
      </c>
      <c r="C24" s="9"/>
      <c r="D24" s="9"/>
      <c r="E24" s="9"/>
      <c r="F24" s="9"/>
      <c r="G24" s="9"/>
      <c r="H24" s="9"/>
      <c r="I24" s="9"/>
      <c r="J24" s="9"/>
    </row>
    <row r="25" spans="2:10" x14ac:dyDescent="0.2">
      <c r="B25" t="s">
        <v>46</v>
      </c>
    </row>
    <row r="27" spans="2:10" ht="13.5" thickBot="1" x14ac:dyDescent="0.25">
      <c r="B27" s="9" t="s">
        <v>85</v>
      </c>
      <c r="C27" s="9"/>
      <c r="D27" s="9"/>
      <c r="E27" s="9"/>
      <c r="F27" s="9"/>
      <c r="G27" s="9"/>
      <c r="H27" s="9"/>
      <c r="I27" s="9"/>
      <c r="J27" s="9"/>
    </row>
    <row r="28" spans="2:10" x14ac:dyDescent="0.2">
      <c r="B28" t="s">
        <v>3940</v>
      </c>
    </row>
    <row r="29" spans="2:10" x14ac:dyDescent="0.2">
      <c r="B29" t="s">
        <v>3941</v>
      </c>
    </row>
    <row r="30" spans="2:10" x14ac:dyDescent="0.2">
      <c r="B30" t="s">
        <v>3942</v>
      </c>
    </row>
    <row r="31" spans="2:10" x14ac:dyDescent="0.2">
      <c r="B31" t="s">
        <v>3943</v>
      </c>
    </row>
    <row r="32" spans="2:10" x14ac:dyDescent="0.2">
      <c r="B32" t="s">
        <v>3944</v>
      </c>
    </row>
    <row r="33" spans="2:7" x14ac:dyDescent="0.2">
      <c r="B33" t="s">
        <v>3945</v>
      </c>
    </row>
    <row r="34" spans="2:7" x14ac:dyDescent="0.2">
      <c r="B34" t="s">
        <v>3946</v>
      </c>
    </row>
    <row r="35" spans="2:7" x14ac:dyDescent="0.2">
      <c r="B35" t="s">
        <v>3947</v>
      </c>
    </row>
    <row r="36" spans="2:7" x14ac:dyDescent="0.2">
      <c r="B36" t="s">
        <v>3948</v>
      </c>
    </row>
    <row r="39" spans="2:7" x14ac:dyDescent="0.2">
      <c r="B39" s="13" t="s">
        <v>3929</v>
      </c>
      <c r="C39" s="15"/>
      <c r="E39" s="13" t="s">
        <v>3930</v>
      </c>
      <c r="F39" s="15"/>
    </row>
    <row r="40" spans="2:7" x14ac:dyDescent="0.2">
      <c r="B40" s="5" t="s">
        <v>1468</v>
      </c>
      <c r="C40" s="5" t="s">
        <v>2498</v>
      </c>
      <c r="E40" s="5" t="s">
        <v>1468</v>
      </c>
      <c r="F40" s="5" t="s">
        <v>2498</v>
      </c>
    </row>
    <row r="41" spans="2:7" x14ac:dyDescent="0.2">
      <c r="B41" s="2">
        <v>1</v>
      </c>
      <c r="C41" s="515">
        <v>-5000</v>
      </c>
      <c r="E41" s="2">
        <v>13</v>
      </c>
      <c r="F41" s="516">
        <f t="array" ref="F41:F52">TREND(C41:C52,B41:B52,E41:E52)</f>
        <v>-2225.7575757575751</v>
      </c>
      <c r="G41" s="513" t="s">
        <v>3949</v>
      </c>
    </row>
    <row r="42" spans="2:7" x14ac:dyDescent="0.2">
      <c r="B42" s="2">
        <v>2</v>
      </c>
      <c r="C42" s="515">
        <v>-4800</v>
      </c>
      <c r="E42" s="2">
        <v>14</v>
      </c>
      <c r="F42" s="516">
        <v>-1967.5407925407917</v>
      </c>
      <c r="G42" s="517" t="s">
        <v>3950</v>
      </c>
    </row>
    <row r="43" spans="2:7" x14ac:dyDescent="0.2">
      <c r="B43" s="2">
        <v>3</v>
      </c>
      <c r="C43" s="515">
        <v>-4600</v>
      </c>
      <c r="E43" s="2">
        <v>15</v>
      </c>
      <c r="F43" s="516">
        <v>-1709.3240093240083</v>
      </c>
      <c r="G43" s="517" t="s">
        <v>3951</v>
      </c>
    </row>
    <row r="44" spans="2:7" x14ac:dyDescent="0.2">
      <c r="B44" s="2">
        <v>4</v>
      </c>
      <c r="C44" s="515">
        <v>-4750</v>
      </c>
      <c r="E44" s="2">
        <v>16</v>
      </c>
      <c r="F44" s="516">
        <v>-1451.107226107225</v>
      </c>
      <c r="G44" s="517" t="s">
        <v>3952</v>
      </c>
    </row>
    <row r="45" spans="2:7" x14ac:dyDescent="0.2">
      <c r="B45" s="2">
        <v>5</v>
      </c>
      <c r="C45" s="515">
        <v>-4800</v>
      </c>
      <c r="E45" s="2">
        <v>17</v>
      </c>
      <c r="F45" s="516">
        <v>-1192.8904428904416</v>
      </c>
      <c r="G45" s="517" t="s">
        <v>3953</v>
      </c>
    </row>
    <row r="46" spans="2:7" x14ac:dyDescent="0.2">
      <c r="B46" s="2">
        <v>6</v>
      </c>
      <c r="C46" s="515">
        <v>-4500</v>
      </c>
      <c r="E46" s="2">
        <v>18</v>
      </c>
      <c r="F46" s="516">
        <v>-934.67365967365822</v>
      </c>
      <c r="G46" s="517" t="s">
        <v>1310</v>
      </c>
    </row>
    <row r="47" spans="2:7" x14ac:dyDescent="0.2">
      <c r="B47" s="2">
        <v>7</v>
      </c>
      <c r="C47" s="515">
        <v>-4000</v>
      </c>
      <c r="E47" s="2">
        <v>19</v>
      </c>
      <c r="F47" s="516">
        <v>-676.45687645687485</v>
      </c>
      <c r="G47" s="517" t="s">
        <v>3954</v>
      </c>
    </row>
    <row r="48" spans="2:7" x14ac:dyDescent="0.2">
      <c r="B48" s="2">
        <v>8</v>
      </c>
      <c r="C48" s="515">
        <v>-3800</v>
      </c>
      <c r="E48" s="2">
        <v>20</v>
      </c>
      <c r="F48" s="516">
        <v>-418.24009324009148</v>
      </c>
      <c r="G48" s="517" t="s">
        <v>3955</v>
      </c>
    </row>
    <row r="49" spans="2:10" x14ac:dyDescent="0.2">
      <c r="B49" s="2">
        <v>9</v>
      </c>
      <c r="C49" s="515">
        <v>-3300</v>
      </c>
      <c r="E49" s="2">
        <v>21</v>
      </c>
      <c r="F49" s="516">
        <v>-160.02331002330811</v>
      </c>
      <c r="G49" s="517" t="s">
        <v>3956</v>
      </c>
    </row>
    <row r="50" spans="2:10" x14ac:dyDescent="0.2">
      <c r="B50" s="2">
        <v>10</v>
      </c>
      <c r="C50" s="515">
        <v>-2000</v>
      </c>
      <c r="E50" s="2">
        <v>22</v>
      </c>
      <c r="F50" s="516">
        <v>98.193473193475256</v>
      </c>
      <c r="G50" s="517" t="s">
        <v>3957</v>
      </c>
    </row>
    <row r="51" spans="2:10" x14ac:dyDescent="0.2">
      <c r="B51" s="2">
        <v>11</v>
      </c>
      <c r="C51" s="515">
        <v>-2500</v>
      </c>
      <c r="E51" s="2">
        <v>23</v>
      </c>
      <c r="F51" s="516">
        <v>356.41025641025863</v>
      </c>
      <c r="G51" s="517" t="s">
        <v>3958</v>
      </c>
    </row>
    <row r="52" spans="2:10" x14ac:dyDescent="0.2">
      <c r="B52" s="2">
        <v>12</v>
      </c>
      <c r="C52" s="515">
        <v>-2800</v>
      </c>
      <c r="E52" s="2">
        <v>24</v>
      </c>
      <c r="F52" s="516">
        <v>614.62703962704109</v>
      </c>
      <c r="G52" s="517" t="s">
        <v>3959</v>
      </c>
    </row>
    <row r="54" spans="2:10" ht="13.5" thickBot="1" x14ac:dyDescent="0.25">
      <c r="B54" s="9" t="s">
        <v>3960</v>
      </c>
      <c r="C54" s="9"/>
      <c r="D54" s="9"/>
      <c r="E54" s="9"/>
      <c r="F54" s="9"/>
      <c r="G54" s="9"/>
      <c r="H54" s="9"/>
      <c r="I54" s="9"/>
      <c r="J54" s="9"/>
    </row>
    <row r="55" spans="2:10" x14ac:dyDescent="0.2">
      <c r="B55" t="s">
        <v>3961</v>
      </c>
    </row>
    <row r="56" spans="2:10" x14ac:dyDescent="0.2">
      <c r="B56" t="s">
        <v>3962</v>
      </c>
    </row>
    <row r="57" spans="2:10" x14ac:dyDescent="0.2">
      <c r="B57" t="s">
        <v>3963</v>
      </c>
    </row>
    <row r="58" spans="2:10" x14ac:dyDescent="0.2">
      <c r="B58" t="s">
        <v>3964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9745" r:id="rId4" name="Button 1">
              <controlPr defaultSize="0" print="0" autoFill="0" autoLine="0" autoPict="0">
                <anchor>
                  <from>
                    <xdr:col>8</xdr:col>
                    <xdr:colOff>400050</xdr:colOff>
                    <xdr:row>0</xdr:row>
                    <xdr:rowOff>38100</xdr:rowOff>
                  </from>
                  <to>
                    <xdr:col>9</xdr:col>
                    <xdr:colOff>257175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46" r:id="rId5" name="Button 2">
              <controlPr defaultSize="0" print="0" autoFill="0" autoLine="0" autoPict="0">
                <anchor>
                  <from>
                    <xdr:col>9</xdr:col>
                    <xdr:colOff>323850</xdr:colOff>
                    <xdr:row>0</xdr:row>
                    <xdr:rowOff>38100</xdr:rowOff>
                  </from>
                  <to>
                    <xdr:col>9</xdr:col>
                    <xdr:colOff>523875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47" r:id="rId6" name="Button 3">
              <controlPr defaultSize="0" print="0" autoFill="0" autoLine="0" autoPict="0">
                <anchor>
                  <from>
                    <xdr:col>8</xdr:col>
                    <xdr:colOff>123825</xdr:colOff>
                    <xdr:row>0</xdr:row>
                    <xdr:rowOff>38100</xdr:rowOff>
                  </from>
                  <to>
                    <xdr:col>8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0">
    <pageSetUpPr fitToPage="1"/>
  </sheetPr>
  <dimension ref="A1:J20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4" max="4" width="9.85546875" customWidth="1"/>
    <col min="10" max="10" width="8.7109375" customWidth="1"/>
  </cols>
  <sheetData>
    <row r="1" spans="1:10" ht="18.75" thickBot="1" x14ac:dyDescent="0.3">
      <c r="A1" s="1" t="s">
        <v>3965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ht="38.25" x14ac:dyDescent="0.2">
      <c r="C3" s="5" t="s">
        <v>467</v>
      </c>
      <c r="D3" s="21" t="s">
        <v>3966</v>
      </c>
      <c r="E3" s="21" t="s">
        <v>3967</v>
      </c>
    </row>
    <row r="4" spans="1:10" x14ac:dyDescent="0.2">
      <c r="C4" s="11">
        <v>1.4758899999999999</v>
      </c>
      <c r="D4" s="2">
        <v>0</v>
      </c>
      <c r="E4" s="69">
        <f t="shared" ref="E4:E11" si="0">TRUNC(C4,D4)</f>
        <v>1</v>
      </c>
      <c r="F4" s="8" t="s">
        <v>3968</v>
      </c>
    </row>
    <row r="5" spans="1:10" x14ac:dyDescent="0.2">
      <c r="C5" s="11">
        <v>1.4758899999999999</v>
      </c>
      <c r="D5" s="2">
        <v>1</v>
      </c>
      <c r="E5" s="69">
        <f t="shared" si="0"/>
        <v>1.4</v>
      </c>
      <c r="F5" s="8" t="s">
        <v>3969</v>
      </c>
    </row>
    <row r="6" spans="1:10" x14ac:dyDescent="0.2">
      <c r="C6" s="11">
        <v>1.4758899999999999</v>
      </c>
      <c r="D6" s="2">
        <v>2</v>
      </c>
      <c r="E6" s="69">
        <f t="shared" si="0"/>
        <v>1.47</v>
      </c>
      <c r="F6" s="8" t="s">
        <v>3970</v>
      </c>
    </row>
    <row r="7" spans="1:10" x14ac:dyDescent="0.2">
      <c r="C7" s="11">
        <v>-1.4758899999999999</v>
      </c>
      <c r="D7" s="2">
        <v>1</v>
      </c>
      <c r="E7" s="69">
        <f t="shared" si="0"/>
        <v>-1.4</v>
      </c>
      <c r="F7" s="8" t="s">
        <v>3971</v>
      </c>
    </row>
    <row r="8" spans="1:10" x14ac:dyDescent="0.2">
      <c r="C8" s="11">
        <v>-1.4758899999999999</v>
      </c>
      <c r="D8" s="2">
        <v>2</v>
      </c>
      <c r="E8" s="69">
        <f t="shared" si="0"/>
        <v>-1.47</v>
      </c>
      <c r="F8" s="8" t="s">
        <v>3972</v>
      </c>
    </row>
    <row r="9" spans="1:10" x14ac:dyDescent="0.2">
      <c r="C9" s="11">
        <v>13643.47589</v>
      </c>
      <c r="D9" s="2">
        <v>-1</v>
      </c>
      <c r="E9" s="69">
        <f t="shared" si="0"/>
        <v>13640</v>
      </c>
      <c r="F9" s="8" t="s">
        <v>3973</v>
      </c>
    </row>
    <row r="10" spans="1:10" x14ac:dyDescent="0.2">
      <c r="C10" s="11">
        <v>13643.47589</v>
      </c>
      <c r="D10" s="2">
        <v>-2</v>
      </c>
      <c r="E10" s="69">
        <f t="shared" si="0"/>
        <v>13600</v>
      </c>
      <c r="F10" s="8" t="s">
        <v>3974</v>
      </c>
    </row>
    <row r="11" spans="1:10" x14ac:dyDescent="0.2">
      <c r="C11" s="11">
        <v>13643.47589</v>
      </c>
      <c r="D11" s="2">
        <v>-3</v>
      </c>
      <c r="E11" s="69">
        <f t="shared" si="0"/>
        <v>13000</v>
      </c>
      <c r="F11" s="8" t="s">
        <v>3975</v>
      </c>
    </row>
    <row r="13" spans="1:10" ht="13.5" thickBot="1" x14ac:dyDescent="0.25">
      <c r="B13" s="9" t="s">
        <v>39</v>
      </c>
      <c r="C13" s="9"/>
      <c r="D13" s="9"/>
      <c r="E13" s="9"/>
      <c r="F13" s="9"/>
      <c r="G13" s="9"/>
      <c r="H13" s="9"/>
      <c r="I13" s="9"/>
      <c r="J13" s="9"/>
    </row>
    <row r="14" spans="1:10" x14ac:dyDescent="0.2">
      <c r="B14" t="s">
        <v>3976</v>
      </c>
    </row>
    <row r="16" spans="1:10" ht="13.5" thickBot="1" x14ac:dyDescent="0.25">
      <c r="B16" s="9" t="s">
        <v>43</v>
      </c>
      <c r="C16" s="9"/>
      <c r="D16" s="9"/>
      <c r="E16" s="9"/>
      <c r="F16" s="9"/>
      <c r="G16" s="9"/>
      <c r="H16" s="9"/>
      <c r="I16" s="9"/>
      <c r="J16" s="9"/>
    </row>
    <row r="17" spans="2:10" x14ac:dyDescent="0.2">
      <c r="B17" s="10" t="s">
        <v>3977</v>
      </c>
    </row>
    <row r="19" spans="2:10" ht="13.5" thickBot="1" x14ac:dyDescent="0.25">
      <c r="B19" s="9" t="s">
        <v>45</v>
      </c>
      <c r="C19" s="9"/>
      <c r="D19" s="9"/>
      <c r="E19" s="9"/>
      <c r="F19" s="9"/>
      <c r="G19" s="9"/>
      <c r="H19" s="9"/>
      <c r="I19" s="9"/>
      <c r="J19" s="9"/>
    </row>
    <row r="20" spans="2:10" x14ac:dyDescent="0.2">
      <c r="B20" t="s">
        <v>46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0769" r:id="rId4" name="Button 1">
              <controlPr defaultSize="0" print="0" autoFill="0" autoLine="0" autoPict="0">
                <anchor>
                  <from>
                    <xdr:col>8</xdr:col>
                    <xdr:colOff>323850</xdr:colOff>
                    <xdr:row>0</xdr:row>
                    <xdr:rowOff>38100</xdr:rowOff>
                  </from>
                  <to>
                    <xdr:col>9</xdr:col>
                    <xdr:colOff>190500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70" r:id="rId5" name="Button 2">
              <controlPr defaultSize="0" print="0" autoFill="0" autoLine="0" autoPict="0">
                <anchor>
                  <from>
                    <xdr:col>9</xdr:col>
                    <xdr:colOff>257175</xdr:colOff>
                    <xdr:row>0</xdr:row>
                    <xdr:rowOff>38100</xdr:rowOff>
                  </from>
                  <to>
                    <xdr:col>9</xdr:col>
                    <xdr:colOff>457200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71" r:id="rId6" name="Button 3">
              <controlPr defaultSize="0" print="0" autoFill="0" autoLine="0" autoPict="0">
                <anchor>
                  <from>
                    <xdr:col>8</xdr:col>
                    <xdr:colOff>57150</xdr:colOff>
                    <xdr:row>0</xdr:row>
                    <xdr:rowOff>38100</xdr:rowOff>
                  </from>
                  <to>
                    <xdr:col>8</xdr:col>
                    <xdr:colOff>266700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3">
    <pageSetUpPr fitToPage="1"/>
  </sheetPr>
  <dimension ref="A1:L54"/>
  <sheetViews>
    <sheetView showGridLines="0" topLeftCell="B1" workbookViewId="0">
      <pane ySplit="1" topLeftCell="A8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2" max="2" width="3.28515625" customWidth="1"/>
    <col min="3" max="3" width="31" customWidth="1"/>
    <col min="8" max="8" width="11" customWidth="1"/>
    <col min="10" max="10" width="31.7109375" bestFit="1" customWidth="1"/>
    <col min="11" max="11" width="33.28515625" customWidth="1"/>
  </cols>
  <sheetData>
    <row r="1" spans="1:8" ht="18.75" thickBot="1" x14ac:dyDescent="0.3">
      <c r="A1" s="1" t="s">
        <v>3978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C3" s="21" t="s">
        <v>3979</v>
      </c>
      <c r="D3" s="5" t="s">
        <v>2184</v>
      </c>
    </row>
    <row r="4" spans="1:8" x14ac:dyDescent="0.2">
      <c r="C4" s="11" t="s">
        <v>3980</v>
      </c>
      <c r="D4" s="69" t="e">
        <f>VALUE(MID(C4,SEARCH("£",C4),99))</f>
        <v>#VALUE!</v>
      </c>
      <c r="E4" s="8" t="s">
        <v>3981</v>
      </c>
    </row>
    <row r="6" spans="1:8" x14ac:dyDescent="0.2">
      <c r="C6" s="11" t="s">
        <v>3982</v>
      </c>
      <c r="D6" s="69">
        <f t="shared" ref="D6:D11" si="0">VALUE(MID(SUBSTITUTE(C6," ","    "),SEARCH("???%",SUBSTITUTE(C6," ","    ")),4))</f>
        <v>0.02</v>
      </c>
    </row>
    <row r="7" spans="1:8" x14ac:dyDescent="0.2">
      <c r="C7" s="11" t="s">
        <v>3983</v>
      </c>
      <c r="D7" s="69">
        <f t="shared" si="0"/>
        <v>0.5</v>
      </c>
    </row>
    <row r="8" spans="1:8" x14ac:dyDescent="0.2">
      <c r="C8" s="11" t="s">
        <v>3984</v>
      </c>
      <c r="D8" s="69">
        <f t="shared" si="0"/>
        <v>1</v>
      </c>
    </row>
    <row r="9" spans="1:8" x14ac:dyDescent="0.2">
      <c r="C9" s="11" t="s">
        <v>3985</v>
      </c>
      <c r="D9" s="130">
        <f t="shared" si="0"/>
        <v>0.02</v>
      </c>
    </row>
    <row r="10" spans="1:8" x14ac:dyDescent="0.2">
      <c r="C10" s="11" t="s">
        <v>3986</v>
      </c>
      <c r="D10" s="130">
        <f t="shared" si="0"/>
        <v>0.5</v>
      </c>
    </row>
    <row r="11" spans="1:8" x14ac:dyDescent="0.2">
      <c r="C11" s="11" t="s">
        <v>3987</v>
      </c>
      <c r="D11" s="130">
        <f t="shared" si="0"/>
        <v>1</v>
      </c>
      <c r="E11" s="266" t="s">
        <v>3988</v>
      </c>
    </row>
    <row r="12" spans="1:8" x14ac:dyDescent="0.2">
      <c r="D12" s="19" t="s">
        <v>3989</v>
      </c>
    </row>
    <row r="14" spans="1:8" x14ac:dyDescent="0.2">
      <c r="C14" s="11" t="s">
        <v>3990</v>
      </c>
      <c r="D14" s="69">
        <f>VALUE(MID(C14,SEARCH("??:??",C14),5))</f>
        <v>6.25E-2</v>
      </c>
      <c r="E14" s="8" t="s">
        <v>3991</v>
      </c>
    </row>
    <row r="15" spans="1:8" x14ac:dyDescent="0.2">
      <c r="C15" s="11" t="s">
        <v>3990</v>
      </c>
      <c r="D15" s="518">
        <f>VALUE(MID(C15,SEARCH("??:??",C15),5))</f>
        <v>6.25E-2</v>
      </c>
      <c r="E15" s="8" t="s">
        <v>3992</v>
      </c>
    </row>
    <row r="16" spans="1:8" x14ac:dyDescent="0.2">
      <c r="C16" s="11" t="s">
        <v>3993</v>
      </c>
      <c r="D16" s="518">
        <f>VALUE(MID(C16,SEARCH("??:??",C16),5))</f>
        <v>0.4375</v>
      </c>
      <c r="E16" s="8" t="s">
        <v>3994</v>
      </c>
    </row>
    <row r="17" spans="2:12" x14ac:dyDescent="0.2">
      <c r="C17" s="11" t="s">
        <v>3995</v>
      </c>
      <c r="D17" s="518">
        <f>VALUE(MID(C17,SEARCH("??:??",C17),5))</f>
        <v>2.0833333333333332E-2</v>
      </c>
      <c r="E17" s="8" t="s">
        <v>3996</v>
      </c>
    </row>
    <row r="19" spans="2:12" ht="13.5" thickBot="1" x14ac:dyDescent="0.25">
      <c r="B19" s="9" t="s">
        <v>39</v>
      </c>
      <c r="C19" s="9"/>
      <c r="D19" s="9"/>
      <c r="E19" s="9"/>
      <c r="F19" s="9"/>
      <c r="G19" s="9"/>
      <c r="H19" s="9"/>
    </row>
    <row r="20" spans="2:12" x14ac:dyDescent="0.2">
      <c r="B20" t="s">
        <v>3997</v>
      </c>
    </row>
    <row r="21" spans="2:12" x14ac:dyDescent="0.2">
      <c r="B21" t="s">
        <v>3998</v>
      </c>
      <c r="J21" s="11" t="s">
        <v>3999</v>
      </c>
      <c r="K21" s="414">
        <f>SUMPRODUCT(MID(0&amp;J21,LARGE(INDEX(ISNUMBER(--MID(J21,ROW($1:$25),1))*ROW($1:$25),0),ROW($1:$25))+1,1)*10^ROW($1:$25)/10)</f>
        <v>3666449</v>
      </c>
      <c r="L21" s="519"/>
    </row>
    <row r="22" spans="2:12" x14ac:dyDescent="0.2">
      <c r="B22" t="s">
        <v>4000</v>
      </c>
      <c r="J22" s="11" t="s">
        <v>4001</v>
      </c>
      <c r="K22" s="414">
        <f>SUMPRODUCT(MID(0&amp;J22,LARGE(INDEX(ISNUMBER(--MID(J22,ROW($1:$25),1))*ROW($1:$25),0),ROW($1:$25))+1,1)*10^ROW($1:$25)/10)</f>
        <v>1223</v>
      </c>
    </row>
    <row r="23" spans="2:12" x14ac:dyDescent="0.2">
      <c r="J23" s="414" t="s">
        <v>4002</v>
      </c>
      <c r="K23" s="414">
        <f>SUMPRODUCT(MID(0&amp;J23,LARGE(INDEX(ISNUMBER(--MID(J23,ROW($1:$25),1))*ROW($1:$25),0),ROW($1:$25))+1,1)*10^ROW($1:$25)/10)</f>
        <v>122</v>
      </c>
    </row>
    <row r="24" spans="2:12" ht="13.5" thickBot="1" x14ac:dyDescent="0.25">
      <c r="B24" s="9" t="s">
        <v>43</v>
      </c>
      <c r="C24" s="9"/>
      <c r="D24" s="9"/>
      <c r="E24" s="9"/>
      <c r="F24" s="9"/>
      <c r="G24" s="9"/>
      <c r="H24" s="9"/>
      <c r="J24" s="520" t="s">
        <v>4003</v>
      </c>
      <c r="K24" s="414">
        <f>SUMPRODUCT(MID(0&amp;J24,LARGE(INDEX(ISNUMBER(--MID(J24,ROW($1:$25),1))*ROW($1:$25),0),ROW($1:$25))+1,1)*10^ROW($1:$25)/10)</f>
        <v>445</v>
      </c>
    </row>
    <row r="25" spans="2:12" x14ac:dyDescent="0.2">
      <c r="B25" s="10" t="s">
        <v>4004</v>
      </c>
    </row>
    <row r="27" spans="2:12" ht="13.5" thickBot="1" x14ac:dyDescent="0.25">
      <c r="B27" s="9" t="s">
        <v>45</v>
      </c>
      <c r="C27" s="9"/>
      <c r="D27" s="9"/>
      <c r="E27" s="9"/>
      <c r="F27" s="9"/>
      <c r="G27" s="9"/>
      <c r="H27" s="9"/>
    </row>
    <row r="28" spans="2:12" x14ac:dyDescent="0.2">
      <c r="B28" t="s">
        <v>46</v>
      </c>
    </row>
    <row r="29" spans="2:12" x14ac:dyDescent="0.2">
      <c r="B29" t="s">
        <v>4005</v>
      </c>
    </row>
    <row r="30" spans="2:12" x14ac:dyDescent="0.2">
      <c r="B30" t="s">
        <v>4006</v>
      </c>
    </row>
    <row r="31" spans="2:12" x14ac:dyDescent="0.2">
      <c r="B31" t="s">
        <v>4007</v>
      </c>
    </row>
    <row r="32" spans="2:12" x14ac:dyDescent="0.2">
      <c r="B32" t="s">
        <v>4008</v>
      </c>
    </row>
    <row r="33" spans="2:8" x14ac:dyDescent="0.2">
      <c r="B33" t="s">
        <v>4009</v>
      </c>
    </row>
    <row r="34" spans="2:8" x14ac:dyDescent="0.2">
      <c r="B34" t="s">
        <v>4010</v>
      </c>
    </row>
    <row r="37" spans="2:8" ht="13.5" thickBot="1" x14ac:dyDescent="0.25">
      <c r="B37" s="9" t="s">
        <v>4011</v>
      </c>
      <c r="C37" s="9"/>
      <c r="D37" s="9"/>
      <c r="E37" s="9"/>
      <c r="F37" s="9"/>
      <c r="G37" s="9"/>
      <c r="H37" s="9"/>
    </row>
    <row r="38" spans="2:8" x14ac:dyDescent="0.2">
      <c r="B38" t="s">
        <v>4012</v>
      </c>
    </row>
    <row r="39" spans="2:8" x14ac:dyDescent="0.2">
      <c r="B39" t="s">
        <v>4013</v>
      </c>
    </row>
    <row r="40" spans="2:8" x14ac:dyDescent="0.2">
      <c r="B40" t="s">
        <v>4014</v>
      </c>
    </row>
    <row r="41" spans="2:8" x14ac:dyDescent="0.2">
      <c r="B41" t="s">
        <v>4015</v>
      </c>
    </row>
    <row r="42" spans="2:8" x14ac:dyDescent="0.2">
      <c r="B42" t="s">
        <v>4016</v>
      </c>
    </row>
    <row r="43" spans="2:8" x14ac:dyDescent="0.2">
      <c r="B43" t="s">
        <v>4017</v>
      </c>
    </row>
    <row r="44" spans="2:8" x14ac:dyDescent="0.2">
      <c r="B44" t="s">
        <v>4018</v>
      </c>
    </row>
    <row r="45" spans="2:8" x14ac:dyDescent="0.2">
      <c r="B45" t="s">
        <v>4019</v>
      </c>
    </row>
    <row r="46" spans="2:8" x14ac:dyDescent="0.2">
      <c r="B46" t="s">
        <v>4020</v>
      </c>
    </row>
    <row r="47" spans="2:8" x14ac:dyDescent="0.2">
      <c r="B47" t="s">
        <v>4021</v>
      </c>
    </row>
    <row r="48" spans="2:8" x14ac:dyDescent="0.2">
      <c r="B48" t="s">
        <v>4022</v>
      </c>
    </row>
    <row r="50" spans="3:4" x14ac:dyDescent="0.2">
      <c r="C50" s="11" t="s">
        <v>3982</v>
      </c>
      <c r="D50" s="69">
        <f>VALUE(MID(SUBSTITUTE(C50," ","    "),SEARCH("???%",SUBSTITUTE(C50," ","    ")),4))</f>
        <v>0.02</v>
      </c>
    </row>
    <row r="51" spans="3:4" x14ac:dyDescent="0.2">
      <c r="C51" s="11" t="s">
        <v>3983</v>
      </c>
      <c r="D51" s="69">
        <f>VALUE(MID(SUBSTITUTE(C51," ","    "),SEARCH("???%",SUBSTITUTE(C51," ","    ")),4))</f>
        <v>0.5</v>
      </c>
    </row>
    <row r="52" spans="3:4" x14ac:dyDescent="0.2">
      <c r="C52" s="11" t="s">
        <v>3987</v>
      </c>
      <c r="D52" s="69">
        <f>VALUE(MID(SUBSTITUTE(C52," ","    "),SEARCH("???%",SUBSTITUTE(C52," ","    ")),4))</f>
        <v>1</v>
      </c>
    </row>
    <row r="54" spans="3:4" x14ac:dyDescent="0.2">
      <c r="C54" t="s">
        <v>4023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1793" r:id="rId4" name="Button 1">
              <controlPr defaultSize="0" print="0" autoFill="0" autoLine="0" autoPict="0">
                <anchor>
                  <from>
                    <xdr:col>6</xdr:col>
                    <xdr:colOff>476250</xdr:colOff>
                    <xdr:row>0</xdr:row>
                    <xdr:rowOff>38100</xdr:rowOff>
                  </from>
                  <to>
                    <xdr:col>7</xdr:col>
                    <xdr:colOff>342900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94" r:id="rId5" name="Button 2">
              <controlPr defaultSize="0" print="0" autoFill="0" autoLine="0" autoPict="0">
                <anchor>
                  <from>
                    <xdr:col>7</xdr:col>
                    <xdr:colOff>409575</xdr:colOff>
                    <xdr:row>0</xdr:row>
                    <xdr:rowOff>38100</xdr:rowOff>
                  </from>
                  <to>
                    <xdr:col>7</xdr:col>
                    <xdr:colOff>609600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95" r:id="rId6" name="Button 3">
              <controlPr defaultSize="0" print="0" autoFill="0" autoLine="0" autoPict="0">
                <anchor>
                  <from>
                    <xdr:col>6</xdr:col>
                    <xdr:colOff>209550</xdr:colOff>
                    <xdr:row>0</xdr:row>
                    <xdr:rowOff>38100</xdr:rowOff>
                  </from>
                  <to>
                    <xdr:col>6</xdr:col>
                    <xdr:colOff>419100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4">
    <pageSetUpPr fitToPage="1"/>
  </sheetPr>
  <dimension ref="A1:J47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7" max="7" width="9.7109375" customWidth="1"/>
    <col min="8" max="8" width="10" customWidth="1"/>
    <col min="10" max="10" width="7" customWidth="1"/>
  </cols>
  <sheetData>
    <row r="1" spans="1:10" ht="18.75" thickBot="1" x14ac:dyDescent="0.3">
      <c r="A1" s="1" t="s">
        <v>4024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x14ac:dyDescent="0.2">
      <c r="C3" s="5" t="s">
        <v>356</v>
      </c>
      <c r="E3" s="5" t="s">
        <v>356</v>
      </c>
      <c r="G3" s="5" t="s">
        <v>356</v>
      </c>
    </row>
    <row r="4" spans="1:10" x14ac:dyDescent="0.2">
      <c r="C4" s="2">
        <v>10</v>
      </c>
      <c r="E4" s="2">
        <v>10</v>
      </c>
      <c r="G4" s="2">
        <v>10</v>
      </c>
    </row>
    <row r="5" spans="1:10" x14ac:dyDescent="0.2">
      <c r="C5" s="2">
        <v>10</v>
      </c>
      <c r="E5" s="2">
        <v>10</v>
      </c>
      <c r="G5" s="2">
        <v>11</v>
      </c>
    </row>
    <row r="6" spans="1:10" x14ac:dyDescent="0.2">
      <c r="C6" s="2">
        <v>9</v>
      </c>
      <c r="E6" s="2">
        <v>11</v>
      </c>
      <c r="G6" s="2">
        <v>9</v>
      </c>
    </row>
    <row r="7" spans="1:10" x14ac:dyDescent="0.2">
      <c r="C7" s="2">
        <v>10</v>
      </c>
      <c r="E7" s="2">
        <v>10</v>
      </c>
      <c r="G7" s="2">
        <v>12</v>
      </c>
    </row>
    <row r="9" spans="1:10" x14ac:dyDescent="0.2">
      <c r="C9" s="3">
        <f>VAR(C4:C7)</f>
        <v>0.25</v>
      </c>
      <c r="E9" s="3">
        <f>VAR(E4:E7)</f>
        <v>0.25</v>
      </c>
      <c r="G9" s="3">
        <f>VAR(G4:G7)</f>
        <v>1.6666666666666667</v>
      </c>
    </row>
    <row r="10" spans="1:10" x14ac:dyDescent="0.2">
      <c r="C10" s="19" t="s">
        <v>4025</v>
      </c>
      <c r="E10" s="19" t="s">
        <v>4026</v>
      </c>
      <c r="G10" s="19" t="s">
        <v>4027</v>
      </c>
    </row>
    <row r="12" spans="1:10" ht="13.5" thickBot="1" x14ac:dyDescent="0.25">
      <c r="B12" s="9" t="s">
        <v>39</v>
      </c>
      <c r="C12" s="9"/>
      <c r="D12" s="9"/>
      <c r="E12" s="9"/>
      <c r="F12" s="9"/>
      <c r="G12" s="9"/>
      <c r="H12" s="9"/>
      <c r="I12" s="9"/>
      <c r="J12" s="9"/>
    </row>
    <row r="13" spans="1:10" x14ac:dyDescent="0.2">
      <c r="B13" t="s">
        <v>4028</v>
      </c>
    </row>
    <row r="14" spans="1:10" x14ac:dyDescent="0.2">
      <c r="B14" t="s">
        <v>3613</v>
      </c>
    </row>
    <row r="16" spans="1:10" ht="13.5" thickBot="1" x14ac:dyDescent="0.25">
      <c r="B16" s="9" t="s">
        <v>43</v>
      </c>
      <c r="C16" s="9"/>
      <c r="D16" s="9"/>
      <c r="E16" s="9"/>
      <c r="F16" s="9"/>
      <c r="G16" s="9"/>
      <c r="H16" s="9"/>
      <c r="I16" s="9"/>
      <c r="J16" s="9"/>
    </row>
    <row r="17" spans="2:10" x14ac:dyDescent="0.2">
      <c r="B17" s="10" t="s">
        <v>4029</v>
      </c>
    </row>
    <row r="19" spans="2:10" ht="13.5" thickBot="1" x14ac:dyDescent="0.25">
      <c r="B19" s="9" t="s">
        <v>45</v>
      </c>
      <c r="C19" s="9"/>
      <c r="D19" s="9"/>
      <c r="E19" s="9"/>
      <c r="F19" s="9"/>
      <c r="G19" s="9"/>
      <c r="H19" s="9"/>
      <c r="I19" s="9"/>
      <c r="J19" s="9"/>
    </row>
    <row r="20" spans="2:10" x14ac:dyDescent="0.2">
      <c r="B20" t="s">
        <v>46</v>
      </c>
    </row>
    <row r="22" spans="2:10" ht="13.5" thickBot="1" x14ac:dyDescent="0.25">
      <c r="B22" s="9" t="s">
        <v>85</v>
      </c>
      <c r="C22" s="9"/>
      <c r="D22" s="9"/>
      <c r="E22" s="9"/>
      <c r="F22" s="9"/>
      <c r="G22" s="9"/>
      <c r="H22" s="9"/>
      <c r="I22" s="9"/>
      <c r="J22" s="9"/>
    </row>
    <row r="23" spans="2:10" x14ac:dyDescent="0.2">
      <c r="B23" t="s">
        <v>3615</v>
      </c>
    </row>
    <row r="24" spans="2:10" x14ac:dyDescent="0.2">
      <c r="B24" t="s">
        <v>3616</v>
      </c>
    </row>
    <row r="25" spans="2:10" x14ac:dyDescent="0.2">
      <c r="B25" t="s">
        <v>3617</v>
      </c>
    </row>
    <row r="26" spans="2:10" x14ac:dyDescent="0.2">
      <c r="B26" t="s">
        <v>3618</v>
      </c>
    </row>
    <row r="27" spans="2:10" x14ac:dyDescent="0.2">
      <c r="B27" t="s">
        <v>3619</v>
      </c>
    </row>
    <row r="28" spans="2:10" x14ac:dyDescent="0.2">
      <c r="B28" t="s">
        <v>4030</v>
      </c>
    </row>
    <row r="29" spans="2:10" x14ac:dyDescent="0.2">
      <c r="B29" t="s">
        <v>3621</v>
      </c>
    </row>
    <row r="30" spans="2:10" x14ac:dyDescent="0.2">
      <c r="B30" t="s">
        <v>4031</v>
      </c>
    </row>
    <row r="32" spans="2:10" x14ac:dyDescent="0.2">
      <c r="D32" s="13" t="s">
        <v>3623</v>
      </c>
      <c r="E32" s="14"/>
      <c r="F32" s="14"/>
      <c r="G32" s="14"/>
      <c r="H32" s="15"/>
    </row>
    <row r="33" spans="2:10" x14ac:dyDescent="0.2">
      <c r="D33" s="5" t="s">
        <v>919</v>
      </c>
      <c r="E33" s="5" t="s">
        <v>920</v>
      </c>
      <c r="F33" s="5" t="s">
        <v>921</v>
      </c>
      <c r="G33" s="5" t="s">
        <v>3624</v>
      </c>
      <c r="H33" s="5" t="s">
        <v>3625</v>
      </c>
    </row>
    <row r="34" spans="2:10" x14ac:dyDescent="0.2">
      <c r="C34" s="5" t="s">
        <v>3626</v>
      </c>
      <c r="D34" s="2">
        <v>1.4</v>
      </c>
      <c r="E34" s="2">
        <v>1.5</v>
      </c>
      <c r="F34" s="2">
        <v>1.6</v>
      </c>
      <c r="G34" s="2">
        <v>1.5</v>
      </c>
      <c r="H34" s="493">
        <f>VAR(D34:G34)</f>
        <v>6.6666666666666784E-3</v>
      </c>
      <c r="I34" s="8" t="s">
        <v>4032</v>
      </c>
    </row>
    <row r="35" spans="2:10" x14ac:dyDescent="0.2">
      <c r="C35" s="5" t="s">
        <v>3628</v>
      </c>
      <c r="D35" s="2">
        <v>1.5</v>
      </c>
      <c r="E35" s="2">
        <v>1.5</v>
      </c>
      <c r="F35" s="2">
        <v>1.4</v>
      </c>
      <c r="G35" s="2">
        <v>1.5</v>
      </c>
      <c r="H35" s="493">
        <f>VAR(D35:G35)</f>
        <v>2.5000000000000044E-3</v>
      </c>
      <c r="I35" s="8" t="s">
        <v>4033</v>
      </c>
    </row>
    <row r="36" spans="2:10" x14ac:dyDescent="0.2">
      <c r="C36" s="5" t="s">
        <v>3630</v>
      </c>
      <c r="D36" s="2">
        <v>1.5</v>
      </c>
      <c r="E36" s="2">
        <v>1.6</v>
      </c>
      <c r="F36" s="2">
        <v>1.7</v>
      </c>
      <c r="G36" s="2">
        <v>1.8</v>
      </c>
      <c r="H36" s="493">
        <f>VAR(D36:G36)</f>
        <v>1.6666666666666666E-2</v>
      </c>
      <c r="I36" s="8" t="s">
        <v>4034</v>
      </c>
    </row>
    <row r="38" spans="2:10" x14ac:dyDescent="0.2">
      <c r="E38" s="22"/>
      <c r="F38" s="24"/>
      <c r="G38" s="23" t="s">
        <v>3656</v>
      </c>
      <c r="H38" s="493">
        <f>MIN(H34:H36)</f>
        <v>2.5000000000000044E-3</v>
      </c>
      <c r="I38" s="8" t="s">
        <v>3633</v>
      </c>
    </row>
    <row r="39" spans="2:10" x14ac:dyDescent="0.2">
      <c r="H39" s="145"/>
      <c r="I39" s="8"/>
    </row>
    <row r="40" spans="2:10" x14ac:dyDescent="0.2">
      <c r="D40" s="22" t="s">
        <v>3658</v>
      </c>
      <c r="E40" s="24"/>
      <c r="F40" s="24"/>
      <c r="G40" s="24"/>
      <c r="H40" s="3" t="str">
        <f>INDEX(C34:C36,MATCH(MIN(H34:H36),H34:H36,0))</f>
        <v>Machine 2</v>
      </c>
    </row>
    <row r="41" spans="2:10" x14ac:dyDescent="0.2">
      <c r="H41" s="32" t="s">
        <v>3635</v>
      </c>
    </row>
    <row r="43" spans="2:10" ht="13.5" thickBot="1" x14ac:dyDescent="0.25">
      <c r="B43" s="9" t="s">
        <v>3636</v>
      </c>
      <c r="C43" s="9"/>
      <c r="D43" s="9"/>
      <c r="E43" s="9"/>
      <c r="F43" s="9"/>
      <c r="G43" s="9"/>
      <c r="H43" s="9"/>
      <c r="I43" s="9"/>
      <c r="J43" s="9"/>
    </row>
    <row r="44" spans="2:10" x14ac:dyDescent="0.2">
      <c r="E44" s="178" t="s">
        <v>3637</v>
      </c>
      <c r="F44" s="250" t="s">
        <v>3633</v>
      </c>
    </row>
    <row r="45" spans="2:10" x14ac:dyDescent="0.2">
      <c r="E45" s="178" t="s">
        <v>3638</v>
      </c>
      <c r="F45" s="250" t="s">
        <v>3639</v>
      </c>
    </row>
    <row r="46" spans="2:10" x14ac:dyDescent="0.2">
      <c r="D46" s="178"/>
      <c r="E46" s="178" t="s">
        <v>3640</v>
      </c>
      <c r="F46" s="250" t="s">
        <v>3635</v>
      </c>
    </row>
    <row r="47" spans="2:10" x14ac:dyDescent="0.2">
      <c r="E47" s="178" t="s">
        <v>3641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2817" r:id="rId4" name="Button 1">
              <controlPr defaultSize="0" print="0" autoFill="0" autoLine="0" autoPict="0">
                <anchor>
                  <from>
                    <xdr:col>8</xdr:col>
                    <xdr:colOff>266700</xdr:colOff>
                    <xdr:row>0</xdr:row>
                    <xdr:rowOff>38100</xdr:rowOff>
                  </from>
                  <to>
                    <xdr:col>9</xdr:col>
                    <xdr:colOff>133350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18" r:id="rId5" name="Button 2">
              <controlPr defaultSize="0" print="0" autoFill="0" autoLine="0" autoPict="0">
                <anchor>
                  <from>
                    <xdr:col>9</xdr:col>
                    <xdr:colOff>200025</xdr:colOff>
                    <xdr:row>0</xdr:row>
                    <xdr:rowOff>38100</xdr:rowOff>
                  </from>
                  <to>
                    <xdr:col>9</xdr:col>
                    <xdr:colOff>400050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19" r:id="rId6" name="Button 3">
              <controlPr defaultSize="0" print="0" autoFill="0" autoLine="0" autoPict="0">
                <anchor>
                  <from>
                    <xdr:col>7</xdr:col>
                    <xdr:colOff>657225</xdr:colOff>
                    <xdr:row>0</xdr:row>
                    <xdr:rowOff>38100</xdr:rowOff>
                  </from>
                  <to>
                    <xdr:col>8</xdr:col>
                    <xdr:colOff>200025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5">
    <pageSetUpPr fitToPage="1"/>
  </sheetPr>
  <dimension ref="A1:J45"/>
  <sheetViews>
    <sheetView showGridLines="0" workbookViewId="0">
      <pane ySplit="1" topLeftCell="A20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7" max="7" width="9.7109375" customWidth="1"/>
    <col min="8" max="8" width="10" customWidth="1"/>
    <col min="10" max="10" width="7" customWidth="1"/>
  </cols>
  <sheetData>
    <row r="1" spans="1:10" ht="18.75" thickBot="1" x14ac:dyDescent="0.3">
      <c r="A1" s="1" t="s">
        <v>4035</v>
      </c>
      <c r="B1" s="1"/>
      <c r="C1" s="1"/>
      <c r="D1" s="1"/>
      <c r="E1" s="1"/>
      <c r="F1" s="1"/>
      <c r="G1" s="1"/>
      <c r="H1" s="1"/>
      <c r="I1" s="1"/>
      <c r="J1" s="1"/>
    </row>
    <row r="2" spans="1:10" ht="13.5" thickTop="1" x14ac:dyDescent="0.2"/>
    <row r="3" spans="1:10" x14ac:dyDescent="0.2">
      <c r="C3" s="5" t="s">
        <v>356</v>
      </c>
      <c r="E3" s="5" t="s">
        <v>356</v>
      </c>
      <c r="G3" s="5" t="s">
        <v>356</v>
      </c>
    </row>
    <row r="4" spans="1:10" x14ac:dyDescent="0.2">
      <c r="C4" s="2">
        <v>10</v>
      </c>
      <c r="E4" s="2">
        <v>10</v>
      </c>
      <c r="G4" s="2">
        <v>10</v>
      </c>
    </row>
    <row r="5" spans="1:10" x14ac:dyDescent="0.2">
      <c r="C5" s="2">
        <v>10</v>
      </c>
      <c r="E5" s="2">
        <v>10</v>
      </c>
      <c r="G5" s="2">
        <v>11</v>
      </c>
    </row>
    <row r="6" spans="1:10" x14ac:dyDescent="0.2">
      <c r="C6" s="2">
        <v>9</v>
      </c>
      <c r="E6" s="2">
        <v>11</v>
      </c>
      <c r="G6" s="2">
        <v>9</v>
      </c>
    </row>
    <row r="7" spans="1:10" x14ac:dyDescent="0.2">
      <c r="C7" s="2">
        <v>10</v>
      </c>
      <c r="E7" s="2">
        <v>10</v>
      </c>
      <c r="G7" s="2">
        <v>12</v>
      </c>
    </row>
    <row r="9" spans="1:10" x14ac:dyDescent="0.2">
      <c r="C9" s="3">
        <f>VARP(C4:C7)</f>
        <v>0.1875</v>
      </c>
      <c r="E9" s="3">
        <f>VARP(E4:E7)</f>
        <v>0.1875</v>
      </c>
      <c r="G9" s="3">
        <f>VARP(G4:G7)</f>
        <v>1.25</v>
      </c>
    </row>
    <row r="10" spans="1:10" x14ac:dyDescent="0.2">
      <c r="C10" s="19" t="s">
        <v>4036</v>
      </c>
      <c r="E10" s="19" t="s">
        <v>4037</v>
      </c>
      <c r="G10" s="19" t="s">
        <v>4038</v>
      </c>
    </row>
    <row r="12" spans="1:10" ht="13.5" thickBot="1" x14ac:dyDescent="0.25">
      <c r="B12" s="9" t="s">
        <v>39</v>
      </c>
      <c r="C12" s="9"/>
      <c r="D12" s="9"/>
      <c r="E12" s="9"/>
      <c r="F12" s="9"/>
      <c r="G12" s="9"/>
      <c r="H12" s="9"/>
      <c r="I12" s="9"/>
      <c r="J12" s="9"/>
    </row>
    <row r="13" spans="1:10" x14ac:dyDescent="0.2">
      <c r="B13" t="s">
        <v>4039</v>
      </c>
    </row>
    <row r="14" spans="1:10" x14ac:dyDescent="0.2">
      <c r="B14" t="s">
        <v>4040</v>
      </c>
    </row>
    <row r="16" spans="1:10" ht="13.5" thickBot="1" x14ac:dyDescent="0.25">
      <c r="B16" s="9" t="s">
        <v>43</v>
      </c>
      <c r="C16" s="9"/>
      <c r="D16" s="9"/>
      <c r="E16" s="9"/>
      <c r="F16" s="9"/>
      <c r="G16" s="9"/>
      <c r="H16" s="9"/>
      <c r="I16" s="9"/>
      <c r="J16" s="9"/>
    </row>
    <row r="17" spans="2:10" x14ac:dyDescent="0.2">
      <c r="B17" s="10" t="s">
        <v>4041</v>
      </c>
    </row>
    <row r="19" spans="2:10" ht="13.5" thickBot="1" x14ac:dyDescent="0.25">
      <c r="B19" s="9" t="s">
        <v>45</v>
      </c>
      <c r="C19" s="9"/>
      <c r="D19" s="9"/>
      <c r="E19" s="9"/>
      <c r="F19" s="9"/>
      <c r="G19" s="9"/>
      <c r="H19" s="9"/>
      <c r="I19" s="9"/>
      <c r="J19" s="9"/>
    </row>
    <row r="20" spans="2:10" x14ac:dyDescent="0.2">
      <c r="B20" t="s">
        <v>46</v>
      </c>
    </row>
    <row r="22" spans="2:10" ht="13.5" thickBot="1" x14ac:dyDescent="0.25">
      <c r="B22" s="9" t="s">
        <v>85</v>
      </c>
      <c r="C22" s="9"/>
      <c r="D22" s="9"/>
      <c r="E22" s="9"/>
      <c r="F22" s="9"/>
      <c r="G22" s="9"/>
      <c r="H22" s="9"/>
      <c r="I22" s="9"/>
      <c r="J22" s="9"/>
    </row>
    <row r="23" spans="2:10" x14ac:dyDescent="0.2">
      <c r="B23" t="s">
        <v>3615</v>
      </c>
    </row>
    <row r="24" spans="2:10" x14ac:dyDescent="0.2">
      <c r="B24" t="s">
        <v>3616</v>
      </c>
    </row>
    <row r="25" spans="2:10" x14ac:dyDescent="0.2">
      <c r="B25" t="s">
        <v>4042</v>
      </c>
    </row>
    <row r="26" spans="2:10" x14ac:dyDescent="0.2">
      <c r="B26" t="s">
        <v>4043</v>
      </c>
    </row>
    <row r="27" spans="2:10" x14ac:dyDescent="0.2">
      <c r="B27" t="s">
        <v>3651</v>
      </c>
    </row>
    <row r="28" spans="2:10" x14ac:dyDescent="0.2">
      <c r="B28" t="s">
        <v>4031</v>
      </c>
    </row>
    <row r="30" spans="2:10" x14ac:dyDescent="0.2">
      <c r="D30" s="13" t="s">
        <v>3623</v>
      </c>
      <c r="E30" s="14"/>
      <c r="F30" s="14"/>
      <c r="G30" s="14"/>
      <c r="H30" s="15"/>
    </row>
    <row r="31" spans="2:10" x14ac:dyDescent="0.2">
      <c r="D31" s="5" t="s">
        <v>919</v>
      </c>
      <c r="E31" s="5" t="s">
        <v>920</v>
      </c>
      <c r="F31" s="5" t="s">
        <v>921</v>
      </c>
      <c r="G31" s="5" t="s">
        <v>3624</v>
      </c>
      <c r="H31" s="5" t="s">
        <v>3625</v>
      </c>
    </row>
    <row r="32" spans="2:10" x14ac:dyDescent="0.2">
      <c r="C32" s="5" t="s">
        <v>3626</v>
      </c>
      <c r="D32" s="2">
        <v>1.4</v>
      </c>
      <c r="E32" s="2">
        <v>1.5</v>
      </c>
      <c r="F32" s="2">
        <v>1.6</v>
      </c>
      <c r="G32" s="2">
        <v>1.5</v>
      </c>
      <c r="H32" s="493">
        <f>VARP(D32:G32)</f>
        <v>5.0000000000000088E-3</v>
      </c>
      <c r="I32" s="8" t="s">
        <v>4044</v>
      </c>
    </row>
    <row r="33" spans="2:10" x14ac:dyDescent="0.2">
      <c r="C33" s="5" t="s">
        <v>3628</v>
      </c>
      <c r="D33" s="2">
        <v>1.5</v>
      </c>
      <c r="E33" s="2">
        <v>1.5</v>
      </c>
      <c r="F33" s="2">
        <v>1.4</v>
      </c>
      <c r="G33" s="2">
        <v>1.5</v>
      </c>
      <c r="H33" s="493">
        <f>VARP(D33:G33)</f>
        <v>1.8750000000000034E-3</v>
      </c>
      <c r="I33" s="8" t="s">
        <v>4045</v>
      </c>
    </row>
    <row r="34" spans="2:10" x14ac:dyDescent="0.2">
      <c r="C34" s="5" t="s">
        <v>3630</v>
      </c>
      <c r="D34" s="2">
        <v>1.5</v>
      </c>
      <c r="E34" s="2">
        <v>1.6</v>
      </c>
      <c r="F34" s="2">
        <v>1.7</v>
      </c>
      <c r="G34" s="2">
        <v>1.8</v>
      </c>
      <c r="H34" s="493">
        <f>VARP(D34:G34)</f>
        <v>1.2500000000000001E-2</v>
      </c>
      <c r="I34" s="8" t="s">
        <v>4046</v>
      </c>
    </row>
    <row r="36" spans="2:10" x14ac:dyDescent="0.2">
      <c r="E36" s="22"/>
      <c r="F36" s="24"/>
      <c r="G36" s="23" t="s">
        <v>3656</v>
      </c>
      <c r="H36" s="493">
        <f>MIN(H32:H34)</f>
        <v>1.8750000000000034E-3</v>
      </c>
      <c r="I36" s="8" t="s">
        <v>3657</v>
      </c>
    </row>
    <row r="38" spans="2:10" x14ac:dyDescent="0.2">
      <c r="D38" s="22" t="s">
        <v>3658</v>
      </c>
      <c r="E38" s="24"/>
      <c r="F38" s="24"/>
      <c r="G38" s="24"/>
      <c r="H38" s="3" t="str">
        <f>INDEX(C32:C34,MATCH(MIN(H32:H34),H32:H34,0))</f>
        <v>Machine 2</v>
      </c>
    </row>
    <row r="39" spans="2:10" x14ac:dyDescent="0.2">
      <c r="H39" s="32" t="s">
        <v>3659</v>
      </c>
    </row>
    <row r="41" spans="2:10" ht="13.5" thickBot="1" x14ac:dyDescent="0.25">
      <c r="B41" s="9" t="s">
        <v>3636</v>
      </c>
      <c r="C41" s="9"/>
      <c r="D41" s="9"/>
      <c r="E41" s="9"/>
      <c r="F41" s="9"/>
      <c r="G41" s="9"/>
      <c r="H41" s="9"/>
      <c r="I41" s="9"/>
      <c r="J41" s="9"/>
    </row>
    <row r="42" spans="2:10" x14ac:dyDescent="0.2">
      <c r="E42" s="178" t="s">
        <v>3637</v>
      </c>
      <c r="F42" s="250" t="s">
        <v>3660</v>
      </c>
    </row>
    <row r="43" spans="2:10" x14ac:dyDescent="0.2">
      <c r="E43" s="178" t="s">
        <v>3638</v>
      </c>
      <c r="F43" s="250" t="s">
        <v>3661</v>
      </c>
    </row>
    <row r="44" spans="2:10" x14ac:dyDescent="0.2">
      <c r="D44" s="178"/>
      <c r="E44" s="178" t="s">
        <v>3640</v>
      </c>
      <c r="F44" s="250" t="s">
        <v>3659</v>
      </c>
    </row>
    <row r="45" spans="2:10" x14ac:dyDescent="0.2">
      <c r="E45" s="178" t="s">
        <v>3641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41" r:id="rId4" name="Button 1">
              <controlPr defaultSize="0" print="0" autoFill="0" autoLine="0" autoPict="0">
                <anchor>
                  <from>
                    <xdr:col>8</xdr:col>
                    <xdr:colOff>266700</xdr:colOff>
                    <xdr:row>0</xdr:row>
                    <xdr:rowOff>38100</xdr:rowOff>
                  </from>
                  <to>
                    <xdr:col>9</xdr:col>
                    <xdr:colOff>133350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42" r:id="rId5" name="Button 2">
              <controlPr defaultSize="0" print="0" autoFill="0" autoLine="0" autoPict="0">
                <anchor>
                  <from>
                    <xdr:col>9</xdr:col>
                    <xdr:colOff>200025</xdr:colOff>
                    <xdr:row>0</xdr:row>
                    <xdr:rowOff>38100</xdr:rowOff>
                  </from>
                  <to>
                    <xdr:col>9</xdr:col>
                    <xdr:colOff>400050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43" r:id="rId6" name="Button 3">
              <controlPr defaultSize="0" print="0" autoFill="0" autoLine="0" autoPict="0">
                <anchor>
                  <from>
                    <xdr:col>7</xdr:col>
                    <xdr:colOff>657225</xdr:colOff>
                    <xdr:row>0</xdr:row>
                    <xdr:rowOff>38100</xdr:rowOff>
                  </from>
                  <to>
                    <xdr:col>8</xdr:col>
                    <xdr:colOff>200025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7">
    <pageSetUpPr fitToPage="1"/>
  </sheetPr>
  <dimension ref="A1:H45"/>
  <sheetViews>
    <sheetView showGridLines="0" workbookViewId="0">
      <pane ySplit="1" topLeftCell="A14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2.7109375" customWidth="1"/>
    <col min="3" max="3" width="12.5703125" customWidth="1"/>
    <col min="4" max="4" width="10.85546875" customWidth="1"/>
    <col min="5" max="5" width="17.28515625" customWidth="1"/>
    <col min="8" max="8" width="13.28515625" customWidth="1"/>
  </cols>
  <sheetData>
    <row r="1" spans="1:8" ht="18.75" thickBot="1" x14ac:dyDescent="0.3">
      <c r="A1" s="1" t="s">
        <v>4047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C3" s="5" t="s">
        <v>163</v>
      </c>
      <c r="D3" s="5" t="s">
        <v>4048</v>
      </c>
    </row>
    <row r="4" spans="1:8" x14ac:dyDescent="0.2">
      <c r="C4" s="450">
        <v>35796</v>
      </c>
      <c r="D4" s="300">
        <f>WEEKDAY(C4)</f>
        <v>5</v>
      </c>
      <c r="E4" s="8" t="s">
        <v>4049</v>
      </c>
    </row>
    <row r="5" spans="1:8" x14ac:dyDescent="0.2">
      <c r="C5" s="450">
        <v>35796</v>
      </c>
      <c r="D5" s="300">
        <f>WEEKDAY(C5)</f>
        <v>5</v>
      </c>
      <c r="E5" s="8" t="s">
        <v>4050</v>
      </c>
    </row>
    <row r="6" spans="1:8" x14ac:dyDescent="0.2">
      <c r="C6" s="450">
        <v>35796</v>
      </c>
      <c r="D6" s="300">
        <f>WEEKDAY(C6,1)</f>
        <v>5</v>
      </c>
      <c r="E6" s="8" t="s">
        <v>4051</v>
      </c>
    </row>
    <row r="7" spans="1:8" x14ac:dyDescent="0.2">
      <c r="C7" s="450">
        <v>35796</v>
      </c>
      <c r="D7" s="300">
        <f>WEEKDAY(C7,2)</f>
        <v>4</v>
      </c>
      <c r="E7" s="8" t="s">
        <v>4052</v>
      </c>
    </row>
    <row r="8" spans="1:8" x14ac:dyDescent="0.2">
      <c r="C8" s="450">
        <v>35796</v>
      </c>
      <c r="D8" s="300">
        <f>WEEKDAY(C8,3)</f>
        <v>3</v>
      </c>
      <c r="E8" s="8" t="s">
        <v>4053</v>
      </c>
    </row>
    <row r="10" spans="1:8" ht="13.5" thickBot="1" x14ac:dyDescent="0.25">
      <c r="B10" s="9" t="s">
        <v>64</v>
      </c>
      <c r="C10" s="9"/>
      <c r="D10" s="9"/>
      <c r="E10" s="9"/>
      <c r="F10" s="9"/>
      <c r="G10" s="9"/>
      <c r="H10" s="9"/>
    </row>
    <row r="11" spans="1:8" x14ac:dyDescent="0.2">
      <c r="B11" t="s">
        <v>4054</v>
      </c>
    </row>
    <row r="13" spans="1:8" ht="13.5" thickBot="1" x14ac:dyDescent="0.25">
      <c r="B13" s="9" t="s">
        <v>43</v>
      </c>
      <c r="C13" s="9"/>
      <c r="D13" s="9"/>
      <c r="E13" s="9"/>
      <c r="F13" s="9"/>
      <c r="G13" s="9"/>
      <c r="H13" s="9"/>
    </row>
    <row r="14" spans="1:8" x14ac:dyDescent="0.2">
      <c r="B14" t="s">
        <v>4055</v>
      </c>
    </row>
    <row r="15" spans="1:8" x14ac:dyDescent="0.2">
      <c r="B15" t="s">
        <v>4056</v>
      </c>
    </row>
    <row r="16" spans="1:8" x14ac:dyDescent="0.2">
      <c r="B16" t="s">
        <v>4057</v>
      </c>
    </row>
    <row r="17" spans="2:8" x14ac:dyDescent="0.2">
      <c r="B17" t="s">
        <v>4058</v>
      </c>
    </row>
    <row r="18" spans="2:8" x14ac:dyDescent="0.2">
      <c r="B18" t="s">
        <v>4059</v>
      </c>
    </row>
    <row r="19" spans="2:8" x14ac:dyDescent="0.2">
      <c r="B19" t="s">
        <v>4060</v>
      </c>
    </row>
    <row r="21" spans="2:8" ht="13.5" thickBot="1" x14ac:dyDescent="0.25">
      <c r="B21" s="9" t="s">
        <v>45</v>
      </c>
      <c r="C21" s="9"/>
      <c r="D21" s="9"/>
      <c r="E21" s="9"/>
      <c r="F21" s="9"/>
      <c r="G21" s="9"/>
      <c r="H21" s="9"/>
    </row>
    <row r="22" spans="2:8" x14ac:dyDescent="0.2">
      <c r="B22" t="s">
        <v>4061</v>
      </c>
    </row>
    <row r="23" spans="2:8" x14ac:dyDescent="0.2">
      <c r="B23" t="s">
        <v>4062</v>
      </c>
    </row>
    <row r="24" spans="2:8" x14ac:dyDescent="0.2">
      <c r="B24" t="s">
        <v>4063</v>
      </c>
    </row>
    <row r="26" spans="2:8" ht="13.5" thickBot="1" x14ac:dyDescent="0.25">
      <c r="B26" s="9" t="s">
        <v>85</v>
      </c>
      <c r="C26" s="9"/>
      <c r="D26" s="9"/>
      <c r="E26" s="9"/>
      <c r="F26" s="9"/>
      <c r="G26" s="9"/>
      <c r="H26" s="9"/>
    </row>
    <row r="27" spans="2:8" x14ac:dyDescent="0.2">
      <c r="B27" t="s">
        <v>4064</v>
      </c>
    </row>
    <row r="28" spans="2:8" x14ac:dyDescent="0.2">
      <c r="B28" t="s">
        <v>4065</v>
      </c>
    </row>
    <row r="29" spans="2:8" x14ac:dyDescent="0.2">
      <c r="B29" t="s">
        <v>4066</v>
      </c>
    </row>
    <row r="30" spans="2:8" x14ac:dyDescent="0.2">
      <c r="B30" t="s">
        <v>4067</v>
      </c>
    </row>
    <row r="31" spans="2:8" x14ac:dyDescent="0.2">
      <c r="B31" t="s">
        <v>4068</v>
      </c>
    </row>
    <row r="33" spans="3:5" x14ac:dyDescent="0.2">
      <c r="C33" s="5" t="s">
        <v>4069</v>
      </c>
      <c r="D33" s="5" t="s">
        <v>4070</v>
      </c>
      <c r="E33" s="5" t="s">
        <v>4071</v>
      </c>
    </row>
    <row r="34" spans="3:5" x14ac:dyDescent="0.2">
      <c r="C34" s="16">
        <v>35802</v>
      </c>
      <c r="D34" s="521">
        <f>WEEKDAY(C34)</f>
        <v>4</v>
      </c>
      <c r="E34" s="522">
        <f>LOOKUP(WEEKDAY(C34),C39:D45)</f>
        <v>30</v>
      </c>
    </row>
    <row r="35" spans="3:5" x14ac:dyDescent="0.2">
      <c r="E35" s="8" t="s">
        <v>4072</v>
      </c>
    </row>
    <row r="37" spans="3:5" x14ac:dyDescent="0.2">
      <c r="C37" s="13" t="s">
        <v>4073</v>
      </c>
      <c r="D37" s="15"/>
    </row>
    <row r="38" spans="3:5" x14ac:dyDescent="0.2">
      <c r="C38" s="5" t="s">
        <v>4074</v>
      </c>
      <c r="D38" s="5" t="s">
        <v>164</v>
      </c>
    </row>
    <row r="39" spans="3:5" x14ac:dyDescent="0.2">
      <c r="C39" s="143">
        <v>1</v>
      </c>
      <c r="D39" s="523">
        <v>50</v>
      </c>
    </row>
    <row r="40" spans="3:5" x14ac:dyDescent="0.2">
      <c r="C40" s="143">
        <v>2</v>
      </c>
      <c r="D40" s="523">
        <v>25</v>
      </c>
    </row>
    <row r="41" spans="3:5" x14ac:dyDescent="0.2">
      <c r="C41" s="143">
        <v>3</v>
      </c>
      <c r="D41" s="523">
        <v>25</v>
      </c>
    </row>
    <row r="42" spans="3:5" x14ac:dyDescent="0.2">
      <c r="C42" s="143">
        <v>4</v>
      </c>
      <c r="D42" s="523">
        <v>30</v>
      </c>
    </row>
    <row r="43" spans="3:5" x14ac:dyDescent="0.2">
      <c r="C43" s="143">
        <v>5</v>
      </c>
      <c r="D43" s="523">
        <v>40</v>
      </c>
    </row>
    <row r="44" spans="3:5" x14ac:dyDescent="0.2">
      <c r="C44" s="143">
        <v>6</v>
      </c>
      <c r="D44" s="523">
        <v>50</v>
      </c>
    </row>
    <row r="45" spans="3:5" x14ac:dyDescent="0.2">
      <c r="C45" s="143">
        <v>7</v>
      </c>
      <c r="D45" s="523">
        <v>100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4865" r:id="rId4" name="Button 1">
              <controlPr defaultSize="0" print="0" autoFill="0" autoLine="0" autoPict="0">
                <anchor>
                  <from>
                    <xdr:col>7</xdr:col>
                    <xdr:colOff>38100</xdr:colOff>
                    <xdr:row>0</xdr:row>
                    <xdr:rowOff>38100</xdr:rowOff>
                  </from>
                  <to>
                    <xdr:col>7</xdr:col>
                    <xdr:colOff>504825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66" r:id="rId5" name="Button 2">
              <controlPr defaultSize="0" print="0" autoFill="0" autoLine="0" autoPict="0">
                <anchor>
                  <from>
                    <xdr:col>7</xdr:col>
                    <xdr:colOff>571500</xdr:colOff>
                    <xdr:row>0</xdr:row>
                    <xdr:rowOff>38100</xdr:rowOff>
                  </from>
                  <to>
                    <xdr:col>7</xdr:col>
                    <xdr:colOff>771525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67" r:id="rId6" name="Button 3">
              <controlPr defaultSize="0" print="0" autoFill="0" autoLine="0" autoPict="0">
                <anchor>
                  <from>
                    <xdr:col>6</xdr:col>
                    <xdr:colOff>371475</xdr:colOff>
                    <xdr:row>0</xdr:row>
                    <xdr:rowOff>38100</xdr:rowOff>
                  </from>
                  <to>
                    <xdr:col>6</xdr:col>
                    <xdr:colOff>581025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0">
    <pageSetUpPr fitToPage="1"/>
  </sheetPr>
  <dimension ref="A1:H38"/>
  <sheetViews>
    <sheetView showGridLines="0" workbookViewId="0">
      <pane ySplit="1" topLeftCell="A23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3" customWidth="1"/>
    <col min="3" max="3" width="10.5703125" customWidth="1"/>
    <col min="4" max="4" width="14.140625" customWidth="1"/>
    <col min="5" max="5" width="12.140625" customWidth="1"/>
    <col min="6" max="6" width="19.140625" customWidth="1"/>
    <col min="8" max="8" width="8.42578125" customWidth="1"/>
  </cols>
  <sheetData>
    <row r="1" spans="1:8" ht="18.75" thickBot="1" x14ac:dyDescent="0.3">
      <c r="A1" s="1" t="s">
        <v>4075</v>
      </c>
      <c r="B1" s="1"/>
      <c r="C1" s="1"/>
      <c r="D1" s="1"/>
      <c r="E1" s="1"/>
      <c r="F1" s="1"/>
      <c r="G1" s="1"/>
      <c r="H1" s="1"/>
    </row>
    <row r="2" spans="1:8" ht="13.5" thickTop="1" x14ac:dyDescent="0.2"/>
    <row r="3" spans="1:8" x14ac:dyDescent="0.2">
      <c r="C3" s="5" t="s">
        <v>1858</v>
      </c>
      <c r="D3" s="5" t="s">
        <v>1860</v>
      </c>
      <c r="E3" s="5" t="s">
        <v>4076</v>
      </c>
    </row>
    <row r="4" spans="1:8" x14ac:dyDescent="0.2">
      <c r="C4" s="16">
        <v>35796</v>
      </c>
      <c r="D4" s="16">
        <v>35886</v>
      </c>
      <c r="E4" s="3">
        <f>YEARFRAC(C4,D4)</f>
        <v>0.25</v>
      </c>
      <c r="F4" s="32" t="s">
        <v>4077</v>
      </c>
    </row>
    <row r="5" spans="1:8" x14ac:dyDescent="0.2">
      <c r="C5" s="16">
        <v>35796</v>
      </c>
      <c r="D5" s="16">
        <v>36160</v>
      </c>
      <c r="E5" s="173">
        <f>YEARFRAC(C5,D5)</f>
        <v>1</v>
      </c>
      <c r="F5" s="32" t="s">
        <v>4078</v>
      </c>
    </row>
    <row r="6" spans="1:8" x14ac:dyDescent="0.2">
      <c r="C6" s="16">
        <v>35796</v>
      </c>
      <c r="D6" s="16">
        <v>35886</v>
      </c>
      <c r="E6" s="56">
        <f>YEARFRAC(C6,D6)</f>
        <v>0.25</v>
      </c>
      <c r="F6" s="32" t="s">
        <v>4079</v>
      </c>
    </row>
    <row r="8" spans="1:8" ht="13.5" thickBot="1" x14ac:dyDescent="0.25">
      <c r="B8" s="9" t="s">
        <v>64</v>
      </c>
      <c r="C8" s="9"/>
      <c r="D8" s="9"/>
      <c r="E8" s="9"/>
      <c r="F8" s="9"/>
      <c r="G8" s="9"/>
      <c r="H8" s="9"/>
    </row>
    <row r="9" spans="1:8" x14ac:dyDescent="0.2">
      <c r="B9" t="s">
        <v>4080</v>
      </c>
    </row>
    <row r="10" spans="1:8" x14ac:dyDescent="0.2">
      <c r="B10" t="s">
        <v>4081</v>
      </c>
    </row>
    <row r="12" spans="1:8" ht="13.5" thickBot="1" x14ac:dyDescent="0.25">
      <c r="B12" s="9" t="s">
        <v>43</v>
      </c>
      <c r="C12" s="9"/>
      <c r="D12" s="9"/>
      <c r="E12" s="9"/>
      <c r="F12" s="9"/>
      <c r="G12" s="9"/>
      <c r="H12" s="9"/>
    </row>
    <row r="13" spans="1:8" x14ac:dyDescent="0.2">
      <c r="B13" t="s">
        <v>4082</v>
      </c>
    </row>
    <row r="14" spans="1:8" x14ac:dyDescent="0.2">
      <c r="B14" t="s">
        <v>4083</v>
      </c>
    </row>
    <row r="15" spans="1:8" x14ac:dyDescent="0.2">
      <c r="B15" t="s">
        <v>4084</v>
      </c>
    </row>
    <row r="16" spans="1:8" x14ac:dyDescent="0.2">
      <c r="B16" t="s">
        <v>4085</v>
      </c>
    </row>
    <row r="17" spans="2:8" x14ac:dyDescent="0.2">
      <c r="B17" t="s">
        <v>4086</v>
      </c>
    </row>
    <row r="18" spans="2:8" x14ac:dyDescent="0.2">
      <c r="B18" t="s">
        <v>4087</v>
      </c>
    </row>
    <row r="19" spans="2:8" x14ac:dyDescent="0.2">
      <c r="B19" t="s">
        <v>4088</v>
      </c>
    </row>
    <row r="21" spans="2:8" ht="13.5" thickBot="1" x14ac:dyDescent="0.25">
      <c r="B21" s="9" t="s">
        <v>45</v>
      </c>
      <c r="C21" s="9"/>
      <c r="D21" s="9"/>
      <c r="E21" s="9"/>
      <c r="F21" s="9"/>
      <c r="G21" s="9"/>
      <c r="H21" s="9"/>
    </row>
    <row r="22" spans="2:8" x14ac:dyDescent="0.2">
      <c r="B22" t="s">
        <v>4089</v>
      </c>
    </row>
    <row r="24" spans="2:8" ht="13.5" thickBot="1" x14ac:dyDescent="0.25">
      <c r="B24" s="9" t="s">
        <v>85</v>
      </c>
      <c r="C24" s="9"/>
      <c r="D24" s="9"/>
      <c r="E24" s="9"/>
      <c r="F24" s="9"/>
      <c r="G24" s="9"/>
      <c r="H24" s="9"/>
    </row>
    <row r="25" spans="2:8" x14ac:dyDescent="0.2">
      <c r="B25" t="s">
        <v>4090</v>
      </c>
    </row>
    <row r="26" spans="2:8" x14ac:dyDescent="0.2">
      <c r="B26" t="s">
        <v>4091</v>
      </c>
    </row>
    <row r="27" spans="2:8" x14ac:dyDescent="0.2">
      <c r="B27" t="s">
        <v>4092</v>
      </c>
    </row>
    <row r="28" spans="2:8" x14ac:dyDescent="0.2">
      <c r="B28" t="s">
        <v>4093</v>
      </c>
    </row>
    <row r="29" spans="2:8" x14ac:dyDescent="0.2">
      <c r="B29" t="s">
        <v>4094</v>
      </c>
    </row>
    <row r="31" spans="2:8" x14ac:dyDescent="0.2">
      <c r="B31" s="5" t="s">
        <v>665</v>
      </c>
      <c r="C31" s="5" t="s">
        <v>666</v>
      </c>
      <c r="D31" s="5" t="s">
        <v>4095</v>
      </c>
      <c r="E31" s="5" t="s">
        <v>4096</v>
      </c>
    </row>
    <row r="32" spans="2:8" x14ac:dyDescent="0.2">
      <c r="B32" s="16">
        <v>35796</v>
      </c>
      <c r="C32" s="16">
        <v>36160</v>
      </c>
      <c r="D32" s="18">
        <v>12000</v>
      </c>
      <c r="E32" s="55">
        <f>YEARFRAC(B32,C32+1,4)*D32</f>
        <v>12000</v>
      </c>
      <c r="F32" s="8" t="s">
        <v>4097</v>
      </c>
    </row>
    <row r="33" spans="2:6" x14ac:dyDescent="0.2">
      <c r="B33" s="16">
        <v>35796</v>
      </c>
      <c r="C33" s="16">
        <v>35885</v>
      </c>
      <c r="D33" s="18">
        <v>12000</v>
      </c>
      <c r="E33" s="55">
        <f>YEARFRAC(B33,C33+1,4)*D33</f>
        <v>3000</v>
      </c>
      <c r="F33" s="8" t="s">
        <v>4098</v>
      </c>
    </row>
    <row r="34" spans="2:6" x14ac:dyDescent="0.2">
      <c r="B34" s="16">
        <v>35796</v>
      </c>
      <c r="C34" s="16">
        <v>35976</v>
      </c>
      <c r="D34" s="18">
        <v>12000</v>
      </c>
      <c r="E34" s="55">
        <f>YEARFRAC(B34,C34+1,4)*D34</f>
        <v>6000</v>
      </c>
      <c r="F34" s="8" t="s">
        <v>4099</v>
      </c>
    </row>
    <row r="36" spans="2:6" x14ac:dyDescent="0.2">
      <c r="B36" t="s">
        <v>47</v>
      </c>
    </row>
    <row r="37" spans="2:6" x14ac:dyDescent="0.2">
      <c r="B37" t="s">
        <v>4100</v>
      </c>
    </row>
    <row r="38" spans="2:6" x14ac:dyDescent="0.2">
      <c r="B38" t="s">
        <v>4101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5889" r:id="rId4" name="Button 1">
              <controlPr defaultSize="0" print="0" autoFill="0" autoLine="0" autoPict="0">
                <anchor>
                  <from>
                    <xdr:col>6</xdr:col>
                    <xdr:colOff>200025</xdr:colOff>
                    <xdr:row>0</xdr:row>
                    <xdr:rowOff>38100</xdr:rowOff>
                  </from>
                  <to>
                    <xdr:col>7</xdr:col>
                    <xdr:colOff>66675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0" r:id="rId5" name="Button 2">
              <controlPr defaultSize="0" print="0" autoFill="0" autoLine="0" autoPict="0">
                <anchor>
                  <from>
                    <xdr:col>7</xdr:col>
                    <xdr:colOff>133350</xdr:colOff>
                    <xdr:row>0</xdr:row>
                    <xdr:rowOff>38100</xdr:rowOff>
                  </from>
                  <to>
                    <xdr:col>7</xdr:col>
                    <xdr:colOff>333375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1" r:id="rId6" name="Button 3">
              <controlPr defaultSize="0" print="0" autoFill="0" autoLine="0" autoPict="0">
                <anchor>
                  <from>
                    <xdr:col>5</xdr:col>
                    <xdr:colOff>1200150</xdr:colOff>
                    <xdr:row>0</xdr:row>
                    <xdr:rowOff>38100</xdr:rowOff>
                  </from>
                  <to>
                    <xdr:col>6</xdr:col>
                    <xdr:colOff>133350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2">
    <pageSetUpPr fitToPage="1"/>
  </sheetPr>
  <dimension ref="A1:H16"/>
  <sheetViews>
    <sheetView showGridLines="0" workbookViewId="0">
      <pane ySplit="1" topLeftCell="A2" activePane="bottomLeft" state="frozen"/>
      <selection activeCell="F30" activeCellId="4" sqref="F16 K30 G30 P30 F30"/>
      <selection pane="bottomLeft" activeCell="F30" activeCellId="4" sqref="F16 K30 G30 P30 F30"/>
    </sheetView>
  </sheetViews>
  <sheetFormatPr defaultRowHeight="12.75" x14ac:dyDescent="0.2"/>
  <cols>
    <col min="1" max="1" width="3.28515625" customWidth="1"/>
    <col min="2" max="2" width="13.140625" customWidth="1"/>
    <col min="3" max="3" width="15.5703125" customWidth="1"/>
    <col min="4" max="4" width="10.5703125" customWidth="1"/>
    <col min="5" max="5" width="13.42578125" customWidth="1"/>
    <col min="6" max="6" width="2" customWidth="1"/>
    <col min="7" max="7" width="12.5703125" customWidth="1"/>
    <col min="8" max="8" width="10.28515625" customWidth="1"/>
    <col min="9" max="9" width="3.85546875" customWidth="1"/>
  </cols>
  <sheetData>
    <row r="1" spans="1:8" ht="18.75" thickBot="1" x14ac:dyDescent="0.3">
      <c r="A1" s="1" t="s">
        <v>4102</v>
      </c>
      <c r="B1" s="1"/>
      <c r="C1" s="1"/>
      <c r="D1" s="1" t="s">
        <v>4103</v>
      </c>
      <c r="E1" s="1"/>
      <c r="F1" s="58"/>
      <c r="G1" s="1"/>
      <c r="H1" s="1"/>
    </row>
    <row r="2" spans="1:8" ht="13.5" thickTop="1" x14ac:dyDescent="0.2"/>
    <row r="3" spans="1:8" x14ac:dyDescent="0.2">
      <c r="B3" s="170" t="s">
        <v>4104</v>
      </c>
      <c r="C3" s="450">
        <v>35822</v>
      </c>
      <c r="G3" s="279" t="s">
        <v>4105</v>
      </c>
      <c r="H3" s="524">
        <v>12000</v>
      </c>
    </row>
    <row r="5" spans="1:8" ht="25.5" x14ac:dyDescent="0.2">
      <c r="B5" s="525" t="s">
        <v>4106</v>
      </c>
      <c r="C5" s="526" t="s">
        <v>1858</v>
      </c>
      <c r="D5" s="527" t="s">
        <v>4107</v>
      </c>
      <c r="E5" s="528" t="s">
        <v>1860</v>
      </c>
      <c r="G5" s="525" t="s">
        <v>4108</v>
      </c>
      <c r="H5" s="528" t="s">
        <v>15</v>
      </c>
    </row>
    <row r="6" spans="1:8" x14ac:dyDescent="0.2">
      <c r="B6" s="59" t="s">
        <v>4109</v>
      </c>
      <c r="C6" s="450">
        <v>35800</v>
      </c>
      <c r="D6" s="2">
        <v>5</v>
      </c>
      <c r="E6" s="486">
        <f>WORKDAY(C6,D6-1)</f>
        <v>35804</v>
      </c>
      <c r="G6" s="524">
        <v>200</v>
      </c>
      <c r="H6" s="529">
        <f>D6*G6</f>
        <v>1000</v>
      </c>
    </row>
    <row r="7" spans="1:8" x14ac:dyDescent="0.2">
      <c r="B7" s="59" t="s">
        <v>4110</v>
      </c>
      <c r="C7" s="486">
        <f>WORKDAY(E6,1)</f>
        <v>35807</v>
      </c>
      <c r="D7" s="2">
        <v>4</v>
      </c>
      <c r="E7" s="486">
        <f>WORKDAY(C7,D7-1)</f>
        <v>35810</v>
      </c>
      <c r="G7" s="524">
        <v>1000</v>
      </c>
      <c r="H7" s="529">
        <f>D7*G7</f>
        <v>4000</v>
      </c>
    </row>
    <row r="8" spans="1:8" x14ac:dyDescent="0.2">
      <c r="B8" s="59" t="s">
        <v>4111</v>
      </c>
      <c r="C8" s="486">
        <f>WORKDAY(E7,1)</f>
        <v>35811</v>
      </c>
      <c r="D8" s="2">
        <v>3</v>
      </c>
      <c r="E8" s="486">
        <f>WORKDAY(C8,D8-1)</f>
        <v>35815</v>
      </c>
      <c r="G8" s="524">
        <v>800</v>
      </c>
      <c r="H8" s="529">
        <f>D8*G8</f>
        <v>2400</v>
      </c>
    </row>
    <row r="9" spans="1:8" x14ac:dyDescent="0.2">
      <c r="B9" s="59" t="s">
        <v>4112</v>
      </c>
      <c r="C9" s="486">
        <f>WORKDAY(E8,1)</f>
        <v>35816</v>
      </c>
      <c r="D9" s="2">
        <v>6</v>
      </c>
      <c r="E9" s="486">
        <f>WORKDAY(C9,D9-1)</f>
        <v>35823</v>
      </c>
      <c r="G9" s="524">
        <v>400</v>
      </c>
      <c r="H9" s="529">
        <f>D9*G9</f>
        <v>2400</v>
      </c>
    </row>
    <row r="10" spans="1:8" x14ac:dyDescent="0.2">
      <c r="B10" s="59" t="s">
        <v>4113</v>
      </c>
      <c r="C10" s="486">
        <f>WORKDAY(E9,1)</f>
        <v>35824</v>
      </c>
      <c r="D10" s="2">
        <v>4</v>
      </c>
      <c r="E10" s="486">
        <f>WORKDAY(C10,D10-1)</f>
        <v>35829</v>
      </c>
      <c r="G10" s="524">
        <v>300</v>
      </c>
      <c r="H10" s="529">
        <f>D10*G10</f>
        <v>1200</v>
      </c>
    </row>
    <row r="12" spans="1:8" x14ac:dyDescent="0.2">
      <c r="B12" s="525" t="s">
        <v>4114</v>
      </c>
      <c r="C12" s="486">
        <f>E10</f>
        <v>35829</v>
      </c>
      <c r="G12" s="59" t="s">
        <v>4115</v>
      </c>
      <c r="H12" s="529">
        <f>SUM(H6:H10)</f>
        <v>11000</v>
      </c>
    </row>
    <row r="13" spans="1:8" x14ac:dyDescent="0.2">
      <c r="B13" s="4"/>
      <c r="G13" s="4"/>
    </row>
    <row r="14" spans="1:8" x14ac:dyDescent="0.2">
      <c r="B14" s="525" t="s">
        <v>4116</v>
      </c>
      <c r="C14" s="530">
        <f>NETWORKDAYS(C3,C12)-1</f>
        <v>5</v>
      </c>
      <c r="G14" s="59" t="s">
        <v>4117</v>
      </c>
      <c r="H14" s="56">
        <f>H12/H3</f>
        <v>0.91666666666666663</v>
      </c>
    </row>
    <row r="15" spans="1:8" x14ac:dyDescent="0.2">
      <c r="B15" s="4"/>
    </row>
    <row r="16" spans="1:8" x14ac:dyDescent="0.2">
      <c r="B16" s="525" t="s">
        <v>4118</v>
      </c>
      <c r="C16" s="531">
        <f>SUM(D6:D10)</f>
        <v>22</v>
      </c>
    </row>
  </sheetData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6913" r:id="rId4" name="Button 1">
              <controlPr defaultSize="0" print="0" autoFill="0" autoLine="0" autoPict="0">
                <anchor>
                  <from>
                    <xdr:col>7</xdr:col>
                    <xdr:colOff>133350</xdr:colOff>
                    <xdr:row>0</xdr:row>
                    <xdr:rowOff>38100</xdr:rowOff>
                  </from>
                  <to>
                    <xdr:col>7</xdr:col>
                    <xdr:colOff>600075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14" r:id="rId5" name="Button 2">
              <controlPr defaultSize="0" print="0" autoFill="0" autoLine="0" autoPict="0">
                <anchor>
                  <from>
                    <xdr:col>7</xdr:col>
                    <xdr:colOff>666750</xdr:colOff>
                    <xdr:row>0</xdr:row>
                    <xdr:rowOff>38100</xdr:rowOff>
                  </from>
                  <to>
                    <xdr:col>8</xdr:col>
                    <xdr:colOff>180975</xdr:colOff>
                    <xdr:row>0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15" r:id="rId6" name="Button 3">
              <controlPr defaultSize="0" print="0" autoFill="0" autoLine="0" autoPict="0">
                <anchor>
                  <from>
                    <xdr:col>6</xdr:col>
                    <xdr:colOff>704850</xdr:colOff>
                    <xdr:row>0</xdr:row>
                    <xdr:rowOff>38100</xdr:rowOff>
                  </from>
                  <to>
                    <xdr:col>7</xdr:col>
                    <xdr:colOff>66675</xdr:colOff>
                    <xdr:row>0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161</vt:i4>
      </vt:variant>
      <vt:variant>
        <vt:lpstr>Named Ranges</vt:lpstr>
      </vt:variant>
      <vt:variant>
        <vt:i4>7</vt:i4>
      </vt:variant>
    </vt:vector>
  </HeadingPairs>
  <TitlesOfParts>
    <vt:vector size="168" baseType="lpstr">
      <vt:lpstr>Welcome note</vt:lpstr>
      <vt:lpstr> Show all formula</vt:lpstr>
      <vt:lpstr> AutoSum Shortcut Key</vt:lpstr>
      <vt:lpstr>AVERAGE</vt:lpstr>
      <vt:lpstr>CLEAN</vt:lpstr>
      <vt:lpstr>COUNT</vt:lpstr>
      <vt:lpstr>COUNTA</vt:lpstr>
      <vt:lpstr>COUNTBLANK</vt:lpstr>
      <vt:lpstr>COUNTIF</vt:lpstr>
      <vt:lpstr>DAY</vt:lpstr>
      <vt:lpstr>DOLLAR</vt:lpstr>
      <vt:lpstr>EVEN</vt:lpstr>
      <vt:lpstr>FIND</vt:lpstr>
      <vt:lpstr>HLOOKUP</vt:lpstr>
      <vt:lpstr>LARGE</vt:lpstr>
      <vt:lpstr>LEFT</vt:lpstr>
      <vt:lpstr>LOWER</vt:lpstr>
      <vt:lpstr>MAX</vt:lpstr>
      <vt:lpstr>MEDIAN</vt:lpstr>
      <vt:lpstr>MIN</vt:lpstr>
      <vt:lpstr>MROUND</vt:lpstr>
      <vt:lpstr>PROPER</vt:lpstr>
      <vt:lpstr>REPLACE</vt:lpstr>
      <vt:lpstr>SMALL</vt:lpstr>
      <vt:lpstr>SUM</vt:lpstr>
      <vt:lpstr>T</vt:lpstr>
      <vt:lpstr>TODAY</vt:lpstr>
      <vt:lpstr>TRIM</vt:lpstr>
      <vt:lpstr>UPPER</vt:lpstr>
      <vt:lpstr>VLOOKUP</vt:lpstr>
      <vt:lpstr> Time Calculation</vt:lpstr>
      <vt:lpstr> TimeSheet For Flexi</vt:lpstr>
      <vt:lpstr> Split ForenameSurname</vt:lpstr>
      <vt:lpstr> Percentages</vt:lpstr>
      <vt:lpstr>SUM_using_names</vt:lpstr>
      <vt:lpstr> Instant Charts</vt:lpstr>
      <vt:lpstr> Filename formula</vt:lpstr>
      <vt:lpstr> Brackets in formula</vt:lpstr>
      <vt:lpstr> Age Calculation</vt:lpstr>
      <vt:lpstr>ABS</vt:lpstr>
      <vt:lpstr>ADDRESS</vt:lpstr>
      <vt:lpstr>AND</vt:lpstr>
      <vt:lpstr>AREAS</vt:lpstr>
      <vt:lpstr>BIN2DEC</vt:lpstr>
      <vt:lpstr>CEILING</vt:lpstr>
      <vt:lpstr>CELL</vt:lpstr>
      <vt:lpstr>CHAR</vt:lpstr>
      <vt:lpstr>CHOOSE</vt:lpstr>
      <vt:lpstr>CODE</vt:lpstr>
      <vt:lpstr>COMBIN</vt:lpstr>
      <vt:lpstr>CONCATENATE</vt:lpstr>
      <vt:lpstr>CONVERT</vt:lpstr>
      <vt:lpstr>CORREL</vt:lpstr>
      <vt:lpstr>DATE</vt:lpstr>
      <vt:lpstr>DATEDIF</vt:lpstr>
      <vt:lpstr>DATEVALUE</vt:lpstr>
      <vt:lpstr>DAVERAGE</vt:lpstr>
      <vt:lpstr>DAYS360</vt:lpstr>
      <vt:lpstr>DB</vt:lpstr>
      <vt:lpstr>DCOUNT</vt:lpstr>
      <vt:lpstr>DCOUNTA</vt:lpstr>
      <vt:lpstr>DEC2BIN</vt:lpstr>
      <vt:lpstr>DEC2HEX</vt:lpstr>
      <vt:lpstr>DELTA</vt:lpstr>
      <vt:lpstr>DGET</vt:lpstr>
      <vt:lpstr>DMIN</vt:lpstr>
      <vt:lpstr>DMAX</vt:lpstr>
      <vt:lpstr>DSUM</vt:lpstr>
      <vt:lpstr>EAST</vt:lpstr>
      <vt:lpstr>EDATE</vt:lpstr>
      <vt:lpstr>EOMONTH</vt:lpstr>
      <vt:lpstr>ERROR.TYPE</vt:lpstr>
      <vt:lpstr>EXACT</vt:lpstr>
      <vt:lpstr>FACT</vt:lpstr>
      <vt:lpstr>FIXED</vt:lpstr>
      <vt:lpstr>FLOOR</vt:lpstr>
      <vt:lpstr>FORECAST</vt:lpstr>
      <vt:lpstr>FREQUENCY</vt:lpstr>
      <vt:lpstr>FREQUENCY 2</vt:lpstr>
      <vt:lpstr>GCD</vt:lpstr>
      <vt:lpstr>GESTEP</vt:lpstr>
      <vt:lpstr>HEX2DEC</vt:lpstr>
      <vt:lpstr>HOUR</vt:lpstr>
      <vt:lpstr>IF</vt:lpstr>
      <vt:lpstr>INDEX</vt:lpstr>
      <vt:lpstr>INDIRECT</vt:lpstr>
      <vt:lpstr>INFO</vt:lpstr>
      <vt:lpstr>INT</vt:lpstr>
      <vt:lpstr>ISBLANK</vt:lpstr>
      <vt:lpstr>ISERR</vt:lpstr>
      <vt:lpstr>ISERROR</vt:lpstr>
      <vt:lpstr>ISEVEN</vt:lpstr>
      <vt:lpstr>ISLOGICAL</vt:lpstr>
      <vt:lpstr>ISNA</vt:lpstr>
      <vt:lpstr>ISNONTEXT</vt:lpstr>
      <vt:lpstr>ISNUMBER</vt:lpstr>
      <vt:lpstr>ISODD</vt:lpstr>
      <vt:lpstr>ISREF</vt:lpstr>
      <vt:lpstr>ISTEXT</vt:lpstr>
      <vt:lpstr>LCM</vt:lpstr>
      <vt:lpstr>LEN</vt:lpstr>
      <vt:lpstr>LOOKUP (Array)</vt:lpstr>
      <vt:lpstr>LOOKUP (Vector)</vt:lpstr>
      <vt:lpstr>MATCH</vt:lpstr>
      <vt:lpstr>MID</vt:lpstr>
      <vt:lpstr>MINUTE</vt:lpstr>
      <vt:lpstr>MMULT</vt:lpstr>
      <vt:lpstr>MOD</vt:lpstr>
      <vt:lpstr>MODE</vt:lpstr>
      <vt:lpstr>MONTH</vt:lpstr>
      <vt:lpstr>N</vt:lpstr>
      <vt:lpstr>NA</vt:lpstr>
      <vt:lpstr>NETWORKDAYS</vt:lpstr>
      <vt:lpstr>NORTH</vt:lpstr>
      <vt:lpstr>NOT</vt:lpstr>
      <vt:lpstr>NOW</vt:lpstr>
      <vt:lpstr>ODD</vt:lpstr>
      <vt:lpstr>OR</vt:lpstr>
      <vt:lpstr> Ordering Stock</vt:lpstr>
      <vt:lpstr>PACKERS</vt:lpstr>
      <vt:lpstr>PERMUT</vt:lpstr>
      <vt:lpstr>PI</vt:lpstr>
      <vt:lpstr>POWER</vt:lpstr>
      <vt:lpstr>PRODUCT</vt:lpstr>
      <vt:lpstr>QUARTILE</vt:lpstr>
      <vt:lpstr>QUOTIENT</vt:lpstr>
      <vt:lpstr>RAND</vt:lpstr>
      <vt:lpstr>RANDBETWEEN</vt:lpstr>
      <vt:lpstr>RANK</vt:lpstr>
      <vt:lpstr>REPT</vt:lpstr>
      <vt:lpstr>RIGHT</vt:lpstr>
      <vt:lpstr>TIME</vt:lpstr>
      <vt:lpstr>YEAR</vt:lpstr>
      <vt:lpstr>WORKDAY</vt:lpstr>
      <vt:lpstr>ROMAN</vt:lpstr>
      <vt:lpstr>ROUND</vt:lpstr>
      <vt:lpstr>ROUNDDOWN</vt:lpstr>
      <vt:lpstr>ROUNDUP</vt:lpstr>
      <vt:lpstr>SECOND</vt:lpstr>
      <vt:lpstr>SIGN</vt:lpstr>
      <vt:lpstr>SLN</vt:lpstr>
      <vt:lpstr>SOUTH</vt:lpstr>
      <vt:lpstr>STDEV</vt:lpstr>
      <vt:lpstr>STDEVP</vt:lpstr>
      <vt:lpstr>SUBSTITUTE</vt:lpstr>
      <vt:lpstr>SUM_as_Running_Total</vt:lpstr>
      <vt:lpstr>SUM_with_OFFSET</vt:lpstr>
      <vt:lpstr>SUMIF</vt:lpstr>
      <vt:lpstr>SUMPRODUCT</vt:lpstr>
      <vt:lpstr>SYD</vt:lpstr>
      <vt:lpstr>TEXT</vt:lpstr>
      <vt:lpstr>TIMEVALUE</vt:lpstr>
      <vt:lpstr>TRANSPOSE</vt:lpstr>
      <vt:lpstr>TREND</vt:lpstr>
      <vt:lpstr>TRUNC</vt:lpstr>
      <vt:lpstr>VALUE</vt:lpstr>
      <vt:lpstr>VAR</vt:lpstr>
      <vt:lpstr>VARP</vt:lpstr>
      <vt:lpstr>WEEKDAY</vt:lpstr>
      <vt:lpstr>YEARFRAC</vt:lpstr>
      <vt:lpstr> Project Dates</vt:lpstr>
      <vt:lpstr>EastAndWest</vt:lpstr>
      <vt:lpstr>English</vt:lpstr>
      <vt:lpstr>LotteryResults</vt:lpstr>
      <vt:lpstr>Maths</vt:lpstr>
      <vt:lpstr>NorthAndSouth</vt:lpstr>
      <vt:lpstr>PeopleLists</vt:lpstr>
      <vt:lpstr>Physics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Rajib</cp:lastModifiedBy>
  <dcterms:created xsi:type="dcterms:W3CDTF">2019-07-29T17:15:03Z</dcterms:created>
  <dcterms:modified xsi:type="dcterms:W3CDTF">2021-09-13T10:14:08Z</dcterms:modified>
</cp:coreProperties>
</file>