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ffa8a82411b28ea5/Fantasy in a Surrealist Reality/"/>
    </mc:Choice>
  </mc:AlternateContent>
  <xr:revisionPtr revIDLastSave="20" documentId="13_ncr:1_{A9A026BE-9F5A-46CF-A865-B8D2CB5B47FB}" xr6:coauthVersionLast="47" xr6:coauthVersionMax="47" xr10:uidLastSave="{97787428-0839-469A-95C2-F57B6CC86EC7}"/>
  <bookViews>
    <workbookView xWindow="10140" yWindow="0" windowWidth="10455" windowHeight="10905" xr2:uid="{00000000-000D-0000-FFFF-FFFF00000000}"/>
  </bookViews>
  <sheets>
    <sheet name="Société M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38" i="1"/>
  <c r="C129" i="1"/>
  <c r="C127" i="1"/>
  <c r="E122" i="1"/>
  <c r="D122" i="1"/>
  <c r="C122" i="1"/>
  <c r="C117" i="1"/>
  <c r="C100" i="1"/>
  <c r="C89" i="1"/>
  <c r="C81" i="1"/>
  <c r="C75" i="1"/>
  <c r="C73" i="1"/>
  <c r="C63" i="1"/>
  <c r="C94" i="1"/>
  <c r="C128" i="1"/>
  <c r="C114" i="1"/>
  <c r="C110" i="1"/>
  <c r="C92" i="1"/>
  <c r="C96" i="1" s="1"/>
  <c r="C91" i="1"/>
  <c r="C90" i="1"/>
  <c r="C61" i="1"/>
  <c r="C62" i="1" s="1"/>
  <c r="C65" i="1" s="1"/>
  <c r="C52" i="1"/>
  <c r="C49" i="1"/>
  <c r="C47" i="1"/>
  <c r="C43" i="1"/>
  <c r="C42" i="1"/>
  <c r="C39" i="1"/>
  <c r="C35" i="1"/>
  <c r="D53" i="1" s="1"/>
  <c r="C32" i="1"/>
  <c r="C48" i="1" s="1"/>
  <c r="C31" i="1"/>
  <c r="C30" i="1"/>
  <c r="C46" i="1" s="1"/>
  <c r="C27" i="1"/>
  <c r="C15" i="1"/>
  <c r="I14" i="1"/>
  <c r="E9" i="1"/>
  <c r="E15" i="1" s="1"/>
  <c r="I6" i="1"/>
  <c r="I15" i="1" s="1"/>
  <c r="I18" i="1" s="1"/>
  <c r="C26" i="1" l="1"/>
  <c r="C37" i="1" s="1"/>
  <c r="C54" i="1" s="1"/>
  <c r="C74" i="1" s="1"/>
  <c r="C80" i="1" s="1"/>
  <c r="I22" i="1"/>
  <c r="C79" i="1"/>
  <c r="E81" i="1" s="1"/>
  <c r="C134" i="1" l="1"/>
  <c r="C136" i="1" s="1"/>
  <c r="C118" i="1"/>
  <c r="C119" i="1" s="1"/>
  <c r="C137" i="1" l="1"/>
  <c r="E142" i="1" s="1"/>
</calcChain>
</file>

<file path=xl/sharedStrings.xml><?xml version="1.0" encoding="utf-8"?>
<sst xmlns="http://schemas.openxmlformats.org/spreadsheetml/2006/main" count="130" uniqueCount="113">
  <si>
    <t>Bilan de la société MAYER au 31/12/N</t>
  </si>
  <si>
    <t>Compte de résultat de l’exercice N</t>
  </si>
  <si>
    <t>Immobilisations incorporelles:</t>
  </si>
  <si>
    <t>Capital (14000 actions)</t>
  </si>
  <si>
    <t>Ventes</t>
  </si>
  <si>
    <t>Frais d’établissement</t>
  </si>
  <si>
    <t>Réserve légale</t>
  </si>
  <si>
    <t>Production stockée</t>
  </si>
  <si>
    <t>Fonds commercial</t>
  </si>
  <si>
    <t>Réserves des plus values nettes à LT</t>
  </si>
  <si>
    <t>Autres produits d’exploitation</t>
  </si>
  <si>
    <t>Immobilisations corporelles</t>
  </si>
  <si>
    <t>Autres réserves</t>
  </si>
  <si>
    <t>Immobilisations financières</t>
  </si>
  <si>
    <t>Résultat de l’exercice</t>
  </si>
  <si>
    <t>Actifs circulants:</t>
  </si>
  <si>
    <t>Provisions réglementées (1)</t>
  </si>
  <si>
    <t>Achats et variations de stocks</t>
  </si>
  <si>
    <t>Stocks</t>
  </si>
  <si>
    <t>Autres charges externes</t>
  </si>
  <si>
    <t>Créances d’exploitation</t>
  </si>
  <si>
    <t>Provisions pour risques et charges (2)</t>
  </si>
  <si>
    <t>Impôts et taxes</t>
  </si>
  <si>
    <t>Créances diverses hors exploitation</t>
  </si>
  <si>
    <t>Emprunts auprès des établissements de crédit (3)</t>
  </si>
  <si>
    <t>Charges de personnel</t>
  </si>
  <si>
    <t>Disponibilités</t>
  </si>
  <si>
    <t>Dettes d’exploitation</t>
  </si>
  <si>
    <t>Dotations aux amortissements et provisions</t>
  </si>
  <si>
    <t>Charges à répartir sur plusieurs exercices</t>
  </si>
  <si>
    <t>Dettes diverses hors exploitation</t>
  </si>
  <si>
    <t>Autres charges d’exploitation</t>
  </si>
  <si>
    <t>Ecart de conversion – Actif</t>
  </si>
  <si>
    <t>Ecarts de conversion – Passif</t>
  </si>
  <si>
    <t>Résultat d’exploitation</t>
  </si>
  <si>
    <t>(1) Ce poste correspond au compte « Amortissements dérogatoires».</t>
  </si>
  <si>
    <t>Produits financiers</t>
  </si>
  <si>
    <t>(2) Dont « Provisions pour pertes de change»: 80 000. Les autres provisions sont justifiées.</t>
  </si>
  <si>
    <t>Charges financières</t>
  </si>
  <si>
    <t>(3) Dont « Concours bancaires courants et soldes créditeurs de banque»: 250 000.</t>
  </si>
  <si>
    <t>Résultat courant avant impôt</t>
  </si>
  <si>
    <t>Produits exceptionnels</t>
  </si>
  <si>
    <t>Charges exceptionnelles</t>
  </si>
  <si>
    <t>Impôt sur les bénéfices</t>
  </si>
  <si>
    <t>Résultat net de l’exercice</t>
  </si>
  <si>
    <t xml:space="preserve">I. </t>
  </si>
  <si>
    <t>Actif net comptable corrigé</t>
  </si>
  <si>
    <t>Capitaux propres</t>
  </si>
  <si>
    <t>Dividendes</t>
  </si>
  <si>
    <t>A payer</t>
  </si>
  <si>
    <t>Eléments fictifs</t>
  </si>
  <si>
    <t>Frais d'établissement</t>
  </si>
  <si>
    <t>Charges à répartir</t>
  </si>
  <si>
    <t>Ecart de conversion - actif</t>
  </si>
  <si>
    <t>Provisions pour risques et charges</t>
  </si>
  <si>
    <t>Ecart de conversion - passif</t>
  </si>
  <si>
    <t>Actif net comptable</t>
  </si>
  <si>
    <t>Plus ou moins value s/actifs et passifs</t>
  </si>
  <si>
    <t>Impositions différées - actifs</t>
  </si>
  <si>
    <t>Ecart de conversion actif</t>
  </si>
  <si>
    <t>Amortissement immeubles donnés en location</t>
  </si>
  <si>
    <t>Impositions différées - passifs</t>
  </si>
  <si>
    <t>Amortissements dérogatoires</t>
  </si>
  <si>
    <t>Ecart de conversion passif</t>
  </si>
  <si>
    <t>II.</t>
  </si>
  <si>
    <t>Valeur de rendement</t>
  </si>
  <si>
    <t>Résultat courant N-2</t>
  </si>
  <si>
    <t>Résultat courant N-1</t>
  </si>
  <si>
    <t>Résultat courant N</t>
  </si>
  <si>
    <t>Résultat courant moyen avant impôt</t>
  </si>
  <si>
    <t>Impôts</t>
  </si>
  <si>
    <t>Résultat courant moyen net d'impôt</t>
  </si>
  <si>
    <t>Valeur de rendement à 15%</t>
  </si>
  <si>
    <t>III.</t>
  </si>
  <si>
    <t>Calcul du goodwill</t>
  </si>
  <si>
    <t>Méthode des praticiens</t>
  </si>
  <si>
    <t>Le résultat courant correspond ici au bénéfice lié à l'ANCC : aucun retraitement nécessaire.</t>
  </si>
  <si>
    <t>VR</t>
  </si>
  <si>
    <t>ANCC</t>
  </si>
  <si>
    <t>Goodwill</t>
  </si>
  <si>
    <t>Ou</t>
  </si>
  <si>
    <t>Valeur de l'entreprise</t>
  </si>
  <si>
    <t>Méthode de la rente abrégée du goodwill en fonction de la VSB</t>
  </si>
  <si>
    <t>Calcul de la VSB</t>
  </si>
  <si>
    <t>Titres de participation &amp; Prêts à une filiale</t>
  </si>
  <si>
    <t>Matériel s/crédit bail</t>
  </si>
  <si>
    <t>Créances</t>
  </si>
  <si>
    <t>Effets escomptés non échus</t>
  </si>
  <si>
    <t>VSB</t>
  </si>
  <si>
    <t>Bénéfice lié à la VSB</t>
  </si>
  <si>
    <t>Bénéfice lié à l'ANCC avant impôt</t>
  </si>
  <si>
    <t>Immeubles donnés en location</t>
  </si>
  <si>
    <t>Revenus</t>
  </si>
  <si>
    <t>Charges diverses</t>
  </si>
  <si>
    <t>Dotation aux amortissements</t>
  </si>
  <si>
    <t>Titres immobilisé</t>
  </si>
  <si>
    <t>Redevances crédit bail</t>
  </si>
  <si>
    <t>à réintégrer car matériel déjà immobilisé</t>
  </si>
  <si>
    <t>Dotations aux amortissements</t>
  </si>
  <si>
    <t>Bénéfice lié à la VSB avant impôt</t>
  </si>
  <si>
    <t>Impôt</t>
  </si>
  <si>
    <t>Bénéfice lié à la VSB après impôt</t>
  </si>
  <si>
    <t>Goodwill : (B-r.VSB).a5|15%</t>
  </si>
  <si>
    <t>Méthode de la rente abrégée du goodwill en fonction de la CPNE</t>
  </si>
  <si>
    <t>Immobilisations nécess. À l'exploit. In VSB</t>
  </si>
  <si>
    <t>BFR Normatif estimé : CA * 60/360</t>
  </si>
  <si>
    <t>CPNE</t>
  </si>
  <si>
    <t>Bénéfice lié au CPNE</t>
  </si>
  <si>
    <t>A partir du bénéfice lié à la VSB, tenir compte des charges liées au financement à long terme seulement.</t>
  </si>
  <si>
    <t>Intérêts des crédits bancaires courants</t>
  </si>
  <si>
    <t>Bénéfice lié au CPNE  avant impôt</t>
  </si>
  <si>
    <t>Bénéfice lié au CPNE après impôt</t>
  </si>
  <si>
    <t>Goodwill : (B-r.CPNE).a5|15%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</si>
</sst>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justify" vertical="top" wrapText="1"/>
    </xf>
    <xf numFmtId="4" fontId="3" fillId="0" borderId="3" xfId="0" applyNumberFormat="1" applyFont="1" applyBorder="1" applyAlignment="1">
      <alignment horizontal="right" vertical="top" wrapText="1"/>
    </xf>
    <xf numFmtId="0" fontId="3" fillId="0" borderId="3" xfId="0" applyFont="1" applyBorder="1" applyAlignment="1">
      <alignment horizontal="justify" vertical="top" wrapText="1"/>
    </xf>
    <xf numFmtId="4" fontId="3" fillId="0" borderId="2" xfId="0" applyNumberFormat="1" applyFont="1" applyBorder="1" applyAlignment="1">
      <alignment vertical="top" wrapText="1"/>
    </xf>
    <xf numFmtId="0" fontId="3" fillId="0" borderId="4" xfId="0" applyFont="1" applyBorder="1" applyAlignment="1">
      <alignment horizontal="justify" vertical="top" wrapText="1"/>
    </xf>
    <xf numFmtId="4" fontId="3" fillId="0" borderId="5" xfId="0" applyNumberFormat="1" applyFont="1" applyBorder="1" applyAlignment="1">
      <alignment horizontal="right" vertical="top" wrapText="1"/>
    </xf>
    <xf numFmtId="0" fontId="3" fillId="0" borderId="5" xfId="0" applyFont="1" applyBorder="1" applyAlignment="1">
      <alignment horizontal="justify" vertical="top" wrapText="1"/>
    </xf>
    <xf numFmtId="4" fontId="3" fillId="0" borderId="4" xfId="0" applyNumberFormat="1" applyFont="1" applyBorder="1" applyAlignment="1">
      <alignment vertical="top" wrapText="1"/>
    </xf>
    <xf numFmtId="4" fontId="3" fillId="0" borderId="6" xfId="0" applyNumberFormat="1" applyFont="1" applyBorder="1" applyAlignment="1">
      <alignment vertical="top" wrapText="1"/>
    </xf>
    <xf numFmtId="4" fontId="3" fillId="0" borderId="6" xfId="0" applyNumberFormat="1" applyFont="1" applyBorder="1" applyAlignment="1">
      <alignment horizontal="right" vertical="top" wrapText="1"/>
    </xf>
    <xf numFmtId="4" fontId="2" fillId="0" borderId="5" xfId="0" applyNumberFormat="1" applyFont="1" applyBorder="1" applyAlignment="1">
      <alignment horizontal="right" vertical="top" wrapText="1"/>
    </xf>
    <xf numFmtId="4" fontId="3" fillId="0" borderId="7" xfId="0" applyNumberFormat="1" applyFont="1" applyBorder="1" applyAlignment="1">
      <alignment horizontal="right" vertical="top" wrapText="1"/>
    </xf>
    <xf numFmtId="0" fontId="3" fillId="0" borderId="6" xfId="0" applyFont="1" applyBorder="1" applyAlignment="1">
      <alignment horizontal="justify" vertical="top" wrapText="1"/>
    </xf>
    <xf numFmtId="4" fontId="2" fillId="0" borderId="7" xfId="0" applyNumberFormat="1" applyFont="1" applyBorder="1" applyAlignment="1">
      <alignment horizontal="right" vertical="top" wrapText="1"/>
    </xf>
    <xf numFmtId="0" fontId="3" fillId="0" borderId="7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3" fillId="0" borderId="0" xfId="0" applyFont="1" applyAlignment="1">
      <alignment horizontal="justify"/>
    </xf>
    <xf numFmtId="4" fontId="3" fillId="0" borderId="0" xfId="0" applyNumberFormat="1" applyFont="1"/>
    <xf numFmtId="0" fontId="2" fillId="0" borderId="6" xfId="0" applyFont="1" applyBorder="1" applyAlignment="1">
      <alignment horizontal="justify" vertical="top" wrapText="1"/>
    </xf>
    <xf numFmtId="0" fontId="2" fillId="0" borderId="0" xfId="0" applyFont="1"/>
    <xf numFmtId="4" fontId="2" fillId="0" borderId="0" xfId="0" applyNumberFormat="1" applyFont="1"/>
    <xf numFmtId="0" fontId="3" fillId="0" borderId="0" xfId="0" applyFont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horizontal="left" indent="1"/>
    </xf>
    <xf numFmtId="4" fontId="4" fillId="0" borderId="0" xfId="0" applyNumberFormat="1" applyFont="1"/>
    <xf numFmtId="164" fontId="3" fillId="0" borderId="0" xfId="1" applyFont="1"/>
    <xf numFmtId="0" fontId="4" fillId="2" borderId="0" xfId="0" applyFont="1" applyFill="1"/>
    <xf numFmtId="0" fontId="4" fillId="2" borderId="0" xfId="0" applyFont="1" applyFill="1" applyAlignment="1">
      <alignment horizontal="left" indent="1"/>
    </xf>
    <xf numFmtId="4" fontId="4" fillId="2" borderId="0" xfId="0" applyNumberFormat="1" applyFont="1" applyFill="1"/>
    <xf numFmtId="164" fontId="4" fillId="2" borderId="0" xfId="1" applyFont="1" applyFill="1"/>
    <xf numFmtId="0" fontId="3" fillId="2" borderId="0" xfId="0" applyFont="1" applyFill="1"/>
    <xf numFmtId="0" fontId="2" fillId="0" borderId="0" xfId="0" applyFont="1" applyAlignment="1">
      <alignment horizontal="right"/>
    </xf>
    <xf numFmtId="8" fontId="3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2"/>
  <sheetViews>
    <sheetView tabSelected="1" topLeftCell="A125" zoomScale="85" zoomScaleNormal="85" workbookViewId="0">
      <selection activeCell="C143" sqref="C143"/>
    </sheetView>
  </sheetViews>
  <sheetFormatPr defaultColWidth="11.42578125" defaultRowHeight="12.75" x14ac:dyDescent="0.2"/>
  <cols>
    <col min="1" max="1" width="4.28515625" style="1" customWidth="1"/>
    <col min="2" max="2" width="38.7109375" style="1" customWidth="1"/>
    <col min="3" max="3" width="12.42578125" style="19" bestFit="1" customWidth="1"/>
    <col min="4" max="4" width="40.5703125" style="1" bestFit="1" customWidth="1"/>
    <col min="5" max="5" width="11.42578125" style="1"/>
    <col min="6" max="6" width="12.5703125" style="1" customWidth="1"/>
    <col min="7" max="7" width="36.140625" style="1" bestFit="1" customWidth="1"/>
    <col min="8" max="9" width="12.28515625" style="1" bestFit="1" customWidth="1"/>
    <col min="10" max="16384" width="11.42578125" style="1"/>
  </cols>
  <sheetData>
    <row r="2" spans="2:9" ht="13.5" thickBot="1" x14ac:dyDescent="0.25">
      <c r="B2" s="35" t="s">
        <v>0</v>
      </c>
      <c r="C2" s="35"/>
      <c r="D2" s="35"/>
      <c r="E2" s="35"/>
      <c r="G2" s="35" t="s">
        <v>1</v>
      </c>
      <c r="H2" s="35"/>
      <c r="I2" s="35"/>
    </row>
    <row r="3" spans="2:9" x14ac:dyDescent="0.2">
      <c r="B3" s="2" t="s">
        <v>2</v>
      </c>
      <c r="C3" s="3"/>
      <c r="D3" s="4" t="s">
        <v>3</v>
      </c>
      <c r="E3" s="3">
        <v>1400000</v>
      </c>
      <c r="G3" s="2" t="s">
        <v>4</v>
      </c>
      <c r="H3" s="3">
        <v>23650000</v>
      </c>
      <c r="I3" s="5"/>
    </row>
    <row r="4" spans="2:9" x14ac:dyDescent="0.2">
      <c r="B4" s="6" t="s">
        <v>5</v>
      </c>
      <c r="C4" s="7">
        <v>210000</v>
      </c>
      <c r="D4" s="8" t="s">
        <v>6</v>
      </c>
      <c r="E4" s="7">
        <v>140000</v>
      </c>
      <c r="G4" s="6" t="s">
        <v>7</v>
      </c>
      <c r="H4" s="7">
        <v>230000</v>
      </c>
      <c r="I4" s="9"/>
    </row>
    <row r="5" spans="2:9" ht="13.5" thickBot="1" x14ac:dyDescent="0.25">
      <c r="B5" s="6" t="s">
        <v>8</v>
      </c>
      <c r="C5" s="7">
        <v>1000000</v>
      </c>
      <c r="D5" s="8" t="s">
        <v>9</v>
      </c>
      <c r="E5" s="7">
        <v>210000</v>
      </c>
      <c r="G5" s="6" t="s">
        <v>10</v>
      </c>
      <c r="H5" s="7">
        <v>240000</v>
      </c>
      <c r="I5" s="10"/>
    </row>
    <row r="6" spans="2:9" x14ac:dyDescent="0.2">
      <c r="B6" s="6" t="s">
        <v>11</v>
      </c>
      <c r="C6" s="7">
        <v>1800000</v>
      </c>
      <c r="D6" s="8" t="s">
        <v>12</v>
      </c>
      <c r="E6" s="7">
        <v>2050000</v>
      </c>
      <c r="G6" s="6"/>
      <c r="H6" s="7"/>
      <c r="I6" s="9">
        <f>SUM(H3:H5)</f>
        <v>24120000</v>
      </c>
    </row>
    <row r="7" spans="2:9" x14ac:dyDescent="0.2">
      <c r="B7" s="6" t="s">
        <v>13</v>
      </c>
      <c r="C7" s="7">
        <v>880000</v>
      </c>
      <c r="D7" s="8" t="s">
        <v>14</v>
      </c>
      <c r="E7" s="7">
        <v>790000</v>
      </c>
      <c r="G7" s="6"/>
      <c r="H7" s="7"/>
      <c r="I7" s="9"/>
    </row>
    <row r="8" spans="2:9" ht="13.5" thickBot="1" x14ac:dyDescent="0.25">
      <c r="B8" s="6" t="s">
        <v>15</v>
      </c>
      <c r="C8" s="7"/>
      <c r="D8" s="8" t="s">
        <v>16</v>
      </c>
      <c r="E8" s="11">
        <v>120000</v>
      </c>
      <c r="G8" s="6" t="s">
        <v>17</v>
      </c>
      <c r="H8" s="7">
        <v>3838400</v>
      </c>
      <c r="I8" s="9"/>
    </row>
    <row r="9" spans="2:9" x14ac:dyDescent="0.2">
      <c r="B9" s="6" t="s">
        <v>18</v>
      </c>
      <c r="C9" s="7">
        <v>1350000</v>
      </c>
      <c r="D9" s="8"/>
      <c r="E9" s="12">
        <f>SUM(E3:E8)</f>
        <v>4710000</v>
      </c>
      <c r="G9" s="6" t="s">
        <v>19</v>
      </c>
      <c r="H9" s="7">
        <v>7875000</v>
      </c>
      <c r="I9" s="9"/>
    </row>
    <row r="10" spans="2:9" x14ac:dyDescent="0.2">
      <c r="B10" s="6" t="s">
        <v>20</v>
      </c>
      <c r="C10" s="7">
        <v>2130000</v>
      </c>
      <c r="D10" s="8" t="s">
        <v>21</v>
      </c>
      <c r="E10" s="7">
        <v>250000</v>
      </c>
      <c r="G10" s="6" t="s">
        <v>22</v>
      </c>
      <c r="H10" s="7">
        <v>140000</v>
      </c>
      <c r="I10" s="9"/>
    </row>
    <row r="11" spans="2:9" x14ac:dyDescent="0.2">
      <c r="B11" s="6" t="s">
        <v>23</v>
      </c>
      <c r="C11" s="7">
        <v>110000</v>
      </c>
      <c r="D11" s="8" t="s">
        <v>24</v>
      </c>
      <c r="E11" s="7">
        <v>1300000</v>
      </c>
      <c r="G11" s="6" t="s">
        <v>25</v>
      </c>
      <c r="H11" s="7">
        <v>10350000</v>
      </c>
      <c r="I11" s="9"/>
    </row>
    <row r="12" spans="2:9" ht="25.5" x14ac:dyDescent="0.2">
      <c r="B12" s="6" t="s">
        <v>26</v>
      </c>
      <c r="C12" s="7">
        <v>80000</v>
      </c>
      <c r="D12" s="8" t="s">
        <v>27</v>
      </c>
      <c r="E12" s="7">
        <v>1400000</v>
      </c>
      <c r="G12" s="6" t="s">
        <v>28</v>
      </c>
      <c r="H12" s="7">
        <v>650000</v>
      </c>
      <c r="I12" s="9"/>
    </row>
    <row r="13" spans="2:9" ht="13.5" thickBot="1" x14ac:dyDescent="0.25">
      <c r="B13" s="6" t="s">
        <v>29</v>
      </c>
      <c r="C13" s="7">
        <v>300000</v>
      </c>
      <c r="D13" s="8" t="s">
        <v>30</v>
      </c>
      <c r="E13" s="7">
        <v>150000</v>
      </c>
      <c r="G13" s="6" t="s">
        <v>31</v>
      </c>
      <c r="H13" s="13">
        <v>55000</v>
      </c>
      <c r="I13" s="9"/>
    </row>
    <row r="14" spans="2:9" ht="13.5" thickBot="1" x14ac:dyDescent="0.25">
      <c r="B14" s="6" t="s">
        <v>32</v>
      </c>
      <c r="C14" s="13">
        <v>80000</v>
      </c>
      <c r="D14" s="8" t="s">
        <v>33</v>
      </c>
      <c r="E14" s="13">
        <v>130000</v>
      </c>
      <c r="G14" s="6"/>
      <c r="H14" s="7"/>
      <c r="I14" s="13">
        <f>SUM(H8:H13)</f>
        <v>22908400</v>
      </c>
    </row>
    <row r="15" spans="2:9" ht="13.5" thickBot="1" x14ac:dyDescent="0.25">
      <c r="B15" s="14"/>
      <c r="C15" s="15">
        <f>SUM(C3:C14)</f>
        <v>7940000</v>
      </c>
      <c r="D15" s="16"/>
      <c r="E15" s="15">
        <f>SUM(E9:E14)</f>
        <v>7940000</v>
      </c>
      <c r="G15" s="17" t="s">
        <v>34</v>
      </c>
      <c r="H15" s="9"/>
      <c r="I15" s="12">
        <f>I6-I14</f>
        <v>1211600</v>
      </c>
    </row>
    <row r="16" spans="2:9" x14ac:dyDescent="0.2">
      <c r="B16" s="36" t="s">
        <v>35</v>
      </c>
      <c r="C16" s="37"/>
      <c r="D16" s="37"/>
      <c r="E16" s="38"/>
      <c r="G16" s="6" t="s">
        <v>36</v>
      </c>
      <c r="H16" s="9"/>
      <c r="I16" s="7">
        <v>80000</v>
      </c>
    </row>
    <row r="17" spans="1:9" ht="13.5" thickBot="1" x14ac:dyDescent="0.25">
      <c r="B17" s="39" t="s">
        <v>37</v>
      </c>
      <c r="C17" s="40"/>
      <c r="D17" s="40"/>
      <c r="E17" s="41"/>
      <c r="G17" s="6" t="s">
        <v>38</v>
      </c>
      <c r="H17" s="9"/>
      <c r="I17" s="13">
        <v>-335000</v>
      </c>
    </row>
    <row r="18" spans="1:9" ht="13.5" thickBot="1" x14ac:dyDescent="0.25">
      <c r="B18" s="42" t="s">
        <v>39</v>
      </c>
      <c r="C18" s="43"/>
      <c r="D18" s="43"/>
      <c r="E18" s="44"/>
      <c r="G18" s="17" t="s">
        <v>40</v>
      </c>
      <c r="H18" s="9"/>
      <c r="I18" s="12">
        <f>SUM(I15:I17)</f>
        <v>956600</v>
      </c>
    </row>
    <row r="19" spans="1:9" x14ac:dyDescent="0.2">
      <c r="B19" s="18"/>
      <c r="G19" s="6" t="s">
        <v>41</v>
      </c>
      <c r="H19" s="9"/>
      <c r="I19" s="7">
        <v>323400</v>
      </c>
    </row>
    <row r="20" spans="1:9" x14ac:dyDescent="0.2">
      <c r="B20" s="18"/>
      <c r="G20" s="6" t="s">
        <v>42</v>
      </c>
      <c r="H20" s="9"/>
      <c r="I20" s="7">
        <v>-170000</v>
      </c>
    </row>
    <row r="21" spans="1:9" ht="13.5" thickBot="1" x14ac:dyDescent="0.25">
      <c r="G21" s="6" t="s">
        <v>43</v>
      </c>
      <c r="H21" s="9"/>
      <c r="I21" s="13">
        <v>-320000</v>
      </c>
    </row>
    <row r="22" spans="1:9" ht="13.5" thickBot="1" x14ac:dyDescent="0.25">
      <c r="G22" s="20" t="s">
        <v>44</v>
      </c>
      <c r="H22" s="10"/>
      <c r="I22" s="15">
        <f>SUM(I18:I21)</f>
        <v>790000</v>
      </c>
    </row>
    <row r="24" spans="1:9" x14ac:dyDescent="0.2">
      <c r="A24" s="21" t="s">
        <v>45</v>
      </c>
      <c r="B24" s="21" t="s">
        <v>46</v>
      </c>
    </row>
    <row r="26" spans="1:9" x14ac:dyDescent="0.2">
      <c r="B26" s="21" t="s">
        <v>47</v>
      </c>
      <c r="C26" s="22">
        <f>+E9</f>
        <v>4710000</v>
      </c>
    </row>
    <row r="27" spans="1:9" x14ac:dyDescent="0.2">
      <c r="B27" s="21" t="s">
        <v>48</v>
      </c>
      <c r="C27" s="22">
        <f>-6*14000</f>
        <v>-84000</v>
      </c>
      <c r="D27" s="1" t="s">
        <v>49</v>
      </c>
    </row>
    <row r="29" spans="1:9" x14ac:dyDescent="0.2">
      <c r="B29" s="21" t="s">
        <v>50</v>
      </c>
    </row>
    <row r="30" spans="1:9" x14ac:dyDescent="0.2">
      <c r="B30" s="23" t="s">
        <v>51</v>
      </c>
      <c r="C30" s="19">
        <f>-C4</f>
        <v>-210000</v>
      </c>
    </row>
    <row r="31" spans="1:9" x14ac:dyDescent="0.2">
      <c r="B31" s="23" t="s">
        <v>52</v>
      </c>
      <c r="C31" s="19">
        <f>-C13</f>
        <v>-300000</v>
      </c>
    </row>
    <row r="32" spans="1:9" x14ac:dyDescent="0.2">
      <c r="B32" s="23" t="s">
        <v>53</v>
      </c>
      <c r="C32" s="19">
        <f>-C14</f>
        <v>-80000</v>
      </c>
    </row>
    <row r="34" spans="2:3" x14ac:dyDescent="0.2">
      <c r="B34" s="23" t="s">
        <v>54</v>
      </c>
      <c r="C34" s="19">
        <v>80000</v>
      </c>
    </row>
    <row r="35" spans="2:3" x14ac:dyDescent="0.2">
      <c r="B35" s="23" t="s">
        <v>55</v>
      </c>
      <c r="C35" s="19">
        <f>E14</f>
        <v>130000</v>
      </c>
    </row>
    <row r="36" spans="2:3" s="24" customFormat="1" x14ac:dyDescent="0.2"/>
    <row r="37" spans="2:3" x14ac:dyDescent="0.2">
      <c r="B37" s="21" t="s">
        <v>56</v>
      </c>
      <c r="C37" s="22">
        <f>SUM(C26:C35)</f>
        <v>4246000</v>
      </c>
    </row>
    <row r="39" spans="2:3" x14ac:dyDescent="0.2">
      <c r="B39" s="25" t="s">
        <v>8</v>
      </c>
      <c r="C39" s="26">
        <f>-C5</f>
        <v>-1000000</v>
      </c>
    </row>
    <row r="40" spans="2:3" x14ac:dyDescent="0.2">
      <c r="B40" s="23"/>
    </row>
    <row r="41" spans="2:3" x14ac:dyDescent="0.2">
      <c r="B41" s="21" t="s">
        <v>57</v>
      </c>
    </row>
    <row r="42" spans="2:3" x14ac:dyDescent="0.2">
      <c r="B42" s="23" t="s">
        <v>11</v>
      </c>
      <c r="C42" s="19">
        <f>1500000+1200000-1800000</f>
        <v>900000</v>
      </c>
    </row>
    <row r="43" spans="2:3" x14ac:dyDescent="0.2">
      <c r="B43" s="23" t="s">
        <v>13</v>
      </c>
      <c r="C43" s="19">
        <f>700000+320000+100000-880000</f>
        <v>240000</v>
      </c>
    </row>
    <row r="45" spans="2:3" x14ac:dyDescent="0.2">
      <c r="B45" s="21" t="s">
        <v>58</v>
      </c>
    </row>
    <row r="46" spans="2:3" x14ac:dyDescent="0.2">
      <c r="B46" s="23" t="s">
        <v>51</v>
      </c>
      <c r="C46" s="19">
        <f>-C30*33.3333333333333%*1.1</f>
        <v>76999.999999999927</v>
      </c>
    </row>
    <row r="47" spans="2:3" x14ac:dyDescent="0.2">
      <c r="B47" s="23" t="s">
        <v>52</v>
      </c>
      <c r="C47" s="19">
        <f>-C31*33.3333333333333%*1.1</f>
        <v>109999.9999999999</v>
      </c>
    </row>
    <row r="48" spans="2:3" x14ac:dyDescent="0.2">
      <c r="B48" s="1" t="s">
        <v>59</v>
      </c>
      <c r="C48" s="19">
        <f>-C32*33.3333333333333%*1.1</f>
        <v>29333.333333333307</v>
      </c>
    </row>
    <row r="49" spans="1:4" s="32" customFormat="1" x14ac:dyDescent="0.2">
      <c r="A49" s="28"/>
      <c r="B49" s="29" t="s">
        <v>60</v>
      </c>
      <c r="C49" s="30">
        <f>ROUND(650000*33.3333333333333%*1.1,-3)</f>
        <v>238000</v>
      </c>
      <c r="D49" s="31"/>
    </row>
    <row r="50" spans="1:4" x14ac:dyDescent="0.2">
      <c r="D50" s="27"/>
    </row>
    <row r="51" spans="1:4" x14ac:dyDescent="0.2">
      <c r="B51" s="21" t="s">
        <v>61</v>
      </c>
      <c r="D51" s="27"/>
    </row>
    <row r="52" spans="1:4" x14ac:dyDescent="0.2">
      <c r="B52" s="23" t="s">
        <v>62</v>
      </c>
      <c r="C52" s="19">
        <f>-E8*33.3333333333333%*1.1</f>
        <v>-43999.999999999956</v>
      </c>
      <c r="D52" s="27"/>
    </row>
    <row r="53" spans="1:4" x14ac:dyDescent="0.2">
      <c r="B53" s="1" t="s">
        <v>63</v>
      </c>
      <c r="C53" s="19">
        <v>-48000</v>
      </c>
      <c r="D53" s="27">
        <f>-C35*33.3333333333333%*1.1</f>
        <v>-47666.666666666621</v>
      </c>
    </row>
    <row r="54" spans="1:4" x14ac:dyDescent="0.2">
      <c r="B54" s="21" t="s">
        <v>46</v>
      </c>
      <c r="C54" s="22">
        <f>SUM(C37:C53)</f>
        <v>4748333.333333333</v>
      </c>
      <c r="D54" s="27"/>
    </row>
    <row r="56" spans="1:4" x14ac:dyDescent="0.2">
      <c r="A56" s="21" t="s">
        <v>64</v>
      </c>
      <c r="B56" s="21" t="s">
        <v>65</v>
      </c>
    </row>
    <row r="58" spans="1:4" x14ac:dyDescent="0.2">
      <c r="B58" s="1" t="s">
        <v>66</v>
      </c>
      <c r="C58" s="19">
        <v>1450000</v>
      </c>
    </row>
    <row r="59" spans="1:4" x14ac:dyDescent="0.2">
      <c r="B59" s="1" t="s">
        <v>67</v>
      </c>
      <c r="C59" s="19">
        <v>1260000</v>
      </c>
    </row>
    <row r="60" spans="1:4" x14ac:dyDescent="0.2">
      <c r="B60" s="1" t="s">
        <v>68</v>
      </c>
      <c r="C60" s="19">
        <v>956600</v>
      </c>
    </row>
    <row r="61" spans="1:4" x14ac:dyDescent="0.2">
      <c r="B61" s="1" t="s">
        <v>69</v>
      </c>
      <c r="C61" s="19">
        <f>+AVERAGE(C58:C60)</f>
        <v>1222200</v>
      </c>
    </row>
    <row r="62" spans="1:4" x14ac:dyDescent="0.2">
      <c r="B62" s="1" t="s">
        <v>70</v>
      </c>
      <c r="C62" s="19">
        <f>C61*33.3333333333333%*1.1</f>
        <v>448139.99999999959</v>
      </c>
    </row>
    <row r="63" spans="1:4" x14ac:dyDescent="0.2">
      <c r="B63" s="1" t="s">
        <v>71</v>
      </c>
      <c r="C63" s="22">
        <f>C61-C62</f>
        <v>774060.00000000047</v>
      </c>
    </row>
    <row r="65" spans="1:3" x14ac:dyDescent="0.2">
      <c r="B65" s="33" t="s">
        <v>72</v>
      </c>
      <c r="C65" s="22">
        <f>C63/15%</f>
        <v>5160400.0000000037</v>
      </c>
    </row>
    <row r="67" spans="1:3" x14ac:dyDescent="0.2">
      <c r="A67" s="21" t="s">
        <v>73</v>
      </c>
      <c r="B67" s="21" t="s">
        <v>74</v>
      </c>
    </row>
    <row r="69" spans="1:3" x14ac:dyDescent="0.2">
      <c r="B69" s="21" t="s">
        <v>75</v>
      </c>
    </row>
    <row r="71" spans="1:3" x14ac:dyDescent="0.2">
      <c r="B71" s="1" t="s">
        <v>76</v>
      </c>
    </row>
    <row r="73" spans="1:3" x14ac:dyDescent="0.2">
      <c r="B73" s="1" t="s">
        <v>77</v>
      </c>
      <c r="C73" s="19">
        <f>C65</f>
        <v>5160400.0000000037</v>
      </c>
    </row>
    <row r="74" spans="1:3" x14ac:dyDescent="0.2">
      <c r="B74" s="1" t="s">
        <v>78</v>
      </c>
      <c r="C74" s="19">
        <f>C54</f>
        <v>4748333.333333333</v>
      </c>
    </row>
    <row r="75" spans="1:3" x14ac:dyDescent="0.2">
      <c r="B75" s="21" t="s">
        <v>79</v>
      </c>
      <c r="C75" s="22">
        <f>(C73-C74)/2</f>
        <v>206033.33333333535</v>
      </c>
    </row>
    <row r="77" spans="1:3" x14ac:dyDescent="0.2">
      <c r="B77" s="1" t="s">
        <v>80</v>
      </c>
    </row>
    <row r="79" spans="1:3" x14ac:dyDescent="0.2">
      <c r="B79" s="1" t="s">
        <v>81</v>
      </c>
      <c r="C79" s="19">
        <f>AVERAGE(C73:C74)</f>
        <v>4954366.6666666679</v>
      </c>
    </row>
    <row r="80" spans="1:3" x14ac:dyDescent="0.2">
      <c r="B80" s="1" t="s">
        <v>78</v>
      </c>
      <c r="C80" s="19">
        <f>C74</f>
        <v>4748333.333333333</v>
      </c>
    </row>
    <row r="81" spans="2:5" x14ac:dyDescent="0.2">
      <c r="B81" s="21" t="s">
        <v>79</v>
      </c>
      <c r="C81" s="22">
        <f>C79-C80</f>
        <v>206033.33333333489</v>
      </c>
      <c r="E81" s="19">
        <f>+C81+C54</f>
        <v>4954366.6666666679</v>
      </c>
    </row>
    <row r="84" spans="2:5" x14ac:dyDescent="0.2">
      <c r="B84" s="21" t="s">
        <v>82</v>
      </c>
    </row>
    <row r="86" spans="2:5" x14ac:dyDescent="0.2">
      <c r="B86" s="21" t="s">
        <v>83</v>
      </c>
    </row>
    <row r="88" spans="2:5" x14ac:dyDescent="0.2">
      <c r="B88" s="1" t="s">
        <v>11</v>
      </c>
      <c r="C88" s="19">
        <v>1500000</v>
      </c>
    </row>
    <row r="89" spans="2:5" x14ac:dyDescent="0.2">
      <c r="B89" s="1" t="s">
        <v>13</v>
      </c>
      <c r="C89" s="19">
        <f>700000+100000</f>
        <v>800000</v>
      </c>
      <c r="D89" s="1" t="s">
        <v>84</v>
      </c>
    </row>
    <row r="90" spans="2:5" x14ac:dyDescent="0.2">
      <c r="B90" s="1" t="s">
        <v>85</v>
      </c>
      <c r="C90" s="19">
        <f>600000-(600000*2.5/10)</f>
        <v>450000</v>
      </c>
    </row>
    <row r="91" spans="2:5" x14ac:dyDescent="0.2">
      <c r="B91" s="1" t="s">
        <v>18</v>
      </c>
      <c r="C91" s="19">
        <f>C9</f>
        <v>1350000</v>
      </c>
    </row>
    <row r="92" spans="2:5" x14ac:dyDescent="0.2">
      <c r="B92" s="1" t="s">
        <v>86</v>
      </c>
      <c r="C92" s="19">
        <f>C10</f>
        <v>2130000</v>
      </c>
    </row>
    <row r="93" spans="2:5" x14ac:dyDescent="0.2">
      <c r="B93" s="1" t="s">
        <v>87</v>
      </c>
      <c r="C93" s="19">
        <v>1800000</v>
      </c>
    </row>
    <row r="94" spans="2:5" x14ac:dyDescent="0.2">
      <c r="B94" s="1" t="s">
        <v>26</v>
      </c>
      <c r="C94" s="19">
        <f>C12</f>
        <v>80000</v>
      </c>
    </row>
    <row r="96" spans="2:5" x14ac:dyDescent="0.2">
      <c r="B96" s="33" t="s">
        <v>88</v>
      </c>
      <c r="C96" s="22">
        <f>SUM(C88:C95)</f>
        <v>8110000</v>
      </c>
    </row>
    <row r="98" spans="2:3" x14ac:dyDescent="0.2">
      <c r="B98" s="21" t="s">
        <v>89</v>
      </c>
    </row>
    <row r="100" spans="2:3" x14ac:dyDescent="0.2">
      <c r="B100" s="1" t="s">
        <v>90</v>
      </c>
      <c r="C100" s="19">
        <f>I18</f>
        <v>956600</v>
      </c>
    </row>
    <row r="102" spans="2:3" x14ac:dyDescent="0.2">
      <c r="B102" s="1" t="s">
        <v>91</v>
      </c>
    </row>
    <row r="103" spans="2:3" x14ac:dyDescent="0.2">
      <c r="B103" s="23" t="s">
        <v>92</v>
      </c>
      <c r="C103" s="19">
        <v>-160000</v>
      </c>
    </row>
    <row r="104" spans="2:3" x14ac:dyDescent="0.2">
      <c r="B104" s="23" t="s">
        <v>93</v>
      </c>
      <c r="C104" s="19">
        <v>5000</v>
      </c>
    </row>
    <row r="105" spans="2:3" x14ac:dyDescent="0.2">
      <c r="B105" s="23" t="s">
        <v>94</v>
      </c>
      <c r="C105" s="19">
        <v>25000</v>
      </c>
    </row>
    <row r="107" spans="2:3" x14ac:dyDescent="0.2">
      <c r="B107" s="1" t="s">
        <v>95</v>
      </c>
    </row>
    <row r="108" spans="2:3" x14ac:dyDescent="0.2">
      <c r="B108" s="23" t="s">
        <v>92</v>
      </c>
      <c r="C108" s="19">
        <v>-40000</v>
      </c>
    </row>
    <row r="110" spans="2:3" x14ac:dyDescent="0.2">
      <c r="B110" s="1" t="s">
        <v>38</v>
      </c>
      <c r="C110" s="19">
        <f>125000+120000</f>
        <v>245000</v>
      </c>
    </row>
    <row r="112" spans="2:3" x14ac:dyDescent="0.2">
      <c r="B112" s="1" t="s">
        <v>85</v>
      </c>
    </row>
    <row r="113" spans="2:5" x14ac:dyDescent="0.2">
      <c r="B113" s="23" t="s">
        <v>96</v>
      </c>
      <c r="C113" s="19">
        <v>110000</v>
      </c>
      <c r="D113" s="1" t="s">
        <v>97</v>
      </c>
    </row>
    <row r="114" spans="2:5" x14ac:dyDescent="0.2">
      <c r="B114" s="23" t="s">
        <v>98</v>
      </c>
      <c r="C114" s="19">
        <f>-600000/10</f>
        <v>-60000</v>
      </c>
    </row>
    <row r="117" spans="2:5" x14ac:dyDescent="0.2">
      <c r="B117" s="1" t="s">
        <v>99</v>
      </c>
      <c r="C117" s="19">
        <f>SUM(C100:C116)</f>
        <v>1081600</v>
      </c>
    </row>
    <row r="118" spans="2:5" x14ac:dyDescent="0.2">
      <c r="B118" s="1" t="s">
        <v>100</v>
      </c>
      <c r="C118" s="19">
        <f>ROUND(C117*33.3333333333333%*1.1,-2)</f>
        <v>396600</v>
      </c>
    </row>
    <row r="119" spans="2:5" x14ac:dyDescent="0.2">
      <c r="B119" s="21" t="s">
        <v>101</v>
      </c>
      <c r="C119" s="22">
        <f>C117-C118</f>
        <v>685000</v>
      </c>
    </row>
    <row r="120" spans="2:5" x14ac:dyDescent="0.2">
      <c r="C120" s="1"/>
    </row>
    <row r="122" spans="2:5" x14ac:dyDescent="0.2">
      <c r="B122" s="21" t="s">
        <v>102</v>
      </c>
      <c r="C122" s="22">
        <f>ROUND((C119-(7%*C96))*PV(15%,5,-1),-2)</f>
        <v>393200</v>
      </c>
      <c r="D122" s="34">
        <f>PV(15%,5,-1)</f>
        <v>3.352155098011401</v>
      </c>
      <c r="E122" s="19">
        <f>+C122+C54</f>
        <v>5141533.333333333</v>
      </c>
    </row>
    <row r="125" spans="2:5" x14ac:dyDescent="0.2">
      <c r="B125" s="21" t="s">
        <v>103</v>
      </c>
    </row>
    <row r="127" spans="2:5" x14ac:dyDescent="0.2">
      <c r="B127" s="1" t="s">
        <v>104</v>
      </c>
      <c r="C127" s="19">
        <f>SUM(C88:C90)</f>
        <v>2750000</v>
      </c>
    </row>
    <row r="128" spans="2:5" x14ac:dyDescent="0.2">
      <c r="B128" s="1" t="s">
        <v>105</v>
      </c>
      <c r="C128" s="19">
        <f>ROUND(H3*60/360,-2)</f>
        <v>3941700</v>
      </c>
    </row>
    <row r="129" spans="2:5" x14ac:dyDescent="0.2">
      <c r="B129" s="1" t="s">
        <v>106</v>
      </c>
      <c r="C129" s="19">
        <f>SUM(C127:C128)</f>
        <v>6691700</v>
      </c>
    </row>
    <row r="131" spans="2:5" x14ac:dyDescent="0.2">
      <c r="B131" s="1" t="s">
        <v>107</v>
      </c>
    </row>
    <row r="132" spans="2:5" x14ac:dyDescent="0.2">
      <c r="B132" s="1" t="s">
        <v>108</v>
      </c>
    </row>
    <row r="134" spans="2:5" x14ac:dyDescent="0.2">
      <c r="B134" s="1" t="s">
        <v>99</v>
      </c>
      <c r="C134" s="19">
        <f>C117</f>
        <v>1081600</v>
      </c>
    </row>
    <row r="135" spans="2:5" x14ac:dyDescent="0.2">
      <c r="B135" s="1" t="s">
        <v>109</v>
      </c>
      <c r="C135" s="19">
        <v>-120000</v>
      </c>
    </row>
    <row r="136" spans="2:5" x14ac:dyDescent="0.2">
      <c r="B136" s="1" t="s">
        <v>110</v>
      </c>
      <c r="C136" s="19">
        <f>SUM(C134:C135)</f>
        <v>961600</v>
      </c>
    </row>
    <row r="137" spans="2:5" x14ac:dyDescent="0.2">
      <c r="B137" s="1" t="s">
        <v>100</v>
      </c>
      <c r="C137" s="19">
        <f>ROUND(C136*33.3333333333333%*1.1,-2)</f>
        <v>352600</v>
      </c>
    </row>
    <row r="138" spans="2:5" x14ac:dyDescent="0.2">
      <c r="B138" s="21" t="s">
        <v>111</v>
      </c>
      <c r="C138" s="22">
        <f>C136-C137</f>
        <v>609000</v>
      </c>
    </row>
    <row r="142" spans="2:5" x14ac:dyDescent="0.2">
      <c r="B142" s="21" t="s">
        <v>112</v>
      </c>
      <c r="C142" s="22">
        <f>ROUND((C138-(7%*C129))*PV(15%,5,-1),-2)</f>
        <v>471200</v>
      </c>
      <c r="E142" s="19">
        <f>+C142+C54</f>
        <v>5219533.333333333</v>
      </c>
    </row>
  </sheetData>
  <mergeCells count="5">
    <mergeCell ref="B2:E2"/>
    <mergeCell ref="G2:I2"/>
    <mergeCell ref="B16:E16"/>
    <mergeCell ref="B17:E17"/>
    <mergeCell ref="B18: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Société MAYER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Rasolofoson Aina Andrianina</cp:lastModifiedBy>
  <dcterms:created xsi:type="dcterms:W3CDTF">2025-09-09T12:52:50Z</dcterms:created>
  <dcterms:modified xsi:type="dcterms:W3CDTF">2025-09-20T19:47:09Z</dcterms:modified>
</cp:coreProperties>
</file>