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comments3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aleone/Desktop/"/>
    </mc:Choice>
  </mc:AlternateContent>
  <xr:revisionPtr revIDLastSave="0" documentId="8_{5271C57E-8999-5E40-9A74-EC70406A4F4A}" xr6:coauthVersionLast="47" xr6:coauthVersionMax="47" xr10:uidLastSave="{00000000-0000-0000-0000-000000000000}"/>
  <bookViews>
    <workbookView xWindow="280" yWindow="500" windowWidth="28040" windowHeight="16360" activeTab="8" xr2:uid="{88064904-38BE-7A42-910C-D7F2943787B7}"/>
  </bookViews>
  <sheets>
    <sheet name="Metadata" sheetId="1" r:id="rId1"/>
    <sheet name="DO_Calculations" sheetId="4" r:id="rId2"/>
    <sheet name="GPP_Calculations" sheetId="9" r:id="rId3"/>
    <sheet name="R_friendly_npp" sheetId="11" r:id="rId4"/>
    <sheet name="gpp" sheetId="12" r:id="rId5"/>
    <sheet name="Plankton_Counts" sheetId="3" r:id="rId6"/>
    <sheet name="Pretty_Plankton" sheetId="5" r:id="rId7"/>
    <sheet name="N and P Concentrations" sheetId="6" r:id="rId8"/>
    <sheet name="time" sheetId="13" r:id="rId9"/>
  </sheets>
  <definedNames>
    <definedName name="Date">Plankton_Counts!$A:$A</definedName>
    <definedName name="Datw">Plankton_Counts!$A:$A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6" l="1"/>
  <c r="G4" i="6"/>
  <c r="G3" i="6"/>
  <c r="H4" i="11" l="1"/>
  <c r="P8" i="11"/>
  <c r="P6" i="11"/>
  <c r="N3" i="11"/>
  <c r="N4" i="11"/>
  <c r="N5" i="11"/>
  <c r="N6" i="11"/>
  <c r="N8" i="11"/>
  <c r="N9" i="11"/>
  <c r="N10" i="11"/>
  <c r="N11" i="11"/>
  <c r="N12" i="11"/>
  <c r="N13" i="11"/>
  <c r="N14" i="11"/>
  <c r="N15" i="11"/>
  <c r="N16" i="11"/>
  <c r="N17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2" i="11"/>
  <c r="N2" i="11" s="1"/>
  <c r="P3" i="11"/>
  <c r="P4" i="11"/>
  <c r="P5" i="11"/>
  <c r="P7" i="11"/>
  <c r="P9" i="11"/>
  <c r="P10" i="11"/>
  <c r="P11" i="11"/>
  <c r="P12" i="11"/>
  <c r="P13" i="11"/>
  <c r="P14" i="11"/>
  <c r="P15" i="11"/>
  <c r="P16" i="11"/>
  <c r="P17" i="11"/>
  <c r="P2" i="11"/>
  <c r="E23" i="5"/>
  <c r="E29" i="5"/>
  <c r="E30" i="5"/>
  <c r="E32" i="5"/>
  <c r="E26" i="5"/>
  <c r="G3" i="11"/>
  <c r="F2" i="11"/>
  <c r="E18" i="5"/>
  <c r="E36" i="5"/>
  <c r="E35" i="5"/>
  <c r="E34" i="5"/>
  <c r="E33" i="5"/>
  <c r="E28" i="5"/>
  <c r="E41" i="5"/>
  <c r="E42" i="5"/>
  <c r="E40" i="5"/>
  <c r="E39" i="5"/>
  <c r="E38" i="5"/>
  <c r="E37" i="5"/>
  <c r="E43" i="5"/>
  <c r="E45" i="5"/>
  <c r="E46" i="5"/>
  <c r="E47" i="5"/>
  <c r="E48" i="5"/>
  <c r="E49" i="5"/>
  <c r="E50" i="5"/>
  <c r="E51" i="5"/>
  <c r="H51" i="5" s="1"/>
  <c r="G17" i="11"/>
  <c r="F17" i="11"/>
  <c r="H17" i="11" s="1"/>
  <c r="G16" i="11"/>
  <c r="F16" i="11"/>
  <c r="H16" i="11" s="1"/>
  <c r="G15" i="11"/>
  <c r="F15" i="11"/>
  <c r="H15" i="11" s="1"/>
  <c r="G14" i="11"/>
  <c r="F14" i="11"/>
  <c r="H14" i="11" s="1"/>
  <c r="G13" i="11"/>
  <c r="F13" i="11"/>
  <c r="H13" i="11" s="1"/>
  <c r="G12" i="11"/>
  <c r="F12" i="11"/>
  <c r="H12" i="11" s="1"/>
  <c r="G11" i="11"/>
  <c r="F11" i="11"/>
  <c r="H11" i="11" s="1"/>
  <c r="G10" i="11"/>
  <c r="F10" i="11"/>
  <c r="H10" i="11" s="1"/>
  <c r="G9" i="11"/>
  <c r="F9" i="11"/>
  <c r="H9" i="11" s="1"/>
  <c r="G8" i="11"/>
  <c r="F8" i="11"/>
  <c r="H8" i="11" s="1"/>
  <c r="G7" i="11"/>
  <c r="G6" i="11"/>
  <c r="F6" i="11"/>
  <c r="G5" i="11"/>
  <c r="F5" i="11"/>
  <c r="H5" i="11" s="1"/>
  <c r="G4" i="11"/>
  <c r="F4" i="11"/>
  <c r="F3" i="11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I37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20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3" i="9"/>
  <c r="H37" i="9"/>
  <c r="G37" i="9"/>
  <c r="G35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20" i="9"/>
  <c r="H20" i="9"/>
  <c r="H14" i="9"/>
  <c r="H12" i="9"/>
  <c r="H4" i="9"/>
  <c r="H8" i="9"/>
  <c r="H9" i="9"/>
  <c r="H10" i="9"/>
  <c r="H11" i="9"/>
  <c r="H13" i="9"/>
  <c r="H15" i="9"/>
  <c r="H16" i="9"/>
  <c r="H17" i="9"/>
  <c r="H18" i="9"/>
  <c r="H5" i="9"/>
  <c r="H6" i="9"/>
  <c r="H7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3" i="9"/>
  <c r="L52" i="9"/>
  <c r="L51" i="9"/>
  <c r="L50" i="9"/>
  <c r="L49" i="9"/>
  <c r="L48" i="9"/>
  <c r="L47" i="9"/>
  <c r="L46" i="9"/>
  <c r="L45" i="9"/>
  <c r="L41" i="9"/>
  <c r="L40" i="9"/>
  <c r="L39" i="9"/>
  <c r="L38" i="9"/>
  <c r="L35" i="9"/>
  <c r="L34" i="9"/>
  <c r="L33" i="9"/>
  <c r="L32" i="9"/>
  <c r="L31" i="9"/>
  <c r="L30" i="9"/>
  <c r="L29" i="9"/>
  <c r="L28" i="9"/>
  <c r="L27" i="9"/>
  <c r="L26" i="9"/>
  <c r="L24" i="9"/>
  <c r="L23" i="9"/>
  <c r="L22" i="9"/>
  <c r="L21" i="9"/>
  <c r="F41" i="4"/>
  <c r="F35" i="4"/>
  <c r="H2" i="5"/>
  <c r="G4" i="5"/>
  <c r="G2" i="5"/>
  <c r="F2" i="5"/>
  <c r="E4" i="5"/>
  <c r="D4" i="5"/>
  <c r="I19" i="4"/>
  <c r="I20" i="4"/>
  <c r="I21" i="4"/>
  <c r="I22" i="4"/>
  <c r="I24" i="4"/>
  <c r="I25" i="4"/>
  <c r="I26" i="4"/>
  <c r="I27" i="4"/>
  <c r="I28" i="4"/>
  <c r="I29" i="4"/>
  <c r="I30" i="4"/>
  <c r="I31" i="4"/>
  <c r="I32" i="4"/>
  <c r="I33" i="4"/>
  <c r="I35" i="4"/>
  <c r="I36" i="4"/>
  <c r="I37" i="4"/>
  <c r="I38" i="4"/>
  <c r="I42" i="4"/>
  <c r="I43" i="4"/>
  <c r="I44" i="4"/>
  <c r="I45" i="4"/>
  <c r="I46" i="4"/>
  <c r="I47" i="4"/>
  <c r="I48" i="4"/>
  <c r="I49" i="4"/>
  <c r="F5" i="5"/>
  <c r="F6" i="5"/>
  <c r="F7" i="5"/>
  <c r="F8" i="5"/>
  <c r="F9" i="5"/>
  <c r="F10" i="5"/>
  <c r="F16" i="5"/>
  <c r="F24" i="5"/>
  <c r="F25" i="5"/>
  <c r="F32" i="5"/>
  <c r="F33" i="5"/>
  <c r="F40" i="5"/>
  <c r="F41" i="5"/>
  <c r="F49" i="5"/>
  <c r="F50" i="5"/>
  <c r="F58" i="5"/>
  <c r="F66" i="5"/>
  <c r="E5" i="5"/>
  <c r="F4" i="5"/>
  <c r="E3" i="5"/>
  <c r="F3" i="5" s="1"/>
  <c r="H3" i="5"/>
  <c r="H4" i="5"/>
  <c r="H5" i="5"/>
  <c r="H6" i="5"/>
  <c r="H7" i="5"/>
  <c r="H8" i="5"/>
  <c r="H9" i="5"/>
  <c r="H10" i="5"/>
  <c r="H11" i="5"/>
  <c r="H12" i="5"/>
  <c r="H13" i="5"/>
  <c r="H14" i="5"/>
  <c r="H16" i="5"/>
  <c r="H18" i="5"/>
  <c r="H19" i="5"/>
  <c r="H22" i="5"/>
  <c r="H23" i="5"/>
  <c r="H24" i="5"/>
  <c r="H25" i="5"/>
  <c r="H26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5" i="5"/>
  <c r="H46" i="5"/>
  <c r="H47" i="5"/>
  <c r="H48" i="5"/>
  <c r="H49" i="5"/>
  <c r="H50" i="5"/>
  <c r="H53" i="5"/>
  <c r="H55" i="5"/>
  <c r="H56" i="5"/>
  <c r="H58" i="5"/>
  <c r="H61" i="5"/>
  <c r="H63" i="5"/>
  <c r="H64" i="5"/>
  <c r="H66" i="5"/>
  <c r="E27" i="5"/>
  <c r="F27" i="5" s="1"/>
  <c r="E22" i="5"/>
  <c r="E21" i="5"/>
  <c r="F21" i="5" s="1"/>
  <c r="E17" i="5"/>
  <c r="H17" i="5" s="1"/>
  <c r="E16" i="5"/>
  <c r="E15" i="5"/>
  <c r="H15" i="5" s="1"/>
  <c r="E14" i="5"/>
  <c r="E13" i="5"/>
  <c r="F13" i="5" s="1"/>
  <c r="E20" i="5"/>
  <c r="F20" i="5" s="1"/>
  <c r="E68" i="5"/>
  <c r="F68" i="5" s="1"/>
  <c r="E67" i="5" a="1"/>
  <c r="E67" i="5" s="1"/>
  <c r="H67" i="5" s="1"/>
  <c r="E66" i="5"/>
  <c r="E65" i="5"/>
  <c r="H65" i="5" s="1"/>
  <c r="E64" i="5"/>
  <c r="E63" i="5"/>
  <c r="F63" i="5" s="1"/>
  <c r="E62" i="5"/>
  <c r="F62" i="5" s="1"/>
  <c r="E61" i="5"/>
  <c r="F61" i="5" s="1"/>
  <c r="E60" i="5"/>
  <c r="F60" i="5" s="1"/>
  <c r="E59" i="5"/>
  <c r="H59" i="5" s="1"/>
  <c r="E58" i="5"/>
  <c r="E57" i="5"/>
  <c r="H57" i="5" s="1"/>
  <c r="E56" i="5"/>
  <c r="E55" i="5"/>
  <c r="F55" i="5" s="1"/>
  <c r="E54" i="5"/>
  <c r="F54" i="5" s="1"/>
  <c r="E53" i="5"/>
  <c r="F53" i="5" s="1"/>
  <c r="O28" i="1"/>
  <c r="O20" i="1"/>
  <c r="O12" i="1"/>
  <c r="O4" i="1"/>
  <c r="F19" i="4"/>
  <c r="F20" i="4"/>
  <c r="F21" i="4"/>
  <c r="F22" i="4"/>
  <c r="F24" i="4"/>
  <c r="F25" i="4"/>
  <c r="F26" i="4"/>
  <c r="F27" i="4"/>
  <c r="F28" i="4"/>
  <c r="F29" i="4"/>
  <c r="F30" i="4"/>
  <c r="F31" i="4"/>
  <c r="F32" i="4"/>
  <c r="F33" i="4"/>
  <c r="F36" i="4"/>
  <c r="F37" i="4"/>
  <c r="F38" i="4"/>
  <c r="F42" i="4"/>
  <c r="F43" i="4"/>
  <c r="F44" i="4"/>
  <c r="F45" i="4"/>
  <c r="F46" i="4"/>
  <c r="F47" i="4"/>
  <c r="F48" i="4"/>
  <c r="F49" i="4"/>
  <c r="D68" i="5"/>
  <c r="G68" i="5" s="1"/>
  <c r="D67" i="5"/>
  <c r="G67" i="5" s="1"/>
  <c r="D66" i="5"/>
  <c r="G66" i="5" s="1"/>
  <c r="D65" i="5"/>
  <c r="G65" i="5" s="1"/>
  <c r="D64" i="5"/>
  <c r="G64" i="5" s="1"/>
  <c r="D63" i="5"/>
  <c r="G63" i="5" s="1"/>
  <c r="D62" i="5"/>
  <c r="G62" i="5" s="1"/>
  <c r="D61" i="5"/>
  <c r="G61" i="5" s="1"/>
  <c r="D60" i="5"/>
  <c r="D59" i="5"/>
  <c r="G59" i="5" s="1"/>
  <c r="D58" i="5"/>
  <c r="G58" i="5" s="1"/>
  <c r="D57" i="5"/>
  <c r="G57" i="5" s="1"/>
  <c r="D56" i="5"/>
  <c r="G56" i="5" s="1"/>
  <c r="D55" i="5"/>
  <c r="D54" i="5"/>
  <c r="G54" i="5" s="1"/>
  <c r="D53" i="5"/>
  <c r="G53" i="5" s="1"/>
  <c r="D51" i="5"/>
  <c r="G51" i="5" s="1"/>
  <c r="D50" i="5"/>
  <c r="G50" i="5" s="1"/>
  <c r="D49" i="5"/>
  <c r="G49" i="5" s="1"/>
  <c r="D48" i="5"/>
  <c r="G48" i="5" s="1"/>
  <c r="D47" i="5"/>
  <c r="G47" i="5" s="1"/>
  <c r="D46" i="5"/>
  <c r="G46" i="5" s="1"/>
  <c r="D45" i="5"/>
  <c r="G45" i="5" s="1"/>
  <c r="D43" i="5"/>
  <c r="G43" i="5" s="1"/>
  <c r="D42" i="5"/>
  <c r="G42" i="5" s="1"/>
  <c r="D41" i="5"/>
  <c r="G41" i="5" s="1"/>
  <c r="D40" i="5"/>
  <c r="G40" i="5" s="1"/>
  <c r="D39" i="5"/>
  <c r="G39" i="5" s="1"/>
  <c r="D38" i="5"/>
  <c r="G38" i="5" s="1"/>
  <c r="D37" i="5"/>
  <c r="G37" i="5" s="1"/>
  <c r="D36" i="5"/>
  <c r="F36" i="5" s="1"/>
  <c r="D35" i="5"/>
  <c r="G35" i="5" s="1"/>
  <c r="D34" i="5"/>
  <c r="G34" i="5" s="1"/>
  <c r="D33" i="5"/>
  <c r="D32" i="5"/>
  <c r="G32" i="5" s="1"/>
  <c r="D31" i="5"/>
  <c r="G31" i="5" s="1"/>
  <c r="D30" i="5"/>
  <c r="G30" i="5" s="1"/>
  <c r="D29" i="5"/>
  <c r="G29" i="5" s="1"/>
  <c r="D28" i="5"/>
  <c r="F28" i="5" s="1"/>
  <c r="D27" i="5"/>
  <c r="G27" i="5" s="1"/>
  <c r="D26" i="5"/>
  <c r="G26" i="5" s="1"/>
  <c r="D25" i="5"/>
  <c r="G25" i="5" s="1"/>
  <c r="D24" i="5"/>
  <c r="G24" i="5" s="1"/>
  <c r="D23" i="5"/>
  <c r="G23" i="5" s="1"/>
  <c r="D22" i="5"/>
  <c r="G22" i="5" s="1"/>
  <c r="D21" i="5"/>
  <c r="G21" i="5" s="1"/>
  <c r="D20" i="5"/>
  <c r="G20" i="5" s="1"/>
  <c r="D19" i="5"/>
  <c r="G19" i="5" s="1"/>
  <c r="D18" i="5"/>
  <c r="G18" i="5" s="1"/>
  <c r="D17" i="5"/>
  <c r="G17" i="5" s="1"/>
  <c r="D16" i="5"/>
  <c r="G16" i="5" s="1"/>
  <c r="D15" i="5"/>
  <c r="G15" i="5" s="1"/>
  <c r="D14" i="5"/>
  <c r="G14" i="5" s="1"/>
  <c r="D13" i="5"/>
  <c r="G13" i="5" s="1"/>
  <c r="D12" i="5"/>
  <c r="G12" i="5" s="1"/>
  <c r="D11" i="5"/>
  <c r="F11" i="5" s="1"/>
  <c r="G10" i="5"/>
  <c r="G9" i="5"/>
  <c r="G8" i="5"/>
  <c r="D5" i="5"/>
  <c r="G5" i="5" s="1"/>
  <c r="D3" i="5"/>
  <c r="G3" i="5" s="1"/>
  <c r="C7" i="5"/>
  <c r="G33" i="5"/>
  <c r="G55" i="5"/>
  <c r="G60" i="5"/>
  <c r="F38" i="3"/>
  <c r="I38" i="3" s="1"/>
  <c r="F29" i="3"/>
  <c r="I29" i="3" s="1"/>
  <c r="F20" i="3"/>
  <c r="I20" i="3" s="1"/>
  <c r="H41" i="1"/>
  <c r="H40" i="1"/>
  <c r="G10" i="3"/>
  <c r="H39" i="1"/>
  <c r="F10" i="3"/>
  <c r="I10" i="3" s="1"/>
  <c r="H38" i="1"/>
  <c r="H37" i="1"/>
  <c r="H36" i="1"/>
  <c r="H35" i="1"/>
  <c r="F92" i="3"/>
  <c r="I92" i="3" s="1"/>
  <c r="F125" i="3"/>
  <c r="I125" i="3" s="1"/>
  <c r="F126" i="3"/>
  <c r="I126" i="3"/>
  <c r="F127" i="3"/>
  <c r="I127" i="3" s="1"/>
  <c r="F128" i="3"/>
  <c r="I128" i="3"/>
  <c r="F129" i="3"/>
  <c r="I129" i="3" s="1"/>
  <c r="F130" i="3"/>
  <c r="I130" i="3"/>
  <c r="F131" i="3"/>
  <c r="I131" i="3" s="1"/>
  <c r="F132" i="3"/>
  <c r="I132" i="3"/>
  <c r="F124" i="3"/>
  <c r="I124" i="3" s="1"/>
  <c r="F123" i="3"/>
  <c r="I123" i="3" s="1"/>
  <c r="F122" i="3"/>
  <c r="I122" i="3" s="1"/>
  <c r="F80" i="3"/>
  <c r="F76" i="3"/>
  <c r="F75" i="3"/>
  <c r="F77" i="3"/>
  <c r="F78" i="3"/>
  <c r="F79" i="3"/>
  <c r="I79" i="3" s="1"/>
  <c r="F81" i="3"/>
  <c r="F82" i="3"/>
  <c r="F83" i="3"/>
  <c r="I83" i="3" s="1"/>
  <c r="F84" i="3"/>
  <c r="F85" i="3"/>
  <c r="F86" i="3"/>
  <c r="F87" i="3"/>
  <c r="I87" i="3" s="1"/>
  <c r="F88" i="3"/>
  <c r="F89" i="3"/>
  <c r="F90" i="3"/>
  <c r="F91" i="3"/>
  <c r="I91" i="3" s="1"/>
  <c r="F93" i="3"/>
  <c r="F94" i="3"/>
  <c r="F95" i="3"/>
  <c r="F96" i="3"/>
  <c r="I96" i="3" s="1"/>
  <c r="F97" i="3"/>
  <c r="F98" i="3"/>
  <c r="F99" i="3"/>
  <c r="F100" i="3"/>
  <c r="I100" i="3" s="1"/>
  <c r="F101" i="3"/>
  <c r="F102" i="3"/>
  <c r="F103" i="3"/>
  <c r="F104" i="3"/>
  <c r="I104" i="3" s="1"/>
  <c r="F105" i="3"/>
  <c r="F106" i="3"/>
  <c r="F107" i="3"/>
  <c r="F108" i="3"/>
  <c r="I108" i="3" s="1"/>
  <c r="F109" i="3"/>
  <c r="F110" i="3"/>
  <c r="F111" i="3"/>
  <c r="F112" i="3"/>
  <c r="I112" i="3" s="1"/>
  <c r="F113" i="3"/>
  <c r="I113" i="3" s="1"/>
  <c r="F114" i="3"/>
  <c r="F115" i="3"/>
  <c r="F116" i="3"/>
  <c r="I116" i="3" s="1"/>
  <c r="F117" i="3"/>
  <c r="F118" i="3"/>
  <c r="F119" i="3"/>
  <c r="F120" i="3"/>
  <c r="I120" i="3" s="1"/>
  <c r="F121" i="3"/>
  <c r="I121" i="3" s="1"/>
  <c r="F63" i="3"/>
  <c r="I63" i="3" s="1"/>
  <c r="F2" i="3"/>
  <c r="I2" i="3" s="1"/>
  <c r="G71" i="3"/>
  <c r="F71" i="3"/>
  <c r="I71" i="3" s="1"/>
  <c r="I119" i="3"/>
  <c r="I118" i="3"/>
  <c r="I117" i="3"/>
  <c r="I115" i="3"/>
  <c r="I114" i="3"/>
  <c r="I111" i="3"/>
  <c r="I110" i="3"/>
  <c r="I107" i="3"/>
  <c r="I106" i="3"/>
  <c r="I105" i="3"/>
  <c r="I103" i="3"/>
  <c r="I102" i="3"/>
  <c r="I101" i="3"/>
  <c r="I99" i="3"/>
  <c r="I98" i="3"/>
  <c r="I97" i="3"/>
  <c r="I95" i="3"/>
  <c r="I94" i="3"/>
  <c r="I93" i="3"/>
  <c r="I90" i="3"/>
  <c r="I89" i="3"/>
  <c r="I88" i="3"/>
  <c r="I86" i="3"/>
  <c r="I85" i="3"/>
  <c r="I84" i="3"/>
  <c r="I82" i="3"/>
  <c r="I81" i="3"/>
  <c r="I80" i="3"/>
  <c r="I78" i="3"/>
  <c r="I77" i="3"/>
  <c r="I76" i="3"/>
  <c r="G63" i="3"/>
  <c r="G55" i="3"/>
  <c r="G39" i="3"/>
  <c r="G30" i="3"/>
  <c r="G21" i="3"/>
  <c r="G12" i="3"/>
  <c r="G2" i="3"/>
  <c r="F55" i="3"/>
  <c r="I55" i="3" s="1"/>
  <c r="F39" i="3"/>
  <c r="I39" i="3" s="1"/>
  <c r="F30" i="3"/>
  <c r="I30" i="3" s="1"/>
  <c r="F21" i="3"/>
  <c r="I21" i="3" s="1"/>
  <c r="F12" i="3"/>
  <c r="E54" i="3"/>
  <c r="E53" i="3"/>
  <c r="E52" i="3"/>
  <c r="E51" i="3"/>
  <c r="E50" i="3"/>
  <c r="E49" i="3"/>
  <c r="E48" i="3"/>
  <c r="E47" i="3"/>
  <c r="J12" i="3"/>
  <c r="J2" i="3"/>
  <c r="I12" i="3"/>
  <c r="N27" i="1"/>
  <c r="N28" i="1"/>
  <c r="N29" i="1"/>
  <c r="N30" i="1"/>
  <c r="N31" i="1"/>
  <c r="N32" i="1"/>
  <c r="N33" i="1"/>
  <c r="N26" i="1"/>
  <c r="N19" i="1"/>
  <c r="N20" i="1"/>
  <c r="N21" i="1"/>
  <c r="N22" i="1"/>
  <c r="N23" i="1"/>
  <c r="N24" i="1"/>
  <c r="N25" i="1"/>
  <c r="N18" i="1"/>
  <c r="N10" i="1"/>
  <c r="N11" i="1"/>
  <c r="N12" i="1"/>
  <c r="N13" i="1"/>
  <c r="N14" i="1"/>
  <c r="N15" i="1"/>
  <c r="N16" i="1"/>
  <c r="N17" i="1"/>
  <c r="N2" i="1"/>
  <c r="N3" i="1"/>
  <c r="N4" i="1"/>
  <c r="N5" i="1"/>
  <c r="N6" i="1"/>
  <c r="N7" i="1"/>
  <c r="N8" i="1"/>
  <c r="N9" i="1"/>
  <c r="J21" i="3"/>
  <c r="N7" i="11" l="1"/>
  <c r="H6" i="11"/>
  <c r="H3" i="11"/>
  <c r="F17" i="5"/>
  <c r="H21" i="5"/>
  <c r="F67" i="5"/>
  <c r="F59" i="5"/>
  <c r="G36" i="5"/>
  <c r="H62" i="5"/>
  <c r="H54" i="5"/>
  <c r="H20" i="5"/>
  <c r="F65" i="5"/>
  <c r="F57" i="5"/>
  <c r="F48" i="5"/>
  <c r="F39" i="5"/>
  <c r="F31" i="5"/>
  <c r="F23" i="5"/>
  <c r="F15" i="5"/>
  <c r="F29" i="5"/>
  <c r="H27" i="5"/>
  <c r="F64" i="5"/>
  <c r="F38" i="5"/>
  <c r="F22" i="5"/>
  <c r="H60" i="5"/>
  <c r="G28" i="5"/>
  <c r="F43" i="5"/>
  <c r="F35" i="5"/>
  <c r="F19" i="5"/>
  <c r="F56" i="5"/>
  <c r="F47" i="5"/>
  <c r="F30" i="5"/>
  <c r="F14" i="5"/>
  <c r="H68" i="5"/>
  <c r="F46" i="5"/>
  <c r="F37" i="5"/>
  <c r="F45" i="5"/>
  <c r="F12" i="5"/>
  <c r="F51" i="5"/>
  <c r="F42" i="5"/>
  <c r="F34" i="5"/>
  <c r="F26" i="5"/>
  <c r="F18" i="5"/>
  <c r="G6" i="5"/>
  <c r="G7" i="5"/>
  <c r="J10" i="3"/>
  <c r="H10" i="3"/>
  <c r="J71" i="3"/>
  <c r="H71" i="3"/>
  <c r="H2" i="3"/>
  <c r="G47" i="3"/>
  <c r="F47" i="3"/>
  <c r="I47" i="3" s="1"/>
  <c r="H12" i="3"/>
  <c r="H21" i="3"/>
  <c r="J30" i="3"/>
  <c r="H30" i="3"/>
  <c r="J39" i="3"/>
  <c r="H39" i="3"/>
  <c r="J55" i="3"/>
  <c r="H55" i="3"/>
  <c r="J63" i="3"/>
  <c r="H63" i="3"/>
  <c r="J47" i="3" l="1"/>
  <c r="H47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Carla Leone</author>
    <author>tc={E491E8BB-A9CD-477A-8EAA-428A7F370BF0}</author>
  </authors>
  <commentList>
    <comment ref="K1" authorId="0" shapeId="0" xr:uid="{7D53FC3F-49AA-4172-BB07-90ED977399CB}">
      <text>
        <r>
          <rPr>
            <sz val="12"/>
            <color theme="1"/>
            <rFont val="Calibri"/>
            <family val="2"/>
            <scheme val="minor"/>
          </rPr>
          <t>Carla Leone:
wavelength of samples = 254</t>
        </r>
      </text>
    </comment>
    <comment ref="O1" authorId="0" shapeId="0" xr:uid="{2783094A-FF68-419B-93A5-BE051D725947}">
      <text>
        <r>
          <rPr>
            <sz val="12"/>
            <color theme="1"/>
            <rFont val="Calibri"/>
            <family val="2"/>
            <scheme val="minor"/>
          </rPr>
          <t>Carla Leone:
equation used from Brandstetter et al., 2011 paper for surface waters.
DOC = 0.21A+ 1.25</t>
        </r>
      </text>
    </comment>
    <comment ref="N2" authorId="1" shapeId="0" xr:uid="{E491E8BB-A9CD-477A-8EAA-428A7F370BF0}">
      <text>
        <t>[Threaded comment]
Your version of Excel allows you to read this threaded comment; however, any edits to it will get removed if the file is opened in a newer version of Excel. Learn more: https://go.microsoft.com/fwlink/?linkid=870924
Comment:
    pH for 9/4/2023 were measured from blanks</t>
      </text>
    </comment>
    <comment ref="A74" authorId="0" shapeId="0" xr:uid="{A159C0FD-6A80-41DC-9DDE-0B16ACD48F88}">
      <text>
        <r>
          <rPr>
            <sz val="12"/>
            <color theme="1"/>
            <rFont val="Calibri"/>
            <family val="2"/>
            <scheme val="minor"/>
          </rPr>
          <t>Carla Leone:
The DO probe was not working so data from 07/09 at site 2 may not be reliable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Carla Leone</author>
  </authors>
  <commentList>
    <comment ref="F1" authorId="0" shapeId="0" xr:uid="{6132C82C-1F99-41A9-B4B7-F47C76799A68}">
      <text>
        <r>
          <rPr>
            <sz val="12"/>
            <color rgb="FF000000"/>
            <rFont val="Calibri"/>
            <family val="2"/>
          </rPr>
          <t xml:space="preserve">Carla Leone:
</t>
        </r>
        <r>
          <rPr>
            <sz val="12"/>
            <color rgb="FF000000"/>
            <rFont val="Calibri"/>
            <family val="2"/>
          </rPr>
          <t>GPP = DOLight + DOdark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Carla Leone</author>
  </authors>
  <commentList>
    <comment ref="F2" authorId="0" shapeId="0" xr:uid="{0B558CA5-14C5-7849-9020-DE275D462499}">
      <text>
        <r>
          <rPr>
            <sz val="12"/>
            <color rgb="FF000000"/>
            <rFont val="Calibri"/>
            <family val="2"/>
          </rPr>
          <t xml:space="preserve">Carla Leone:
</t>
        </r>
        <r>
          <rPr>
            <sz val="12"/>
            <color rgb="FF000000"/>
            <rFont val="Calibri"/>
            <family val="2"/>
          </rPr>
          <t>GPP = DOLight + DOdark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<sst xmlns="http://schemas.openxmlformats.org/spreadsheetml/2006/main" count="1081" uniqueCount="106">
  <si>
    <t>site</t>
  </si>
  <si>
    <t>sample</t>
  </si>
  <si>
    <t>date</t>
  </si>
  <si>
    <t>d_oxi_perc</t>
  </si>
  <si>
    <t>d_oxi_mg_l</t>
  </si>
  <si>
    <t>temperature</t>
  </si>
  <si>
    <t>av_n_phyt</t>
  </si>
  <si>
    <t>nep(3-0)</t>
  </si>
  <si>
    <t>nep(4-3)</t>
  </si>
  <si>
    <t>nep(4-0)</t>
  </si>
  <si>
    <t>uv_absorbance_OM_nm</t>
  </si>
  <si>
    <t>nitrate mg/L</t>
  </si>
  <si>
    <t>site_notes</t>
  </si>
  <si>
    <t>pH</t>
  </si>
  <si>
    <t>DOC_mg_L</t>
  </si>
  <si>
    <t xml:space="preserve"> depth (m)</t>
  </si>
  <si>
    <t>xxx</t>
  </si>
  <si>
    <t>Mon</t>
  </si>
  <si>
    <t>xnl</t>
  </si>
  <si>
    <t>xxl</t>
  </si>
  <si>
    <t>mon</t>
  </si>
  <si>
    <t>xnx</t>
  </si>
  <si>
    <t>pxx</t>
  </si>
  <si>
    <t>pxl</t>
  </si>
  <si>
    <t>pnl</t>
  </si>
  <si>
    <t>pnx</t>
  </si>
  <si>
    <t>flat, rocks, trees near edge</t>
  </si>
  <si>
    <t>Wed</t>
  </si>
  <si>
    <t>N/A</t>
  </si>
  <si>
    <t>Thur</t>
  </si>
  <si>
    <t>Site</t>
  </si>
  <si>
    <t>Treatment</t>
  </si>
  <si>
    <t>DO_Dark_%</t>
  </si>
  <si>
    <t>DO_Light_% (= GPP)</t>
  </si>
  <si>
    <t>NPP _%_DO</t>
  </si>
  <si>
    <t>d_oxi_mg_l Dark</t>
  </si>
  <si>
    <t>d_oxi_mg_l Light</t>
  </si>
  <si>
    <t xml:space="preserve">Diff d_oxi_mg_l </t>
  </si>
  <si>
    <t>Temperature Dark</t>
  </si>
  <si>
    <t>Temperature Light</t>
  </si>
  <si>
    <t>XX</t>
  </si>
  <si>
    <t>wed</t>
  </si>
  <si>
    <t>PX</t>
  </si>
  <si>
    <t>XN</t>
  </si>
  <si>
    <t>PN</t>
  </si>
  <si>
    <t>thu</t>
  </si>
  <si>
    <t>DATA GPP  WED-MON</t>
  </si>
  <si>
    <t>NPP</t>
  </si>
  <si>
    <t>R</t>
  </si>
  <si>
    <t>GPP</t>
  </si>
  <si>
    <t>DATA GPP THU-WED</t>
  </si>
  <si>
    <t>DATA GPP THU-MON</t>
  </si>
  <si>
    <t>treatment</t>
  </si>
  <si>
    <t>mon_dis_oxi</t>
  </si>
  <si>
    <t>wed_dark_d_oxi</t>
  </si>
  <si>
    <t>wed_light_d_oxi</t>
  </si>
  <si>
    <t>NPP(wed-mon</t>
  </si>
  <si>
    <t>R(wed-mond)</t>
  </si>
  <si>
    <t>GPP(wed-mon)</t>
  </si>
  <si>
    <t>thurs_dark_d_oxi</t>
  </si>
  <si>
    <t>thurs_light_d_oxi</t>
  </si>
  <si>
    <t>GPP(thu-mon)</t>
  </si>
  <si>
    <t>R(thu-mon)</t>
  </si>
  <si>
    <t>NPP(thu-mon)</t>
  </si>
  <si>
    <t>GPP(thu-wed)</t>
  </si>
  <si>
    <t>R(thu-wed)</t>
  </si>
  <si>
    <t>NPP(thu-wed)</t>
  </si>
  <si>
    <t>xx</t>
  </si>
  <si>
    <t>px</t>
  </si>
  <si>
    <t>xn</t>
  </si>
  <si>
    <t>pn</t>
  </si>
  <si>
    <t>chamber</t>
  </si>
  <si>
    <t>quadrant</t>
  </si>
  <si>
    <t>phyto</t>
  </si>
  <si>
    <t>mean_per_ul</t>
  </si>
  <si>
    <t>st_error</t>
  </si>
  <si>
    <t>st_percent</t>
  </si>
  <si>
    <t>mean_100ml</t>
  </si>
  <si>
    <t>st_erro_100ml</t>
  </si>
  <si>
    <t>Notes</t>
  </si>
  <si>
    <t>None (baseline)</t>
  </si>
  <si>
    <t>bias due to double counting</t>
  </si>
  <si>
    <t>Two baseline samples are okay we need to check which ones</t>
  </si>
  <si>
    <t>REDO</t>
  </si>
  <si>
    <t>PXL</t>
  </si>
  <si>
    <t>PXX</t>
  </si>
  <si>
    <t>XXL</t>
  </si>
  <si>
    <t>XNX</t>
  </si>
  <si>
    <t>PNX</t>
  </si>
  <si>
    <t>PNL</t>
  </si>
  <si>
    <t>XNL</t>
  </si>
  <si>
    <t>NXX</t>
  </si>
  <si>
    <t>XPL</t>
  </si>
  <si>
    <t>NPL</t>
  </si>
  <si>
    <t>XXX</t>
  </si>
  <si>
    <t>NXL</t>
  </si>
  <si>
    <t>XPX</t>
  </si>
  <si>
    <t>Found a colony</t>
  </si>
  <si>
    <t>NPX</t>
  </si>
  <si>
    <t>MISSING</t>
  </si>
  <si>
    <t>baseline</t>
  </si>
  <si>
    <t>nitrate_mg_L</t>
  </si>
  <si>
    <t>phosphate_mg_L</t>
  </si>
  <si>
    <t>N_mg_L</t>
  </si>
  <si>
    <t>P_mg_L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</si>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</sst>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4" borderId="0" xfId="0" applyFill="1"/>
    <xf numFmtId="0" fontId="0" fillId="5" borderId="2" xfId="0" applyFill="1" applyBorder="1"/>
    <xf numFmtId="0" fontId="0" fillId="2" borderId="4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6" xfId="0" applyFill="1" applyBorder="1"/>
    <xf numFmtId="0" fontId="0" fillId="5" borderId="1" xfId="0" applyFill="1" applyBorder="1"/>
    <xf numFmtId="0" fontId="1" fillId="5" borderId="2" xfId="0" applyFont="1" applyFill="1" applyBorder="1"/>
    <xf numFmtId="0" fontId="0" fillId="5" borderId="0" xfId="0" applyFill="1"/>
    <xf numFmtId="0" fontId="1" fillId="5" borderId="0" xfId="0" applyFont="1" applyFill="1"/>
    <xf numFmtId="0" fontId="0" fillId="0" borderId="4" xfId="0" applyBorder="1"/>
    <xf numFmtId="0" fontId="0" fillId="5" borderId="5" xfId="0" applyFill="1" applyBorder="1"/>
    <xf numFmtId="0" fontId="0" fillId="2" borderId="7" xfId="0" applyFill="1" applyBorder="1"/>
    <xf numFmtId="0" fontId="0" fillId="5" borderId="8" xfId="0" applyFill="1" applyBorder="1"/>
    <xf numFmtId="0" fontId="0" fillId="2" borderId="9" xfId="0" applyFill="1" applyBorder="1"/>
    <xf numFmtId="0" fontId="0" fillId="5" borderId="10" xfId="0" applyFill="1" applyBorder="1"/>
    <xf numFmtId="0" fontId="0" fillId="6" borderId="0" xfId="0" applyFill="1"/>
    <xf numFmtId="0" fontId="0" fillId="7" borderId="1" xfId="0" applyFill="1" applyBorder="1"/>
    <xf numFmtId="0" fontId="0" fillId="7" borderId="0" xfId="0" applyFill="1"/>
    <xf numFmtId="0" fontId="0" fillId="2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7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8" borderId="0" xfId="0" applyFill="1" applyAlignment="1">
      <alignment horizontal="center"/>
    </xf>
    <xf numFmtId="17" fontId="0" fillId="0" borderId="0" xfId="0" applyNumberFormat="1" applyAlignment="1">
      <alignment horizontal="center"/>
    </xf>
    <xf numFmtId="0" fontId="0" fillId="2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uby Rose Bader" id="{237CA265-9152-4467-9EA0-1B526FE39999}" userId="S::s2138059@ed.ac.uk::6efc5c89-e881-4c5e-92fd-6d7d0d5f9d8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2" dT="2023-09-06T21:19:52.80" personId="{237CA265-9152-4467-9EA0-1B526FE39999}" id="{E491E8BB-A9CD-477A-8EAA-428A7F370BF0}">
    <text>pH for 9/4/2023 were measured from blanks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DE455-A779-9346-A96B-AB351239984B}">
  <dimension ref="A1:P97"/>
  <sheetViews>
    <sheetView zoomScale="75" zoomScaleNormal="50" workbookViewId="0">
      <selection activeCell="F1" sqref="F1:F97"/>
    </sheetView>
  </sheetViews>
  <sheetFormatPr baseColWidth="10" defaultColWidth="11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16</v>
      </c>
      <c r="C2" s="1" t="s">
        <v>17</v>
      </c>
      <c r="D2">
        <v>84</v>
      </c>
      <c r="E2">
        <v>7.2</v>
      </c>
      <c r="F2">
        <v>20.9</v>
      </c>
      <c r="N2">
        <f t="shared" ref="N2:N9" si="0">AVERAGE(6.93,6.93)</f>
        <v>6.93</v>
      </c>
    </row>
    <row r="3" spans="1:16" x14ac:dyDescent="0.2">
      <c r="A3">
        <v>1</v>
      </c>
      <c r="B3" t="s">
        <v>18</v>
      </c>
      <c r="C3" s="1" t="s">
        <v>17</v>
      </c>
      <c r="D3">
        <v>84</v>
      </c>
      <c r="E3">
        <v>7.2</v>
      </c>
      <c r="F3">
        <v>20.9</v>
      </c>
      <c r="N3">
        <f t="shared" si="0"/>
        <v>6.93</v>
      </c>
    </row>
    <row r="4" spans="1:16" x14ac:dyDescent="0.2">
      <c r="A4">
        <v>1</v>
      </c>
      <c r="B4" s="4" t="s">
        <v>19</v>
      </c>
      <c r="C4" s="1" t="s">
        <v>20</v>
      </c>
      <c r="D4">
        <v>84</v>
      </c>
      <c r="E4">
        <v>7.2</v>
      </c>
      <c r="F4">
        <v>20.9</v>
      </c>
      <c r="K4">
        <v>7.1999999999999995E-2</v>
      </c>
      <c r="N4">
        <f t="shared" si="0"/>
        <v>6.93</v>
      </c>
      <c r="O4">
        <f xml:space="preserve"> 0.21*(K4)+1.25</f>
        <v>1.26512</v>
      </c>
      <c r="P4">
        <v>1</v>
      </c>
    </row>
    <row r="5" spans="1:16" x14ac:dyDescent="0.2">
      <c r="A5">
        <v>1</v>
      </c>
      <c r="B5" t="s">
        <v>21</v>
      </c>
      <c r="C5" s="1" t="s">
        <v>20</v>
      </c>
      <c r="D5">
        <v>84</v>
      </c>
      <c r="E5">
        <v>7.2</v>
      </c>
      <c r="F5">
        <v>20.9</v>
      </c>
      <c r="N5">
        <f t="shared" si="0"/>
        <v>6.93</v>
      </c>
    </row>
    <row r="6" spans="1:16" x14ac:dyDescent="0.2">
      <c r="A6">
        <v>1</v>
      </c>
      <c r="B6" t="s">
        <v>22</v>
      </c>
      <c r="C6" s="1" t="s">
        <v>20</v>
      </c>
      <c r="D6">
        <v>84</v>
      </c>
      <c r="E6">
        <v>7.2</v>
      </c>
      <c r="F6">
        <v>20.9</v>
      </c>
      <c r="N6">
        <f t="shared" si="0"/>
        <v>6.93</v>
      </c>
    </row>
    <row r="7" spans="1:16" x14ac:dyDescent="0.2">
      <c r="A7">
        <v>1</v>
      </c>
      <c r="B7" t="s">
        <v>23</v>
      </c>
      <c r="C7" s="1" t="s">
        <v>20</v>
      </c>
      <c r="D7">
        <v>84</v>
      </c>
      <c r="E7">
        <v>7.2</v>
      </c>
      <c r="F7">
        <v>20.9</v>
      </c>
      <c r="N7">
        <f t="shared" si="0"/>
        <v>6.93</v>
      </c>
    </row>
    <row r="8" spans="1:16" x14ac:dyDescent="0.2">
      <c r="A8">
        <v>1</v>
      </c>
      <c r="B8" t="s">
        <v>24</v>
      </c>
      <c r="C8" s="1" t="s">
        <v>20</v>
      </c>
      <c r="D8">
        <v>84</v>
      </c>
      <c r="E8">
        <v>7.2</v>
      </c>
      <c r="F8">
        <v>20.9</v>
      </c>
      <c r="N8">
        <f t="shared" si="0"/>
        <v>6.93</v>
      </c>
    </row>
    <row r="9" spans="1:16" x14ac:dyDescent="0.2">
      <c r="A9">
        <v>1</v>
      </c>
      <c r="B9" t="s">
        <v>25</v>
      </c>
      <c r="C9" s="1" t="s">
        <v>20</v>
      </c>
      <c r="D9">
        <v>84</v>
      </c>
      <c r="E9">
        <v>7.2</v>
      </c>
      <c r="F9">
        <v>20.9</v>
      </c>
      <c r="N9">
        <f t="shared" si="0"/>
        <v>6.93</v>
      </c>
    </row>
    <row r="10" spans="1:16" x14ac:dyDescent="0.2">
      <c r="A10">
        <v>2</v>
      </c>
      <c r="B10" t="s">
        <v>16</v>
      </c>
      <c r="C10" s="1" t="s">
        <v>20</v>
      </c>
      <c r="D10">
        <v>88</v>
      </c>
      <c r="E10">
        <v>8</v>
      </c>
      <c r="F10">
        <v>18</v>
      </c>
      <c r="N10">
        <f t="shared" ref="N10:N17" si="1">AVERAGE(7,6.99)</f>
        <v>6.9950000000000001</v>
      </c>
    </row>
    <row r="11" spans="1:16" x14ac:dyDescent="0.2">
      <c r="A11">
        <v>2</v>
      </c>
      <c r="B11" t="s">
        <v>18</v>
      </c>
      <c r="C11" s="1" t="s">
        <v>20</v>
      </c>
      <c r="D11">
        <v>88</v>
      </c>
      <c r="E11">
        <v>8</v>
      </c>
      <c r="F11">
        <v>18</v>
      </c>
      <c r="N11">
        <f t="shared" si="1"/>
        <v>6.9950000000000001</v>
      </c>
    </row>
    <row r="12" spans="1:16" x14ac:dyDescent="0.2">
      <c r="A12">
        <v>2</v>
      </c>
      <c r="B12" s="4" t="s">
        <v>19</v>
      </c>
      <c r="C12" s="1" t="s">
        <v>20</v>
      </c>
      <c r="D12">
        <v>88</v>
      </c>
      <c r="E12">
        <v>8</v>
      </c>
      <c r="F12">
        <v>18</v>
      </c>
      <c r="K12">
        <v>4.5999999999999999E-2</v>
      </c>
      <c r="N12">
        <f t="shared" si="1"/>
        <v>6.9950000000000001</v>
      </c>
      <c r="O12">
        <f>0.21*(K12)+1.25</f>
        <v>1.25966</v>
      </c>
      <c r="P12">
        <v>1.2</v>
      </c>
    </row>
    <row r="13" spans="1:16" x14ac:dyDescent="0.2">
      <c r="A13">
        <v>2</v>
      </c>
      <c r="B13" t="s">
        <v>21</v>
      </c>
      <c r="C13" s="1" t="s">
        <v>20</v>
      </c>
      <c r="D13">
        <v>88</v>
      </c>
      <c r="E13">
        <v>8</v>
      </c>
      <c r="F13">
        <v>18</v>
      </c>
      <c r="N13">
        <f t="shared" si="1"/>
        <v>6.9950000000000001</v>
      </c>
    </row>
    <row r="14" spans="1:16" x14ac:dyDescent="0.2">
      <c r="A14">
        <v>2</v>
      </c>
      <c r="B14" t="s">
        <v>22</v>
      </c>
      <c r="C14" s="1" t="s">
        <v>20</v>
      </c>
      <c r="D14">
        <v>88</v>
      </c>
      <c r="E14">
        <v>8</v>
      </c>
      <c r="F14">
        <v>18</v>
      </c>
      <c r="N14">
        <f t="shared" si="1"/>
        <v>6.9950000000000001</v>
      </c>
    </row>
    <row r="15" spans="1:16" x14ac:dyDescent="0.2">
      <c r="A15">
        <v>2</v>
      </c>
      <c r="B15" t="s">
        <v>23</v>
      </c>
      <c r="C15" s="1" t="s">
        <v>20</v>
      </c>
      <c r="D15">
        <v>88</v>
      </c>
      <c r="E15">
        <v>8</v>
      </c>
      <c r="F15">
        <v>18</v>
      </c>
      <c r="N15">
        <f t="shared" si="1"/>
        <v>6.9950000000000001</v>
      </c>
    </row>
    <row r="16" spans="1:16" x14ac:dyDescent="0.2">
      <c r="A16">
        <v>2</v>
      </c>
      <c r="B16" t="s">
        <v>24</v>
      </c>
      <c r="C16" s="1" t="s">
        <v>20</v>
      </c>
      <c r="D16">
        <v>88</v>
      </c>
      <c r="E16">
        <v>8</v>
      </c>
      <c r="F16">
        <v>18</v>
      </c>
      <c r="N16">
        <f t="shared" si="1"/>
        <v>6.9950000000000001</v>
      </c>
    </row>
    <row r="17" spans="1:16" x14ac:dyDescent="0.2">
      <c r="A17">
        <v>2</v>
      </c>
      <c r="B17" t="s">
        <v>25</v>
      </c>
      <c r="C17" s="1" t="s">
        <v>20</v>
      </c>
      <c r="D17">
        <v>88</v>
      </c>
      <c r="E17">
        <v>8</v>
      </c>
      <c r="F17">
        <v>18</v>
      </c>
      <c r="N17">
        <f t="shared" si="1"/>
        <v>6.9950000000000001</v>
      </c>
    </row>
    <row r="18" spans="1:16" x14ac:dyDescent="0.2">
      <c r="A18">
        <v>3</v>
      </c>
      <c r="B18" t="s">
        <v>16</v>
      </c>
      <c r="C18" s="1" t="s">
        <v>20</v>
      </c>
      <c r="D18">
        <v>75</v>
      </c>
      <c r="E18">
        <v>6.4</v>
      </c>
      <c r="F18">
        <v>21.2</v>
      </c>
      <c r="G18">
        <v>6.6</v>
      </c>
      <c r="N18">
        <f t="shared" ref="N18:N25" si="2">AVERAGE(7.04,6.9)</f>
        <v>6.9700000000000006</v>
      </c>
    </row>
    <row r="19" spans="1:16" x14ac:dyDescent="0.2">
      <c r="A19">
        <v>3</v>
      </c>
      <c r="B19" t="s">
        <v>18</v>
      </c>
      <c r="C19" s="1" t="s">
        <v>20</v>
      </c>
      <c r="D19">
        <v>75</v>
      </c>
      <c r="E19">
        <v>6.4</v>
      </c>
      <c r="F19">
        <v>21.2</v>
      </c>
      <c r="G19">
        <v>6.6</v>
      </c>
      <c r="N19">
        <f t="shared" si="2"/>
        <v>6.9700000000000006</v>
      </c>
    </row>
    <row r="20" spans="1:16" x14ac:dyDescent="0.2">
      <c r="A20">
        <v>3</v>
      </c>
      <c r="B20" s="4" t="s">
        <v>19</v>
      </c>
      <c r="C20" s="1" t="s">
        <v>20</v>
      </c>
      <c r="D20">
        <v>75</v>
      </c>
      <c r="E20">
        <v>6.4</v>
      </c>
      <c r="F20">
        <v>21.2</v>
      </c>
      <c r="G20">
        <v>6.6</v>
      </c>
      <c r="K20">
        <v>5.3999999999999999E-2</v>
      </c>
      <c r="N20">
        <f t="shared" si="2"/>
        <v>6.9700000000000006</v>
      </c>
      <c r="O20">
        <f>0.21*K20+1.25</f>
        <v>1.2613399999999999</v>
      </c>
      <c r="P20">
        <v>1.05</v>
      </c>
    </row>
    <row r="21" spans="1:16" x14ac:dyDescent="0.2">
      <c r="A21">
        <v>3</v>
      </c>
      <c r="B21" t="s">
        <v>21</v>
      </c>
      <c r="C21" s="1" t="s">
        <v>20</v>
      </c>
      <c r="D21">
        <v>75</v>
      </c>
      <c r="E21">
        <v>6.4</v>
      </c>
      <c r="F21">
        <v>21.2</v>
      </c>
      <c r="G21">
        <v>6.6</v>
      </c>
      <c r="N21">
        <f t="shared" si="2"/>
        <v>6.9700000000000006</v>
      </c>
    </row>
    <row r="22" spans="1:16" x14ac:dyDescent="0.2">
      <c r="A22">
        <v>3</v>
      </c>
      <c r="B22" t="s">
        <v>22</v>
      </c>
      <c r="C22" s="1" t="s">
        <v>20</v>
      </c>
      <c r="D22">
        <v>75</v>
      </c>
      <c r="E22">
        <v>6.4</v>
      </c>
      <c r="F22">
        <v>21.2</v>
      </c>
      <c r="G22">
        <v>6.6</v>
      </c>
      <c r="N22">
        <f t="shared" si="2"/>
        <v>6.9700000000000006</v>
      </c>
    </row>
    <row r="23" spans="1:16" x14ac:dyDescent="0.2">
      <c r="A23">
        <v>3</v>
      </c>
      <c r="B23" t="s">
        <v>23</v>
      </c>
      <c r="C23" s="1" t="s">
        <v>20</v>
      </c>
      <c r="D23">
        <v>75</v>
      </c>
      <c r="E23">
        <v>6.4</v>
      </c>
      <c r="F23">
        <v>21.2</v>
      </c>
      <c r="G23">
        <v>6.6</v>
      </c>
      <c r="N23">
        <f t="shared" si="2"/>
        <v>6.9700000000000006</v>
      </c>
    </row>
    <row r="24" spans="1:16" x14ac:dyDescent="0.2">
      <c r="A24">
        <v>3</v>
      </c>
      <c r="B24" t="s">
        <v>24</v>
      </c>
      <c r="C24" s="1" t="s">
        <v>20</v>
      </c>
      <c r="D24">
        <v>75</v>
      </c>
      <c r="E24">
        <v>6.4</v>
      </c>
      <c r="F24">
        <v>21.2</v>
      </c>
      <c r="G24">
        <v>6.6</v>
      </c>
      <c r="N24">
        <f t="shared" si="2"/>
        <v>6.9700000000000006</v>
      </c>
    </row>
    <row r="25" spans="1:16" x14ac:dyDescent="0.2">
      <c r="A25">
        <v>3</v>
      </c>
      <c r="B25" t="s">
        <v>25</v>
      </c>
      <c r="C25" s="1" t="s">
        <v>20</v>
      </c>
      <c r="D25">
        <v>75</v>
      </c>
      <c r="E25">
        <v>6.4</v>
      </c>
      <c r="F25">
        <v>21.2</v>
      </c>
      <c r="G25">
        <v>6.6</v>
      </c>
      <c r="N25">
        <f t="shared" si="2"/>
        <v>6.9700000000000006</v>
      </c>
    </row>
    <row r="26" spans="1:16" x14ac:dyDescent="0.2">
      <c r="A26">
        <v>4</v>
      </c>
      <c r="B26" t="s">
        <v>16</v>
      </c>
      <c r="C26" s="1" t="s">
        <v>20</v>
      </c>
      <c r="D26">
        <v>92</v>
      </c>
      <c r="E26">
        <v>8.8000000000000007</v>
      </c>
      <c r="F26">
        <v>17</v>
      </c>
      <c r="N26">
        <f t="shared" ref="N26:N33" si="3">AVERAGE(7,7.06)</f>
        <v>7.0299999999999994</v>
      </c>
    </row>
    <row r="27" spans="1:16" x14ac:dyDescent="0.2">
      <c r="A27">
        <v>4</v>
      </c>
      <c r="B27" t="s">
        <v>18</v>
      </c>
      <c r="C27" s="1" t="s">
        <v>20</v>
      </c>
      <c r="D27">
        <v>92</v>
      </c>
      <c r="E27">
        <v>8.8000000000000007</v>
      </c>
      <c r="F27">
        <v>17</v>
      </c>
      <c r="N27">
        <f t="shared" si="3"/>
        <v>7.0299999999999994</v>
      </c>
    </row>
    <row r="28" spans="1:16" x14ac:dyDescent="0.2">
      <c r="A28">
        <v>4</v>
      </c>
      <c r="B28" s="4" t="s">
        <v>19</v>
      </c>
      <c r="C28" s="1" t="s">
        <v>20</v>
      </c>
      <c r="D28">
        <v>92</v>
      </c>
      <c r="E28">
        <v>8.8000000000000007</v>
      </c>
      <c r="F28">
        <v>17</v>
      </c>
      <c r="K28">
        <v>0.05</v>
      </c>
      <c r="M28" t="s">
        <v>26</v>
      </c>
      <c r="N28">
        <f t="shared" si="3"/>
        <v>7.0299999999999994</v>
      </c>
      <c r="O28">
        <f>0.21*K28+1.25</f>
        <v>1.2605</v>
      </c>
      <c r="P28">
        <v>1.1599999999999999</v>
      </c>
    </row>
    <row r="29" spans="1:16" x14ac:dyDescent="0.2">
      <c r="A29">
        <v>4</v>
      </c>
      <c r="B29" t="s">
        <v>21</v>
      </c>
      <c r="C29" s="1" t="s">
        <v>20</v>
      </c>
      <c r="D29">
        <v>92</v>
      </c>
      <c r="E29">
        <v>8.8000000000000007</v>
      </c>
      <c r="F29">
        <v>17</v>
      </c>
      <c r="N29">
        <f t="shared" si="3"/>
        <v>7.0299999999999994</v>
      </c>
    </row>
    <row r="30" spans="1:16" x14ac:dyDescent="0.2">
      <c r="A30">
        <v>4</v>
      </c>
      <c r="B30" t="s">
        <v>22</v>
      </c>
      <c r="C30" s="1" t="s">
        <v>20</v>
      </c>
      <c r="D30">
        <v>92</v>
      </c>
      <c r="E30">
        <v>8.8000000000000007</v>
      </c>
      <c r="F30">
        <v>17</v>
      </c>
      <c r="N30">
        <f t="shared" si="3"/>
        <v>7.0299999999999994</v>
      </c>
    </row>
    <row r="31" spans="1:16" x14ac:dyDescent="0.2">
      <c r="A31">
        <v>4</v>
      </c>
      <c r="B31" t="s">
        <v>23</v>
      </c>
      <c r="C31" s="1" t="s">
        <v>20</v>
      </c>
      <c r="D31">
        <v>92</v>
      </c>
      <c r="E31">
        <v>8.8000000000000007</v>
      </c>
      <c r="F31">
        <v>17</v>
      </c>
      <c r="N31">
        <f t="shared" si="3"/>
        <v>7.0299999999999994</v>
      </c>
    </row>
    <row r="32" spans="1:16" x14ac:dyDescent="0.2">
      <c r="A32">
        <v>4</v>
      </c>
      <c r="B32" t="s">
        <v>24</v>
      </c>
      <c r="C32" s="1" t="s">
        <v>20</v>
      </c>
      <c r="D32">
        <v>92</v>
      </c>
      <c r="E32">
        <v>8.8000000000000007</v>
      </c>
      <c r="F32">
        <v>17</v>
      </c>
      <c r="N32">
        <f t="shared" si="3"/>
        <v>7.0299999999999994</v>
      </c>
    </row>
    <row r="33" spans="1:14" x14ac:dyDescent="0.2">
      <c r="A33">
        <v>4</v>
      </c>
      <c r="B33" t="s">
        <v>25</v>
      </c>
      <c r="C33" s="1" t="s">
        <v>20</v>
      </c>
      <c r="D33">
        <v>92</v>
      </c>
      <c r="E33">
        <v>8.8000000000000007</v>
      </c>
      <c r="F33">
        <v>17</v>
      </c>
      <c r="N33">
        <f t="shared" si="3"/>
        <v>7.0299999999999994</v>
      </c>
    </row>
    <row r="34" spans="1:14" x14ac:dyDescent="0.2">
      <c r="A34">
        <v>1</v>
      </c>
      <c r="B34" t="s">
        <v>16</v>
      </c>
      <c r="C34" s="1" t="s">
        <v>27</v>
      </c>
      <c r="D34" t="s">
        <v>28</v>
      </c>
      <c r="E34" t="s">
        <v>28</v>
      </c>
      <c r="F34" t="s">
        <v>28</v>
      </c>
    </row>
    <row r="35" spans="1:14" x14ac:dyDescent="0.2">
      <c r="A35">
        <v>1</v>
      </c>
      <c r="B35" t="s">
        <v>18</v>
      </c>
      <c r="C35" s="1" t="s">
        <v>27</v>
      </c>
      <c r="D35">
        <v>83</v>
      </c>
      <c r="E35">
        <v>7.6</v>
      </c>
      <c r="F35">
        <v>17.8</v>
      </c>
      <c r="H35">
        <f>D35-Metadata!D3</f>
        <v>-1</v>
      </c>
    </row>
    <row r="36" spans="1:14" x14ac:dyDescent="0.2">
      <c r="A36">
        <v>1</v>
      </c>
      <c r="B36" s="4" t="s">
        <v>19</v>
      </c>
      <c r="C36" s="1" t="s">
        <v>27</v>
      </c>
      <c r="D36">
        <v>80</v>
      </c>
      <c r="E36">
        <v>7.1</v>
      </c>
      <c r="F36">
        <v>19.100000000000001</v>
      </c>
      <c r="H36">
        <f t="shared" ref="H36:H41" si="4">D36-D4</f>
        <v>-4</v>
      </c>
    </row>
    <row r="37" spans="1:14" x14ac:dyDescent="0.2">
      <c r="A37">
        <v>1</v>
      </c>
      <c r="B37" t="s">
        <v>21</v>
      </c>
      <c r="C37" s="1" t="s">
        <v>27</v>
      </c>
      <c r="D37">
        <v>83</v>
      </c>
      <c r="E37">
        <v>7.4</v>
      </c>
      <c r="F37">
        <v>18.8</v>
      </c>
      <c r="H37">
        <f t="shared" si="4"/>
        <v>-1</v>
      </c>
    </row>
    <row r="38" spans="1:14" x14ac:dyDescent="0.2">
      <c r="A38">
        <v>1</v>
      </c>
      <c r="B38" t="s">
        <v>22</v>
      </c>
      <c r="C38" s="1" t="s">
        <v>27</v>
      </c>
      <c r="D38">
        <v>85</v>
      </c>
      <c r="E38">
        <v>7.7</v>
      </c>
      <c r="F38">
        <v>17.8</v>
      </c>
      <c r="H38">
        <f t="shared" si="4"/>
        <v>1</v>
      </c>
    </row>
    <row r="39" spans="1:14" x14ac:dyDescent="0.2">
      <c r="A39">
        <v>1</v>
      </c>
      <c r="B39" t="s">
        <v>23</v>
      </c>
      <c r="C39" s="1" t="s">
        <v>27</v>
      </c>
      <c r="D39">
        <v>77</v>
      </c>
      <c r="E39">
        <v>6.7</v>
      </c>
      <c r="F39">
        <v>19.399999999999999</v>
      </c>
      <c r="H39">
        <f t="shared" si="4"/>
        <v>-7</v>
      </c>
    </row>
    <row r="40" spans="1:14" x14ac:dyDescent="0.2">
      <c r="A40">
        <v>1</v>
      </c>
      <c r="B40" t="s">
        <v>24</v>
      </c>
      <c r="C40" s="1" t="s">
        <v>27</v>
      </c>
      <c r="D40">
        <v>80</v>
      </c>
      <c r="E40">
        <v>7.4</v>
      </c>
      <c r="F40">
        <v>17.3</v>
      </c>
      <c r="H40">
        <f t="shared" si="4"/>
        <v>-4</v>
      </c>
    </row>
    <row r="41" spans="1:14" x14ac:dyDescent="0.2">
      <c r="A41">
        <v>1</v>
      </c>
      <c r="B41" t="s">
        <v>25</v>
      </c>
      <c r="C41" s="1" t="s">
        <v>27</v>
      </c>
      <c r="D41">
        <v>78</v>
      </c>
      <c r="E41">
        <v>7</v>
      </c>
      <c r="F41">
        <v>18.8</v>
      </c>
      <c r="H41">
        <f t="shared" si="4"/>
        <v>-6</v>
      </c>
    </row>
    <row r="42" spans="1:14" x14ac:dyDescent="0.2">
      <c r="A42">
        <v>2</v>
      </c>
      <c r="B42" t="s">
        <v>16</v>
      </c>
      <c r="C42" s="1" t="s">
        <v>27</v>
      </c>
      <c r="D42">
        <v>73</v>
      </c>
      <c r="E42">
        <v>6.6</v>
      </c>
      <c r="F42">
        <v>18.100000000000001</v>
      </c>
    </row>
    <row r="43" spans="1:14" x14ac:dyDescent="0.2">
      <c r="A43">
        <v>2</v>
      </c>
      <c r="B43" t="s">
        <v>18</v>
      </c>
      <c r="C43" s="1" t="s">
        <v>27</v>
      </c>
      <c r="D43">
        <v>87</v>
      </c>
      <c r="E43">
        <v>7.9</v>
      </c>
      <c r="F43">
        <v>18</v>
      </c>
    </row>
    <row r="44" spans="1:14" x14ac:dyDescent="0.2">
      <c r="A44">
        <v>2</v>
      </c>
      <c r="B44" s="4" t="s">
        <v>19</v>
      </c>
      <c r="C44" s="1" t="s">
        <v>27</v>
      </c>
      <c r="D44">
        <v>77</v>
      </c>
      <c r="E44">
        <v>7</v>
      </c>
      <c r="F44">
        <v>18</v>
      </c>
    </row>
    <row r="45" spans="1:14" x14ac:dyDescent="0.2">
      <c r="A45">
        <v>2</v>
      </c>
      <c r="B45" t="s">
        <v>21</v>
      </c>
      <c r="C45" s="1" t="s">
        <v>27</v>
      </c>
      <c r="D45">
        <v>82</v>
      </c>
      <c r="E45">
        <v>7.3</v>
      </c>
      <c r="F45">
        <v>19.100000000000001</v>
      </c>
    </row>
    <row r="46" spans="1:14" x14ac:dyDescent="0.2">
      <c r="A46">
        <v>2</v>
      </c>
      <c r="B46" t="s">
        <v>22</v>
      </c>
      <c r="C46" s="1" t="s">
        <v>27</v>
      </c>
      <c r="D46">
        <v>83</v>
      </c>
      <c r="E46">
        <v>7.6</v>
      </c>
      <c r="F46">
        <v>17.7</v>
      </c>
    </row>
    <row r="47" spans="1:14" x14ac:dyDescent="0.2">
      <c r="A47">
        <v>2</v>
      </c>
      <c r="B47" t="s">
        <v>23</v>
      </c>
      <c r="C47" s="1" t="s">
        <v>27</v>
      </c>
      <c r="D47" t="s">
        <v>28</v>
      </c>
      <c r="E47" t="s">
        <v>28</v>
      </c>
      <c r="F47" t="s">
        <v>28</v>
      </c>
    </row>
    <row r="48" spans="1:14" x14ac:dyDescent="0.2">
      <c r="A48">
        <v>2</v>
      </c>
      <c r="B48" t="s">
        <v>24</v>
      </c>
      <c r="C48" s="1" t="s">
        <v>27</v>
      </c>
      <c r="D48">
        <v>75</v>
      </c>
      <c r="E48">
        <v>6.8</v>
      </c>
      <c r="F48">
        <v>17.7</v>
      </c>
    </row>
    <row r="49" spans="1:6" x14ac:dyDescent="0.2">
      <c r="A49">
        <v>2</v>
      </c>
      <c r="B49" t="s">
        <v>25</v>
      </c>
      <c r="C49" s="1" t="s">
        <v>27</v>
      </c>
      <c r="D49">
        <v>80</v>
      </c>
      <c r="E49">
        <v>7.3</v>
      </c>
      <c r="F49">
        <v>17.7</v>
      </c>
    </row>
    <row r="50" spans="1:6" x14ac:dyDescent="0.2">
      <c r="A50">
        <v>3</v>
      </c>
      <c r="B50" t="s">
        <v>16</v>
      </c>
      <c r="C50" s="1" t="s">
        <v>27</v>
      </c>
      <c r="D50">
        <v>82</v>
      </c>
      <c r="E50">
        <v>7.5</v>
      </c>
      <c r="F50">
        <v>17.7</v>
      </c>
    </row>
    <row r="51" spans="1:6" x14ac:dyDescent="0.2">
      <c r="A51">
        <v>3</v>
      </c>
      <c r="B51" t="s">
        <v>18</v>
      </c>
      <c r="C51" s="1" t="s">
        <v>27</v>
      </c>
      <c r="D51">
        <v>82</v>
      </c>
      <c r="E51">
        <v>7.5</v>
      </c>
      <c r="F51">
        <v>17.8</v>
      </c>
    </row>
    <row r="52" spans="1:6" x14ac:dyDescent="0.2">
      <c r="A52">
        <v>3</v>
      </c>
      <c r="B52" s="4" t="s">
        <v>19</v>
      </c>
      <c r="C52" s="1" t="s">
        <v>27</v>
      </c>
      <c r="D52">
        <v>88</v>
      </c>
      <c r="E52">
        <v>8.1</v>
      </c>
      <c r="F52">
        <v>17.2</v>
      </c>
    </row>
    <row r="53" spans="1:6" x14ac:dyDescent="0.2">
      <c r="A53">
        <v>3</v>
      </c>
      <c r="B53" t="s">
        <v>21</v>
      </c>
      <c r="C53" s="1" t="s">
        <v>27</v>
      </c>
      <c r="D53">
        <v>84</v>
      </c>
      <c r="E53">
        <v>7.7</v>
      </c>
      <c r="F53">
        <v>17.399999999999999</v>
      </c>
    </row>
    <row r="54" spans="1:6" x14ac:dyDescent="0.2">
      <c r="A54">
        <v>3</v>
      </c>
      <c r="B54" t="s">
        <v>22</v>
      </c>
      <c r="C54" s="1" t="s">
        <v>27</v>
      </c>
      <c r="D54">
        <v>87</v>
      </c>
      <c r="E54">
        <v>8.1</v>
      </c>
      <c r="F54">
        <v>16.7</v>
      </c>
    </row>
    <row r="55" spans="1:6" x14ac:dyDescent="0.2">
      <c r="A55">
        <v>3</v>
      </c>
      <c r="B55" t="s">
        <v>23</v>
      </c>
      <c r="C55" s="1" t="s">
        <v>27</v>
      </c>
      <c r="D55">
        <v>82</v>
      </c>
      <c r="E55">
        <v>7.5</v>
      </c>
      <c r="F55">
        <v>17.8</v>
      </c>
    </row>
    <row r="56" spans="1:6" x14ac:dyDescent="0.2">
      <c r="A56">
        <v>3</v>
      </c>
      <c r="B56" t="s">
        <v>24</v>
      </c>
      <c r="C56" s="1" t="s">
        <v>27</v>
      </c>
      <c r="D56">
        <v>87</v>
      </c>
      <c r="E56">
        <v>8</v>
      </c>
      <c r="F56">
        <v>17.100000000000001</v>
      </c>
    </row>
    <row r="57" spans="1:6" x14ac:dyDescent="0.2">
      <c r="A57">
        <v>3</v>
      </c>
      <c r="B57" t="s">
        <v>25</v>
      </c>
      <c r="C57" s="1" t="s">
        <v>27</v>
      </c>
      <c r="D57">
        <v>86</v>
      </c>
      <c r="E57">
        <v>7.7</v>
      </c>
      <c r="F57">
        <v>17.5</v>
      </c>
    </row>
    <row r="58" spans="1:6" x14ac:dyDescent="0.2">
      <c r="A58">
        <v>4</v>
      </c>
      <c r="B58" t="s">
        <v>16</v>
      </c>
      <c r="C58" s="1" t="s">
        <v>27</v>
      </c>
      <c r="D58">
        <v>89.4</v>
      </c>
      <c r="E58">
        <v>8.08</v>
      </c>
      <c r="F58">
        <v>19.2</v>
      </c>
    </row>
    <row r="59" spans="1:6" x14ac:dyDescent="0.2">
      <c r="A59">
        <v>4</v>
      </c>
      <c r="B59" t="s">
        <v>18</v>
      </c>
      <c r="C59" s="1" t="s">
        <v>27</v>
      </c>
      <c r="D59">
        <v>96.7</v>
      </c>
      <c r="E59">
        <v>8.44</v>
      </c>
      <c r="F59">
        <v>21</v>
      </c>
    </row>
    <row r="60" spans="1:6" x14ac:dyDescent="0.2">
      <c r="A60">
        <v>4</v>
      </c>
      <c r="B60" s="4" t="s">
        <v>19</v>
      </c>
      <c r="C60" s="1" t="s">
        <v>27</v>
      </c>
      <c r="D60">
        <v>91</v>
      </c>
      <c r="E60">
        <v>8.09</v>
      </c>
      <c r="F60">
        <v>20</v>
      </c>
    </row>
    <row r="61" spans="1:6" x14ac:dyDescent="0.2">
      <c r="A61">
        <v>4</v>
      </c>
      <c r="B61" t="s">
        <v>21</v>
      </c>
      <c r="C61" s="1" t="s">
        <v>27</v>
      </c>
      <c r="D61">
        <v>93.6</v>
      </c>
      <c r="E61">
        <v>8.44</v>
      </c>
      <c r="F61">
        <v>19.5</v>
      </c>
    </row>
    <row r="62" spans="1:6" x14ac:dyDescent="0.2">
      <c r="A62">
        <v>4</v>
      </c>
      <c r="B62" t="s">
        <v>22</v>
      </c>
      <c r="C62" s="1" t="s">
        <v>27</v>
      </c>
      <c r="D62">
        <v>84.2</v>
      </c>
      <c r="E62">
        <v>7.27</v>
      </c>
      <c r="F62">
        <v>21.8</v>
      </c>
    </row>
    <row r="63" spans="1:6" x14ac:dyDescent="0.2">
      <c r="A63">
        <v>4</v>
      </c>
      <c r="B63" t="s">
        <v>23</v>
      </c>
      <c r="C63" s="1" t="s">
        <v>27</v>
      </c>
      <c r="D63">
        <v>100.7</v>
      </c>
      <c r="E63">
        <v>8.9600000000000009</v>
      </c>
      <c r="F63">
        <v>20.100000000000001</v>
      </c>
    </row>
    <row r="64" spans="1:6" x14ac:dyDescent="0.2">
      <c r="A64">
        <v>4</v>
      </c>
      <c r="B64" t="s">
        <v>24</v>
      </c>
      <c r="C64" s="1" t="s">
        <v>27</v>
      </c>
      <c r="D64">
        <v>89.2</v>
      </c>
      <c r="E64">
        <v>7.95</v>
      </c>
      <c r="F64">
        <v>20.2</v>
      </c>
    </row>
    <row r="65" spans="1:6" x14ac:dyDescent="0.2">
      <c r="A65">
        <v>4</v>
      </c>
      <c r="B65" t="s">
        <v>25</v>
      </c>
      <c r="C65" s="1" t="s">
        <v>27</v>
      </c>
      <c r="D65">
        <v>108.4</v>
      </c>
      <c r="E65">
        <v>9.86</v>
      </c>
      <c r="F65">
        <v>18.899999999999999</v>
      </c>
    </row>
    <row r="66" spans="1:6" x14ac:dyDescent="0.2">
      <c r="A66">
        <v>1</v>
      </c>
      <c r="B66" t="s">
        <v>16</v>
      </c>
      <c r="C66" s="1" t="s">
        <v>29</v>
      </c>
      <c r="D66" t="s">
        <v>28</v>
      </c>
      <c r="E66" t="s">
        <v>28</v>
      </c>
      <c r="F66" t="s">
        <v>28</v>
      </c>
    </row>
    <row r="67" spans="1:6" x14ac:dyDescent="0.2">
      <c r="A67">
        <v>1</v>
      </c>
      <c r="B67" t="s">
        <v>18</v>
      </c>
      <c r="C67" s="1" t="s">
        <v>29</v>
      </c>
      <c r="D67">
        <v>91</v>
      </c>
      <c r="E67">
        <v>8.1</v>
      </c>
      <c r="F67">
        <v>18.600000000000001</v>
      </c>
    </row>
    <row r="68" spans="1:6" x14ac:dyDescent="0.2">
      <c r="A68">
        <v>1</v>
      </c>
      <c r="B68" s="4" t="s">
        <v>19</v>
      </c>
      <c r="C68" s="1" t="s">
        <v>29</v>
      </c>
      <c r="D68">
        <v>89</v>
      </c>
      <c r="E68">
        <v>8.1</v>
      </c>
      <c r="F68">
        <v>18.3</v>
      </c>
    </row>
    <row r="69" spans="1:6" x14ac:dyDescent="0.2">
      <c r="A69">
        <v>1</v>
      </c>
      <c r="B69" t="s">
        <v>21</v>
      </c>
      <c r="C69" s="1" t="s">
        <v>29</v>
      </c>
      <c r="D69">
        <v>88</v>
      </c>
      <c r="E69">
        <v>7.9</v>
      </c>
      <c r="F69">
        <v>18.3</v>
      </c>
    </row>
    <row r="70" spans="1:6" x14ac:dyDescent="0.2">
      <c r="A70">
        <v>1</v>
      </c>
      <c r="B70" t="s">
        <v>22</v>
      </c>
      <c r="C70" s="1" t="s">
        <v>29</v>
      </c>
      <c r="D70">
        <v>91</v>
      </c>
      <c r="E70">
        <v>8.3000000000000007</v>
      </c>
      <c r="F70">
        <v>18.399999999999999</v>
      </c>
    </row>
    <row r="71" spans="1:6" x14ac:dyDescent="0.2">
      <c r="A71">
        <v>1</v>
      </c>
      <c r="B71" t="s">
        <v>23</v>
      </c>
      <c r="C71" s="1" t="s">
        <v>29</v>
      </c>
      <c r="D71">
        <v>87</v>
      </c>
      <c r="E71">
        <v>7.9</v>
      </c>
      <c r="F71">
        <v>18.8</v>
      </c>
    </row>
    <row r="72" spans="1:6" x14ac:dyDescent="0.2">
      <c r="A72">
        <v>1</v>
      </c>
      <c r="B72" t="s">
        <v>24</v>
      </c>
      <c r="C72" s="1" t="s">
        <v>29</v>
      </c>
      <c r="D72">
        <v>87</v>
      </c>
      <c r="E72">
        <v>7.7</v>
      </c>
      <c r="F72">
        <v>18.899999999999999</v>
      </c>
    </row>
    <row r="73" spans="1:6" x14ac:dyDescent="0.2">
      <c r="A73">
        <v>1</v>
      </c>
      <c r="B73" t="s">
        <v>25</v>
      </c>
      <c r="C73" s="1" t="s">
        <v>29</v>
      </c>
      <c r="D73">
        <v>87</v>
      </c>
      <c r="E73">
        <v>7.7</v>
      </c>
      <c r="F73">
        <v>18.899999999999999</v>
      </c>
    </row>
    <row r="74" spans="1:6" x14ac:dyDescent="0.2">
      <c r="A74">
        <v>2</v>
      </c>
      <c r="B74" t="s">
        <v>16</v>
      </c>
      <c r="C74" s="1" t="s">
        <v>29</v>
      </c>
      <c r="D74">
        <v>81</v>
      </c>
      <c r="E74">
        <v>6.3</v>
      </c>
      <c r="F74">
        <v>20</v>
      </c>
    </row>
    <row r="75" spans="1:6" x14ac:dyDescent="0.2">
      <c r="A75">
        <v>2</v>
      </c>
      <c r="B75" t="s">
        <v>18</v>
      </c>
      <c r="C75" s="1" t="s">
        <v>29</v>
      </c>
      <c r="D75" t="s">
        <v>28</v>
      </c>
      <c r="E75" t="s">
        <v>28</v>
      </c>
      <c r="F75" t="s">
        <v>28</v>
      </c>
    </row>
    <row r="76" spans="1:6" x14ac:dyDescent="0.2">
      <c r="A76">
        <v>2</v>
      </c>
      <c r="B76" s="4" t="s">
        <v>19</v>
      </c>
      <c r="C76" s="1" t="s">
        <v>29</v>
      </c>
      <c r="D76">
        <v>87.6</v>
      </c>
      <c r="E76">
        <v>7.6</v>
      </c>
      <c r="F76">
        <v>21</v>
      </c>
    </row>
    <row r="77" spans="1:6" x14ac:dyDescent="0.2">
      <c r="A77">
        <v>2</v>
      </c>
      <c r="B77" t="s">
        <v>21</v>
      </c>
      <c r="C77" s="1" t="s">
        <v>29</v>
      </c>
      <c r="D77">
        <v>88</v>
      </c>
      <c r="E77">
        <v>7.7</v>
      </c>
      <c r="F77">
        <v>19.899999999999999</v>
      </c>
    </row>
    <row r="78" spans="1:6" x14ac:dyDescent="0.2">
      <c r="A78">
        <v>2</v>
      </c>
      <c r="B78" t="s">
        <v>22</v>
      </c>
      <c r="C78" s="1" t="s">
        <v>29</v>
      </c>
      <c r="D78" t="s">
        <v>28</v>
      </c>
      <c r="E78" t="s">
        <v>28</v>
      </c>
      <c r="F78" t="s">
        <v>28</v>
      </c>
    </row>
    <row r="79" spans="1:6" x14ac:dyDescent="0.2">
      <c r="A79">
        <v>2</v>
      </c>
      <c r="B79" t="s">
        <v>23</v>
      </c>
      <c r="C79" s="1" t="s">
        <v>29</v>
      </c>
      <c r="D79" t="s">
        <v>28</v>
      </c>
      <c r="E79" t="s">
        <v>28</v>
      </c>
      <c r="F79" t="s">
        <v>28</v>
      </c>
    </row>
    <row r="80" spans="1:6" x14ac:dyDescent="0.2">
      <c r="A80">
        <v>2</v>
      </c>
      <c r="B80" t="s">
        <v>24</v>
      </c>
      <c r="C80" s="1" t="s">
        <v>29</v>
      </c>
      <c r="D80">
        <v>99.3</v>
      </c>
      <c r="E80">
        <v>8.9</v>
      </c>
      <c r="F80">
        <v>21.3</v>
      </c>
    </row>
    <row r="81" spans="1:6" x14ac:dyDescent="0.2">
      <c r="A81">
        <v>2</v>
      </c>
      <c r="B81" t="s">
        <v>25</v>
      </c>
      <c r="C81" s="1" t="s">
        <v>29</v>
      </c>
      <c r="D81">
        <v>103</v>
      </c>
      <c r="E81">
        <v>8.4</v>
      </c>
      <c r="F81">
        <v>21.5</v>
      </c>
    </row>
    <row r="82" spans="1:6" x14ac:dyDescent="0.2">
      <c r="A82">
        <v>3</v>
      </c>
      <c r="B82" t="s">
        <v>16</v>
      </c>
      <c r="C82" s="1" t="s">
        <v>29</v>
      </c>
      <c r="D82">
        <v>82</v>
      </c>
      <c r="E82">
        <v>7.4</v>
      </c>
      <c r="F82">
        <v>18.2</v>
      </c>
    </row>
    <row r="83" spans="1:6" x14ac:dyDescent="0.2">
      <c r="A83">
        <v>3</v>
      </c>
      <c r="B83" t="s">
        <v>18</v>
      </c>
      <c r="C83" s="1" t="s">
        <v>29</v>
      </c>
      <c r="D83">
        <v>85</v>
      </c>
      <c r="E83">
        <v>7.7</v>
      </c>
      <c r="F83">
        <v>18.3</v>
      </c>
    </row>
    <row r="84" spans="1:6" x14ac:dyDescent="0.2">
      <c r="A84">
        <v>3</v>
      </c>
      <c r="B84" s="4" t="s">
        <v>19</v>
      </c>
      <c r="C84" s="1" t="s">
        <v>29</v>
      </c>
      <c r="D84">
        <v>72</v>
      </c>
      <c r="E84">
        <v>6.1</v>
      </c>
      <c r="F84">
        <v>21.7</v>
      </c>
    </row>
    <row r="85" spans="1:6" x14ac:dyDescent="0.2">
      <c r="A85">
        <v>3</v>
      </c>
      <c r="B85" t="s">
        <v>21</v>
      </c>
      <c r="C85" s="1" t="s">
        <v>29</v>
      </c>
      <c r="D85">
        <v>93</v>
      </c>
      <c r="E85">
        <v>8.4</v>
      </c>
      <c r="F85">
        <v>18.3</v>
      </c>
    </row>
    <row r="86" spans="1:6" x14ac:dyDescent="0.2">
      <c r="A86">
        <v>3</v>
      </c>
      <c r="B86" t="s">
        <v>22</v>
      </c>
      <c r="C86" s="1" t="s">
        <v>29</v>
      </c>
      <c r="D86">
        <v>76</v>
      </c>
      <c r="E86">
        <v>6.8</v>
      </c>
      <c r="F86">
        <v>19.100000000000001</v>
      </c>
    </row>
    <row r="87" spans="1:6" x14ac:dyDescent="0.2">
      <c r="A87">
        <v>3</v>
      </c>
      <c r="B87" t="s">
        <v>23</v>
      </c>
      <c r="C87" s="1" t="s">
        <v>29</v>
      </c>
      <c r="D87">
        <v>81</v>
      </c>
      <c r="E87">
        <v>7.3</v>
      </c>
      <c r="F87">
        <v>18.399999999999999</v>
      </c>
    </row>
    <row r="88" spans="1:6" x14ac:dyDescent="0.2">
      <c r="A88">
        <v>3</v>
      </c>
      <c r="B88" t="s">
        <v>24</v>
      </c>
      <c r="C88" s="1" t="s">
        <v>29</v>
      </c>
      <c r="D88">
        <v>79</v>
      </c>
      <c r="E88">
        <v>7.1</v>
      </c>
      <c r="F88">
        <v>18.7</v>
      </c>
    </row>
    <row r="89" spans="1:6" x14ac:dyDescent="0.2">
      <c r="A89">
        <v>3</v>
      </c>
      <c r="B89" t="s">
        <v>25</v>
      </c>
      <c r="C89" s="1" t="s">
        <v>29</v>
      </c>
      <c r="D89">
        <v>82</v>
      </c>
      <c r="E89">
        <v>7.5</v>
      </c>
      <c r="F89">
        <v>18.2</v>
      </c>
    </row>
    <row r="90" spans="1:6" x14ac:dyDescent="0.2">
      <c r="A90">
        <v>4</v>
      </c>
      <c r="B90" t="s">
        <v>16</v>
      </c>
      <c r="C90" s="1" t="s">
        <v>29</v>
      </c>
      <c r="D90">
        <v>80</v>
      </c>
      <c r="E90">
        <v>7.4</v>
      </c>
      <c r="F90">
        <v>17.399999999999999</v>
      </c>
    </row>
    <row r="91" spans="1:6" x14ac:dyDescent="0.2">
      <c r="A91">
        <v>4</v>
      </c>
      <c r="B91" t="s">
        <v>18</v>
      </c>
      <c r="C91" s="1" t="s">
        <v>29</v>
      </c>
      <c r="D91">
        <v>81</v>
      </c>
      <c r="E91">
        <v>7.4</v>
      </c>
      <c r="F91">
        <v>17.899999999999999</v>
      </c>
    </row>
    <row r="92" spans="1:6" x14ac:dyDescent="0.2">
      <c r="A92">
        <v>4</v>
      </c>
      <c r="B92" s="4" t="s">
        <v>19</v>
      </c>
      <c r="C92" s="1" t="s">
        <v>29</v>
      </c>
      <c r="D92">
        <v>80</v>
      </c>
      <c r="E92">
        <v>7.2</v>
      </c>
      <c r="F92">
        <v>18.399999999999999</v>
      </c>
    </row>
    <row r="93" spans="1:6" x14ac:dyDescent="0.2">
      <c r="A93">
        <v>4</v>
      </c>
      <c r="B93" t="s">
        <v>21</v>
      </c>
      <c r="C93" s="1" t="s">
        <v>29</v>
      </c>
      <c r="D93">
        <v>80</v>
      </c>
      <c r="E93">
        <v>7.4</v>
      </c>
      <c r="F93">
        <v>17.399999999999999</v>
      </c>
    </row>
    <row r="94" spans="1:6" x14ac:dyDescent="0.2">
      <c r="A94">
        <v>4</v>
      </c>
      <c r="B94" t="s">
        <v>22</v>
      </c>
      <c r="C94" s="1" t="s">
        <v>29</v>
      </c>
      <c r="D94">
        <v>79</v>
      </c>
      <c r="E94">
        <v>6.9</v>
      </c>
      <c r="F94">
        <v>19.899999999999999</v>
      </c>
    </row>
    <row r="95" spans="1:6" x14ac:dyDescent="0.2">
      <c r="A95">
        <v>4</v>
      </c>
      <c r="B95" t="s">
        <v>23</v>
      </c>
      <c r="C95" s="1" t="s">
        <v>29</v>
      </c>
      <c r="D95">
        <v>76</v>
      </c>
      <c r="E95">
        <v>7</v>
      </c>
      <c r="F95">
        <v>17.600000000000001</v>
      </c>
    </row>
    <row r="96" spans="1:6" x14ac:dyDescent="0.2">
      <c r="A96">
        <v>4</v>
      </c>
      <c r="B96" t="s">
        <v>24</v>
      </c>
      <c r="C96" s="1" t="s">
        <v>29</v>
      </c>
      <c r="D96">
        <v>81</v>
      </c>
      <c r="E96">
        <v>7.3</v>
      </c>
      <c r="F96">
        <v>18.3</v>
      </c>
    </row>
    <row r="97" spans="1:6" x14ac:dyDescent="0.2">
      <c r="A97">
        <v>4</v>
      </c>
      <c r="B97" t="s">
        <v>25</v>
      </c>
      <c r="C97" s="1" t="s">
        <v>29</v>
      </c>
      <c r="D97">
        <v>75</v>
      </c>
      <c r="E97">
        <v>6.9</v>
      </c>
      <c r="F97">
        <v>17.7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24E09-8141-4AD8-9169-A9F8FCC8328C}">
  <dimension ref="A1:K1366"/>
  <sheetViews>
    <sheetView workbookViewId="0">
      <selection activeCell="B14" sqref="B14:B17"/>
    </sheetView>
  </sheetViews>
  <sheetFormatPr baseColWidth="10" defaultColWidth="8.83203125" defaultRowHeight="16" x14ac:dyDescent="0.2"/>
  <cols>
    <col min="4" max="4" width="11.6640625" style="26" customWidth="1"/>
    <col min="5" max="6" width="10.5" style="26" customWidth="1"/>
    <col min="7" max="7" width="15.33203125" style="27" customWidth="1"/>
    <col min="8" max="9" width="15.1640625" style="27" customWidth="1"/>
    <col min="10" max="10" width="16.33203125" style="28" customWidth="1"/>
    <col min="11" max="11" width="15.6640625" style="28" customWidth="1"/>
  </cols>
  <sheetData>
    <row r="1" spans="1:11" x14ac:dyDescent="0.2">
      <c r="A1" s="29" t="s">
        <v>30</v>
      </c>
      <c r="B1" s="29" t="s">
        <v>31</v>
      </c>
      <c r="C1" s="29" t="s">
        <v>2</v>
      </c>
      <c r="D1" s="30" t="s">
        <v>32</v>
      </c>
      <c r="E1" s="30" t="s">
        <v>33</v>
      </c>
      <c r="F1" s="30" t="s">
        <v>34</v>
      </c>
      <c r="G1" s="31" t="s">
        <v>35</v>
      </c>
      <c r="H1" s="31" t="s">
        <v>36</v>
      </c>
      <c r="I1" s="31" t="s">
        <v>37</v>
      </c>
      <c r="J1" s="32" t="s">
        <v>38</v>
      </c>
      <c r="K1" s="32" t="s">
        <v>39</v>
      </c>
    </row>
    <row r="2" spans="1:11" x14ac:dyDescent="0.2">
      <c r="A2" s="29">
        <v>1</v>
      </c>
      <c r="B2" s="29" t="s">
        <v>40</v>
      </c>
      <c r="C2" s="33" t="s">
        <v>20</v>
      </c>
      <c r="D2" s="34"/>
      <c r="E2" s="34">
        <v>84</v>
      </c>
      <c r="F2" s="34"/>
      <c r="G2" s="35"/>
      <c r="H2" s="35">
        <v>7.2</v>
      </c>
      <c r="I2" s="35"/>
      <c r="J2" s="36"/>
      <c r="K2" s="36">
        <v>20.9</v>
      </c>
    </row>
    <row r="3" spans="1:11" x14ac:dyDescent="0.2">
      <c r="A3" s="29">
        <v>1</v>
      </c>
      <c r="B3" s="29" t="s">
        <v>40</v>
      </c>
      <c r="C3" s="33" t="s">
        <v>20</v>
      </c>
      <c r="D3" s="34"/>
      <c r="E3" s="34">
        <v>84</v>
      </c>
      <c r="F3" s="34"/>
      <c r="G3" s="35"/>
      <c r="H3" s="35">
        <v>7.2</v>
      </c>
      <c r="I3" s="35"/>
      <c r="J3" s="36"/>
      <c r="K3" s="36">
        <v>20.9</v>
      </c>
    </row>
    <row r="4" spans="1:11" x14ac:dyDescent="0.2">
      <c r="A4" s="29">
        <v>1</v>
      </c>
      <c r="B4" s="29" t="s">
        <v>40</v>
      </c>
      <c r="C4" s="33" t="s">
        <v>20</v>
      </c>
      <c r="D4" s="34"/>
      <c r="E4" s="34">
        <v>84</v>
      </c>
      <c r="F4" s="34"/>
      <c r="G4" s="35"/>
      <c r="H4" s="35">
        <v>7.2</v>
      </c>
      <c r="I4" s="35"/>
      <c r="J4" s="36"/>
      <c r="K4" s="36">
        <v>20.9</v>
      </c>
    </row>
    <row r="5" spans="1:11" x14ac:dyDescent="0.2">
      <c r="A5" s="29">
        <v>1</v>
      </c>
      <c r="B5" s="29" t="s">
        <v>40</v>
      </c>
      <c r="C5" s="33" t="s">
        <v>20</v>
      </c>
      <c r="D5" s="34"/>
      <c r="E5" s="34">
        <v>84</v>
      </c>
      <c r="F5" s="34"/>
      <c r="G5" s="35"/>
      <c r="H5" s="35">
        <v>7.2</v>
      </c>
      <c r="I5" s="35"/>
      <c r="J5" s="36"/>
      <c r="K5" s="36">
        <v>20.9</v>
      </c>
    </row>
    <row r="6" spans="1:11" x14ac:dyDescent="0.2">
      <c r="A6" s="29">
        <v>2</v>
      </c>
      <c r="B6" s="29" t="s">
        <v>40</v>
      </c>
      <c r="C6" s="33" t="s">
        <v>20</v>
      </c>
      <c r="D6" s="34"/>
      <c r="E6" s="34">
        <v>88</v>
      </c>
      <c r="F6" s="34"/>
      <c r="G6" s="35"/>
      <c r="H6" s="35">
        <v>8</v>
      </c>
      <c r="I6" s="35"/>
      <c r="J6" s="36"/>
      <c r="K6" s="36">
        <v>18</v>
      </c>
    </row>
    <row r="7" spans="1:11" x14ac:dyDescent="0.2">
      <c r="A7" s="29">
        <v>2</v>
      </c>
      <c r="B7" s="29" t="s">
        <v>40</v>
      </c>
      <c r="C7" s="33" t="s">
        <v>20</v>
      </c>
      <c r="D7" s="34"/>
      <c r="E7" s="34">
        <v>88</v>
      </c>
      <c r="F7" s="34"/>
      <c r="G7" s="35"/>
      <c r="H7" s="35">
        <v>8</v>
      </c>
      <c r="I7" s="35"/>
      <c r="J7" s="36"/>
      <c r="K7" s="36">
        <v>18</v>
      </c>
    </row>
    <row r="8" spans="1:11" x14ac:dyDescent="0.2">
      <c r="A8" s="29">
        <v>2</v>
      </c>
      <c r="B8" s="29" t="s">
        <v>40</v>
      </c>
      <c r="C8" s="33" t="s">
        <v>20</v>
      </c>
      <c r="D8" s="34"/>
      <c r="E8" s="34">
        <v>88</v>
      </c>
      <c r="F8" s="34"/>
      <c r="G8" s="35"/>
      <c r="H8" s="35">
        <v>8</v>
      </c>
      <c r="I8" s="35"/>
      <c r="J8" s="36"/>
      <c r="K8" s="36">
        <v>18</v>
      </c>
    </row>
    <row r="9" spans="1:11" x14ac:dyDescent="0.2">
      <c r="A9" s="29">
        <v>2</v>
      </c>
      <c r="B9" s="29" t="s">
        <v>40</v>
      </c>
      <c r="C9" s="33" t="s">
        <v>20</v>
      </c>
      <c r="D9" s="34"/>
      <c r="E9" s="34">
        <v>88</v>
      </c>
      <c r="F9" s="34"/>
      <c r="G9" s="35"/>
      <c r="H9" s="35">
        <v>8</v>
      </c>
      <c r="I9" s="35"/>
      <c r="J9" s="36"/>
      <c r="K9" s="36">
        <v>18</v>
      </c>
    </row>
    <row r="10" spans="1:11" x14ac:dyDescent="0.2">
      <c r="A10" s="29">
        <v>3</v>
      </c>
      <c r="B10" s="29" t="s">
        <v>40</v>
      </c>
      <c r="C10" s="33" t="s">
        <v>20</v>
      </c>
      <c r="D10" s="34"/>
      <c r="E10" s="34">
        <v>75</v>
      </c>
      <c r="F10" s="34"/>
      <c r="G10" s="35"/>
      <c r="H10" s="35">
        <v>6.4</v>
      </c>
      <c r="I10" s="35"/>
      <c r="J10" s="36"/>
      <c r="K10" s="36">
        <v>21.2</v>
      </c>
    </row>
    <row r="11" spans="1:11" x14ac:dyDescent="0.2">
      <c r="A11" s="29">
        <v>3</v>
      </c>
      <c r="B11" s="29" t="s">
        <v>40</v>
      </c>
      <c r="C11" s="33" t="s">
        <v>20</v>
      </c>
      <c r="D11" s="34"/>
      <c r="E11" s="34">
        <v>75</v>
      </c>
      <c r="F11" s="34"/>
      <c r="G11" s="35"/>
      <c r="H11" s="35">
        <v>6.4</v>
      </c>
      <c r="I11" s="35"/>
      <c r="J11" s="36"/>
      <c r="K11" s="36">
        <v>21.2</v>
      </c>
    </row>
    <row r="12" spans="1:11" x14ac:dyDescent="0.2">
      <c r="A12" s="29">
        <v>3</v>
      </c>
      <c r="B12" s="29" t="s">
        <v>40</v>
      </c>
      <c r="C12" s="33" t="s">
        <v>20</v>
      </c>
      <c r="D12" s="34"/>
      <c r="E12" s="34">
        <v>75</v>
      </c>
      <c r="F12" s="34"/>
      <c r="G12" s="35"/>
      <c r="H12" s="35">
        <v>6.4</v>
      </c>
      <c r="I12" s="35"/>
      <c r="J12" s="36"/>
      <c r="K12" s="36">
        <v>21.2</v>
      </c>
    </row>
    <row r="13" spans="1:11" x14ac:dyDescent="0.2">
      <c r="A13" s="29">
        <v>3</v>
      </c>
      <c r="B13" s="29" t="s">
        <v>40</v>
      </c>
      <c r="C13" s="33" t="s">
        <v>20</v>
      </c>
      <c r="D13" s="34"/>
      <c r="E13" s="34">
        <v>75</v>
      </c>
      <c r="F13" s="34"/>
      <c r="G13" s="35"/>
      <c r="H13" s="35">
        <v>6.4</v>
      </c>
      <c r="I13" s="35"/>
      <c r="J13" s="36"/>
      <c r="K13" s="36">
        <v>21.2</v>
      </c>
    </row>
    <row r="14" spans="1:11" x14ac:dyDescent="0.2">
      <c r="A14" s="29">
        <v>4</v>
      </c>
      <c r="B14" s="29" t="s">
        <v>40</v>
      </c>
      <c r="C14" s="33" t="s">
        <v>20</v>
      </c>
      <c r="D14" s="34"/>
      <c r="E14" s="34">
        <v>92</v>
      </c>
      <c r="F14" s="34"/>
      <c r="G14" s="35"/>
      <c r="H14" s="35">
        <v>8.8000000000000007</v>
      </c>
      <c r="I14" s="35"/>
      <c r="J14" s="36"/>
      <c r="K14" s="36">
        <v>17</v>
      </c>
    </row>
    <row r="15" spans="1:11" x14ac:dyDescent="0.2">
      <c r="A15" s="29">
        <v>4</v>
      </c>
      <c r="B15" s="29" t="s">
        <v>40</v>
      </c>
      <c r="C15" s="33" t="s">
        <v>20</v>
      </c>
      <c r="D15" s="34"/>
      <c r="E15" s="34">
        <v>92</v>
      </c>
      <c r="F15" s="34"/>
      <c r="G15" s="35"/>
      <c r="H15" s="35">
        <v>8.8000000000000007</v>
      </c>
      <c r="I15" s="35"/>
      <c r="J15" s="36"/>
      <c r="K15" s="36">
        <v>17</v>
      </c>
    </row>
    <row r="16" spans="1:11" x14ac:dyDescent="0.2">
      <c r="A16" s="29">
        <v>4</v>
      </c>
      <c r="B16" s="29" t="s">
        <v>40</v>
      </c>
      <c r="C16" s="33" t="s">
        <v>20</v>
      </c>
      <c r="D16" s="34"/>
      <c r="E16" s="34">
        <v>92</v>
      </c>
      <c r="F16" s="34"/>
      <c r="G16" s="35"/>
      <c r="H16" s="35">
        <v>8.8000000000000007</v>
      </c>
      <c r="I16" s="35"/>
      <c r="J16" s="36"/>
      <c r="K16" s="36">
        <v>17</v>
      </c>
    </row>
    <row r="17" spans="1:11" x14ac:dyDescent="0.2">
      <c r="A17" s="29">
        <v>4</v>
      </c>
      <c r="B17" s="29" t="s">
        <v>40</v>
      </c>
      <c r="C17" s="33" t="s">
        <v>20</v>
      </c>
      <c r="D17" s="34"/>
      <c r="E17" s="34">
        <v>92</v>
      </c>
      <c r="F17" s="34"/>
      <c r="G17" s="35"/>
      <c r="H17" s="35">
        <v>8.8000000000000007</v>
      </c>
      <c r="I17" s="35"/>
      <c r="J17" s="36"/>
      <c r="K17" s="36">
        <v>17</v>
      </c>
    </row>
    <row r="18" spans="1:11" x14ac:dyDescent="0.2">
      <c r="A18" s="29">
        <v>1</v>
      </c>
      <c r="B18" s="29" t="s">
        <v>40</v>
      </c>
      <c r="C18" s="37" t="s">
        <v>41</v>
      </c>
      <c r="D18" s="34"/>
      <c r="E18" s="34">
        <v>80</v>
      </c>
      <c r="F18" s="34"/>
      <c r="G18" s="35"/>
      <c r="H18" s="35"/>
      <c r="I18" s="35"/>
      <c r="J18" s="36"/>
      <c r="K18" s="36">
        <v>19.100000000000001</v>
      </c>
    </row>
    <row r="19" spans="1:11" x14ac:dyDescent="0.2">
      <c r="A19" s="29">
        <v>1</v>
      </c>
      <c r="B19" s="29" t="s">
        <v>42</v>
      </c>
      <c r="C19" s="37" t="s">
        <v>41</v>
      </c>
      <c r="D19" s="34">
        <v>85</v>
      </c>
      <c r="E19" s="34">
        <v>77</v>
      </c>
      <c r="F19" s="34">
        <f>E19-D19</f>
        <v>-8</v>
      </c>
      <c r="G19" s="35">
        <v>7.7</v>
      </c>
      <c r="H19" s="35">
        <v>6.7</v>
      </c>
      <c r="I19" s="35">
        <f>H19-G19</f>
        <v>-1</v>
      </c>
      <c r="J19" s="36">
        <v>17.8</v>
      </c>
      <c r="K19" s="36">
        <v>19.399999999999999</v>
      </c>
    </row>
    <row r="20" spans="1:11" x14ac:dyDescent="0.2">
      <c r="A20" s="29">
        <v>1</v>
      </c>
      <c r="B20" s="29" t="s">
        <v>43</v>
      </c>
      <c r="C20" s="37" t="s">
        <v>41</v>
      </c>
      <c r="D20" s="34">
        <v>83</v>
      </c>
      <c r="E20" s="34">
        <v>83</v>
      </c>
      <c r="F20" s="34">
        <f>E20-D20</f>
        <v>0</v>
      </c>
      <c r="G20" s="35">
        <v>7.4</v>
      </c>
      <c r="H20" s="35">
        <v>7.9</v>
      </c>
      <c r="I20" s="35">
        <f>H20-G20</f>
        <v>0.5</v>
      </c>
      <c r="J20" s="36">
        <v>18.8</v>
      </c>
      <c r="K20" s="36">
        <v>17.8</v>
      </c>
    </row>
    <row r="21" spans="1:11" x14ac:dyDescent="0.2">
      <c r="A21" s="29">
        <v>1</v>
      </c>
      <c r="B21" s="29" t="s">
        <v>44</v>
      </c>
      <c r="C21" s="37" t="s">
        <v>41</v>
      </c>
      <c r="D21" s="34">
        <v>78</v>
      </c>
      <c r="E21" s="34">
        <v>80</v>
      </c>
      <c r="F21" s="34">
        <f>E21-D21</f>
        <v>2</v>
      </c>
      <c r="G21" s="35">
        <v>7</v>
      </c>
      <c r="H21" s="35">
        <v>7.4</v>
      </c>
      <c r="I21" s="35">
        <f>H21-G21</f>
        <v>0.40000000000000036</v>
      </c>
      <c r="J21" s="36">
        <v>18.8</v>
      </c>
      <c r="K21" s="36">
        <v>17.3</v>
      </c>
    </row>
    <row r="22" spans="1:11" x14ac:dyDescent="0.2">
      <c r="A22" s="29">
        <v>2</v>
      </c>
      <c r="B22" s="29" t="s">
        <v>40</v>
      </c>
      <c r="C22" s="37" t="s">
        <v>41</v>
      </c>
      <c r="D22" s="34">
        <v>73</v>
      </c>
      <c r="E22" s="34">
        <v>77</v>
      </c>
      <c r="F22" s="34">
        <f>E22-D22</f>
        <v>4</v>
      </c>
      <c r="G22" s="35">
        <v>6.7</v>
      </c>
      <c r="H22" s="35">
        <v>7</v>
      </c>
      <c r="I22" s="35">
        <f>H22-G22</f>
        <v>0.29999999999999982</v>
      </c>
      <c r="J22" s="36">
        <v>18.100000000000001</v>
      </c>
      <c r="K22" s="36">
        <v>18</v>
      </c>
    </row>
    <row r="23" spans="1:11" x14ac:dyDescent="0.2">
      <c r="A23" s="29">
        <v>2</v>
      </c>
      <c r="B23" s="29" t="s">
        <v>42</v>
      </c>
      <c r="C23" s="37" t="s">
        <v>41</v>
      </c>
      <c r="D23" s="34">
        <v>83</v>
      </c>
      <c r="E23" s="34"/>
      <c r="F23" s="34"/>
      <c r="G23" s="35">
        <v>7.6</v>
      </c>
      <c r="H23" s="35"/>
      <c r="I23" s="35"/>
      <c r="J23" s="36">
        <v>17.7</v>
      </c>
      <c r="K23" s="36"/>
    </row>
    <row r="24" spans="1:11" x14ac:dyDescent="0.2">
      <c r="A24" s="29">
        <v>2</v>
      </c>
      <c r="B24" s="29" t="s">
        <v>43</v>
      </c>
      <c r="C24" s="37" t="s">
        <v>41</v>
      </c>
      <c r="D24" s="34">
        <v>82</v>
      </c>
      <c r="E24" s="34">
        <v>87</v>
      </c>
      <c r="F24" s="34">
        <f t="shared" ref="F24:F49" si="0">E24-D24</f>
        <v>5</v>
      </c>
      <c r="G24" s="35">
        <v>7.3</v>
      </c>
      <c r="H24" s="35">
        <v>7.9</v>
      </c>
      <c r="I24" s="35">
        <f t="shared" ref="I24:I33" si="1">H24-G24</f>
        <v>0.60000000000000053</v>
      </c>
      <c r="J24" s="36">
        <v>19.100000000000001</v>
      </c>
      <c r="K24" s="36">
        <v>18</v>
      </c>
    </row>
    <row r="25" spans="1:11" x14ac:dyDescent="0.2">
      <c r="A25" s="29">
        <v>2</v>
      </c>
      <c r="B25" s="29" t="s">
        <v>44</v>
      </c>
      <c r="C25" s="37" t="s">
        <v>41</v>
      </c>
      <c r="D25" s="34">
        <v>80</v>
      </c>
      <c r="E25" s="34">
        <v>75</v>
      </c>
      <c r="F25" s="34">
        <f t="shared" si="0"/>
        <v>-5</v>
      </c>
      <c r="G25" s="35">
        <v>7.3</v>
      </c>
      <c r="H25" s="35">
        <v>6.8</v>
      </c>
      <c r="I25" s="35">
        <f t="shared" si="1"/>
        <v>-0.5</v>
      </c>
      <c r="J25" s="36">
        <v>17.7</v>
      </c>
      <c r="K25" s="36">
        <v>17.7</v>
      </c>
    </row>
    <row r="26" spans="1:11" x14ac:dyDescent="0.2">
      <c r="A26" s="29">
        <v>3</v>
      </c>
      <c r="B26" s="29" t="s">
        <v>40</v>
      </c>
      <c r="C26" s="37" t="s">
        <v>41</v>
      </c>
      <c r="D26" s="34">
        <v>82</v>
      </c>
      <c r="E26" s="34">
        <v>88</v>
      </c>
      <c r="F26" s="34">
        <f t="shared" si="0"/>
        <v>6</v>
      </c>
      <c r="G26" s="35">
        <v>7.5</v>
      </c>
      <c r="H26" s="35">
        <v>8.1</v>
      </c>
      <c r="I26" s="35">
        <f t="shared" si="1"/>
        <v>0.59999999999999964</v>
      </c>
      <c r="J26" s="36">
        <v>17.7</v>
      </c>
      <c r="K26" s="36">
        <v>17.2</v>
      </c>
    </row>
    <row r="27" spans="1:11" x14ac:dyDescent="0.2">
      <c r="A27" s="29">
        <v>3</v>
      </c>
      <c r="B27" s="29" t="s">
        <v>42</v>
      </c>
      <c r="C27" s="37" t="s">
        <v>41</v>
      </c>
      <c r="D27" s="34">
        <v>87</v>
      </c>
      <c r="E27" s="34">
        <v>82</v>
      </c>
      <c r="F27" s="34">
        <f t="shared" si="0"/>
        <v>-5</v>
      </c>
      <c r="G27" s="35">
        <v>8.1</v>
      </c>
      <c r="H27" s="35">
        <v>7.5</v>
      </c>
      <c r="I27" s="35">
        <f t="shared" si="1"/>
        <v>-0.59999999999999964</v>
      </c>
      <c r="J27" s="36">
        <v>16.7</v>
      </c>
      <c r="K27" s="36">
        <v>17.8</v>
      </c>
    </row>
    <row r="28" spans="1:11" x14ac:dyDescent="0.2">
      <c r="A28" s="29">
        <v>3</v>
      </c>
      <c r="B28" s="29" t="s">
        <v>43</v>
      </c>
      <c r="C28" s="37" t="s">
        <v>41</v>
      </c>
      <c r="D28" s="34">
        <v>84</v>
      </c>
      <c r="E28" s="34">
        <v>82</v>
      </c>
      <c r="F28" s="34">
        <f t="shared" si="0"/>
        <v>-2</v>
      </c>
      <c r="G28" s="35">
        <v>7.7</v>
      </c>
      <c r="H28" s="35">
        <v>7.5</v>
      </c>
      <c r="I28" s="35">
        <f t="shared" si="1"/>
        <v>-0.20000000000000018</v>
      </c>
      <c r="J28" s="36">
        <v>17.399999999999999</v>
      </c>
      <c r="K28" s="36">
        <v>17.8</v>
      </c>
    </row>
    <row r="29" spans="1:11" x14ac:dyDescent="0.2">
      <c r="A29" s="29">
        <v>3</v>
      </c>
      <c r="B29" s="29" t="s">
        <v>44</v>
      </c>
      <c r="C29" s="37" t="s">
        <v>41</v>
      </c>
      <c r="D29" s="34">
        <v>86</v>
      </c>
      <c r="E29" s="34">
        <v>87</v>
      </c>
      <c r="F29" s="34">
        <f t="shared" si="0"/>
        <v>1</v>
      </c>
      <c r="G29" s="35">
        <v>7.7</v>
      </c>
      <c r="H29" s="35">
        <v>8</v>
      </c>
      <c r="I29" s="35">
        <f t="shared" si="1"/>
        <v>0.29999999999999982</v>
      </c>
      <c r="J29" s="36">
        <v>17.5</v>
      </c>
      <c r="K29" s="36">
        <v>17.100000000000001</v>
      </c>
    </row>
    <row r="30" spans="1:11" x14ac:dyDescent="0.2">
      <c r="A30" s="29">
        <v>4</v>
      </c>
      <c r="B30" s="29" t="s">
        <v>40</v>
      </c>
      <c r="C30" s="37" t="s">
        <v>41</v>
      </c>
      <c r="D30" s="34">
        <v>89.4</v>
      </c>
      <c r="E30" s="34">
        <v>91</v>
      </c>
      <c r="F30" s="34">
        <f t="shared" si="0"/>
        <v>1.5999999999999943</v>
      </c>
      <c r="G30" s="35">
        <v>8.08</v>
      </c>
      <c r="H30" s="35">
        <v>8.09</v>
      </c>
      <c r="I30" s="35">
        <f t="shared" si="1"/>
        <v>9.9999999999997868E-3</v>
      </c>
      <c r="J30" s="36">
        <v>19.2</v>
      </c>
      <c r="K30" s="36">
        <v>20</v>
      </c>
    </row>
    <row r="31" spans="1:11" x14ac:dyDescent="0.2">
      <c r="A31" s="29">
        <v>4</v>
      </c>
      <c r="B31" s="29" t="s">
        <v>42</v>
      </c>
      <c r="C31" s="37" t="s">
        <v>41</v>
      </c>
      <c r="D31" s="34">
        <v>84.2</v>
      </c>
      <c r="E31" s="34">
        <v>100.7</v>
      </c>
      <c r="F31" s="34">
        <f t="shared" si="0"/>
        <v>16.5</v>
      </c>
      <c r="G31" s="35">
        <v>7.27</v>
      </c>
      <c r="H31" s="35">
        <v>8.9600000000000009</v>
      </c>
      <c r="I31" s="35">
        <f t="shared" si="1"/>
        <v>1.6900000000000013</v>
      </c>
      <c r="J31" s="36">
        <v>21.8</v>
      </c>
      <c r="K31" s="36">
        <v>20.100000000000001</v>
      </c>
    </row>
    <row r="32" spans="1:11" x14ac:dyDescent="0.2">
      <c r="A32" s="29">
        <v>4</v>
      </c>
      <c r="B32" s="29" t="s">
        <v>43</v>
      </c>
      <c r="C32" s="37" t="s">
        <v>41</v>
      </c>
      <c r="D32" s="34">
        <v>93.6</v>
      </c>
      <c r="E32" s="34">
        <v>96.7</v>
      </c>
      <c r="F32" s="34">
        <f t="shared" si="0"/>
        <v>3.1000000000000085</v>
      </c>
      <c r="G32" s="35">
        <v>8.44</v>
      </c>
      <c r="H32" s="35">
        <v>8.44</v>
      </c>
      <c r="I32" s="35">
        <f t="shared" si="1"/>
        <v>0</v>
      </c>
      <c r="J32" s="36">
        <v>19.5</v>
      </c>
      <c r="K32" s="36">
        <v>21</v>
      </c>
    </row>
    <row r="33" spans="1:11" x14ac:dyDescent="0.2">
      <c r="A33" s="29">
        <v>4</v>
      </c>
      <c r="B33" s="29" t="s">
        <v>44</v>
      </c>
      <c r="C33" s="37" t="s">
        <v>41</v>
      </c>
      <c r="D33" s="34">
        <v>108.4</v>
      </c>
      <c r="E33" s="34">
        <v>89.2</v>
      </c>
      <c r="F33" s="34">
        <f t="shared" si="0"/>
        <v>-19.200000000000003</v>
      </c>
      <c r="G33" s="35">
        <v>9.86</v>
      </c>
      <c r="H33" s="35">
        <v>7.95</v>
      </c>
      <c r="I33" s="35">
        <f t="shared" si="1"/>
        <v>-1.9099999999999993</v>
      </c>
      <c r="J33" s="36">
        <v>18.899999999999999</v>
      </c>
      <c r="K33" s="36">
        <v>20.2</v>
      </c>
    </row>
    <row r="34" spans="1:11" x14ac:dyDescent="0.2">
      <c r="A34" s="29">
        <v>1</v>
      </c>
      <c r="B34" s="29" t="s">
        <v>40</v>
      </c>
      <c r="C34" s="29" t="s">
        <v>45</v>
      </c>
      <c r="D34" s="34"/>
      <c r="E34" s="34">
        <v>89</v>
      </c>
      <c r="F34" s="34"/>
      <c r="G34" s="35"/>
      <c r="H34" s="35">
        <v>8.1</v>
      </c>
      <c r="I34" s="35"/>
      <c r="J34" s="36"/>
      <c r="K34" s="36">
        <v>18.3</v>
      </c>
    </row>
    <row r="35" spans="1:11" x14ac:dyDescent="0.2">
      <c r="A35" s="29">
        <v>1</v>
      </c>
      <c r="B35" s="29" t="s">
        <v>42</v>
      </c>
      <c r="C35" s="29" t="s">
        <v>45</v>
      </c>
      <c r="D35" s="34">
        <v>91</v>
      </c>
      <c r="E35" s="34">
        <v>87</v>
      </c>
      <c r="F35" s="34">
        <f>E35-D35</f>
        <v>-4</v>
      </c>
      <c r="G35" s="35">
        <v>8.3000000000000007</v>
      </c>
      <c r="H35" s="35">
        <v>7.9</v>
      </c>
      <c r="I35" s="35">
        <f>H35-G35</f>
        <v>-0.40000000000000036</v>
      </c>
      <c r="J35" s="36">
        <v>18.399999999999999</v>
      </c>
      <c r="K35" s="36">
        <v>18.8</v>
      </c>
    </row>
    <row r="36" spans="1:11" x14ac:dyDescent="0.2">
      <c r="A36" s="29">
        <v>1</v>
      </c>
      <c r="B36" s="29" t="s">
        <v>43</v>
      </c>
      <c r="C36" s="29" t="s">
        <v>45</v>
      </c>
      <c r="D36" s="34">
        <v>88</v>
      </c>
      <c r="E36" s="34">
        <v>91</v>
      </c>
      <c r="F36" s="34">
        <f t="shared" si="0"/>
        <v>3</v>
      </c>
      <c r="G36" s="35">
        <v>7.9</v>
      </c>
      <c r="H36" s="35">
        <v>8.1</v>
      </c>
      <c r="I36" s="35">
        <f>H36-G36</f>
        <v>0.19999999999999929</v>
      </c>
      <c r="J36" s="36">
        <v>18.3</v>
      </c>
      <c r="K36" s="36">
        <v>18.600000000000001</v>
      </c>
    </row>
    <row r="37" spans="1:11" x14ac:dyDescent="0.2">
      <c r="A37" s="29">
        <v>1</v>
      </c>
      <c r="B37" s="29" t="s">
        <v>44</v>
      </c>
      <c r="C37" s="29" t="s">
        <v>45</v>
      </c>
      <c r="D37" s="34">
        <v>87</v>
      </c>
      <c r="E37" s="34">
        <v>87</v>
      </c>
      <c r="F37" s="34">
        <f t="shared" si="0"/>
        <v>0</v>
      </c>
      <c r="G37" s="35">
        <v>7.7</v>
      </c>
      <c r="H37" s="35">
        <v>7.7</v>
      </c>
      <c r="I37" s="35">
        <f>H37-G37</f>
        <v>0</v>
      </c>
      <c r="J37" s="36">
        <v>18.899999999999999</v>
      </c>
      <c r="K37" s="36">
        <v>18.899999999999999</v>
      </c>
    </row>
    <row r="38" spans="1:11" x14ac:dyDescent="0.2">
      <c r="A38" s="29">
        <v>2</v>
      </c>
      <c r="B38" s="29" t="s">
        <v>40</v>
      </c>
      <c r="C38" s="29" t="s">
        <v>45</v>
      </c>
      <c r="D38" s="34">
        <v>81</v>
      </c>
      <c r="E38" s="34">
        <v>87.6</v>
      </c>
      <c r="F38" s="34">
        <f t="shared" si="0"/>
        <v>6.5999999999999943</v>
      </c>
      <c r="G38" s="35">
        <v>6.3</v>
      </c>
      <c r="H38" s="35">
        <v>7.6</v>
      </c>
      <c r="I38" s="35">
        <f>H38-G38</f>
        <v>1.2999999999999998</v>
      </c>
      <c r="J38" s="36">
        <v>20</v>
      </c>
      <c r="K38" s="36">
        <v>21</v>
      </c>
    </row>
    <row r="39" spans="1:11" x14ac:dyDescent="0.2">
      <c r="A39" s="29">
        <v>2</v>
      </c>
      <c r="B39" s="29" t="s">
        <v>42</v>
      </c>
      <c r="C39" s="29" t="s">
        <v>45</v>
      </c>
      <c r="D39" s="34"/>
      <c r="E39" s="34"/>
      <c r="F39" s="34"/>
      <c r="G39" s="35"/>
      <c r="H39" s="35"/>
      <c r="I39" s="35"/>
      <c r="J39" s="36"/>
      <c r="K39" s="36"/>
    </row>
    <row r="40" spans="1:11" x14ac:dyDescent="0.2">
      <c r="A40" s="29">
        <v>2</v>
      </c>
      <c r="B40" s="29" t="s">
        <v>43</v>
      </c>
      <c r="C40" s="29" t="s">
        <v>45</v>
      </c>
      <c r="D40" s="34">
        <v>88</v>
      </c>
      <c r="E40" s="34"/>
      <c r="F40" s="34"/>
      <c r="G40" s="35">
        <v>7.7</v>
      </c>
      <c r="H40" s="35"/>
      <c r="I40" s="35"/>
      <c r="J40" s="36">
        <v>19.899999999999999</v>
      </c>
      <c r="K40" s="36"/>
    </row>
    <row r="41" spans="1:11" x14ac:dyDescent="0.2">
      <c r="A41" s="29">
        <v>2</v>
      </c>
      <c r="B41" s="29" t="s">
        <v>44</v>
      </c>
      <c r="C41" s="29" t="s">
        <v>45</v>
      </c>
      <c r="D41" s="34">
        <v>103</v>
      </c>
      <c r="E41" s="34">
        <v>99.3</v>
      </c>
      <c r="F41" s="34">
        <f>E41-D41</f>
        <v>-3.7000000000000028</v>
      </c>
      <c r="G41" s="35">
        <v>8.4</v>
      </c>
      <c r="H41" s="35">
        <v>8.9</v>
      </c>
      <c r="I41" s="35">
        <v>0.5</v>
      </c>
      <c r="J41" s="36">
        <v>21.4</v>
      </c>
      <c r="K41" s="36">
        <v>21.3</v>
      </c>
    </row>
    <row r="42" spans="1:11" x14ac:dyDescent="0.2">
      <c r="A42" s="29">
        <v>3</v>
      </c>
      <c r="B42" s="29" t="s">
        <v>40</v>
      </c>
      <c r="C42" s="29" t="s">
        <v>45</v>
      </c>
      <c r="D42" s="34">
        <v>82</v>
      </c>
      <c r="E42" s="34">
        <v>72</v>
      </c>
      <c r="F42" s="34">
        <f t="shared" si="0"/>
        <v>-10</v>
      </c>
      <c r="G42" s="35">
        <v>7.4</v>
      </c>
      <c r="H42" s="35">
        <v>6.1</v>
      </c>
      <c r="I42" s="35">
        <f t="shared" ref="I42:I49" si="2">H42-G42</f>
        <v>-1.3000000000000007</v>
      </c>
      <c r="J42" s="36">
        <v>18.2</v>
      </c>
      <c r="K42" s="36">
        <v>21.7</v>
      </c>
    </row>
    <row r="43" spans="1:11" x14ac:dyDescent="0.2">
      <c r="A43" s="29">
        <v>3</v>
      </c>
      <c r="B43" s="29" t="s">
        <v>42</v>
      </c>
      <c r="C43" s="29" t="s">
        <v>45</v>
      </c>
      <c r="D43" s="34">
        <v>76</v>
      </c>
      <c r="E43" s="34">
        <v>81</v>
      </c>
      <c r="F43" s="34">
        <f t="shared" si="0"/>
        <v>5</v>
      </c>
      <c r="G43" s="35">
        <v>6.8</v>
      </c>
      <c r="H43" s="35">
        <v>7.3</v>
      </c>
      <c r="I43" s="35">
        <f t="shared" si="2"/>
        <v>0.5</v>
      </c>
      <c r="J43" s="36">
        <v>19.100000000000001</v>
      </c>
      <c r="K43" s="36">
        <v>18.399999999999999</v>
      </c>
    </row>
    <row r="44" spans="1:11" x14ac:dyDescent="0.2">
      <c r="A44" s="29">
        <v>3</v>
      </c>
      <c r="B44" s="29" t="s">
        <v>43</v>
      </c>
      <c r="C44" s="29" t="s">
        <v>45</v>
      </c>
      <c r="D44" s="34">
        <v>93</v>
      </c>
      <c r="E44" s="34">
        <v>85</v>
      </c>
      <c r="F44" s="34">
        <f t="shared" si="0"/>
        <v>-8</v>
      </c>
      <c r="G44" s="35">
        <v>8.4</v>
      </c>
      <c r="H44" s="35">
        <v>7.7</v>
      </c>
      <c r="I44" s="35">
        <f t="shared" si="2"/>
        <v>-0.70000000000000018</v>
      </c>
      <c r="J44" s="36">
        <v>18.3</v>
      </c>
      <c r="K44" s="36">
        <v>18.3</v>
      </c>
    </row>
    <row r="45" spans="1:11" x14ac:dyDescent="0.2">
      <c r="A45" s="29">
        <v>3</v>
      </c>
      <c r="B45" s="29" t="s">
        <v>44</v>
      </c>
      <c r="C45" s="29" t="s">
        <v>45</v>
      </c>
      <c r="D45" s="34">
        <v>82</v>
      </c>
      <c r="E45" s="34">
        <v>79</v>
      </c>
      <c r="F45" s="34">
        <f t="shared" si="0"/>
        <v>-3</v>
      </c>
      <c r="G45" s="35">
        <v>7.5</v>
      </c>
      <c r="H45" s="35">
        <v>7.1</v>
      </c>
      <c r="I45" s="35">
        <f t="shared" si="2"/>
        <v>-0.40000000000000036</v>
      </c>
      <c r="J45" s="36">
        <v>18.2</v>
      </c>
      <c r="K45" s="36">
        <v>18.7</v>
      </c>
    </row>
    <row r="46" spans="1:11" x14ac:dyDescent="0.2">
      <c r="A46" s="29">
        <v>4</v>
      </c>
      <c r="B46" s="29" t="s">
        <v>40</v>
      </c>
      <c r="C46" s="29" t="s">
        <v>45</v>
      </c>
      <c r="D46" s="34">
        <v>80</v>
      </c>
      <c r="E46" s="34">
        <v>80</v>
      </c>
      <c r="F46" s="34">
        <f t="shared" si="0"/>
        <v>0</v>
      </c>
      <c r="G46" s="35">
        <v>7.4</v>
      </c>
      <c r="H46" s="35">
        <v>7.2</v>
      </c>
      <c r="I46" s="35">
        <f t="shared" si="2"/>
        <v>-0.20000000000000018</v>
      </c>
      <c r="J46" s="36">
        <v>17.399999999999999</v>
      </c>
      <c r="K46" s="36">
        <v>18.399999999999999</v>
      </c>
    </row>
    <row r="47" spans="1:11" x14ac:dyDescent="0.2">
      <c r="A47" s="29">
        <v>4</v>
      </c>
      <c r="B47" s="29" t="s">
        <v>42</v>
      </c>
      <c r="C47" s="29" t="s">
        <v>45</v>
      </c>
      <c r="D47" s="34">
        <v>79</v>
      </c>
      <c r="E47" s="34">
        <v>76</v>
      </c>
      <c r="F47" s="34">
        <f t="shared" si="0"/>
        <v>-3</v>
      </c>
      <c r="G47" s="35">
        <v>6.9</v>
      </c>
      <c r="H47" s="35">
        <v>7</v>
      </c>
      <c r="I47" s="35">
        <f t="shared" si="2"/>
        <v>9.9999999999999645E-2</v>
      </c>
      <c r="J47" s="36">
        <v>19.899999999999999</v>
      </c>
      <c r="K47" s="36">
        <v>17.600000000000001</v>
      </c>
    </row>
    <row r="48" spans="1:11" x14ac:dyDescent="0.2">
      <c r="A48" s="29">
        <v>4</v>
      </c>
      <c r="B48" s="29" t="s">
        <v>43</v>
      </c>
      <c r="C48" s="29" t="s">
        <v>45</v>
      </c>
      <c r="D48" s="34">
        <v>80</v>
      </c>
      <c r="E48" s="34">
        <v>81</v>
      </c>
      <c r="F48" s="34">
        <f t="shared" si="0"/>
        <v>1</v>
      </c>
      <c r="G48" s="35">
        <v>7.4</v>
      </c>
      <c r="H48" s="35">
        <v>7.4</v>
      </c>
      <c r="I48" s="35">
        <f t="shared" si="2"/>
        <v>0</v>
      </c>
      <c r="J48" s="36">
        <v>17.399999999999999</v>
      </c>
      <c r="K48" s="36">
        <v>17.899999999999999</v>
      </c>
    </row>
    <row r="49" spans="1:11" x14ac:dyDescent="0.2">
      <c r="A49" s="29">
        <v>4</v>
      </c>
      <c r="B49" s="29" t="s">
        <v>44</v>
      </c>
      <c r="C49" s="29" t="s">
        <v>45</v>
      </c>
      <c r="D49" s="34">
        <v>75</v>
      </c>
      <c r="E49" s="34">
        <v>81</v>
      </c>
      <c r="F49" s="34">
        <f t="shared" si="0"/>
        <v>6</v>
      </c>
      <c r="G49" s="35">
        <v>6.9</v>
      </c>
      <c r="H49" s="35">
        <v>7.3</v>
      </c>
      <c r="I49" s="35">
        <f t="shared" si="2"/>
        <v>0.39999999999999947</v>
      </c>
      <c r="J49" s="36">
        <v>17.7</v>
      </c>
      <c r="K49" s="36">
        <v>18.3</v>
      </c>
    </row>
    <row r="50" spans="1:11" x14ac:dyDescent="0.2">
      <c r="D50"/>
      <c r="E50"/>
      <c r="F50"/>
      <c r="G50"/>
      <c r="H50"/>
      <c r="I50"/>
      <c r="J50"/>
      <c r="K50"/>
    </row>
    <row r="51" spans="1:11" x14ac:dyDescent="0.2">
      <c r="D51"/>
      <c r="E51"/>
      <c r="F51"/>
      <c r="G51"/>
      <c r="H51"/>
      <c r="I51"/>
      <c r="J51"/>
      <c r="K51"/>
    </row>
    <row r="52" spans="1:11" x14ac:dyDescent="0.2">
      <c r="D52"/>
      <c r="E52"/>
      <c r="F52"/>
      <c r="G52"/>
      <c r="H52"/>
      <c r="I52"/>
      <c r="J52"/>
      <c r="K52"/>
    </row>
    <row r="53" spans="1:11" x14ac:dyDescent="0.2">
      <c r="D53"/>
      <c r="E53"/>
      <c r="F53"/>
      <c r="G53"/>
      <c r="H53"/>
      <c r="I53"/>
      <c r="J53"/>
      <c r="K53"/>
    </row>
    <row r="54" spans="1:11" x14ac:dyDescent="0.2">
      <c r="D54"/>
      <c r="E54"/>
      <c r="F54"/>
      <c r="G54"/>
      <c r="H54"/>
      <c r="I54"/>
      <c r="J54"/>
      <c r="K54"/>
    </row>
    <row r="55" spans="1:11" x14ac:dyDescent="0.2">
      <c r="D55"/>
      <c r="E55"/>
      <c r="F55"/>
      <c r="G55"/>
      <c r="H55"/>
      <c r="I55"/>
      <c r="J55"/>
      <c r="K55"/>
    </row>
    <row r="56" spans="1:11" x14ac:dyDescent="0.2">
      <c r="D56"/>
      <c r="E56"/>
      <c r="F56"/>
      <c r="G56"/>
      <c r="H56"/>
      <c r="I56"/>
      <c r="J56"/>
      <c r="K56"/>
    </row>
    <row r="57" spans="1:11" x14ac:dyDescent="0.2">
      <c r="D57"/>
      <c r="E57"/>
      <c r="F57"/>
      <c r="G57"/>
      <c r="H57"/>
      <c r="I57"/>
      <c r="J57"/>
      <c r="K57"/>
    </row>
    <row r="58" spans="1:11" x14ac:dyDescent="0.2">
      <c r="D58"/>
      <c r="E58"/>
      <c r="F58"/>
      <c r="G58"/>
      <c r="H58"/>
      <c r="I58"/>
      <c r="J58"/>
      <c r="K58"/>
    </row>
    <row r="59" spans="1:11" x14ac:dyDescent="0.2">
      <c r="D59"/>
      <c r="E59"/>
      <c r="F59"/>
      <c r="G59"/>
      <c r="H59"/>
      <c r="I59"/>
      <c r="J59"/>
      <c r="K59"/>
    </row>
    <row r="60" spans="1:11" x14ac:dyDescent="0.2">
      <c r="D60"/>
      <c r="E60"/>
      <c r="F60"/>
      <c r="G60"/>
      <c r="H60"/>
      <c r="I60"/>
      <c r="J60"/>
      <c r="K60"/>
    </row>
    <row r="61" spans="1:11" x14ac:dyDescent="0.2">
      <c r="D61"/>
      <c r="E61"/>
      <c r="F61"/>
      <c r="G61"/>
      <c r="H61"/>
      <c r="I61"/>
      <c r="J61"/>
      <c r="K61"/>
    </row>
    <row r="62" spans="1:11" x14ac:dyDescent="0.2">
      <c r="D62"/>
      <c r="E62"/>
      <c r="F62"/>
      <c r="G62"/>
      <c r="H62"/>
      <c r="I62"/>
      <c r="J62"/>
      <c r="K62"/>
    </row>
    <row r="63" spans="1:11" x14ac:dyDescent="0.2">
      <c r="D63"/>
      <c r="E63"/>
      <c r="F63"/>
      <c r="G63"/>
      <c r="H63"/>
      <c r="I63"/>
      <c r="J63"/>
      <c r="K63"/>
    </row>
    <row r="64" spans="1:11" x14ac:dyDescent="0.2">
      <c r="D64"/>
      <c r="E64"/>
      <c r="F64"/>
      <c r="G64"/>
      <c r="H64"/>
      <c r="I64"/>
      <c r="J64"/>
      <c r="K64"/>
    </row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  <row r="202" customFormat="1" x14ac:dyDescent="0.2"/>
    <row r="203" customFormat="1" x14ac:dyDescent="0.2"/>
    <row r="204" customFormat="1" x14ac:dyDescent="0.2"/>
    <row r="205" customFormat="1" x14ac:dyDescent="0.2"/>
    <row r="206" customFormat="1" x14ac:dyDescent="0.2"/>
    <row r="207" customFormat="1" x14ac:dyDescent="0.2"/>
    <row r="208" customFormat="1" x14ac:dyDescent="0.2"/>
    <row r="209" customFormat="1" x14ac:dyDescent="0.2"/>
    <row r="210" customFormat="1" x14ac:dyDescent="0.2"/>
    <row r="211" customFormat="1" x14ac:dyDescent="0.2"/>
    <row r="212" customFormat="1" x14ac:dyDescent="0.2"/>
    <row r="213" customFormat="1" x14ac:dyDescent="0.2"/>
    <row r="214" customFormat="1" x14ac:dyDescent="0.2"/>
    <row r="215" customFormat="1" x14ac:dyDescent="0.2"/>
    <row r="216" customFormat="1" x14ac:dyDescent="0.2"/>
    <row r="217" customFormat="1" x14ac:dyDescent="0.2"/>
    <row r="218" customFormat="1" x14ac:dyDescent="0.2"/>
    <row r="219" customFormat="1" x14ac:dyDescent="0.2"/>
    <row r="220" customFormat="1" x14ac:dyDescent="0.2"/>
    <row r="221" customFormat="1" x14ac:dyDescent="0.2"/>
    <row r="222" customFormat="1" x14ac:dyDescent="0.2"/>
    <row r="223" customFormat="1" x14ac:dyDescent="0.2"/>
    <row r="224" customFormat="1" x14ac:dyDescent="0.2"/>
    <row r="225" customFormat="1" x14ac:dyDescent="0.2"/>
    <row r="226" customFormat="1" x14ac:dyDescent="0.2"/>
    <row r="227" customFormat="1" x14ac:dyDescent="0.2"/>
    <row r="228" customFormat="1" x14ac:dyDescent="0.2"/>
    <row r="229" customFormat="1" x14ac:dyDescent="0.2"/>
    <row r="230" customFormat="1" x14ac:dyDescent="0.2"/>
    <row r="231" customFormat="1" x14ac:dyDescent="0.2"/>
    <row r="232" customFormat="1" x14ac:dyDescent="0.2"/>
    <row r="233" customFormat="1" x14ac:dyDescent="0.2"/>
    <row r="234" customFormat="1" x14ac:dyDescent="0.2"/>
    <row r="235" customFormat="1" x14ac:dyDescent="0.2"/>
    <row r="236" customFormat="1" x14ac:dyDescent="0.2"/>
    <row r="237" customFormat="1" x14ac:dyDescent="0.2"/>
    <row r="238" customFormat="1" x14ac:dyDescent="0.2"/>
    <row r="239" customFormat="1" x14ac:dyDescent="0.2"/>
    <row r="240" customFormat="1" x14ac:dyDescent="0.2"/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x14ac:dyDescent="0.2"/>
    <row r="286" customFormat="1" x14ac:dyDescent="0.2"/>
    <row r="287" customFormat="1" x14ac:dyDescent="0.2"/>
    <row r="288" customFormat="1" x14ac:dyDescent="0.2"/>
    <row r="289" customFormat="1" x14ac:dyDescent="0.2"/>
    <row r="290" customFormat="1" x14ac:dyDescent="0.2"/>
    <row r="291" customFormat="1" x14ac:dyDescent="0.2"/>
    <row r="292" customFormat="1" x14ac:dyDescent="0.2"/>
    <row r="293" customFormat="1" x14ac:dyDescent="0.2"/>
    <row r="294" customFormat="1" x14ac:dyDescent="0.2"/>
    <row r="295" customFormat="1" x14ac:dyDescent="0.2"/>
    <row r="296" customFormat="1" x14ac:dyDescent="0.2"/>
    <row r="297" customFormat="1" x14ac:dyDescent="0.2"/>
    <row r="298" customFormat="1" x14ac:dyDescent="0.2"/>
    <row r="299" customFormat="1" x14ac:dyDescent="0.2"/>
    <row r="300" customFormat="1" x14ac:dyDescent="0.2"/>
    <row r="301" customFormat="1" x14ac:dyDescent="0.2"/>
    <row r="302" customFormat="1" x14ac:dyDescent="0.2"/>
    <row r="303" customFormat="1" x14ac:dyDescent="0.2"/>
    <row r="304" customFormat="1" x14ac:dyDescent="0.2"/>
    <row r="305" customFormat="1" x14ac:dyDescent="0.2"/>
    <row r="306" customFormat="1" x14ac:dyDescent="0.2"/>
    <row r="307" customFormat="1" x14ac:dyDescent="0.2"/>
    <row r="308" customFormat="1" x14ac:dyDescent="0.2"/>
    <row r="309" customFormat="1" x14ac:dyDescent="0.2"/>
    <row r="310" customFormat="1" x14ac:dyDescent="0.2"/>
    <row r="311" customFormat="1" x14ac:dyDescent="0.2"/>
    <row r="312" customFormat="1" x14ac:dyDescent="0.2"/>
    <row r="313" customFormat="1" x14ac:dyDescent="0.2"/>
    <row r="314" customFormat="1" x14ac:dyDescent="0.2"/>
    <row r="315" customFormat="1" x14ac:dyDescent="0.2"/>
    <row r="316" customFormat="1" x14ac:dyDescent="0.2"/>
    <row r="317" customFormat="1" x14ac:dyDescent="0.2"/>
    <row r="318" customFormat="1" x14ac:dyDescent="0.2"/>
    <row r="319" customFormat="1" x14ac:dyDescent="0.2"/>
    <row r="320" customFormat="1" x14ac:dyDescent="0.2"/>
    <row r="321" customFormat="1" x14ac:dyDescent="0.2"/>
    <row r="322" customFormat="1" x14ac:dyDescent="0.2"/>
    <row r="323" customFormat="1" x14ac:dyDescent="0.2"/>
    <row r="324" customFormat="1" x14ac:dyDescent="0.2"/>
    <row r="325" customFormat="1" x14ac:dyDescent="0.2"/>
    <row r="326" customFormat="1" x14ac:dyDescent="0.2"/>
    <row r="327" customFormat="1" x14ac:dyDescent="0.2"/>
    <row r="328" customFormat="1" x14ac:dyDescent="0.2"/>
    <row r="329" customFormat="1" x14ac:dyDescent="0.2"/>
    <row r="330" customFormat="1" x14ac:dyDescent="0.2"/>
    <row r="331" customFormat="1" x14ac:dyDescent="0.2"/>
    <row r="332" customFormat="1" x14ac:dyDescent="0.2"/>
    <row r="333" customFormat="1" x14ac:dyDescent="0.2"/>
    <row r="334" customFormat="1" x14ac:dyDescent="0.2"/>
    <row r="335" customFormat="1" x14ac:dyDescent="0.2"/>
    <row r="336" customFormat="1" x14ac:dyDescent="0.2"/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330AB-22F6-6A42-B07B-8A1E3C515D35}">
  <dimension ref="A1:L1366"/>
  <sheetViews>
    <sheetView topLeftCell="A9" zoomScale="93" workbookViewId="0">
      <selection activeCell="I1" sqref="I1"/>
    </sheetView>
  </sheetViews>
  <sheetFormatPr baseColWidth="10" defaultColWidth="8.83203125" defaultRowHeight="16" x14ac:dyDescent="0.2"/>
  <cols>
    <col min="4" max="4" width="11.6640625" style="26" customWidth="1"/>
    <col min="5" max="6" width="10.5" style="26" customWidth="1"/>
    <col min="7" max="7" width="15.33203125" style="27" customWidth="1"/>
    <col min="8" max="9" width="15.1640625" style="27" customWidth="1"/>
    <col min="10" max="10" width="16.33203125" style="28" customWidth="1"/>
    <col min="11" max="11" width="15.6640625" style="28" customWidth="1"/>
  </cols>
  <sheetData>
    <row r="1" spans="1:12" x14ac:dyDescent="0.2">
      <c r="D1"/>
      <c r="E1"/>
      <c r="F1"/>
      <c r="G1" s="27" t="s">
        <v>46</v>
      </c>
      <c r="I1"/>
      <c r="J1"/>
      <c r="K1"/>
    </row>
    <row r="2" spans="1:12" x14ac:dyDescent="0.2">
      <c r="A2" s="29" t="s">
        <v>30</v>
      </c>
      <c r="B2" s="29" t="s">
        <v>31</v>
      </c>
      <c r="C2" s="29" t="s">
        <v>2</v>
      </c>
      <c r="D2" s="30" t="s">
        <v>32</v>
      </c>
      <c r="E2" s="30" t="s">
        <v>33</v>
      </c>
      <c r="F2" s="30"/>
      <c r="G2" s="27" t="s">
        <v>47</v>
      </c>
      <c r="H2" s="27" t="s">
        <v>48</v>
      </c>
      <c r="I2" s="27" t="s">
        <v>49</v>
      </c>
      <c r="J2" s="31" t="s">
        <v>35</v>
      </c>
      <c r="K2" s="31" t="s">
        <v>36</v>
      </c>
      <c r="L2" s="31" t="s">
        <v>37</v>
      </c>
    </row>
    <row r="3" spans="1:12" x14ac:dyDescent="0.2">
      <c r="A3" s="29">
        <v>1</v>
      </c>
      <c r="B3" s="29" t="s">
        <v>40</v>
      </c>
      <c r="C3" s="33" t="s">
        <v>20</v>
      </c>
      <c r="D3" s="34"/>
      <c r="E3" s="34">
        <v>84</v>
      </c>
      <c r="F3" s="34"/>
      <c r="G3" s="27">
        <f t="shared" ref="G3:G18" si="0">E20-E3</f>
        <v>-4</v>
      </c>
      <c r="I3" s="27">
        <f>G3+H3</f>
        <v>-4</v>
      </c>
      <c r="J3" s="35"/>
      <c r="K3" s="35">
        <v>7.2</v>
      </c>
      <c r="L3" s="35"/>
    </row>
    <row r="4" spans="1:12" x14ac:dyDescent="0.2">
      <c r="A4" s="29">
        <v>1</v>
      </c>
      <c r="B4" s="29" t="s">
        <v>40</v>
      </c>
      <c r="C4" s="33" t="s">
        <v>20</v>
      </c>
      <c r="D4" s="34"/>
      <c r="E4" s="34">
        <v>84</v>
      </c>
      <c r="F4" s="34"/>
      <c r="G4" s="27">
        <f t="shared" si="0"/>
        <v>-7</v>
      </c>
      <c r="H4" s="27">
        <f t="shared" ref="H4:H18" si="1">E4-D21</f>
        <v>-1</v>
      </c>
      <c r="I4" s="27">
        <f t="shared" ref="I4:I18" si="2">G4+H4</f>
        <v>-8</v>
      </c>
      <c r="J4" s="35"/>
      <c r="K4" s="35">
        <v>7.2</v>
      </c>
      <c r="L4" s="35"/>
    </row>
    <row r="5" spans="1:12" x14ac:dyDescent="0.2">
      <c r="A5" s="29">
        <v>1</v>
      </c>
      <c r="B5" s="29" t="s">
        <v>40</v>
      </c>
      <c r="C5" s="33" t="s">
        <v>20</v>
      </c>
      <c r="D5" s="34"/>
      <c r="E5" s="34">
        <v>84</v>
      </c>
      <c r="F5" s="34"/>
      <c r="G5" s="27">
        <f t="shared" si="0"/>
        <v>-1</v>
      </c>
      <c r="H5" s="27">
        <f t="shared" si="1"/>
        <v>1</v>
      </c>
      <c r="I5" s="27">
        <f t="shared" si="2"/>
        <v>0</v>
      </c>
      <c r="J5" s="35"/>
      <c r="K5" s="35">
        <v>7.2</v>
      </c>
      <c r="L5" s="35"/>
    </row>
    <row r="6" spans="1:12" x14ac:dyDescent="0.2">
      <c r="A6" s="29">
        <v>1</v>
      </c>
      <c r="B6" s="29" t="s">
        <v>40</v>
      </c>
      <c r="C6" s="33" t="s">
        <v>20</v>
      </c>
      <c r="D6" s="34"/>
      <c r="E6" s="34">
        <v>84</v>
      </c>
      <c r="F6" s="34"/>
      <c r="G6" s="27">
        <f t="shared" si="0"/>
        <v>-4</v>
      </c>
      <c r="H6" s="27">
        <f t="shared" si="1"/>
        <v>6</v>
      </c>
      <c r="I6" s="27">
        <f t="shared" si="2"/>
        <v>2</v>
      </c>
      <c r="J6" s="35"/>
      <c r="K6" s="35">
        <v>7.2</v>
      </c>
      <c r="L6" s="35"/>
    </row>
    <row r="7" spans="1:12" x14ac:dyDescent="0.2">
      <c r="A7" s="29">
        <v>2</v>
      </c>
      <c r="B7" s="29" t="s">
        <v>40</v>
      </c>
      <c r="C7" s="33" t="s">
        <v>20</v>
      </c>
      <c r="D7" s="34"/>
      <c r="E7" s="34">
        <v>88</v>
      </c>
      <c r="F7" s="34"/>
      <c r="G7" s="27">
        <f t="shared" si="0"/>
        <v>-11</v>
      </c>
      <c r="H7" s="27">
        <f t="shared" si="1"/>
        <v>15</v>
      </c>
      <c r="I7" s="27">
        <f t="shared" si="2"/>
        <v>4</v>
      </c>
      <c r="J7" s="35"/>
      <c r="K7" s="35">
        <v>8</v>
      </c>
      <c r="L7" s="35"/>
    </row>
    <row r="8" spans="1:12" x14ac:dyDescent="0.2">
      <c r="A8" s="29">
        <v>2</v>
      </c>
      <c r="B8" s="29" t="s">
        <v>40</v>
      </c>
      <c r="C8" s="33" t="s">
        <v>20</v>
      </c>
      <c r="D8" s="34"/>
      <c r="E8" s="34">
        <v>88</v>
      </c>
      <c r="F8" s="34"/>
      <c r="G8" s="27">
        <f t="shared" si="0"/>
        <v>-88</v>
      </c>
      <c r="H8" s="27">
        <f t="shared" si="1"/>
        <v>5</v>
      </c>
      <c r="I8" s="27">
        <f t="shared" si="2"/>
        <v>-83</v>
      </c>
      <c r="J8" s="35"/>
      <c r="K8" s="35">
        <v>8</v>
      </c>
      <c r="L8" s="35"/>
    </row>
    <row r="9" spans="1:12" x14ac:dyDescent="0.2">
      <c r="A9" s="29">
        <v>2</v>
      </c>
      <c r="B9" s="29" t="s">
        <v>40</v>
      </c>
      <c r="C9" s="33" t="s">
        <v>20</v>
      </c>
      <c r="D9" s="34"/>
      <c r="E9" s="34">
        <v>88</v>
      </c>
      <c r="F9" s="34"/>
      <c r="G9" s="27">
        <f t="shared" si="0"/>
        <v>-1</v>
      </c>
      <c r="H9" s="27">
        <f t="shared" si="1"/>
        <v>6</v>
      </c>
      <c r="I9" s="27">
        <f t="shared" si="2"/>
        <v>5</v>
      </c>
      <c r="J9" s="35"/>
      <c r="K9" s="35">
        <v>8</v>
      </c>
      <c r="L9" s="35"/>
    </row>
    <row r="10" spans="1:12" x14ac:dyDescent="0.2">
      <c r="A10" s="29">
        <v>2</v>
      </c>
      <c r="B10" s="29" t="s">
        <v>40</v>
      </c>
      <c r="C10" s="33" t="s">
        <v>20</v>
      </c>
      <c r="D10" s="34"/>
      <c r="E10" s="34">
        <v>88</v>
      </c>
      <c r="F10" s="34"/>
      <c r="G10" s="27">
        <f t="shared" si="0"/>
        <v>-13</v>
      </c>
      <c r="H10" s="27">
        <f t="shared" si="1"/>
        <v>8</v>
      </c>
      <c r="I10" s="27">
        <f t="shared" si="2"/>
        <v>-5</v>
      </c>
      <c r="J10" s="35"/>
      <c r="K10" s="35">
        <v>8</v>
      </c>
      <c r="L10" s="35"/>
    </row>
    <row r="11" spans="1:12" x14ac:dyDescent="0.2">
      <c r="A11" s="29">
        <v>3</v>
      </c>
      <c r="B11" s="29" t="s">
        <v>40</v>
      </c>
      <c r="C11" s="33" t="s">
        <v>20</v>
      </c>
      <c r="D11" s="34"/>
      <c r="E11" s="34">
        <v>75</v>
      </c>
      <c r="F11" s="34"/>
      <c r="G11" s="27">
        <f t="shared" si="0"/>
        <v>13</v>
      </c>
      <c r="H11" s="27">
        <f t="shared" si="1"/>
        <v>-7</v>
      </c>
      <c r="I11" s="27">
        <f t="shared" si="2"/>
        <v>6</v>
      </c>
      <c r="J11" s="35"/>
      <c r="K11" s="35">
        <v>6.4</v>
      </c>
      <c r="L11" s="35"/>
    </row>
    <row r="12" spans="1:12" x14ac:dyDescent="0.2">
      <c r="A12" s="29">
        <v>3</v>
      </c>
      <c r="B12" s="29" t="s">
        <v>40</v>
      </c>
      <c r="C12" s="33" t="s">
        <v>20</v>
      </c>
      <c r="D12" s="34"/>
      <c r="E12" s="34">
        <v>75</v>
      </c>
      <c r="F12" s="34"/>
      <c r="G12" s="27">
        <f t="shared" si="0"/>
        <v>7</v>
      </c>
      <c r="H12" s="27">
        <f t="shared" si="1"/>
        <v>-12</v>
      </c>
      <c r="I12" s="27">
        <f t="shared" si="2"/>
        <v>-5</v>
      </c>
      <c r="J12" s="35"/>
      <c r="K12" s="35">
        <v>6.4</v>
      </c>
      <c r="L12" s="35"/>
    </row>
    <row r="13" spans="1:12" x14ac:dyDescent="0.2">
      <c r="A13" s="29">
        <v>3</v>
      </c>
      <c r="B13" s="29" t="s">
        <v>40</v>
      </c>
      <c r="C13" s="33" t="s">
        <v>20</v>
      </c>
      <c r="D13" s="34"/>
      <c r="E13" s="34">
        <v>75</v>
      </c>
      <c r="F13" s="34"/>
      <c r="G13" s="27">
        <f t="shared" si="0"/>
        <v>7</v>
      </c>
      <c r="H13" s="27">
        <f t="shared" si="1"/>
        <v>-9</v>
      </c>
      <c r="I13" s="27">
        <f t="shared" si="2"/>
        <v>-2</v>
      </c>
      <c r="J13" s="35"/>
      <c r="K13" s="35">
        <v>6.4</v>
      </c>
      <c r="L13" s="35"/>
    </row>
    <row r="14" spans="1:12" x14ac:dyDescent="0.2">
      <c r="A14" s="29">
        <v>3</v>
      </c>
      <c r="B14" s="29" t="s">
        <v>40</v>
      </c>
      <c r="C14" s="33" t="s">
        <v>20</v>
      </c>
      <c r="D14" s="34"/>
      <c r="E14" s="34">
        <v>75</v>
      </c>
      <c r="F14" s="34"/>
      <c r="G14" s="27">
        <f t="shared" si="0"/>
        <v>12</v>
      </c>
      <c r="H14" s="27">
        <f t="shared" si="1"/>
        <v>-11</v>
      </c>
      <c r="I14" s="27">
        <f t="shared" si="2"/>
        <v>1</v>
      </c>
      <c r="J14" s="35"/>
      <c r="K14" s="35">
        <v>6.4</v>
      </c>
      <c r="L14" s="35"/>
    </row>
    <row r="15" spans="1:12" x14ac:dyDescent="0.2">
      <c r="A15" s="29">
        <v>4</v>
      </c>
      <c r="B15" s="29" t="s">
        <v>40</v>
      </c>
      <c r="C15" s="33" t="s">
        <v>20</v>
      </c>
      <c r="D15" s="34"/>
      <c r="E15" s="34">
        <v>92</v>
      </c>
      <c r="F15" s="34"/>
      <c r="G15" s="27">
        <f t="shared" si="0"/>
        <v>-1</v>
      </c>
      <c r="H15" s="27">
        <f t="shared" si="1"/>
        <v>2.5999999999999943</v>
      </c>
      <c r="I15" s="27">
        <f t="shared" si="2"/>
        <v>1.5999999999999943</v>
      </c>
      <c r="J15" s="35"/>
      <c r="K15" s="35">
        <v>8.8000000000000007</v>
      </c>
      <c r="L15" s="35"/>
    </row>
    <row r="16" spans="1:12" x14ac:dyDescent="0.2">
      <c r="A16" s="29">
        <v>4</v>
      </c>
      <c r="B16" s="29" t="s">
        <v>40</v>
      </c>
      <c r="C16" s="33" t="s">
        <v>20</v>
      </c>
      <c r="D16" s="34"/>
      <c r="E16" s="34">
        <v>92</v>
      </c>
      <c r="F16" s="34"/>
      <c r="G16" s="27">
        <f t="shared" si="0"/>
        <v>8.7000000000000028</v>
      </c>
      <c r="H16" s="27">
        <f t="shared" si="1"/>
        <v>7.7999999999999972</v>
      </c>
      <c r="I16" s="27">
        <f t="shared" si="2"/>
        <v>16.5</v>
      </c>
      <c r="J16" s="35"/>
      <c r="K16" s="35">
        <v>8.8000000000000007</v>
      </c>
      <c r="L16" s="35"/>
    </row>
    <row r="17" spans="1:12" x14ac:dyDescent="0.2">
      <c r="A17" s="29">
        <v>4</v>
      </c>
      <c r="B17" s="29" t="s">
        <v>40</v>
      </c>
      <c r="C17" s="33" t="s">
        <v>20</v>
      </c>
      <c r="D17" s="34"/>
      <c r="E17" s="34">
        <v>92</v>
      </c>
      <c r="F17" s="34"/>
      <c r="G17" s="27">
        <f t="shared" si="0"/>
        <v>4.7000000000000028</v>
      </c>
      <c r="H17" s="27">
        <f t="shared" si="1"/>
        <v>-1.5999999999999943</v>
      </c>
      <c r="I17" s="27">
        <f t="shared" si="2"/>
        <v>3.1000000000000085</v>
      </c>
      <c r="J17" s="35"/>
      <c r="K17" s="35">
        <v>8.8000000000000007</v>
      </c>
      <c r="L17" s="35"/>
    </row>
    <row r="18" spans="1:12" x14ac:dyDescent="0.2">
      <c r="A18" s="29">
        <v>4</v>
      </c>
      <c r="B18" s="29" t="s">
        <v>40</v>
      </c>
      <c r="C18" s="33" t="s">
        <v>20</v>
      </c>
      <c r="D18" s="34"/>
      <c r="E18" s="34">
        <v>92</v>
      </c>
      <c r="F18" s="34"/>
      <c r="G18" s="27">
        <f t="shared" si="0"/>
        <v>-2.7999999999999972</v>
      </c>
      <c r="H18" s="27">
        <f t="shared" si="1"/>
        <v>-16.400000000000006</v>
      </c>
      <c r="I18" s="27">
        <f t="shared" si="2"/>
        <v>-19.200000000000003</v>
      </c>
      <c r="J18" s="35"/>
      <c r="K18" s="35">
        <v>8.8000000000000007</v>
      </c>
      <c r="L18" s="35"/>
    </row>
    <row r="19" spans="1:12" x14ac:dyDescent="0.2">
      <c r="D19"/>
      <c r="E19"/>
      <c r="F19"/>
      <c r="G19" t="s">
        <v>50</v>
      </c>
      <c r="H19"/>
      <c r="I19"/>
      <c r="J19"/>
      <c r="K19"/>
    </row>
    <row r="20" spans="1:12" x14ac:dyDescent="0.2">
      <c r="A20" s="29">
        <v>1</v>
      </c>
      <c r="B20" s="29" t="s">
        <v>40</v>
      </c>
      <c r="C20" s="37" t="s">
        <v>41</v>
      </c>
      <c r="D20" s="34"/>
      <c r="E20" s="34">
        <v>80</v>
      </c>
      <c r="F20" s="34"/>
      <c r="G20" s="27">
        <f>E37-E20</f>
        <v>9</v>
      </c>
      <c r="H20" s="27">
        <f>D20-D37</f>
        <v>0</v>
      </c>
      <c r="I20" s="27">
        <f>G20+H20</f>
        <v>9</v>
      </c>
      <c r="J20" s="35"/>
      <c r="K20" s="35"/>
      <c r="L20" s="35"/>
    </row>
    <row r="21" spans="1:12" x14ac:dyDescent="0.2">
      <c r="A21" s="29">
        <v>1</v>
      </c>
      <c r="B21" s="29" t="s">
        <v>42</v>
      </c>
      <c r="C21" s="37" t="s">
        <v>41</v>
      </c>
      <c r="D21" s="34">
        <v>85</v>
      </c>
      <c r="E21" s="34">
        <v>77</v>
      </c>
      <c r="F21" s="34"/>
      <c r="G21" s="27">
        <f t="shared" ref="G21:G35" si="3">E38-E21</f>
        <v>10</v>
      </c>
      <c r="H21" s="27">
        <f t="shared" ref="H21:H35" si="4">D21-D38</f>
        <v>-6</v>
      </c>
      <c r="I21" s="27">
        <f t="shared" ref="I21:I35" si="5">G21+H21</f>
        <v>4</v>
      </c>
      <c r="J21" s="35">
        <v>7.7</v>
      </c>
      <c r="K21" s="35">
        <v>6.7</v>
      </c>
      <c r="L21" s="35">
        <f>K21-J21</f>
        <v>-1</v>
      </c>
    </row>
    <row r="22" spans="1:12" x14ac:dyDescent="0.2">
      <c r="A22" s="29">
        <v>1</v>
      </c>
      <c r="B22" s="29" t="s">
        <v>43</v>
      </c>
      <c r="C22" s="37" t="s">
        <v>41</v>
      </c>
      <c r="D22" s="34">
        <v>83</v>
      </c>
      <c r="E22" s="34">
        <v>83</v>
      </c>
      <c r="F22" s="34"/>
      <c r="G22" s="27">
        <f t="shared" si="3"/>
        <v>8</v>
      </c>
      <c r="H22" s="27">
        <f t="shared" si="4"/>
        <v>-5</v>
      </c>
      <c r="I22" s="27">
        <f t="shared" si="5"/>
        <v>3</v>
      </c>
      <c r="J22" s="35">
        <v>7.4</v>
      </c>
      <c r="K22" s="35">
        <v>7.9</v>
      </c>
      <c r="L22" s="35">
        <f>K22-J22</f>
        <v>0.5</v>
      </c>
    </row>
    <row r="23" spans="1:12" x14ac:dyDescent="0.2">
      <c r="A23" s="29">
        <v>1</v>
      </c>
      <c r="B23" s="29" t="s">
        <v>44</v>
      </c>
      <c r="C23" s="37" t="s">
        <v>41</v>
      </c>
      <c r="D23" s="34">
        <v>78</v>
      </c>
      <c r="E23" s="34">
        <v>80</v>
      </c>
      <c r="F23" s="34"/>
      <c r="G23" s="27">
        <f t="shared" si="3"/>
        <v>7</v>
      </c>
      <c r="H23" s="27">
        <f t="shared" si="4"/>
        <v>-9</v>
      </c>
      <c r="I23" s="27">
        <f t="shared" si="5"/>
        <v>-2</v>
      </c>
      <c r="J23" s="35">
        <v>7</v>
      </c>
      <c r="K23" s="35">
        <v>7.4</v>
      </c>
      <c r="L23" s="35">
        <f>K23-J23</f>
        <v>0.40000000000000036</v>
      </c>
    </row>
    <row r="24" spans="1:12" x14ac:dyDescent="0.2">
      <c r="A24" s="29">
        <v>2</v>
      </c>
      <c r="B24" s="29" t="s">
        <v>40</v>
      </c>
      <c r="C24" s="37" t="s">
        <v>41</v>
      </c>
      <c r="D24" s="34">
        <v>73</v>
      </c>
      <c r="E24" s="34">
        <v>77</v>
      </c>
      <c r="F24" s="34"/>
      <c r="G24" s="27">
        <f t="shared" si="3"/>
        <v>10.599999999999994</v>
      </c>
      <c r="H24" s="27">
        <f t="shared" si="4"/>
        <v>-8</v>
      </c>
      <c r="I24" s="27">
        <f t="shared" si="5"/>
        <v>2.5999999999999943</v>
      </c>
      <c r="J24" s="35">
        <v>6.7</v>
      </c>
      <c r="K24" s="35">
        <v>7</v>
      </c>
      <c r="L24" s="35">
        <f>K24-J24</f>
        <v>0.29999999999999982</v>
      </c>
    </row>
    <row r="25" spans="1:12" x14ac:dyDescent="0.2">
      <c r="A25" s="29">
        <v>2</v>
      </c>
      <c r="B25" s="29" t="s">
        <v>42</v>
      </c>
      <c r="C25" s="37" t="s">
        <v>41</v>
      </c>
      <c r="D25" s="34">
        <v>83</v>
      </c>
      <c r="E25" s="34"/>
      <c r="F25" s="34"/>
      <c r="G25" s="27">
        <f t="shared" si="3"/>
        <v>0</v>
      </c>
      <c r="H25" s="27">
        <f t="shared" si="4"/>
        <v>83</v>
      </c>
      <c r="I25" s="27">
        <f t="shared" si="5"/>
        <v>83</v>
      </c>
      <c r="J25" s="35">
        <v>7.6</v>
      </c>
      <c r="K25" s="35"/>
      <c r="L25" s="35"/>
    </row>
    <row r="26" spans="1:12" x14ac:dyDescent="0.2">
      <c r="A26" s="29">
        <v>2</v>
      </c>
      <c r="B26" s="29" t="s">
        <v>43</v>
      </c>
      <c r="C26" s="37" t="s">
        <v>41</v>
      </c>
      <c r="D26" s="34">
        <v>82</v>
      </c>
      <c r="E26" s="34">
        <v>87</v>
      </c>
      <c r="F26" s="34"/>
      <c r="G26" s="27">
        <f t="shared" si="3"/>
        <v>-87</v>
      </c>
      <c r="H26" s="27">
        <f t="shared" si="4"/>
        <v>-6</v>
      </c>
      <c r="I26" s="27">
        <f t="shared" si="5"/>
        <v>-93</v>
      </c>
      <c r="J26" s="35">
        <v>7.3</v>
      </c>
      <c r="K26" s="35">
        <v>7.9</v>
      </c>
      <c r="L26" s="35">
        <f t="shared" ref="L26:L35" si="6">K26-J26</f>
        <v>0.60000000000000053</v>
      </c>
    </row>
    <row r="27" spans="1:12" x14ac:dyDescent="0.2">
      <c r="A27" s="29">
        <v>2</v>
      </c>
      <c r="B27" s="29" t="s">
        <v>44</v>
      </c>
      <c r="C27" s="37" t="s">
        <v>41</v>
      </c>
      <c r="D27" s="34">
        <v>80</v>
      </c>
      <c r="E27" s="34">
        <v>75</v>
      </c>
      <c r="F27" s="34"/>
      <c r="G27" s="27">
        <f t="shared" si="3"/>
        <v>24.299999999999997</v>
      </c>
      <c r="H27" s="27">
        <f t="shared" si="4"/>
        <v>-23</v>
      </c>
      <c r="I27" s="27">
        <f t="shared" si="5"/>
        <v>1.2999999999999972</v>
      </c>
      <c r="J27" s="35">
        <v>7.3</v>
      </c>
      <c r="K27" s="35">
        <v>6.8</v>
      </c>
      <c r="L27" s="35">
        <f t="shared" si="6"/>
        <v>-0.5</v>
      </c>
    </row>
    <row r="28" spans="1:12" x14ac:dyDescent="0.2">
      <c r="A28" s="29">
        <v>3</v>
      </c>
      <c r="B28" s="29" t="s">
        <v>40</v>
      </c>
      <c r="C28" s="37" t="s">
        <v>41</v>
      </c>
      <c r="D28" s="34">
        <v>82</v>
      </c>
      <c r="E28" s="34">
        <v>88</v>
      </c>
      <c r="F28" s="34"/>
      <c r="G28" s="27">
        <f t="shared" si="3"/>
        <v>-16</v>
      </c>
      <c r="H28" s="27">
        <f t="shared" si="4"/>
        <v>0</v>
      </c>
      <c r="I28" s="27">
        <f t="shared" si="5"/>
        <v>-16</v>
      </c>
      <c r="J28" s="35">
        <v>7.5</v>
      </c>
      <c r="K28" s="35">
        <v>8.1</v>
      </c>
      <c r="L28" s="35">
        <f t="shared" si="6"/>
        <v>0.59999999999999964</v>
      </c>
    </row>
    <row r="29" spans="1:12" x14ac:dyDescent="0.2">
      <c r="A29" s="29">
        <v>3</v>
      </c>
      <c r="B29" s="29" t="s">
        <v>42</v>
      </c>
      <c r="C29" s="37" t="s">
        <v>41</v>
      </c>
      <c r="D29" s="34">
        <v>87</v>
      </c>
      <c r="E29" s="34">
        <v>82</v>
      </c>
      <c r="F29" s="34"/>
      <c r="G29" s="27">
        <f t="shared" si="3"/>
        <v>-1</v>
      </c>
      <c r="H29" s="27">
        <f t="shared" si="4"/>
        <v>11</v>
      </c>
      <c r="I29" s="27">
        <f t="shared" si="5"/>
        <v>10</v>
      </c>
      <c r="J29" s="35">
        <v>8.1</v>
      </c>
      <c r="K29" s="35">
        <v>7.5</v>
      </c>
      <c r="L29" s="35">
        <f t="shared" si="6"/>
        <v>-0.59999999999999964</v>
      </c>
    </row>
    <row r="30" spans="1:12" x14ac:dyDescent="0.2">
      <c r="A30" s="29">
        <v>3</v>
      </c>
      <c r="B30" s="29" t="s">
        <v>43</v>
      </c>
      <c r="C30" s="37" t="s">
        <v>41</v>
      </c>
      <c r="D30" s="34">
        <v>84</v>
      </c>
      <c r="E30" s="34">
        <v>82</v>
      </c>
      <c r="F30" s="34"/>
      <c r="G30" s="27">
        <f t="shared" si="3"/>
        <v>3</v>
      </c>
      <c r="H30" s="27">
        <f t="shared" si="4"/>
        <v>-9</v>
      </c>
      <c r="I30" s="27">
        <f t="shared" si="5"/>
        <v>-6</v>
      </c>
      <c r="J30" s="35">
        <v>7.7</v>
      </c>
      <c r="K30" s="35">
        <v>7.5</v>
      </c>
      <c r="L30" s="35">
        <f t="shared" si="6"/>
        <v>-0.20000000000000018</v>
      </c>
    </row>
    <row r="31" spans="1:12" x14ac:dyDescent="0.2">
      <c r="A31" s="29">
        <v>3</v>
      </c>
      <c r="B31" s="29" t="s">
        <v>44</v>
      </c>
      <c r="C31" s="37" t="s">
        <v>41</v>
      </c>
      <c r="D31" s="34">
        <v>86</v>
      </c>
      <c r="E31" s="34">
        <v>87</v>
      </c>
      <c r="F31" s="34"/>
      <c r="G31" s="27">
        <f t="shared" si="3"/>
        <v>-8</v>
      </c>
      <c r="H31" s="27">
        <f t="shared" si="4"/>
        <v>4</v>
      </c>
      <c r="I31" s="27">
        <f t="shared" si="5"/>
        <v>-4</v>
      </c>
      <c r="J31" s="35">
        <v>7.7</v>
      </c>
      <c r="K31" s="35">
        <v>8</v>
      </c>
      <c r="L31" s="35">
        <f t="shared" si="6"/>
        <v>0.29999999999999982</v>
      </c>
    </row>
    <row r="32" spans="1:12" x14ac:dyDescent="0.2">
      <c r="A32" s="29">
        <v>4</v>
      </c>
      <c r="B32" s="29" t="s">
        <v>40</v>
      </c>
      <c r="C32" s="37" t="s">
        <v>41</v>
      </c>
      <c r="D32" s="34">
        <v>89.4</v>
      </c>
      <c r="E32" s="34">
        <v>91</v>
      </c>
      <c r="F32" s="34"/>
      <c r="G32" s="27">
        <f t="shared" si="3"/>
        <v>-11</v>
      </c>
      <c r="H32" s="27">
        <f t="shared" si="4"/>
        <v>9.4000000000000057</v>
      </c>
      <c r="I32" s="27">
        <f t="shared" si="5"/>
        <v>-1.5999999999999943</v>
      </c>
      <c r="J32" s="35">
        <v>8.08</v>
      </c>
      <c r="K32" s="35">
        <v>8.09</v>
      </c>
      <c r="L32" s="35">
        <f t="shared" si="6"/>
        <v>9.9999999999997868E-3</v>
      </c>
    </row>
    <row r="33" spans="1:12" x14ac:dyDescent="0.2">
      <c r="A33" s="29">
        <v>4</v>
      </c>
      <c r="B33" s="29" t="s">
        <v>42</v>
      </c>
      <c r="C33" s="37" t="s">
        <v>41</v>
      </c>
      <c r="D33" s="34">
        <v>84.2</v>
      </c>
      <c r="E33" s="34">
        <v>100.7</v>
      </c>
      <c r="F33" s="34"/>
      <c r="G33" s="27">
        <f t="shared" si="3"/>
        <v>-24.700000000000003</v>
      </c>
      <c r="H33" s="27">
        <f t="shared" si="4"/>
        <v>5.2000000000000028</v>
      </c>
      <c r="I33" s="27">
        <f t="shared" si="5"/>
        <v>-19.5</v>
      </c>
      <c r="J33" s="35">
        <v>7.27</v>
      </c>
      <c r="K33" s="35">
        <v>8.9600000000000009</v>
      </c>
      <c r="L33" s="35">
        <f t="shared" si="6"/>
        <v>1.6900000000000013</v>
      </c>
    </row>
    <row r="34" spans="1:12" x14ac:dyDescent="0.2">
      <c r="A34" s="29">
        <v>4</v>
      </c>
      <c r="B34" s="29" t="s">
        <v>43</v>
      </c>
      <c r="C34" s="37" t="s">
        <v>41</v>
      </c>
      <c r="D34" s="34">
        <v>93.6</v>
      </c>
      <c r="E34" s="34">
        <v>96.7</v>
      </c>
      <c r="F34" s="34"/>
      <c r="G34" s="27">
        <f t="shared" si="3"/>
        <v>-15.700000000000003</v>
      </c>
      <c r="H34" s="27">
        <f t="shared" si="4"/>
        <v>13.599999999999994</v>
      </c>
      <c r="I34" s="27">
        <f t="shared" si="5"/>
        <v>-2.1000000000000085</v>
      </c>
      <c r="J34" s="35">
        <v>8.44</v>
      </c>
      <c r="K34" s="35">
        <v>8.44</v>
      </c>
      <c r="L34" s="35">
        <f t="shared" si="6"/>
        <v>0</v>
      </c>
    </row>
    <row r="35" spans="1:12" x14ac:dyDescent="0.2">
      <c r="A35" s="29">
        <v>4</v>
      </c>
      <c r="B35" s="29" t="s">
        <v>44</v>
      </c>
      <c r="C35" s="37" t="s">
        <v>41</v>
      </c>
      <c r="D35" s="34">
        <v>108.4</v>
      </c>
      <c r="E35" s="34">
        <v>89.2</v>
      </c>
      <c r="F35" s="34"/>
      <c r="G35" s="27">
        <f t="shared" si="3"/>
        <v>-8.2000000000000028</v>
      </c>
      <c r="H35" s="27">
        <f t="shared" si="4"/>
        <v>33.400000000000006</v>
      </c>
      <c r="I35" s="27">
        <f t="shared" si="5"/>
        <v>25.200000000000003</v>
      </c>
      <c r="J35" s="35">
        <v>9.86</v>
      </c>
      <c r="K35" s="35">
        <v>7.95</v>
      </c>
      <c r="L35" s="35">
        <f t="shared" si="6"/>
        <v>-1.9099999999999993</v>
      </c>
    </row>
    <row r="36" spans="1:12" x14ac:dyDescent="0.2">
      <c r="D36"/>
      <c r="E36"/>
      <c r="F36"/>
      <c r="G36" t="s">
        <v>51</v>
      </c>
      <c r="H36"/>
      <c r="I36"/>
      <c r="J36"/>
      <c r="K36"/>
    </row>
    <row r="37" spans="1:12" x14ac:dyDescent="0.2">
      <c r="A37" s="29">
        <v>1</v>
      </c>
      <c r="B37" s="29" t="s">
        <v>40</v>
      </c>
      <c r="C37" s="29" t="s">
        <v>45</v>
      </c>
      <c r="D37" s="34"/>
      <c r="E37" s="34">
        <v>89</v>
      </c>
      <c r="F37" s="34"/>
      <c r="G37" s="27">
        <f>E37-E3</f>
        <v>5</v>
      </c>
      <c r="H37" s="27">
        <f>E3-D37</f>
        <v>84</v>
      </c>
      <c r="I37" s="27">
        <f>G37+H37</f>
        <v>89</v>
      </c>
      <c r="J37" s="35"/>
      <c r="K37" s="35">
        <v>8.1</v>
      </c>
      <c r="L37" s="35"/>
    </row>
    <row r="38" spans="1:12" x14ac:dyDescent="0.2">
      <c r="A38" s="29">
        <v>1</v>
      </c>
      <c r="B38" s="29" t="s">
        <v>42</v>
      </c>
      <c r="C38" s="29" t="s">
        <v>45</v>
      </c>
      <c r="D38" s="34">
        <v>91</v>
      </c>
      <c r="E38" s="34">
        <v>87</v>
      </c>
      <c r="F38" s="34"/>
      <c r="G38" s="27">
        <f t="shared" ref="G38:G52" si="7">E38-E4</f>
        <v>3</v>
      </c>
      <c r="H38" s="27">
        <f t="shared" ref="H38:H52" si="8">E4-D38</f>
        <v>-7</v>
      </c>
      <c r="I38" s="27">
        <f t="shared" ref="I38:I52" si="9">G38+H38</f>
        <v>-4</v>
      </c>
      <c r="J38" s="35">
        <v>8.3000000000000007</v>
      </c>
      <c r="K38" s="35">
        <v>7.9</v>
      </c>
      <c r="L38" s="35">
        <f>K38-J38</f>
        <v>-0.40000000000000036</v>
      </c>
    </row>
    <row r="39" spans="1:12" x14ac:dyDescent="0.2">
      <c r="A39" s="29">
        <v>1</v>
      </c>
      <c r="B39" s="29" t="s">
        <v>43</v>
      </c>
      <c r="C39" s="29" t="s">
        <v>45</v>
      </c>
      <c r="D39" s="34">
        <v>88</v>
      </c>
      <c r="E39" s="34">
        <v>91</v>
      </c>
      <c r="F39" s="34"/>
      <c r="G39" s="27">
        <f t="shared" si="7"/>
        <v>7</v>
      </c>
      <c r="H39" s="27">
        <f t="shared" si="8"/>
        <v>-4</v>
      </c>
      <c r="I39" s="27">
        <f t="shared" si="9"/>
        <v>3</v>
      </c>
      <c r="J39" s="35">
        <v>7.9</v>
      </c>
      <c r="K39" s="35">
        <v>8.1</v>
      </c>
      <c r="L39" s="35">
        <f>K39-J39</f>
        <v>0.19999999999999929</v>
      </c>
    </row>
    <row r="40" spans="1:12" x14ac:dyDescent="0.2">
      <c r="A40" s="29">
        <v>1</v>
      </c>
      <c r="B40" s="29" t="s">
        <v>44</v>
      </c>
      <c r="C40" s="29" t="s">
        <v>45</v>
      </c>
      <c r="D40" s="34">
        <v>87</v>
      </c>
      <c r="E40" s="34">
        <v>87</v>
      </c>
      <c r="F40" s="34"/>
      <c r="G40" s="27">
        <f t="shared" si="7"/>
        <v>3</v>
      </c>
      <c r="H40" s="27">
        <f t="shared" si="8"/>
        <v>-3</v>
      </c>
      <c r="I40" s="27">
        <f t="shared" si="9"/>
        <v>0</v>
      </c>
      <c r="J40" s="35">
        <v>7.7</v>
      </c>
      <c r="K40" s="35">
        <v>7.7</v>
      </c>
      <c r="L40" s="35">
        <f>K40-J40</f>
        <v>0</v>
      </c>
    </row>
    <row r="41" spans="1:12" x14ac:dyDescent="0.2">
      <c r="A41" s="29">
        <v>2</v>
      </c>
      <c r="B41" s="29" t="s">
        <v>40</v>
      </c>
      <c r="C41" s="29" t="s">
        <v>45</v>
      </c>
      <c r="D41" s="34">
        <v>81</v>
      </c>
      <c r="E41" s="34">
        <v>87.6</v>
      </c>
      <c r="F41" s="34"/>
      <c r="G41" s="27">
        <f t="shared" si="7"/>
        <v>-0.40000000000000568</v>
      </c>
      <c r="H41" s="27">
        <f t="shared" si="8"/>
        <v>7</v>
      </c>
      <c r="I41" s="27">
        <f t="shared" si="9"/>
        <v>6.5999999999999943</v>
      </c>
      <c r="J41" s="35">
        <v>6.3</v>
      </c>
      <c r="K41" s="35">
        <v>7.6</v>
      </c>
      <c r="L41" s="35">
        <f>K41-J41</f>
        <v>1.2999999999999998</v>
      </c>
    </row>
    <row r="42" spans="1:12" x14ac:dyDescent="0.2">
      <c r="A42" s="29">
        <v>2</v>
      </c>
      <c r="B42" s="29" t="s">
        <v>42</v>
      </c>
      <c r="C42" s="29" t="s">
        <v>45</v>
      </c>
      <c r="D42" s="34"/>
      <c r="E42" s="34"/>
      <c r="F42" s="34"/>
      <c r="G42" s="27">
        <f t="shared" si="7"/>
        <v>-88</v>
      </c>
      <c r="H42" s="27">
        <f t="shared" si="8"/>
        <v>88</v>
      </c>
      <c r="I42" s="27">
        <f t="shared" si="9"/>
        <v>0</v>
      </c>
      <c r="J42" s="35"/>
      <c r="K42" s="35"/>
      <c r="L42" s="35"/>
    </row>
    <row r="43" spans="1:12" x14ac:dyDescent="0.2">
      <c r="A43" s="29">
        <v>2</v>
      </c>
      <c r="B43" s="29" t="s">
        <v>43</v>
      </c>
      <c r="C43" s="29" t="s">
        <v>45</v>
      </c>
      <c r="D43" s="34">
        <v>88</v>
      </c>
      <c r="E43" s="34"/>
      <c r="F43" s="34"/>
      <c r="G43" s="27">
        <f t="shared" si="7"/>
        <v>-88</v>
      </c>
      <c r="H43" s="27">
        <f t="shared" si="8"/>
        <v>0</v>
      </c>
      <c r="I43" s="27">
        <f t="shared" si="9"/>
        <v>-88</v>
      </c>
      <c r="J43" s="35">
        <v>7.7</v>
      </c>
      <c r="K43" s="35"/>
      <c r="L43" s="35"/>
    </row>
    <row r="44" spans="1:12" x14ac:dyDescent="0.2">
      <c r="A44" s="29">
        <v>2</v>
      </c>
      <c r="B44" s="29" t="s">
        <v>44</v>
      </c>
      <c r="C44" s="29" t="s">
        <v>45</v>
      </c>
      <c r="D44" s="34">
        <v>103</v>
      </c>
      <c r="E44" s="34">
        <v>99.3</v>
      </c>
      <c r="F44" s="34"/>
      <c r="G44" s="27">
        <f t="shared" si="7"/>
        <v>11.299999999999997</v>
      </c>
      <c r="H44" s="27">
        <f t="shared" si="8"/>
        <v>-15</v>
      </c>
      <c r="I44" s="27">
        <f t="shared" si="9"/>
        <v>-3.7000000000000028</v>
      </c>
      <c r="J44" s="35">
        <v>8.4</v>
      </c>
      <c r="K44" s="35">
        <v>8.9</v>
      </c>
      <c r="L44" s="35">
        <v>0.5</v>
      </c>
    </row>
    <row r="45" spans="1:12" x14ac:dyDescent="0.2">
      <c r="A45" s="29">
        <v>3</v>
      </c>
      <c r="B45" s="29" t="s">
        <v>40</v>
      </c>
      <c r="C45" s="29" t="s">
        <v>45</v>
      </c>
      <c r="D45" s="34">
        <v>82</v>
      </c>
      <c r="E45" s="34">
        <v>72</v>
      </c>
      <c r="F45" s="34"/>
      <c r="G45" s="27">
        <f t="shared" si="7"/>
        <v>-3</v>
      </c>
      <c r="H45" s="27">
        <f t="shared" si="8"/>
        <v>-7</v>
      </c>
      <c r="I45" s="27">
        <f t="shared" si="9"/>
        <v>-10</v>
      </c>
      <c r="J45" s="35">
        <v>7.4</v>
      </c>
      <c r="K45" s="35">
        <v>6.1</v>
      </c>
      <c r="L45" s="35">
        <f t="shared" ref="L45:L52" si="10">K45-J45</f>
        <v>-1.3000000000000007</v>
      </c>
    </row>
    <row r="46" spans="1:12" x14ac:dyDescent="0.2">
      <c r="A46" s="29">
        <v>3</v>
      </c>
      <c r="B46" s="29" t="s">
        <v>42</v>
      </c>
      <c r="C46" s="29" t="s">
        <v>45</v>
      </c>
      <c r="D46" s="34">
        <v>76</v>
      </c>
      <c r="E46" s="34">
        <v>81</v>
      </c>
      <c r="F46" s="34"/>
      <c r="G46" s="27">
        <f t="shared" si="7"/>
        <v>6</v>
      </c>
      <c r="H46" s="27">
        <f t="shared" si="8"/>
        <v>-1</v>
      </c>
      <c r="I46" s="27">
        <f t="shared" si="9"/>
        <v>5</v>
      </c>
      <c r="J46" s="35">
        <v>6.8</v>
      </c>
      <c r="K46" s="35">
        <v>7.3</v>
      </c>
      <c r="L46" s="35">
        <f t="shared" si="10"/>
        <v>0.5</v>
      </c>
    </row>
    <row r="47" spans="1:12" x14ac:dyDescent="0.2">
      <c r="A47" s="29">
        <v>3</v>
      </c>
      <c r="B47" s="29" t="s">
        <v>43</v>
      </c>
      <c r="C47" s="29" t="s">
        <v>45</v>
      </c>
      <c r="D47" s="34">
        <v>93</v>
      </c>
      <c r="E47" s="34">
        <v>85</v>
      </c>
      <c r="F47" s="34"/>
      <c r="G47" s="27">
        <f t="shared" si="7"/>
        <v>10</v>
      </c>
      <c r="H47" s="27">
        <f t="shared" si="8"/>
        <v>-18</v>
      </c>
      <c r="I47" s="27">
        <f t="shared" si="9"/>
        <v>-8</v>
      </c>
      <c r="J47" s="35">
        <v>8.4</v>
      </c>
      <c r="K47" s="35">
        <v>7.7</v>
      </c>
      <c r="L47" s="35">
        <f t="shared" si="10"/>
        <v>-0.70000000000000018</v>
      </c>
    </row>
    <row r="48" spans="1:12" x14ac:dyDescent="0.2">
      <c r="A48" s="29">
        <v>3</v>
      </c>
      <c r="B48" s="29" t="s">
        <v>44</v>
      </c>
      <c r="C48" s="29" t="s">
        <v>45</v>
      </c>
      <c r="D48" s="34">
        <v>82</v>
      </c>
      <c r="E48" s="34">
        <v>79</v>
      </c>
      <c r="F48" s="34"/>
      <c r="G48" s="27">
        <f t="shared" si="7"/>
        <v>4</v>
      </c>
      <c r="H48" s="27">
        <f t="shared" si="8"/>
        <v>-7</v>
      </c>
      <c r="I48" s="27">
        <f t="shared" si="9"/>
        <v>-3</v>
      </c>
      <c r="J48" s="35">
        <v>7.5</v>
      </c>
      <c r="K48" s="35">
        <v>7.1</v>
      </c>
      <c r="L48" s="35">
        <f t="shared" si="10"/>
        <v>-0.40000000000000036</v>
      </c>
    </row>
    <row r="49" spans="1:12" x14ac:dyDescent="0.2">
      <c r="A49" s="29">
        <v>4</v>
      </c>
      <c r="B49" s="29" t="s">
        <v>40</v>
      </c>
      <c r="C49" s="29" t="s">
        <v>45</v>
      </c>
      <c r="D49" s="34">
        <v>80</v>
      </c>
      <c r="E49" s="34">
        <v>80</v>
      </c>
      <c r="F49" s="34"/>
      <c r="G49" s="27">
        <f t="shared" si="7"/>
        <v>-12</v>
      </c>
      <c r="H49" s="27">
        <f t="shared" si="8"/>
        <v>12</v>
      </c>
      <c r="I49" s="27">
        <f t="shared" si="9"/>
        <v>0</v>
      </c>
      <c r="J49" s="35">
        <v>7.4</v>
      </c>
      <c r="K49" s="35">
        <v>7.2</v>
      </c>
      <c r="L49" s="35">
        <f t="shared" si="10"/>
        <v>-0.20000000000000018</v>
      </c>
    </row>
    <row r="50" spans="1:12" x14ac:dyDescent="0.2">
      <c r="A50" s="29">
        <v>4</v>
      </c>
      <c r="B50" s="29" t="s">
        <v>42</v>
      </c>
      <c r="C50" s="29" t="s">
        <v>45</v>
      </c>
      <c r="D50" s="34">
        <v>79</v>
      </c>
      <c r="E50" s="34">
        <v>76</v>
      </c>
      <c r="F50" s="34"/>
      <c r="G50" s="27">
        <f t="shared" si="7"/>
        <v>-16</v>
      </c>
      <c r="H50" s="27">
        <f t="shared" si="8"/>
        <v>13</v>
      </c>
      <c r="I50" s="27">
        <f t="shared" si="9"/>
        <v>-3</v>
      </c>
      <c r="J50" s="35">
        <v>6.9</v>
      </c>
      <c r="K50" s="35">
        <v>7</v>
      </c>
      <c r="L50" s="35">
        <f t="shared" si="10"/>
        <v>9.9999999999999645E-2</v>
      </c>
    </row>
    <row r="51" spans="1:12" x14ac:dyDescent="0.2">
      <c r="A51" s="29">
        <v>4</v>
      </c>
      <c r="B51" s="29" t="s">
        <v>43</v>
      </c>
      <c r="C51" s="29" t="s">
        <v>45</v>
      </c>
      <c r="D51" s="34">
        <v>80</v>
      </c>
      <c r="E51" s="34">
        <v>81</v>
      </c>
      <c r="F51" s="34"/>
      <c r="G51" s="27">
        <f t="shared" si="7"/>
        <v>-11</v>
      </c>
      <c r="H51" s="27">
        <f t="shared" si="8"/>
        <v>12</v>
      </c>
      <c r="I51" s="27">
        <f t="shared" si="9"/>
        <v>1</v>
      </c>
      <c r="J51" s="35">
        <v>7.4</v>
      </c>
      <c r="K51" s="35">
        <v>7.4</v>
      </c>
      <c r="L51" s="35">
        <f t="shared" si="10"/>
        <v>0</v>
      </c>
    </row>
    <row r="52" spans="1:12" x14ac:dyDescent="0.2">
      <c r="A52" s="29">
        <v>4</v>
      </c>
      <c r="B52" s="29" t="s">
        <v>44</v>
      </c>
      <c r="C52" s="29" t="s">
        <v>45</v>
      </c>
      <c r="D52" s="34">
        <v>75</v>
      </c>
      <c r="E52" s="34">
        <v>81</v>
      </c>
      <c r="F52" s="34"/>
      <c r="G52" s="27">
        <f t="shared" si="7"/>
        <v>-11</v>
      </c>
      <c r="H52" s="27">
        <f t="shared" si="8"/>
        <v>17</v>
      </c>
      <c r="I52" s="27">
        <f t="shared" si="9"/>
        <v>6</v>
      </c>
      <c r="J52" s="35">
        <v>6.9</v>
      </c>
      <c r="K52" s="35">
        <v>7.3</v>
      </c>
      <c r="L52" s="35">
        <f t="shared" si="10"/>
        <v>0.39999999999999947</v>
      </c>
    </row>
    <row r="53" spans="1:12" x14ac:dyDescent="0.2">
      <c r="D53"/>
      <c r="E53"/>
      <c r="F53"/>
      <c r="G53"/>
      <c r="H53"/>
      <c r="I53"/>
      <c r="J53"/>
      <c r="K53"/>
    </row>
    <row r="54" spans="1:12" x14ac:dyDescent="0.2">
      <c r="D54"/>
      <c r="E54"/>
      <c r="F54"/>
      <c r="G54"/>
      <c r="H54"/>
      <c r="I54"/>
      <c r="J54"/>
      <c r="K54"/>
    </row>
    <row r="55" spans="1:12" x14ac:dyDescent="0.2">
      <c r="D55"/>
      <c r="E55"/>
      <c r="F55"/>
      <c r="G55"/>
      <c r="H55"/>
      <c r="I55"/>
      <c r="J55"/>
      <c r="K55"/>
    </row>
    <row r="56" spans="1:12" x14ac:dyDescent="0.2">
      <c r="D56"/>
      <c r="E56"/>
      <c r="F56"/>
      <c r="G56"/>
      <c r="H56"/>
      <c r="I56"/>
      <c r="J56"/>
      <c r="K56"/>
    </row>
    <row r="57" spans="1:12" x14ac:dyDescent="0.2">
      <c r="D57"/>
      <c r="E57"/>
      <c r="F57"/>
      <c r="G57"/>
      <c r="H57"/>
      <c r="I57"/>
      <c r="J57"/>
      <c r="K57"/>
    </row>
    <row r="58" spans="1:12" x14ac:dyDescent="0.2">
      <c r="D58"/>
      <c r="E58"/>
      <c r="F58"/>
      <c r="G58"/>
      <c r="H58"/>
      <c r="I58"/>
      <c r="J58"/>
      <c r="K58"/>
    </row>
    <row r="59" spans="1:12" x14ac:dyDescent="0.2">
      <c r="D59"/>
      <c r="E59"/>
      <c r="F59"/>
      <c r="G59"/>
      <c r="H59"/>
      <c r="I59"/>
      <c r="J59"/>
      <c r="K59"/>
    </row>
    <row r="60" spans="1:12" x14ac:dyDescent="0.2">
      <c r="D60"/>
      <c r="E60"/>
      <c r="F60"/>
      <c r="G60"/>
      <c r="H60"/>
      <c r="I60"/>
      <c r="J60"/>
      <c r="K60"/>
    </row>
    <row r="61" spans="1:12" x14ac:dyDescent="0.2">
      <c r="D61"/>
      <c r="E61"/>
      <c r="F61"/>
      <c r="G61"/>
      <c r="H61"/>
      <c r="I61"/>
      <c r="J61"/>
      <c r="K61"/>
    </row>
    <row r="62" spans="1:12" x14ac:dyDescent="0.2">
      <c r="D62"/>
      <c r="E62"/>
      <c r="F62"/>
      <c r="G62"/>
      <c r="H62"/>
      <c r="I62"/>
      <c r="J62"/>
      <c r="K62"/>
    </row>
    <row r="63" spans="1:12" x14ac:dyDescent="0.2">
      <c r="D63"/>
      <c r="E63"/>
      <c r="F63"/>
      <c r="G63"/>
      <c r="H63"/>
      <c r="I63"/>
      <c r="J63"/>
      <c r="K63"/>
    </row>
    <row r="64" spans="1:12" x14ac:dyDescent="0.2">
      <c r="D64"/>
      <c r="E64"/>
      <c r="F64"/>
      <c r="G64"/>
      <c r="H64"/>
      <c r="I64"/>
      <c r="J64"/>
      <c r="K64"/>
    </row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  <row r="202" customFormat="1" x14ac:dyDescent="0.2"/>
    <row r="203" customFormat="1" x14ac:dyDescent="0.2"/>
    <row r="204" customFormat="1" x14ac:dyDescent="0.2"/>
    <row r="205" customFormat="1" x14ac:dyDescent="0.2"/>
    <row r="206" customFormat="1" x14ac:dyDescent="0.2"/>
    <row r="207" customFormat="1" x14ac:dyDescent="0.2"/>
    <row r="208" customFormat="1" x14ac:dyDescent="0.2"/>
    <row r="209" customFormat="1" x14ac:dyDescent="0.2"/>
    <row r="210" customFormat="1" x14ac:dyDescent="0.2"/>
    <row r="211" customFormat="1" x14ac:dyDescent="0.2"/>
    <row r="212" customFormat="1" x14ac:dyDescent="0.2"/>
    <row r="213" customFormat="1" x14ac:dyDescent="0.2"/>
    <row r="214" customFormat="1" x14ac:dyDescent="0.2"/>
    <row r="215" customFormat="1" x14ac:dyDescent="0.2"/>
    <row r="216" customFormat="1" x14ac:dyDescent="0.2"/>
    <row r="217" customFormat="1" x14ac:dyDescent="0.2"/>
    <row r="218" customFormat="1" x14ac:dyDescent="0.2"/>
    <row r="219" customFormat="1" x14ac:dyDescent="0.2"/>
    <row r="220" customFormat="1" x14ac:dyDescent="0.2"/>
    <row r="221" customFormat="1" x14ac:dyDescent="0.2"/>
    <row r="222" customFormat="1" x14ac:dyDescent="0.2"/>
    <row r="223" customFormat="1" x14ac:dyDescent="0.2"/>
    <row r="224" customFormat="1" x14ac:dyDescent="0.2"/>
    <row r="225" customFormat="1" x14ac:dyDescent="0.2"/>
    <row r="226" customFormat="1" x14ac:dyDescent="0.2"/>
    <row r="227" customFormat="1" x14ac:dyDescent="0.2"/>
    <row r="228" customFormat="1" x14ac:dyDescent="0.2"/>
    <row r="229" customFormat="1" x14ac:dyDescent="0.2"/>
    <row r="230" customFormat="1" x14ac:dyDescent="0.2"/>
    <row r="231" customFormat="1" x14ac:dyDescent="0.2"/>
    <row r="232" customFormat="1" x14ac:dyDescent="0.2"/>
    <row r="233" customFormat="1" x14ac:dyDescent="0.2"/>
    <row r="234" customFormat="1" x14ac:dyDescent="0.2"/>
    <row r="235" customFormat="1" x14ac:dyDescent="0.2"/>
    <row r="236" customFormat="1" x14ac:dyDescent="0.2"/>
    <row r="237" customFormat="1" x14ac:dyDescent="0.2"/>
    <row r="238" customFormat="1" x14ac:dyDescent="0.2"/>
    <row r="239" customFormat="1" x14ac:dyDescent="0.2"/>
    <row r="240" customFormat="1" x14ac:dyDescent="0.2"/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x14ac:dyDescent="0.2"/>
    <row r="286" customFormat="1" x14ac:dyDescent="0.2"/>
    <row r="287" customFormat="1" x14ac:dyDescent="0.2"/>
    <row r="288" customFormat="1" x14ac:dyDescent="0.2"/>
    <row r="289" customFormat="1" x14ac:dyDescent="0.2"/>
    <row r="290" customFormat="1" x14ac:dyDescent="0.2"/>
    <row r="291" customFormat="1" x14ac:dyDescent="0.2"/>
    <row r="292" customFormat="1" x14ac:dyDescent="0.2"/>
    <row r="293" customFormat="1" x14ac:dyDescent="0.2"/>
    <row r="294" customFormat="1" x14ac:dyDescent="0.2"/>
    <row r="295" customFormat="1" x14ac:dyDescent="0.2"/>
    <row r="296" customFormat="1" x14ac:dyDescent="0.2"/>
    <row r="297" customFormat="1" x14ac:dyDescent="0.2"/>
    <row r="298" customFormat="1" x14ac:dyDescent="0.2"/>
    <row r="299" customFormat="1" x14ac:dyDescent="0.2"/>
    <row r="300" customFormat="1" x14ac:dyDescent="0.2"/>
    <row r="301" customFormat="1" x14ac:dyDescent="0.2"/>
    <row r="302" customFormat="1" x14ac:dyDescent="0.2"/>
    <row r="303" customFormat="1" x14ac:dyDescent="0.2"/>
    <row r="304" customFormat="1" x14ac:dyDescent="0.2"/>
    <row r="305" customFormat="1" x14ac:dyDescent="0.2"/>
    <row r="306" customFormat="1" x14ac:dyDescent="0.2"/>
    <row r="307" customFormat="1" x14ac:dyDescent="0.2"/>
    <row r="308" customFormat="1" x14ac:dyDescent="0.2"/>
    <row r="309" customFormat="1" x14ac:dyDescent="0.2"/>
    <row r="310" customFormat="1" x14ac:dyDescent="0.2"/>
    <row r="311" customFormat="1" x14ac:dyDescent="0.2"/>
    <row r="312" customFormat="1" x14ac:dyDescent="0.2"/>
    <row r="313" customFormat="1" x14ac:dyDescent="0.2"/>
    <row r="314" customFormat="1" x14ac:dyDescent="0.2"/>
    <row r="315" customFormat="1" x14ac:dyDescent="0.2"/>
    <row r="316" customFormat="1" x14ac:dyDescent="0.2"/>
    <row r="317" customFormat="1" x14ac:dyDescent="0.2"/>
    <row r="318" customFormat="1" x14ac:dyDescent="0.2"/>
    <row r="319" customFormat="1" x14ac:dyDescent="0.2"/>
    <row r="320" customFormat="1" x14ac:dyDescent="0.2"/>
    <row r="321" customFormat="1" x14ac:dyDescent="0.2"/>
    <row r="322" customFormat="1" x14ac:dyDescent="0.2"/>
    <row r="323" customFormat="1" x14ac:dyDescent="0.2"/>
    <row r="324" customFormat="1" x14ac:dyDescent="0.2"/>
    <row r="325" customFormat="1" x14ac:dyDescent="0.2"/>
    <row r="326" customFormat="1" x14ac:dyDescent="0.2"/>
    <row r="327" customFormat="1" x14ac:dyDescent="0.2"/>
    <row r="328" customFormat="1" x14ac:dyDescent="0.2"/>
    <row r="329" customFormat="1" x14ac:dyDescent="0.2"/>
    <row r="330" customFormat="1" x14ac:dyDescent="0.2"/>
    <row r="331" customFormat="1" x14ac:dyDescent="0.2"/>
    <row r="332" customFormat="1" x14ac:dyDescent="0.2"/>
    <row r="333" customFormat="1" x14ac:dyDescent="0.2"/>
    <row r="334" customFormat="1" x14ac:dyDescent="0.2"/>
    <row r="335" customFormat="1" x14ac:dyDescent="0.2"/>
    <row r="336" customFormat="1" x14ac:dyDescent="0.2"/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E975F-D5BF-D84E-A07B-D3E7DA589466}">
  <dimension ref="A1:P17"/>
  <sheetViews>
    <sheetView workbookViewId="0">
      <selection activeCell="K7" sqref="K7"/>
    </sheetView>
  </sheetViews>
  <sheetFormatPr baseColWidth="10" defaultColWidth="11" defaultRowHeight="16" x14ac:dyDescent="0.2"/>
  <sheetData>
    <row r="1" spans="1:16" x14ac:dyDescent="0.2">
      <c r="A1" t="s">
        <v>52</v>
      </c>
      <c r="B1" t="s">
        <v>0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</row>
    <row r="2" spans="1:16" x14ac:dyDescent="0.2">
      <c r="A2" t="s">
        <v>67</v>
      </c>
      <c r="B2">
        <v>1</v>
      </c>
      <c r="C2">
        <v>84</v>
      </c>
      <c r="E2">
        <v>80</v>
      </c>
      <c r="F2">
        <f>E2-C2</f>
        <v>-4</v>
      </c>
      <c r="I2" s="29"/>
      <c r="J2" s="29">
        <v>89</v>
      </c>
      <c r="K2">
        <v>5</v>
      </c>
      <c r="L2">
        <v>84</v>
      </c>
      <c r="M2">
        <v>89</v>
      </c>
      <c r="N2">
        <f t="shared" ref="N2:N17" si="0">O2+P2</f>
        <v>9</v>
      </c>
      <c r="O2">
        <f t="shared" ref="O2:O17" si="1">D2-I2</f>
        <v>0</v>
      </c>
      <c r="P2">
        <f t="shared" ref="P2:P17" si="2">J2-E2</f>
        <v>9</v>
      </c>
    </row>
    <row r="3" spans="1:16" x14ac:dyDescent="0.2">
      <c r="A3" t="s">
        <v>68</v>
      </c>
      <c r="B3">
        <v>1</v>
      </c>
      <c r="C3">
        <v>84</v>
      </c>
      <c r="D3">
        <v>85</v>
      </c>
      <c r="E3">
        <v>77</v>
      </c>
      <c r="F3">
        <f t="shared" ref="F3:F17" si="3">E3-C3</f>
        <v>-7</v>
      </c>
      <c r="G3">
        <f>C3-D3</f>
        <v>-1</v>
      </c>
      <c r="H3">
        <f>F3+G3</f>
        <v>-8</v>
      </c>
      <c r="I3" s="29">
        <v>91</v>
      </c>
      <c r="J3" s="29">
        <v>87</v>
      </c>
      <c r="K3">
        <v>3</v>
      </c>
      <c r="L3">
        <v>-7</v>
      </c>
      <c r="M3">
        <v>-4</v>
      </c>
      <c r="N3">
        <f t="shared" si="0"/>
        <v>4</v>
      </c>
      <c r="O3">
        <f t="shared" si="1"/>
        <v>-6</v>
      </c>
      <c r="P3">
        <f t="shared" si="2"/>
        <v>10</v>
      </c>
    </row>
    <row r="4" spans="1:16" x14ac:dyDescent="0.2">
      <c r="A4" t="s">
        <v>69</v>
      </c>
      <c r="B4">
        <v>1</v>
      </c>
      <c r="C4">
        <v>84</v>
      </c>
      <c r="D4">
        <v>83</v>
      </c>
      <c r="E4">
        <v>83</v>
      </c>
      <c r="F4">
        <f t="shared" si="3"/>
        <v>-1</v>
      </c>
      <c r="G4">
        <f t="shared" ref="G4:G17" si="4">C4-D4</f>
        <v>1</v>
      </c>
      <c r="H4">
        <f>F4+G4</f>
        <v>0</v>
      </c>
      <c r="I4" s="29">
        <v>88</v>
      </c>
      <c r="J4" s="29">
        <v>91</v>
      </c>
      <c r="K4">
        <v>7</v>
      </c>
      <c r="L4">
        <v>-4</v>
      </c>
      <c r="M4">
        <v>3</v>
      </c>
      <c r="N4">
        <f t="shared" si="0"/>
        <v>3</v>
      </c>
      <c r="O4">
        <f t="shared" si="1"/>
        <v>-5</v>
      </c>
      <c r="P4">
        <f t="shared" si="2"/>
        <v>8</v>
      </c>
    </row>
    <row r="5" spans="1:16" x14ac:dyDescent="0.2">
      <c r="A5" t="s">
        <v>70</v>
      </c>
      <c r="B5">
        <v>1</v>
      </c>
      <c r="C5">
        <v>84</v>
      </c>
      <c r="D5">
        <v>78</v>
      </c>
      <c r="E5">
        <v>80</v>
      </c>
      <c r="F5">
        <f t="shared" si="3"/>
        <v>-4</v>
      </c>
      <c r="G5">
        <f t="shared" si="4"/>
        <v>6</v>
      </c>
      <c r="H5">
        <f t="shared" ref="H5:H17" si="5">F5+G5</f>
        <v>2</v>
      </c>
      <c r="I5" s="29">
        <v>87</v>
      </c>
      <c r="J5" s="29">
        <v>87</v>
      </c>
      <c r="K5">
        <v>3</v>
      </c>
      <c r="L5">
        <v>-3</v>
      </c>
      <c r="M5">
        <v>0</v>
      </c>
      <c r="N5">
        <f t="shared" si="0"/>
        <v>-2</v>
      </c>
      <c r="O5">
        <f t="shared" si="1"/>
        <v>-9</v>
      </c>
      <c r="P5">
        <f t="shared" si="2"/>
        <v>7</v>
      </c>
    </row>
    <row r="6" spans="1:16" x14ac:dyDescent="0.2">
      <c r="A6" t="s">
        <v>67</v>
      </c>
      <c r="B6">
        <v>2</v>
      </c>
      <c r="C6">
        <v>88</v>
      </c>
      <c r="D6">
        <v>73</v>
      </c>
      <c r="E6">
        <v>77</v>
      </c>
      <c r="F6">
        <f t="shared" si="3"/>
        <v>-11</v>
      </c>
      <c r="G6">
        <f t="shared" si="4"/>
        <v>15</v>
      </c>
      <c r="H6">
        <f t="shared" si="5"/>
        <v>4</v>
      </c>
      <c r="I6" s="29">
        <v>81</v>
      </c>
      <c r="J6" s="29">
        <v>87.6</v>
      </c>
      <c r="K6">
        <v>-0.40000000000000568</v>
      </c>
      <c r="L6">
        <v>7</v>
      </c>
      <c r="M6">
        <v>6.5999999999999943</v>
      </c>
      <c r="N6">
        <f t="shared" si="0"/>
        <v>2.5999999999999943</v>
      </c>
      <c r="O6">
        <f t="shared" si="1"/>
        <v>-8</v>
      </c>
      <c r="P6">
        <f t="shared" si="2"/>
        <v>10.599999999999994</v>
      </c>
    </row>
    <row r="7" spans="1:16" x14ac:dyDescent="0.2">
      <c r="A7" t="s">
        <v>68</v>
      </c>
      <c r="B7">
        <v>2</v>
      </c>
      <c r="C7">
        <v>88</v>
      </c>
      <c r="D7">
        <v>83</v>
      </c>
      <c r="G7">
        <f t="shared" si="4"/>
        <v>5</v>
      </c>
      <c r="I7" s="29"/>
      <c r="J7" s="29"/>
      <c r="K7">
        <v>-88</v>
      </c>
      <c r="L7">
        <v>88</v>
      </c>
      <c r="M7">
        <v>0</v>
      </c>
      <c r="N7">
        <f t="shared" si="0"/>
        <v>83</v>
      </c>
      <c r="O7">
        <f t="shared" si="1"/>
        <v>83</v>
      </c>
      <c r="P7">
        <f t="shared" si="2"/>
        <v>0</v>
      </c>
    </row>
    <row r="8" spans="1:16" x14ac:dyDescent="0.2">
      <c r="A8" t="s">
        <v>69</v>
      </c>
      <c r="B8">
        <v>2</v>
      </c>
      <c r="C8">
        <v>88</v>
      </c>
      <c r="D8">
        <v>82</v>
      </c>
      <c r="E8">
        <v>87</v>
      </c>
      <c r="F8">
        <f t="shared" si="3"/>
        <v>-1</v>
      </c>
      <c r="G8">
        <f t="shared" si="4"/>
        <v>6</v>
      </c>
      <c r="H8">
        <f t="shared" si="5"/>
        <v>5</v>
      </c>
      <c r="I8" s="29">
        <v>88</v>
      </c>
      <c r="J8" s="29"/>
      <c r="K8">
        <v>-88</v>
      </c>
      <c r="L8">
        <v>0</v>
      </c>
      <c r="M8">
        <v>-88</v>
      </c>
      <c r="N8">
        <f t="shared" si="0"/>
        <v>-93</v>
      </c>
      <c r="O8">
        <f t="shared" si="1"/>
        <v>-6</v>
      </c>
      <c r="P8">
        <f t="shared" si="2"/>
        <v>-87</v>
      </c>
    </row>
    <row r="9" spans="1:16" x14ac:dyDescent="0.2">
      <c r="A9" t="s">
        <v>70</v>
      </c>
      <c r="B9">
        <v>2</v>
      </c>
      <c r="C9">
        <v>88</v>
      </c>
      <c r="D9">
        <v>80</v>
      </c>
      <c r="E9">
        <v>75</v>
      </c>
      <c r="F9">
        <f t="shared" si="3"/>
        <v>-13</v>
      </c>
      <c r="G9">
        <f t="shared" si="4"/>
        <v>8</v>
      </c>
      <c r="H9">
        <f t="shared" si="5"/>
        <v>-5</v>
      </c>
      <c r="I9" s="29">
        <v>103</v>
      </c>
      <c r="J9" s="29">
        <v>99.3</v>
      </c>
      <c r="K9">
        <v>11.299999999999997</v>
      </c>
      <c r="L9">
        <v>-15</v>
      </c>
      <c r="M9">
        <v>-3.7000000000000028</v>
      </c>
      <c r="N9">
        <f t="shared" si="0"/>
        <v>1.2999999999999972</v>
      </c>
      <c r="O9">
        <f t="shared" si="1"/>
        <v>-23</v>
      </c>
      <c r="P9">
        <f t="shared" si="2"/>
        <v>24.299999999999997</v>
      </c>
    </row>
    <row r="10" spans="1:16" x14ac:dyDescent="0.2">
      <c r="A10" t="s">
        <v>67</v>
      </c>
      <c r="B10">
        <v>3</v>
      </c>
      <c r="C10">
        <v>75</v>
      </c>
      <c r="D10">
        <v>82</v>
      </c>
      <c r="E10">
        <v>88</v>
      </c>
      <c r="F10">
        <f t="shared" si="3"/>
        <v>13</v>
      </c>
      <c r="G10">
        <f t="shared" si="4"/>
        <v>-7</v>
      </c>
      <c r="H10">
        <f t="shared" si="5"/>
        <v>6</v>
      </c>
      <c r="I10" s="29">
        <v>82</v>
      </c>
      <c r="J10" s="29">
        <v>72</v>
      </c>
      <c r="K10">
        <v>-3</v>
      </c>
      <c r="L10">
        <v>-7</v>
      </c>
      <c r="M10">
        <v>-10</v>
      </c>
      <c r="N10">
        <f t="shared" si="0"/>
        <v>-16</v>
      </c>
      <c r="O10">
        <f t="shared" si="1"/>
        <v>0</v>
      </c>
      <c r="P10">
        <f t="shared" si="2"/>
        <v>-16</v>
      </c>
    </row>
    <row r="11" spans="1:16" x14ac:dyDescent="0.2">
      <c r="A11" t="s">
        <v>68</v>
      </c>
      <c r="B11">
        <v>3</v>
      </c>
      <c r="C11">
        <v>75</v>
      </c>
      <c r="D11">
        <v>87</v>
      </c>
      <c r="E11">
        <v>82</v>
      </c>
      <c r="F11">
        <f t="shared" si="3"/>
        <v>7</v>
      </c>
      <c r="G11">
        <f t="shared" si="4"/>
        <v>-12</v>
      </c>
      <c r="H11">
        <f t="shared" si="5"/>
        <v>-5</v>
      </c>
      <c r="I11" s="29">
        <v>76</v>
      </c>
      <c r="J11" s="29">
        <v>81</v>
      </c>
      <c r="K11">
        <v>6</v>
      </c>
      <c r="L11">
        <v>-1</v>
      </c>
      <c r="M11">
        <v>5</v>
      </c>
      <c r="N11">
        <f t="shared" si="0"/>
        <v>10</v>
      </c>
      <c r="O11">
        <f t="shared" si="1"/>
        <v>11</v>
      </c>
      <c r="P11">
        <f t="shared" si="2"/>
        <v>-1</v>
      </c>
    </row>
    <row r="12" spans="1:16" x14ac:dyDescent="0.2">
      <c r="A12" t="s">
        <v>69</v>
      </c>
      <c r="B12">
        <v>3</v>
      </c>
      <c r="C12">
        <v>75</v>
      </c>
      <c r="D12">
        <v>84</v>
      </c>
      <c r="E12">
        <v>82</v>
      </c>
      <c r="F12">
        <f t="shared" si="3"/>
        <v>7</v>
      </c>
      <c r="G12">
        <f t="shared" si="4"/>
        <v>-9</v>
      </c>
      <c r="H12">
        <f t="shared" si="5"/>
        <v>-2</v>
      </c>
      <c r="I12" s="29">
        <v>93</v>
      </c>
      <c r="J12" s="29">
        <v>85</v>
      </c>
      <c r="K12">
        <v>10</v>
      </c>
      <c r="L12">
        <v>-18</v>
      </c>
      <c r="M12">
        <v>-8</v>
      </c>
      <c r="N12">
        <f t="shared" si="0"/>
        <v>-6</v>
      </c>
      <c r="O12">
        <f t="shared" si="1"/>
        <v>-9</v>
      </c>
      <c r="P12">
        <f t="shared" si="2"/>
        <v>3</v>
      </c>
    </row>
    <row r="13" spans="1:16" x14ac:dyDescent="0.2">
      <c r="A13" t="s">
        <v>70</v>
      </c>
      <c r="B13">
        <v>3</v>
      </c>
      <c r="C13">
        <v>75</v>
      </c>
      <c r="D13">
        <v>86</v>
      </c>
      <c r="E13">
        <v>87</v>
      </c>
      <c r="F13">
        <f t="shared" si="3"/>
        <v>12</v>
      </c>
      <c r="G13">
        <f t="shared" si="4"/>
        <v>-11</v>
      </c>
      <c r="H13">
        <f t="shared" si="5"/>
        <v>1</v>
      </c>
      <c r="I13" s="29">
        <v>82</v>
      </c>
      <c r="J13" s="29">
        <v>79</v>
      </c>
      <c r="K13">
        <v>4</v>
      </c>
      <c r="L13">
        <v>-7</v>
      </c>
      <c r="M13">
        <v>-3</v>
      </c>
      <c r="N13">
        <f t="shared" si="0"/>
        <v>-4</v>
      </c>
      <c r="O13">
        <f t="shared" si="1"/>
        <v>4</v>
      </c>
      <c r="P13">
        <f t="shared" si="2"/>
        <v>-8</v>
      </c>
    </row>
    <row r="14" spans="1:16" x14ac:dyDescent="0.2">
      <c r="A14" t="s">
        <v>67</v>
      </c>
      <c r="B14">
        <v>4</v>
      </c>
      <c r="C14">
        <v>92</v>
      </c>
      <c r="D14">
        <v>89.4</v>
      </c>
      <c r="E14">
        <v>91</v>
      </c>
      <c r="F14">
        <f t="shared" si="3"/>
        <v>-1</v>
      </c>
      <c r="G14">
        <f t="shared" si="4"/>
        <v>2.5999999999999943</v>
      </c>
      <c r="H14">
        <f t="shared" si="5"/>
        <v>1.5999999999999943</v>
      </c>
      <c r="I14" s="29">
        <v>80</v>
      </c>
      <c r="J14" s="29">
        <v>80</v>
      </c>
      <c r="K14">
        <v>-12</v>
      </c>
      <c r="L14">
        <v>12</v>
      </c>
      <c r="M14">
        <v>0</v>
      </c>
      <c r="N14">
        <f t="shared" si="0"/>
        <v>-1.5999999999999943</v>
      </c>
      <c r="O14">
        <f t="shared" si="1"/>
        <v>9.4000000000000057</v>
      </c>
      <c r="P14">
        <f t="shared" si="2"/>
        <v>-11</v>
      </c>
    </row>
    <row r="15" spans="1:16" x14ac:dyDescent="0.2">
      <c r="A15" t="s">
        <v>68</v>
      </c>
      <c r="B15">
        <v>4</v>
      </c>
      <c r="C15">
        <v>92</v>
      </c>
      <c r="D15">
        <v>84.2</v>
      </c>
      <c r="E15">
        <v>100.7</v>
      </c>
      <c r="F15">
        <f t="shared" si="3"/>
        <v>8.7000000000000028</v>
      </c>
      <c r="G15">
        <f t="shared" si="4"/>
        <v>7.7999999999999972</v>
      </c>
      <c r="H15">
        <f t="shared" si="5"/>
        <v>16.5</v>
      </c>
      <c r="I15" s="29">
        <v>79</v>
      </c>
      <c r="J15" s="29">
        <v>76</v>
      </c>
      <c r="K15">
        <v>-16</v>
      </c>
      <c r="L15">
        <v>13</v>
      </c>
      <c r="M15">
        <v>-3</v>
      </c>
      <c r="N15">
        <f t="shared" si="0"/>
        <v>-19.5</v>
      </c>
      <c r="O15">
        <f t="shared" si="1"/>
        <v>5.2000000000000028</v>
      </c>
      <c r="P15">
        <f t="shared" si="2"/>
        <v>-24.700000000000003</v>
      </c>
    </row>
    <row r="16" spans="1:16" x14ac:dyDescent="0.2">
      <c r="A16" t="s">
        <v>69</v>
      </c>
      <c r="B16">
        <v>4</v>
      </c>
      <c r="C16">
        <v>92</v>
      </c>
      <c r="D16">
        <v>93.6</v>
      </c>
      <c r="E16">
        <v>96.7</v>
      </c>
      <c r="F16">
        <f t="shared" si="3"/>
        <v>4.7000000000000028</v>
      </c>
      <c r="G16">
        <f t="shared" si="4"/>
        <v>-1.5999999999999943</v>
      </c>
      <c r="H16">
        <f t="shared" si="5"/>
        <v>3.1000000000000085</v>
      </c>
      <c r="I16" s="29">
        <v>80</v>
      </c>
      <c r="J16" s="29">
        <v>81</v>
      </c>
      <c r="K16">
        <v>-11</v>
      </c>
      <c r="L16">
        <v>12</v>
      </c>
      <c r="M16">
        <v>1</v>
      </c>
      <c r="N16">
        <f t="shared" si="0"/>
        <v>-2.1000000000000085</v>
      </c>
      <c r="O16">
        <f t="shared" si="1"/>
        <v>13.599999999999994</v>
      </c>
      <c r="P16">
        <f t="shared" si="2"/>
        <v>-15.700000000000003</v>
      </c>
    </row>
    <row r="17" spans="1:16" x14ac:dyDescent="0.2">
      <c r="A17" t="s">
        <v>70</v>
      </c>
      <c r="B17">
        <v>4</v>
      </c>
      <c r="C17">
        <v>92</v>
      </c>
      <c r="D17">
        <v>108.4</v>
      </c>
      <c r="E17">
        <v>89.2</v>
      </c>
      <c r="F17">
        <f t="shared" si="3"/>
        <v>-2.7999999999999972</v>
      </c>
      <c r="G17">
        <f t="shared" si="4"/>
        <v>-16.400000000000006</v>
      </c>
      <c r="H17">
        <f t="shared" si="5"/>
        <v>-19.200000000000003</v>
      </c>
      <c r="I17" s="29">
        <v>75</v>
      </c>
      <c r="J17" s="29">
        <v>81</v>
      </c>
      <c r="K17">
        <v>-11</v>
      </c>
      <c r="L17">
        <v>17</v>
      </c>
      <c r="M17">
        <v>6</v>
      </c>
      <c r="N17">
        <f t="shared" si="0"/>
        <v>25.200000000000003</v>
      </c>
      <c r="O17">
        <f t="shared" si="1"/>
        <v>33.400000000000006</v>
      </c>
      <c r="P17">
        <f t="shared" si="2"/>
        <v>-8.2000000000000028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10FA-3EEF-F549-B5C4-E48DE1E867E6}">
  <dimension ref="A1:C17"/>
  <sheetViews>
    <sheetView workbookViewId="0">
      <selection activeCell="D1" sqref="D1:E17"/>
    </sheetView>
  </sheetViews>
  <sheetFormatPr baseColWidth="10" defaultRowHeight="16" x14ac:dyDescent="0.2"/>
  <sheetData>
    <row r="1" spans="1:3" x14ac:dyDescent="0.2">
      <c r="A1" t="s">
        <v>52</v>
      </c>
      <c r="B1" t="s">
        <v>0</v>
      </c>
      <c r="C1" t="s">
        <v>61</v>
      </c>
    </row>
    <row r="2" spans="1:3" x14ac:dyDescent="0.2">
      <c r="A2" t="s">
        <v>67</v>
      </c>
      <c r="B2">
        <v>1</v>
      </c>
    </row>
    <row r="3" spans="1:3" x14ac:dyDescent="0.2">
      <c r="A3" t="s">
        <v>68</v>
      </c>
      <c r="B3">
        <v>1</v>
      </c>
      <c r="C3">
        <v>3</v>
      </c>
    </row>
    <row r="4" spans="1:3" x14ac:dyDescent="0.2">
      <c r="A4" t="s">
        <v>69</v>
      </c>
      <c r="B4">
        <v>1</v>
      </c>
      <c r="C4">
        <v>7</v>
      </c>
    </row>
    <row r="5" spans="1:3" x14ac:dyDescent="0.2">
      <c r="A5" t="s">
        <v>70</v>
      </c>
      <c r="B5">
        <v>1</v>
      </c>
      <c r="C5">
        <v>3</v>
      </c>
    </row>
    <row r="6" spans="1:3" x14ac:dyDescent="0.2">
      <c r="A6" t="s">
        <v>67</v>
      </c>
      <c r="B6">
        <v>2</v>
      </c>
      <c r="C6">
        <v>-0.40000000000000568</v>
      </c>
    </row>
    <row r="7" spans="1:3" x14ac:dyDescent="0.2">
      <c r="A7" t="s">
        <v>68</v>
      </c>
      <c r="B7">
        <v>2</v>
      </c>
    </row>
    <row r="8" spans="1:3" x14ac:dyDescent="0.2">
      <c r="A8" t="s">
        <v>69</v>
      </c>
      <c r="B8">
        <v>2</v>
      </c>
    </row>
    <row r="9" spans="1:3" x14ac:dyDescent="0.2">
      <c r="A9" t="s">
        <v>70</v>
      </c>
      <c r="B9">
        <v>2</v>
      </c>
      <c r="C9">
        <v>11.299999999999997</v>
      </c>
    </row>
    <row r="10" spans="1:3" x14ac:dyDescent="0.2">
      <c r="A10" t="s">
        <v>67</v>
      </c>
      <c r="B10">
        <v>3</v>
      </c>
      <c r="C10">
        <v>-3</v>
      </c>
    </row>
    <row r="11" spans="1:3" x14ac:dyDescent="0.2">
      <c r="A11" t="s">
        <v>68</v>
      </c>
      <c r="B11">
        <v>3</v>
      </c>
      <c r="C11">
        <v>6</v>
      </c>
    </row>
    <row r="12" spans="1:3" x14ac:dyDescent="0.2">
      <c r="A12" t="s">
        <v>69</v>
      </c>
      <c r="B12">
        <v>3</v>
      </c>
      <c r="C12">
        <v>10</v>
      </c>
    </row>
    <row r="13" spans="1:3" x14ac:dyDescent="0.2">
      <c r="A13" t="s">
        <v>70</v>
      </c>
      <c r="B13">
        <v>3</v>
      </c>
      <c r="C13">
        <v>4</v>
      </c>
    </row>
    <row r="14" spans="1:3" x14ac:dyDescent="0.2">
      <c r="A14" t="s">
        <v>67</v>
      </c>
      <c r="B14">
        <v>4</v>
      </c>
      <c r="C14">
        <v>-12</v>
      </c>
    </row>
    <row r="15" spans="1:3" x14ac:dyDescent="0.2">
      <c r="A15" t="s">
        <v>68</v>
      </c>
      <c r="B15">
        <v>4</v>
      </c>
      <c r="C15">
        <v>-16</v>
      </c>
    </row>
    <row r="16" spans="1:3" x14ac:dyDescent="0.2">
      <c r="A16" t="s">
        <v>69</v>
      </c>
      <c r="B16">
        <v>4</v>
      </c>
      <c r="C16">
        <v>-11</v>
      </c>
    </row>
    <row r="17" spans="1:3" x14ac:dyDescent="0.2">
      <c r="A17" t="s">
        <v>70</v>
      </c>
      <c r="B17">
        <v>4</v>
      </c>
      <c r="C17">
        <v>-11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82643-BBE2-384D-981D-E93549314F67}">
  <dimension ref="A1:M132"/>
  <sheetViews>
    <sheetView zoomScale="125" workbookViewId="0">
      <selection activeCell="F98" sqref="F98"/>
    </sheetView>
  </sheetViews>
  <sheetFormatPr baseColWidth="10" defaultColWidth="11" defaultRowHeight="16" x14ac:dyDescent="0.2"/>
  <cols>
    <col min="6" max="6" width="12.5" customWidth="1"/>
    <col min="7" max="7" width="11.6640625" customWidth="1"/>
    <col min="8" max="8" width="12.1640625" customWidth="1"/>
    <col min="9" max="9" width="12" customWidth="1"/>
    <col min="10" max="10" width="14" customWidth="1"/>
    <col min="11" max="11" width="15.1640625" customWidth="1"/>
    <col min="12" max="12" width="23.1640625" customWidth="1"/>
  </cols>
  <sheetData>
    <row r="1" spans="1:13" x14ac:dyDescent="0.2">
      <c r="A1" s="24" t="s">
        <v>2</v>
      </c>
      <c r="B1" s="24" t="s">
        <v>0</v>
      </c>
      <c r="C1" s="24" t="s">
        <v>71</v>
      </c>
      <c r="D1" s="24" t="s">
        <v>72</v>
      </c>
      <c r="E1" s="24" t="s">
        <v>73</v>
      </c>
      <c r="F1" s="24" t="s">
        <v>74</v>
      </c>
      <c r="G1" s="24" t="s">
        <v>75</v>
      </c>
      <c r="H1" s="24" t="s">
        <v>76</v>
      </c>
      <c r="I1" s="24" t="s">
        <v>77</v>
      </c>
      <c r="J1" s="24" t="s">
        <v>78</v>
      </c>
      <c r="K1" s="24" t="s">
        <v>52</v>
      </c>
      <c r="L1" s="24" t="s">
        <v>79</v>
      </c>
    </row>
    <row r="2" spans="1:13" x14ac:dyDescent="0.2">
      <c r="A2" s="3" t="s">
        <v>20</v>
      </c>
      <c r="B2" s="3">
        <v>1</v>
      </c>
      <c r="C2" s="3">
        <v>1</v>
      </c>
      <c r="D2" s="3">
        <v>1</v>
      </c>
      <c r="E2" s="3">
        <v>6</v>
      </c>
      <c r="F2">
        <f>AVERAGE(E2:E9)</f>
        <v>4.875</v>
      </c>
      <c r="G2">
        <f>+STDEV(E2:E9)</f>
        <v>2.1001700611413079</v>
      </c>
      <c r="H2">
        <f>G2/(F2/100)</f>
        <v>43.080411510590928</v>
      </c>
      <c r="I2">
        <f>F2*10^5</f>
        <v>487500</v>
      </c>
      <c r="J2">
        <f>G2*10^5</f>
        <v>210017.00611413078</v>
      </c>
      <c r="K2" t="s">
        <v>80</v>
      </c>
      <c r="L2" s="8" t="s">
        <v>81</v>
      </c>
      <c r="M2" t="s">
        <v>82</v>
      </c>
    </row>
    <row r="3" spans="1:13" x14ac:dyDescent="0.2">
      <c r="A3" s="3" t="s">
        <v>20</v>
      </c>
      <c r="B3" s="3">
        <v>1</v>
      </c>
      <c r="C3" s="3">
        <v>1</v>
      </c>
      <c r="D3" s="3">
        <v>2</v>
      </c>
      <c r="E3" s="3">
        <v>3</v>
      </c>
      <c r="K3" t="s">
        <v>80</v>
      </c>
      <c r="L3" s="8"/>
    </row>
    <row r="4" spans="1:13" x14ac:dyDescent="0.2">
      <c r="A4" s="3" t="s">
        <v>20</v>
      </c>
      <c r="B4" s="3">
        <v>1</v>
      </c>
      <c r="C4" s="3">
        <v>1</v>
      </c>
      <c r="D4" s="3">
        <v>3</v>
      </c>
      <c r="E4" s="3">
        <v>8</v>
      </c>
      <c r="K4" t="s">
        <v>80</v>
      </c>
      <c r="L4" s="8"/>
    </row>
    <row r="5" spans="1:13" x14ac:dyDescent="0.2">
      <c r="A5" s="3" t="s">
        <v>20</v>
      </c>
      <c r="B5" s="3">
        <v>1</v>
      </c>
      <c r="C5" s="3">
        <v>1</v>
      </c>
      <c r="D5" s="3">
        <v>4</v>
      </c>
      <c r="E5" s="3">
        <v>5</v>
      </c>
      <c r="K5" t="s">
        <v>80</v>
      </c>
      <c r="L5" s="8"/>
    </row>
    <row r="6" spans="1:13" x14ac:dyDescent="0.2">
      <c r="A6" s="3" t="s">
        <v>20</v>
      </c>
      <c r="B6" s="3">
        <v>1</v>
      </c>
      <c r="C6" s="3">
        <v>2</v>
      </c>
      <c r="D6" s="3">
        <v>1</v>
      </c>
      <c r="E6" s="3">
        <v>2</v>
      </c>
      <c r="K6" t="s">
        <v>80</v>
      </c>
      <c r="L6" s="8"/>
    </row>
    <row r="7" spans="1:13" x14ac:dyDescent="0.2">
      <c r="A7" s="3" t="s">
        <v>20</v>
      </c>
      <c r="B7" s="3">
        <v>1</v>
      </c>
      <c r="C7" s="3">
        <v>2</v>
      </c>
      <c r="D7" s="3">
        <v>2</v>
      </c>
      <c r="E7" s="3">
        <v>5</v>
      </c>
      <c r="K7" t="s">
        <v>80</v>
      </c>
      <c r="L7" s="8"/>
    </row>
    <row r="8" spans="1:13" x14ac:dyDescent="0.2">
      <c r="A8" s="3" t="s">
        <v>20</v>
      </c>
      <c r="B8" s="3">
        <v>1</v>
      </c>
      <c r="C8" s="3">
        <v>2</v>
      </c>
      <c r="D8" s="3">
        <v>3</v>
      </c>
      <c r="E8" s="3">
        <v>3</v>
      </c>
      <c r="K8" t="s">
        <v>80</v>
      </c>
      <c r="L8" s="8"/>
    </row>
    <row r="9" spans="1:13" x14ac:dyDescent="0.2">
      <c r="A9" s="3" t="s">
        <v>20</v>
      </c>
      <c r="B9" s="3">
        <v>1</v>
      </c>
      <c r="C9" s="3">
        <v>2</v>
      </c>
      <c r="D9" s="3">
        <v>4</v>
      </c>
      <c r="E9" s="3">
        <v>7</v>
      </c>
      <c r="K9" t="s">
        <v>80</v>
      </c>
      <c r="L9" s="8"/>
    </row>
    <row r="10" spans="1:13" s="26" customFormat="1" x14ac:dyDescent="0.2">
      <c r="A10" s="25" t="s">
        <v>20</v>
      </c>
      <c r="B10" s="25">
        <v>1</v>
      </c>
      <c r="C10" s="25">
        <v>1</v>
      </c>
      <c r="D10" s="25"/>
      <c r="E10" s="25">
        <v>11</v>
      </c>
      <c r="F10" s="26">
        <f>AVERAGE(E10:E11)</f>
        <v>10.5</v>
      </c>
      <c r="G10" s="26">
        <f>+STDEV(E10:E11)</f>
        <v>0.70710678118654757</v>
      </c>
      <c r="H10" s="26">
        <f>G10/(F10/100)</f>
        <v>6.7343502970147391</v>
      </c>
      <c r="I10" s="26">
        <f>F10*10^5</f>
        <v>1050000</v>
      </c>
      <c r="J10" s="26">
        <f>G10*10^5</f>
        <v>70710.67811865476</v>
      </c>
      <c r="K10" s="26" t="s">
        <v>80</v>
      </c>
      <c r="L10" s="26" t="s">
        <v>83</v>
      </c>
    </row>
    <row r="11" spans="1:13" s="26" customFormat="1" x14ac:dyDescent="0.2">
      <c r="A11" s="25" t="s">
        <v>20</v>
      </c>
      <c r="B11" s="25">
        <v>1</v>
      </c>
      <c r="C11" s="25">
        <v>2</v>
      </c>
      <c r="D11" s="25"/>
      <c r="E11" s="25">
        <v>10</v>
      </c>
    </row>
    <row r="12" spans="1:13" x14ac:dyDescent="0.2">
      <c r="A12" s="2" t="s">
        <v>20</v>
      </c>
      <c r="B12" s="2">
        <v>2</v>
      </c>
      <c r="C12" s="2">
        <v>1</v>
      </c>
      <c r="D12" s="2">
        <v>1</v>
      </c>
      <c r="E12" s="2">
        <v>7</v>
      </c>
      <c r="F12">
        <f>AVERAGE(E12:E19)</f>
        <v>7.625</v>
      </c>
      <c r="G12">
        <f>+STDEV(E12:E19)</f>
        <v>2.3867192066576601</v>
      </c>
      <c r="H12">
        <f>G12/(F12/100)</f>
        <v>31.301235497149641</v>
      </c>
      <c r="I12">
        <f>F12*10^5</f>
        <v>762500</v>
      </c>
      <c r="J12">
        <f>G12*10^5</f>
        <v>238671.92066576603</v>
      </c>
      <c r="K12" t="s">
        <v>80</v>
      </c>
      <c r="L12" s="8"/>
    </row>
    <row r="13" spans="1:13" x14ac:dyDescent="0.2">
      <c r="A13" s="2" t="s">
        <v>20</v>
      </c>
      <c r="B13" s="2">
        <v>2</v>
      </c>
      <c r="C13" s="2">
        <v>1</v>
      </c>
      <c r="D13" s="2">
        <v>2</v>
      </c>
      <c r="E13" s="2">
        <v>4</v>
      </c>
      <c r="K13" t="s">
        <v>80</v>
      </c>
      <c r="L13" s="8"/>
    </row>
    <row r="14" spans="1:13" x14ac:dyDescent="0.2">
      <c r="A14" s="2" t="s">
        <v>20</v>
      </c>
      <c r="B14" s="2">
        <v>2</v>
      </c>
      <c r="C14" s="2">
        <v>1</v>
      </c>
      <c r="D14" s="2">
        <v>3</v>
      </c>
      <c r="E14" s="2">
        <v>6</v>
      </c>
      <c r="K14" t="s">
        <v>80</v>
      </c>
      <c r="L14" s="8"/>
    </row>
    <row r="15" spans="1:13" x14ac:dyDescent="0.2">
      <c r="A15" s="2" t="s">
        <v>20</v>
      </c>
      <c r="B15" s="2">
        <v>2</v>
      </c>
      <c r="C15" s="2">
        <v>1</v>
      </c>
      <c r="D15" s="2">
        <v>4</v>
      </c>
      <c r="E15" s="2">
        <v>8</v>
      </c>
      <c r="K15" t="s">
        <v>80</v>
      </c>
      <c r="L15" s="8"/>
    </row>
    <row r="16" spans="1:13" x14ac:dyDescent="0.2">
      <c r="A16" s="2" t="s">
        <v>20</v>
      </c>
      <c r="B16" s="2">
        <v>2</v>
      </c>
      <c r="C16" s="2">
        <v>2</v>
      </c>
      <c r="D16" s="2">
        <v>1</v>
      </c>
      <c r="E16" s="2">
        <v>7</v>
      </c>
      <c r="K16" t="s">
        <v>80</v>
      </c>
      <c r="L16" s="8"/>
    </row>
    <row r="17" spans="1:12" x14ac:dyDescent="0.2">
      <c r="A17" s="2" t="s">
        <v>20</v>
      </c>
      <c r="B17" s="2">
        <v>2</v>
      </c>
      <c r="C17" s="2">
        <v>2</v>
      </c>
      <c r="D17" s="2">
        <v>2</v>
      </c>
      <c r="E17" s="2">
        <v>11</v>
      </c>
      <c r="K17" t="s">
        <v>80</v>
      </c>
      <c r="L17" s="8"/>
    </row>
    <row r="18" spans="1:12" x14ac:dyDescent="0.2">
      <c r="A18" s="2" t="s">
        <v>20</v>
      </c>
      <c r="B18" s="2">
        <v>2</v>
      </c>
      <c r="C18" s="2">
        <v>2</v>
      </c>
      <c r="D18" s="2">
        <v>3</v>
      </c>
      <c r="E18" s="2">
        <v>11</v>
      </c>
      <c r="K18" t="s">
        <v>80</v>
      </c>
      <c r="L18" s="8"/>
    </row>
    <row r="19" spans="1:12" x14ac:dyDescent="0.2">
      <c r="A19" s="2" t="s">
        <v>20</v>
      </c>
      <c r="B19" s="2">
        <v>2</v>
      </c>
      <c r="C19" s="2">
        <v>2</v>
      </c>
      <c r="D19" s="2">
        <v>4</v>
      </c>
      <c r="E19" s="2">
        <v>7</v>
      </c>
      <c r="K19" t="s">
        <v>80</v>
      </c>
      <c r="L19" s="8"/>
    </row>
    <row r="20" spans="1:12" s="26" customFormat="1" x14ac:dyDescent="0.2">
      <c r="A20" s="25" t="s">
        <v>20</v>
      </c>
      <c r="B20" s="25">
        <v>2</v>
      </c>
      <c r="C20" s="25">
        <v>1</v>
      </c>
      <c r="D20" s="25"/>
      <c r="E20" s="25">
        <v>17</v>
      </c>
      <c r="F20" s="26">
        <f>E20/4</f>
        <v>4.25</v>
      </c>
      <c r="I20" s="26">
        <f>F20*10^5</f>
        <v>425000</v>
      </c>
      <c r="K20" s="26" t="s">
        <v>80</v>
      </c>
      <c r="L20" s="26" t="s">
        <v>83</v>
      </c>
    </row>
    <row r="21" spans="1:12" x14ac:dyDescent="0.2">
      <c r="A21" s="3" t="s">
        <v>20</v>
      </c>
      <c r="B21" s="3">
        <v>3</v>
      </c>
      <c r="C21" s="3">
        <v>1</v>
      </c>
      <c r="D21" s="3">
        <v>1</v>
      </c>
      <c r="E21" s="3">
        <v>1</v>
      </c>
      <c r="F21">
        <f>AVERAGE(E21:E28)</f>
        <v>6.625</v>
      </c>
      <c r="G21">
        <f>+STDEV(E21:E28)</f>
        <v>5.1530157605591915</v>
      </c>
      <c r="H21">
        <f>G21/(F21/100)</f>
        <v>77.781369970704773</v>
      </c>
      <c r="I21">
        <f>F21*10^5</f>
        <v>662500</v>
      </c>
      <c r="J21">
        <f>G21*10^5</f>
        <v>515301.57605591917</v>
      </c>
      <c r="K21" t="s">
        <v>80</v>
      </c>
      <c r="L21" s="8"/>
    </row>
    <row r="22" spans="1:12" x14ac:dyDescent="0.2">
      <c r="A22" s="3" t="s">
        <v>20</v>
      </c>
      <c r="B22" s="3">
        <v>3</v>
      </c>
      <c r="C22" s="3">
        <v>1</v>
      </c>
      <c r="D22" s="3">
        <v>2</v>
      </c>
      <c r="E22" s="3">
        <v>4</v>
      </c>
      <c r="K22" t="s">
        <v>80</v>
      </c>
      <c r="L22" s="8"/>
    </row>
    <row r="23" spans="1:12" x14ac:dyDescent="0.2">
      <c r="A23" s="3" t="s">
        <v>20</v>
      </c>
      <c r="B23" s="3">
        <v>3</v>
      </c>
      <c r="C23" s="3">
        <v>1</v>
      </c>
      <c r="D23" s="3">
        <v>3</v>
      </c>
      <c r="E23" s="3">
        <v>13</v>
      </c>
      <c r="K23" t="s">
        <v>80</v>
      </c>
      <c r="L23" s="8"/>
    </row>
    <row r="24" spans="1:12" x14ac:dyDescent="0.2">
      <c r="A24" s="3" t="s">
        <v>20</v>
      </c>
      <c r="B24" s="3">
        <v>3</v>
      </c>
      <c r="C24" s="3">
        <v>1</v>
      </c>
      <c r="D24" s="3">
        <v>4</v>
      </c>
      <c r="E24" s="3">
        <v>3</v>
      </c>
      <c r="K24" t="s">
        <v>80</v>
      </c>
      <c r="L24" s="8"/>
    </row>
    <row r="25" spans="1:12" x14ac:dyDescent="0.2">
      <c r="A25" s="3" t="s">
        <v>20</v>
      </c>
      <c r="B25" s="3">
        <v>3</v>
      </c>
      <c r="C25" s="3">
        <v>2</v>
      </c>
      <c r="D25" s="3">
        <v>1</v>
      </c>
      <c r="E25" s="3">
        <v>2</v>
      </c>
      <c r="K25" t="s">
        <v>80</v>
      </c>
      <c r="L25" s="8"/>
    </row>
    <row r="26" spans="1:12" x14ac:dyDescent="0.2">
      <c r="A26" s="3" t="s">
        <v>20</v>
      </c>
      <c r="B26" s="3">
        <v>3</v>
      </c>
      <c r="C26" s="3">
        <v>2</v>
      </c>
      <c r="D26" s="3">
        <v>2</v>
      </c>
      <c r="E26" s="3">
        <v>15</v>
      </c>
      <c r="K26" t="s">
        <v>80</v>
      </c>
      <c r="L26" s="8"/>
    </row>
    <row r="27" spans="1:12" x14ac:dyDescent="0.2">
      <c r="A27" s="3" t="s">
        <v>20</v>
      </c>
      <c r="B27" s="3">
        <v>3</v>
      </c>
      <c r="C27" s="3">
        <v>2</v>
      </c>
      <c r="D27" s="3">
        <v>3</v>
      </c>
      <c r="E27" s="3">
        <v>7</v>
      </c>
      <c r="K27" t="s">
        <v>80</v>
      </c>
      <c r="L27" s="8"/>
    </row>
    <row r="28" spans="1:12" x14ac:dyDescent="0.2">
      <c r="A28" s="3" t="s">
        <v>20</v>
      </c>
      <c r="B28" s="3">
        <v>3</v>
      </c>
      <c r="C28" s="3">
        <v>2</v>
      </c>
      <c r="D28" s="3">
        <v>4</v>
      </c>
      <c r="E28" s="3">
        <v>8</v>
      </c>
      <c r="K28" t="s">
        <v>80</v>
      </c>
      <c r="L28" s="8"/>
    </row>
    <row r="29" spans="1:12" s="26" customFormat="1" x14ac:dyDescent="0.2">
      <c r="A29" s="25" t="s">
        <v>20</v>
      </c>
      <c r="B29" s="25">
        <v>3</v>
      </c>
      <c r="C29" s="25">
        <v>1</v>
      </c>
      <c r="D29" s="25"/>
      <c r="E29" s="25">
        <v>8</v>
      </c>
      <c r="F29" s="26">
        <f>E29/4</f>
        <v>2</v>
      </c>
      <c r="I29" s="26">
        <f>F29*10^5</f>
        <v>200000</v>
      </c>
      <c r="K29" s="26" t="s">
        <v>80</v>
      </c>
      <c r="L29" s="26" t="s">
        <v>83</v>
      </c>
    </row>
    <row r="30" spans="1:12" x14ac:dyDescent="0.2">
      <c r="A30" s="2" t="s">
        <v>20</v>
      </c>
      <c r="B30" s="2">
        <v>4</v>
      </c>
      <c r="C30" s="2">
        <v>1</v>
      </c>
      <c r="D30" s="2">
        <v>1</v>
      </c>
      <c r="E30" s="2">
        <v>9</v>
      </c>
      <c r="F30">
        <f>AVERAGE(E30:E37)</f>
        <v>7.5</v>
      </c>
      <c r="G30">
        <f>+STDEV(E30:E37)</f>
        <v>1.8516401995451028</v>
      </c>
      <c r="H30">
        <f>G30/(F30/100)</f>
        <v>24.688535993934707</v>
      </c>
      <c r="I30">
        <f>F30*10^5</f>
        <v>750000</v>
      </c>
      <c r="J30">
        <f>G30*10^5</f>
        <v>185164.0199545103</v>
      </c>
      <c r="K30" t="s">
        <v>80</v>
      </c>
      <c r="L30" s="8"/>
    </row>
    <row r="31" spans="1:12" x14ac:dyDescent="0.2">
      <c r="A31" s="2" t="s">
        <v>20</v>
      </c>
      <c r="B31" s="2">
        <v>4</v>
      </c>
      <c r="C31" s="2">
        <v>1</v>
      </c>
      <c r="D31" s="2">
        <v>2</v>
      </c>
      <c r="E31" s="2">
        <v>7</v>
      </c>
      <c r="K31" t="s">
        <v>80</v>
      </c>
      <c r="L31" s="8"/>
    </row>
    <row r="32" spans="1:12" x14ac:dyDescent="0.2">
      <c r="A32" s="2" t="s">
        <v>20</v>
      </c>
      <c r="B32" s="2">
        <v>4</v>
      </c>
      <c r="C32" s="2">
        <v>1</v>
      </c>
      <c r="D32" s="2">
        <v>3</v>
      </c>
      <c r="E32" s="2">
        <v>8</v>
      </c>
      <c r="K32" t="s">
        <v>80</v>
      </c>
      <c r="L32" s="8"/>
    </row>
    <row r="33" spans="1:12" x14ac:dyDescent="0.2">
      <c r="A33" s="2" t="s">
        <v>20</v>
      </c>
      <c r="B33" s="2">
        <v>4</v>
      </c>
      <c r="C33" s="2">
        <v>1</v>
      </c>
      <c r="D33" s="2">
        <v>4</v>
      </c>
      <c r="E33" s="2">
        <v>7</v>
      </c>
      <c r="K33" t="s">
        <v>80</v>
      </c>
      <c r="L33" s="8"/>
    </row>
    <row r="34" spans="1:12" x14ac:dyDescent="0.2">
      <c r="A34" s="2" t="s">
        <v>20</v>
      </c>
      <c r="B34" s="2">
        <v>4</v>
      </c>
      <c r="C34" s="2">
        <v>2</v>
      </c>
      <c r="D34" s="2">
        <v>1</v>
      </c>
      <c r="E34" s="2">
        <v>7</v>
      </c>
      <c r="K34" t="s">
        <v>80</v>
      </c>
      <c r="L34" s="8"/>
    </row>
    <row r="35" spans="1:12" x14ac:dyDescent="0.2">
      <c r="A35" s="2" t="s">
        <v>20</v>
      </c>
      <c r="B35" s="2">
        <v>4</v>
      </c>
      <c r="C35" s="2">
        <v>2</v>
      </c>
      <c r="D35" s="2">
        <v>2</v>
      </c>
      <c r="E35" s="2">
        <v>11</v>
      </c>
      <c r="K35" t="s">
        <v>80</v>
      </c>
      <c r="L35" s="8"/>
    </row>
    <row r="36" spans="1:12" x14ac:dyDescent="0.2">
      <c r="A36" s="2" t="s">
        <v>20</v>
      </c>
      <c r="B36" s="7">
        <v>4</v>
      </c>
      <c r="C36" s="7">
        <v>2</v>
      </c>
      <c r="D36" s="7">
        <v>3</v>
      </c>
      <c r="E36" s="7">
        <v>6</v>
      </c>
      <c r="K36" t="s">
        <v>80</v>
      </c>
      <c r="L36" s="8"/>
    </row>
    <row r="37" spans="1:12" x14ac:dyDescent="0.2">
      <c r="A37" s="2" t="s">
        <v>20</v>
      </c>
      <c r="B37" s="5">
        <v>4</v>
      </c>
      <c r="C37" s="5">
        <v>2</v>
      </c>
      <c r="D37" s="5">
        <v>4</v>
      </c>
      <c r="E37" s="5">
        <v>5</v>
      </c>
      <c r="K37" t="s">
        <v>80</v>
      </c>
      <c r="L37" s="8"/>
    </row>
    <row r="38" spans="1:12" s="26" customFormat="1" x14ac:dyDescent="0.2">
      <c r="A38" s="25" t="s">
        <v>20</v>
      </c>
      <c r="B38" s="25">
        <v>3</v>
      </c>
      <c r="C38" s="25">
        <v>1</v>
      </c>
      <c r="D38" s="25"/>
      <c r="E38" s="25">
        <v>13</v>
      </c>
      <c r="F38" s="26">
        <f>E38/4</f>
        <v>3.25</v>
      </c>
      <c r="I38" s="26">
        <f>F38*10^5</f>
        <v>325000</v>
      </c>
      <c r="K38" s="26" t="s">
        <v>80</v>
      </c>
      <c r="L38" s="26" t="s">
        <v>83</v>
      </c>
    </row>
    <row r="39" spans="1:12" x14ac:dyDescent="0.2">
      <c r="A39" s="6" t="s">
        <v>41</v>
      </c>
      <c r="B39" s="6">
        <v>1</v>
      </c>
      <c r="C39" s="6">
        <v>1</v>
      </c>
      <c r="D39" s="6">
        <v>1</v>
      </c>
      <c r="E39" s="6">
        <v>8</v>
      </c>
      <c r="F39">
        <f>AVERAGE(E39:E46)</f>
        <v>10.625</v>
      </c>
      <c r="G39">
        <f>+STDEV(E39:E46)</f>
        <v>5.9985117201805025</v>
      </c>
      <c r="H39">
        <f>G39/(F39/100)</f>
        <v>56.456580895816494</v>
      </c>
      <c r="I39">
        <f>F39*10^5</f>
        <v>1062500</v>
      </c>
      <c r="J39">
        <f>G39*10^5</f>
        <v>599851.17201805022</v>
      </c>
      <c r="K39" t="s">
        <v>84</v>
      </c>
      <c r="L39" s="8"/>
    </row>
    <row r="40" spans="1:12" x14ac:dyDescent="0.2">
      <c r="A40" s="6" t="s">
        <v>41</v>
      </c>
      <c r="B40" s="6">
        <v>1</v>
      </c>
      <c r="C40" s="6">
        <v>1</v>
      </c>
      <c r="D40" s="6">
        <v>2</v>
      </c>
      <c r="E40" s="6">
        <v>4</v>
      </c>
      <c r="K40" t="s">
        <v>84</v>
      </c>
      <c r="L40" s="8"/>
    </row>
    <row r="41" spans="1:12" x14ac:dyDescent="0.2">
      <c r="A41" s="6" t="s">
        <v>41</v>
      </c>
      <c r="B41" s="6">
        <v>1</v>
      </c>
      <c r="C41" s="6">
        <v>1</v>
      </c>
      <c r="D41" s="6">
        <v>3</v>
      </c>
      <c r="E41" s="6">
        <v>8</v>
      </c>
      <c r="K41" t="s">
        <v>84</v>
      </c>
      <c r="L41" s="8"/>
    </row>
    <row r="42" spans="1:12" x14ac:dyDescent="0.2">
      <c r="A42" s="6" t="s">
        <v>41</v>
      </c>
      <c r="B42" s="6">
        <v>1</v>
      </c>
      <c r="C42" s="6">
        <v>1</v>
      </c>
      <c r="D42" s="6">
        <v>4</v>
      </c>
      <c r="E42" s="6">
        <v>3</v>
      </c>
      <c r="K42" t="s">
        <v>84</v>
      </c>
      <c r="L42" s="8"/>
    </row>
    <row r="43" spans="1:12" x14ac:dyDescent="0.2">
      <c r="A43" s="6" t="s">
        <v>41</v>
      </c>
      <c r="B43" s="6">
        <v>1</v>
      </c>
      <c r="C43" s="6">
        <v>2</v>
      </c>
      <c r="D43" s="6">
        <v>1</v>
      </c>
      <c r="E43" s="6">
        <v>19</v>
      </c>
      <c r="K43" t="s">
        <v>84</v>
      </c>
      <c r="L43" s="8"/>
    </row>
    <row r="44" spans="1:12" x14ac:dyDescent="0.2">
      <c r="A44" s="6" t="s">
        <v>41</v>
      </c>
      <c r="B44" s="6">
        <v>1</v>
      </c>
      <c r="C44" s="6">
        <v>2</v>
      </c>
      <c r="D44" s="6">
        <v>2</v>
      </c>
      <c r="E44" s="6">
        <v>18</v>
      </c>
      <c r="K44" t="s">
        <v>84</v>
      </c>
      <c r="L44" s="8"/>
    </row>
    <row r="45" spans="1:12" x14ac:dyDescent="0.2">
      <c r="A45" s="6" t="s">
        <v>41</v>
      </c>
      <c r="B45" s="6">
        <v>1</v>
      </c>
      <c r="C45" s="6">
        <v>2</v>
      </c>
      <c r="D45" s="6">
        <v>3</v>
      </c>
      <c r="E45" s="6">
        <v>11</v>
      </c>
      <c r="K45" t="s">
        <v>84</v>
      </c>
      <c r="L45" s="8"/>
    </row>
    <row r="46" spans="1:12" x14ac:dyDescent="0.2">
      <c r="A46" s="6" t="s">
        <v>41</v>
      </c>
      <c r="B46" s="6">
        <v>1</v>
      </c>
      <c r="C46" s="6">
        <v>2</v>
      </c>
      <c r="D46" s="6">
        <v>4</v>
      </c>
      <c r="E46" s="6">
        <v>14</v>
      </c>
      <c r="K46" t="s">
        <v>84</v>
      </c>
      <c r="L46" s="8"/>
    </row>
    <row r="47" spans="1:12" x14ac:dyDescent="0.2">
      <c r="A47" s="9" t="s">
        <v>41</v>
      </c>
      <c r="B47" s="5">
        <v>1</v>
      </c>
      <c r="C47" s="5">
        <v>1</v>
      </c>
      <c r="D47" s="5">
        <v>1</v>
      </c>
      <c r="E47" s="5">
        <f>SUM(2,1,1,1,1,1,1)</f>
        <v>8</v>
      </c>
      <c r="F47">
        <f>AVERAGE(E47:E54)</f>
        <v>11.75</v>
      </c>
      <c r="G47">
        <f>+STDEV(E47:E54)</f>
        <v>5.8979415295265758</v>
      </c>
      <c r="H47">
        <f>G47/(F47/100)</f>
        <v>50.19524705980065</v>
      </c>
      <c r="I47">
        <f>F47*10^5</f>
        <v>1175000</v>
      </c>
      <c r="J47">
        <f>G47*10^5</f>
        <v>589794.15295265755</v>
      </c>
      <c r="K47" t="s">
        <v>85</v>
      </c>
      <c r="L47" s="8"/>
    </row>
    <row r="48" spans="1:12" x14ac:dyDescent="0.2">
      <c r="A48" s="9" t="s">
        <v>41</v>
      </c>
      <c r="B48" s="5">
        <v>1</v>
      </c>
      <c r="C48" s="5">
        <v>1</v>
      </c>
      <c r="D48" s="5">
        <v>2</v>
      </c>
      <c r="E48" s="5">
        <f>SUM(1,1,1,1,1,1)</f>
        <v>6</v>
      </c>
      <c r="K48" t="s">
        <v>85</v>
      </c>
      <c r="L48" s="8"/>
    </row>
    <row r="49" spans="1:12" x14ac:dyDescent="0.2">
      <c r="A49" s="9" t="s">
        <v>41</v>
      </c>
      <c r="B49" s="5">
        <v>1</v>
      </c>
      <c r="C49" s="5">
        <v>1</v>
      </c>
      <c r="D49" s="5">
        <v>3</v>
      </c>
      <c r="E49" s="5">
        <f>SUM(2,1,1,1,1,1,1,1)</f>
        <v>9</v>
      </c>
      <c r="K49" t="s">
        <v>85</v>
      </c>
      <c r="L49" s="8"/>
    </row>
    <row r="50" spans="1:12" x14ac:dyDescent="0.2">
      <c r="A50" s="9" t="s">
        <v>41</v>
      </c>
      <c r="B50" s="5">
        <v>1</v>
      </c>
      <c r="C50" s="5">
        <v>1</v>
      </c>
      <c r="D50" s="5">
        <v>4</v>
      </c>
      <c r="E50" s="5">
        <f>SUM(1,2,1,1,1,2,2,1)</f>
        <v>11</v>
      </c>
      <c r="K50" t="s">
        <v>85</v>
      </c>
      <c r="L50" s="8"/>
    </row>
    <row r="51" spans="1:12" x14ac:dyDescent="0.2">
      <c r="A51" s="9" t="s">
        <v>41</v>
      </c>
      <c r="B51" s="5">
        <v>1</v>
      </c>
      <c r="C51" s="5">
        <v>2</v>
      </c>
      <c r="D51" s="5">
        <v>1</v>
      </c>
      <c r="E51" s="5">
        <f>SUM(3,1,2,1,1,2,1,1,1,3,1,1,1,4)</f>
        <v>23</v>
      </c>
      <c r="K51" t="s">
        <v>85</v>
      </c>
      <c r="L51" s="8"/>
    </row>
    <row r="52" spans="1:12" x14ac:dyDescent="0.2">
      <c r="A52" s="9" t="s">
        <v>41</v>
      </c>
      <c r="B52" s="5">
        <v>1</v>
      </c>
      <c r="C52" s="5">
        <v>2</v>
      </c>
      <c r="D52" s="5">
        <v>2</v>
      </c>
      <c r="E52" s="5">
        <f>SUM(1,1,1,1,1,1,1)</f>
        <v>7</v>
      </c>
      <c r="K52" t="s">
        <v>85</v>
      </c>
      <c r="L52" s="8"/>
    </row>
    <row r="53" spans="1:12" x14ac:dyDescent="0.2">
      <c r="A53" s="9" t="s">
        <v>41</v>
      </c>
      <c r="B53" s="5">
        <v>1</v>
      </c>
      <c r="C53" s="5">
        <v>2</v>
      </c>
      <c r="D53" s="5">
        <v>3</v>
      </c>
      <c r="E53" s="5">
        <f>SUM(1,2,1,2,1,1,2,1,1)</f>
        <v>12</v>
      </c>
      <c r="K53" t="s">
        <v>85</v>
      </c>
      <c r="L53" s="8"/>
    </row>
    <row r="54" spans="1:12" x14ac:dyDescent="0.2">
      <c r="A54" s="9" t="s">
        <v>41</v>
      </c>
      <c r="B54" s="5">
        <v>1</v>
      </c>
      <c r="C54" s="5">
        <v>2</v>
      </c>
      <c r="D54" s="5">
        <v>4</v>
      </c>
      <c r="E54" s="5">
        <f>SUM(3,1,1,1,2,3,1,2,1,2,1)</f>
        <v>18</v>
      </c>
      <c r="K54" t="s">
        <v>85</v>
      </c>
      <c r="L54" s="8"/>
    </row>
    <row r="55" spans="1:12" x14ac:dyDescent="0.2">
      <c r="A55" s="6" t="s">
        <v>41</v>
      </c>
      <c r="B55" s="6">
        <v>1</v>
      </c>
      <c r="C55" s="6">
        <v>1</v>
      </c>
      <c r="D55" s="6">
        <v>1</v>
      </c>
      <c r="E55" s="6">
        <v>6</v>
      </c>
      <c r="F55">
        <f>AVERAGE(E55:E62)</f>
        <v>6</v>
      </c>
      <c r="G55">
        <f>+STDEV(E55:E62)</f>
        <v>2.1380899352993952</v>
      </c>
      <c r="H55">
        <f>G55/(F55/100)</f>
        <v>35.634832254989924</v>
      </c>
      <c r="I55">
        <f>F55*10^5</f>
        <v>600000</v>
      </c>
      <c r="J55">
        <f>G55*10^5</f>
        <v>213808.99352993953</v>
      </c>
      <c r="K55" t="s">
        <v>86</v>
      </c>
      <c r="L55" s="8"/>
    </row>
    <row r="56" spans="1:12" x14ac:dyDescent="0.2">
      <c r="A56" s="6" t="s">
        <v>41</v>
      </c>
      <c r="B56" s="6">
        <v>1</v>
      </c>
      <c r="C56" s="6">
        <v>1</v>
      </c>
      <c r="D56" s="6">
        <v>2</v>
      </c>
      <c r="E56" s="6">
        <v>4</v>
      </c>
      <c r="K56" t="s">
        <v>86</v>
      </c>
      <c r="L56" s="8"/>
    </row>
    <row r="57" spans="1:12" x14ac:dyDescent="0.2">
      <c r="A57" s="6" t="s">
        <v>41</v>
      </c>
      <c r="B57" s="6">
        <v>1</v>
      </c>
      <c r="C57" s="6">
        <v>1</v>
      </c>
      <c r="D57" s="6">
        <v>3</v>
      </c>
      <c r="E57" s="6">
        <v>4</v>
      </c>
      <c r="K57" t="s">
        <v>86</v>
      </c>
      <c r="L57" s="8"/>
    </row>
    <row r="58" spans="1:12" x14ac:dyDescent="0.2">
      <c r="A58" s="6" t="s">
        <v>41</v>
      </c>
      <c r="B58" s="6">
        <v>1</v>
      </c>
      <c r="C58" s="6">
        <v>1</v>
      </c>
      <c r="D58" s="6">
        <v>4</v>
      </c>
      <c r="E58" s="6">
        <v>7</v>
      </c>
      <c r="K58" t="s">
        <v>86</v>
      </c>
      <c r="L58" s="8"/>
    </row>
    <row r="59" spans="1:12" x14ac:dyDescent="0.2">
      <c r="A59" s="6" t="s">
        <v>41</v>
      </c>
      <c r="B59" s="6">
        <v>1</v>
      </c>
      <c r="C59" s="6">
        <v>2</v>
      </c>
      <c r="D59" s="6">
        <v>1</v>
      </c>
      <c r="E59" s="6">
        <v>9</v>
      </c>
      <c r="K59" t="s">
        <v>86</v>
      </c>
      <c r="L59" s="8"/>
    </row>
    <row r="60" spans="1:12" x14ac:dyDescent="0.2">
      <c r="A60" s="6" t="s">
        <v>41</v>
      </c>
      <c r="B60" s="6">
        <v>1</v>
      </c>
      <c r="C60" s="6">
        <v>2</v>
      </c>
      <c r="D60" s="6">
        <v>2</v>
      </c>
      <c r="E60" s="6">
        <v>5</v>
      </c>
      <c r="K60" t="s">
        <v>86</v>
      </c>
      <c r="L60" s="8"/>
    </row>
    <row r="61" spans="1:12" x14ac:dyDescent="0.2">
      <c r="A61" s="6" t="s">
        <v>41</v>
      </c>
      <c r="B61" s="6">
        <v>1</v>
      </c>
      <c r="C61" s="6">
        <v>2</v>
      </c>
      <c r="D61" s="6">
        <v>3</v>
      </c>
      <c r="E61" s="6">
        <v>4</v>
      </c>
      <c r="K61" t="s">
        <v>86</v>
      </c>
      <c r="L61" s="8"/>
    </row>
    <row r="62" spans="1:12" x14ac:dyDescent="0.2">
      <c r="A62" s="6" t="s">
        <v>41</v>
      </c>
      <c r="B62" s="6">
        <v>1</v>
      </c>
      <c r="C62" s="6">
        <v>2</v>
      </c>
      <c r="D62" s="6">
        <v>4</v>
      </c>
      <c r="E62" s="6">
        <v>9</v>
      </c>
      <c r="K62" t="s">
        <v>86</v>
      </c>
      <c r="L62" s="8"/>
    </row>
    <row r="63" spans="1:12" x14ac:dyDescent="0.2">
      <c r="A63" s="9" t="s">
        <v>41</v>
      </c>
      <c r="B63" s="5">
        <v>1</v>
      </c>
      <c r="C63" s="5">
        <v>1</v>
      </c>
      <c r="D63" s="5">
        <v>1</v>
      </c>
      <c r="E63" s="5">
        <v>11</v>
      </c>
      <c r="F63">
        <f>AVERAGE(E63:E70)</f>
        <v>12.125</v>
      </c>
      <c r="G63">
        <f>+STDEV(E63:E70)</f>
        <v>4.5178218519231459</v>
      </c>
      <c r="H63">
        <f>G63/(F63/100)</f>
        <v>37.260386407613574</v>
      </c>
      <c r="I63">
        <f>F63*10^5</f>
        <v>1212500</v>
      </c>
      <c r="J63">
        <f>G63*10^5</f>
        <v>451782.18519231462</v>
      </c>
      <c r="K63" t="s">
        <v>87</v>
      </c>
      <c r="L63" s="8"/>
    </row>
    <row r="64" spans="1:12" x14ac:dyDescent="0.2">
      <c r="A64" s="9" t="s">
        <v>41</v>
      </c>
      <c r="B64" s="5">
        <v>1</v>
      </c>
      <c r="C64" s="5">
        <v>1</v>
      </c>
      <c r="D64" s="5">
        <v>2</v>
      </c>
      <c r="E64" s="5">
        <v>17</v>
      </c>
      <c r="K64" t="s">
        <v>87</v>
      </c>
      <c r="L64" s="8"/>
    </row>
    <row r="65" spans="1:13" x14ac:dyDescent="0.2">
      <c r="A65" s="9" t="s">
        <v>41</v>
      </c>
      <c r="B65" s="5">
        <v>1</v>
      </c>
      <c r="C65" s="5">
        <v>1</v>
      </c>
      <c r="D65" s="5">
        <v>3</v>
      </c>
      <c r="E65" s="5">
        <v>7</v>
      </c>
      <c r="K65" t="s">
        <v>87</v>
      </c>
      <c r="L65" s="8"/>
    </row>
    <row r="66" spans="1:13" x14ac:dyDescent="0.2">
      <c r="A66" s="9" t="s">
        <v>41</v>
      </c>
      <c r="B66" s="5">
        <v>1</v>
      </c>
      <c r="C66" s="5">
        <v>1</v>
      </c>
      <c r="D66" s="5">
        <v>4</v>
      </c>
      <c r="E66" s="5">
        <v>9</v>
      </c>
      <c r="K66" t="s">
        <v>87</v>
      </c>
      <c r="L66" s="8"/>
    </row>
    <row r="67" spans="1:13" x14ac:dyDescent="0.2">
      <c r="A67" s="9" t="s">
        <v>41</v>
      </c>
      <c r="B67" s="5">
        <v>1</v>
      </c>
      <c r="C67" s="5">
        <v>2</v>
      </c>
      <c r="D67" s="5">
        <v>1</v>
      </c>
      <c r="E67" s="5">
        <v>16</v>
      </c>
      <c r="K67" t="s">
        <v>87</v>
      </c>
      <c r="L67" s="8"/>
    </row>
    <row r="68" spans="1:13" x14ac:dyDescent="0.2">
      <c r="A68" s="9" t="s">
        <v>41</v>
      </c>
      <c r="B68" s="5">
        <v>1</v>
      </c>
      <c r="C68" s="5">
        <v>2</v>
      </c>
      <c r="D68" s="5">
        <v>2</v>
      </c>
      <c r="E68" s="5">
        <v>9</v>
      </c>
      <c r="K68" t="s">
        <v>87</v>
      </c>
      <c r="L68" s="8"/>
    </row>
    <row r="69" spans="1:13" x14ac:dyDescent="0.2">
      <c r="A69" s="9" t="s">
        <v>41</v>
      </c>
      <c r="B69" s="5">
        <v>1</v>
      </c>
      <c r="C69" s="5">
        <v>2</v>
      </c>
      <c r="D69" s="5">
        <v>3</v>
      </c>
      <c r="E69" s="5">
        <v>9</v>
      </c>
      <c r="K69" t="s">
        <v>87</v>
      </c>
      <c r="L69" s="8"/>
    </row>
    <row r="70" spans="1:13" x14ac:dyDescent="0.2">
      <c r="A70" s="9" t="s">
        <v>41</v>
      </c>
      <c r="B70" s="5">
        <v>1</v>
      </c>
      <c r="C70" s="5">
        <v>2</v>
      </c>
      <c r="D70" s="5">
        <v>4</v>
      </c>
      <c r="E70" s="5">
        <v>19</v>
      </c>
      <c r="K70" t="s">
        <v>87</v>
      </c>
      <c r="L70" s="8" t="s">
        <v>81</v>
      </c>
      <c r="M70" t="s">
        <v>82</v>
      </c>
    </row>
    <row r="71" spans="1:13" x14ac:dyDescent="0.2">
      <c r="A71" s="6" t="s">
        <v>41</v>
      </c>
      <c r="B71" s="6">
        <v>1</v>
      </c>
      <c r="C71" s="3">
        <v>1</v>
      </c>
      <c r="D71" s="3">
        <v>1</v>
      </c>
      <c r="E71" s="6">
        <v>0</v>
      </c>
      <c r="F71">
        <f>AVERAGE(E71:E74)</f>
        <v>2.5</v>
      </c>
      <c r="G71">
        <f>+STDEV(E71:E74)</f>
        <v>3</v>
      </c>
      <c r="H71">
        <f>G71/(F71/100)</f>
        <v>120</v>
      </c>
      <c r="I71">
        <f>F71*10^5</f>
        <v>250000</v>
      </c>
      <c r="J71">
        <f>G71*10^5</f>
        <v>300000</v>
      </c>
      <c r="K71" t="s">
        <v>88</v>
      </c>
    </row>
    <row r="72" spans="1:13" x14ac:dyDescent="0.2">
      <c r="A72" s="6" t="s">
        <v>41</v>
      </c>
      <c r="B72" s="6">
        <v>1</v>
      </c>
      <c r="C72" s="3">
        <v>1</v>
      </c>
      <c r="D72" s="3">
        <v>2</v>
      </c>
      <c r="E72" s="6">
        <v>4</v>
      </c>
      <c r="K72" t="s">
        <v>88</v>
      </c>
    </row>
    <row r="73" spans="1:13" x14ac:dyDescent="0.2">
      <c r="A73" s="6" t="s">
        <v>41</v>
      </c>
      <c r="B73" s="6">
        <v>1</v>
      </c>
      <c r="C73" s="3">
        <v>1</v>
      </c>
      <c r="D73" s="3">
        <v>3</v>
      </c>
      <c r="E73" s="6">
        <v>6</v>
      </c>
      <c r="K73" t="s">
        <v>88</v>
      </c>
    </row>
    <row r="74" spans="1:13" x14ac:dyDescent="0.2">
      <c r="A74" s="6" t="s">
        <v>41</v>
      </c>
      <c r="B74" s="10">
        <v>1</v>
      </c>
      <c r="C74" s="11">
        <v>1</v>
      </c>
      <c r="D74" s="11">
        <v>4</v>
      </c>
      <c r="E74" s="10">
        <v>0</v>
      </c>
      <c r="K74" t="s">
        <v>88</v>
      </c>
    </row>
    <row r="75" spans="1:13" x14ac:dyDescent="0.2">
      <c r="A75" s="9" t="s">
        <v>41</v>
      </c>
      <c r="B75" s="9">
        <v>1</v>
      </c>
      <c r="C75" s="9">
        <v>1</v>
      </c>
      <c r="D75" s="9"/>
      <c r="E75" s="9">
        <v>9</v>
      </c>
      <c r="F75">
        <f>E75/4</f>
        <v>2.25</v>
      </c>
      <c r="I75">
        <v>900000</v>
      </c>
      <c r="K75" t="s">
        <v>89</v>
      </c>
    </row>
    <row r="76" spans="1:13" x14ac:dyDescent="0.2">
      <c r="A76" s="6" t="s">
        <v>41</v>
      </c>
      <c r="B76" s="12">
        <v>1</v>
      </c>
      <c r="C76" s="13">
        <v>1</v>
      </c>
      <c r="D76" s="9"/>
      <c r="E76" s="12">
        <v>12</v>
      </c>
      <c r="F76">
        <f>E76/4</f>
        <v>3</v>
      </c>
      <c r="I76">
        <f t="shared" ref="I76:I108" si="0">F76*10^5</f>
        <v>300000</v>
      </c>
      <c r="K76" t="s">
        <v>90</v>
      </c>
    </row>
    <row r="77" spans="1:13" x14ac:dyDescent="0.2">
      <c r="A77" s="9" t="s">
        <v>41</v>
      </c>
      <c r="B77" s="5">
        <v>2</v>
      </c>
      <c r="C77" s="5">
        <v>1</v>
      </c>
      <c r="D77" s="9"/>
      <c r="E77" s="5">
        <v>11</v>
      </c>
      <c r="F77">
        <f t="shared" ref="F77:F121" si="1">E77/4</f>
        <v>2.75</v>
      </c>
      <c r="I77">
        <f t="shared" si="0"/>
        <v>275000</v>
      </c>
      <c r="K77" t="s">
        <v>91</v>
      </c>
    </row>
    <row r="78" spans="1:13" x14ac:dyDescent="0.2">
      <c r="A78" s="6" t="s">
        <v>41</v>
      </c>
      <c r="B78" s="10">
        <v>2</v>
      </c>
      <c r="C78" s="11">
        <v>1</v>
      </c>
      <c r="D78" s="9"/>
      <c r="E78" s="10">
        <v>5</v>
      </c>
      <c r="F78">
        <f t="shared" si="1"/>
        <v>1.25</v>
      </c>
      <c r="I78">
        <f t="shared" si="0"/>
        <v>125000</v>
      </c>
      <c r="K78" t="s">
        <v>92</v>
      </c>
    </row>
    <row r="79" spans="1:13" x14ac:dyDescent="0.2">
      <c r="A79" s="9" t="s">
        <v>41</v>
      </c>
      <c r="B79" s="5">
        <v>2</v>
      </c>
      <c r="C79" s="5">
        <v>1</v>
      </c>
      <c r="D79" s="9"/>
      <c r="E79" s="5">
        <v>10</v>
      </c>
      <c r="F79">
        <f t="shared" si="1"/>
        <v>2.5</v>
      </c>
      <c r="I79">
        <f t="shared" si="0"/>
        <v>250000</v>
      </c>
      <c r="K79" t="s">
        <v>93</v>
      </c>
    </row>
    <row r="80" spans="1:13" x14ac:dyDescent="0.2">
      <c r="A80" s="6" t="s">
        <v>41</v>
      </c>
      <c r="B80" s="6">
        <v>2</v>
      </c>
      <c r="C80" s="6">
        <v>1</v>
      </c>
      <c r="D80" s="9"/>
      <c r="E80" s="6">
        <v>14</v>
      </c>
      <c r="F80">
        <f>E80/4</f>
        <v>3.5</v>
      </c>
      <c r="I80">
        <f t="shared" si="0"/>
        <v>350000</v>
      </c>
      <c r="K80" t="s">
        <v>94</v>
      </c>
    </row>
    <row r="81" spans="1:12" s="16" customFormat="1" x14ac:dyDescent="0.2">
      <c r="A81" s="9" t="s">
        <v>41</v>
      </c>
      <c r="B81" s="9">
        <v>2</v>
      </c>
      <c r="C81" s="9">
        <v>1</v>
      </c>
      <c r="D81" s="9"/>
      <c r="E81" s="9">
        <v>13</v>
      </c>
      <c r="F81">
        <f t="shared" si="1"/>
        <v>3.25</v>
      </c>
      <c r="I81" s="16">
        <f t="shared" si="0"/>
        <v>325000</v>
      </c>
      <c r="K81" s="16" t="s">
        <v>95</v>
      </c>
    </row>
    <row r="82" spans="1:12" s="16" customFormat="1" x14ac:dyDescent="0.2">
      <c r="A82" s="6" t="s">
        <v>41</v>
      </c>
      <c r="B82" s="6">
        <v>2</v>
      </c>
      <c r="C82" s="6">
        <v>1</v>
      </c>
      <c r="D82" s="9"/>
      <c r="E82" s="6">
        <v>12</v>
      </c>
      <c r="F82" s="16">
        <f t="shared" si="1"/>
        <v>3</v>
      </c>
      <c r="I82" s="16">
        <f t="shared" si="0"/>
        <v>300000</v>
      </c>
      <c r="K82" s="16" t="s">
        <v>96</v>
      </c>
    </row>
    <row r="83" spans="1:12" s="17" customFormat="1" x14ac:dyDescent="0.2">
      <c r="A83" s="9" t="s">
        <v>41</v>
      </c>
      <c r="B83" s="15">
        <v>2</v>
      </c>
      <c r="C83" s="15">
        <v>1</v>
      </c>
      <c r="D83" s="9"/>
      <c r="E83" s="15">
        <v>66</v>
      </c>
      <c r="F83">
        <f t="shared" si="1"/>
        <v>16.5</v>
      </c>
      <c r="I83" s="17">
        <f t="shared" si="0"/>
        <v>1650000</v>
      </c>
      <c r="K83" s="17" t="s">
        <v>86</v>
      </c>
      <c r="L83" s="17" t="s">
        <v>97</v>
      </c>
    </row>
    <row r="84" spans="1:12" x14ac:dyDescent="0.2">
      <c r="A84" s="6" t="s">
        <v>41</v>
      </c>
      <c r="B84" s="6">
        <v>2</v>
      </c>
      <c r="C84" s="6">
        <v>1</v>
      </c>
      <c r="D84" s="9"/>
      <c r="E84" s="6">
        <v>16</v>
      </c>
      <c r="F84">
        <f t="shared" si="1"/>
        <v>4</v>
      </c>
      <c r="I84">
        <f t="shared" si="0"/>
        <v>400000</v>
      </c>
      <c r="K84" t="s">
        <v>98</v>
      </c>
    </row>
    <row r="85" spans="1:12" x14ac:dyDescent="0.2">
      <c r="A85" s="9" t="s">
        <v>41</v>
      </c>
      <c r="B85" s="5">
        <v>3</v>
      </c>
      <c r="C85" s="5">
        <v>1</v>
      </c>
      <c r="D85" s="9"/>
      <c r="E85" s="5">
        <v>16</v>
      </c>
      <c r="F85">
        <f t="shared" si="1"/>
        <v>4</v>
      </c>
      <c r="I85">
        <f t="shared" si="0"/>
        <v>400000</v>
      </c>
      <c r="K85" t="s">
        <v>90</v>
      </c>
    </row>
    <row r="86" spans="1:12" x14ac:dyDescent="0.2">
      <c r="A86" s="6" t="s">
        <v>41</v>
      </c>
      <c r="B86" s="12">
        <v>3</v>
      </c>
      <c r="C86" s="13">
        <v>1</v>
      </c>
      <c r="D86" s="9"/>
      <c r="E86" s="12">
        <v>5</v>
      </c>
      <c r="F86">
        <f t="shared" si="1"/>
        <v>1.25</v>
      </c>
      <c r="I86">
        <f t="shared" si="0"/>
        <v>125000</v>
      </c>
      <c r="K86" t="s">
        <v>84</v>
      </c>
    </row>
    <row r="87" spans="1:12" x14ac:dyDescent="0.2">
      <c r="A87" s="9" t="s">
        <v>41</v>
      </c>
      <c r="B87" s="5">
        <v>3</v>
      </c>
      <c r="C87" s="5">
        <v>1</v>
      </c>
      <c r="D87" s="9"/>
      <c r="E87" s="5">
        <v>9</v>
      </c>
      <c r="F87">
        <f t="shared" si="1"/>
        <v>2.25</v>
      </c>
      <c r="I87">
        <f t="shared" si="0"/>
        <v>225000</v>
      </c>
      <c r="K87" t="s">
        <v>85</v>
      </c>
    </row>
    <row r="88" spans="1:12" x14ac:dyDescent="0.2">
      <c r="A88" s="6" t="s">
        <v>41</v>
      </c>
      <c r="B88" s="6">
        <v>3</v>
      </c>
      <c r="C88" s="3">
        <v>1</v>
      </c>
      <c r="D88" s="9"/>
      <c r="E88" s="6">
        <v>0</v>
      </c>
      <c r="F88">
        <f t="shared" si="1"/>
        <v>0</v>
      </c>
      <c r="I88">
        <f t="shared" si="0"/>
        <v>0</v>
      </c>
      <c r="K88" t="s">
        <v>86</v>
      </c>
    </row>
    <row r="89" spans="1:12" x14ac:dyDescent="0.2">
      <c r="A89" s="9" t="s">
        <v>41</v>
      </c>
      <c r="B89" s="5">
        <v>3</v>
      </c>
      <c r="C89" s="5">
        <v>1</v>
      </c>
      <c r="D89" s="9"/>
      <c r="E89" s="5">
        <v>2</v>
      </c>
      <c r="F89">
        <f t="shared" si="1"/>
        <v>0.5</v>
      </c>
      <c r="I89">
        <f t="shared" si="0"/>
        <v>50000</v>
      </c>
      <c r="K89" t="s">
        <v>87</v>
      </c>
    </row>
    <row r="90" spans="1:12" x14ac:dyDescent="0.2">
      <c r="A90" s="6" t="s">
        <v>41</v>
      </c>
      <c r="B90" s="6">
        <v>3</v>
      </c>
      <c r="C90" s="3">
        <v>1</v>
      </c>
      <c r="D90" s="9"/>
      <c r="E90" s="6">
        <v>7</v>
      </c>
      <c r="F90">
        <f t="shared" si="1"/>
        <v>1.75</v>
      </c>
      <c r="I90">
        <f t="shared" si="0"/>
        <v>175000</v>
      </c>
      <c r="K90" t="s">
        <v>89</v>
      </c>
    </row>
    <row r="91" spans="1:12" x14ac:dyDescent="0.2">
      <c r="A91" s="9" t="s">
        <v>41</v>
      </c>
      <c r="B91" s="18">
        <v>3</v>
      </c>
      <c r="C91" s="18">
        <v>1</v>
      </c>
      <c r="D91" s="9"/>
      <c r="E91" s="18">
        <v>0</v>
      </c>
      <c r="F91">
        <f t="shared" si="1"/>
        <v>0</v>
      </c>
      <c r="I91">
        <f t="shared" si="0"/>
        <v>0</v>
      </c>
      <c r="K91" t="s">
        <v>94</v>
      </c>
    </row>
    <row r="92" spans="1:12" x14ac:dyDescent="0.2">
      <c r="A92" s="6" t="s">
        <v>41</v>
      </c>
      <c r="B92" s="6">
        <v>3</v>
      </c>
      <c r="C92" s="20">
        <v>1</v>
      </c>
      <c r="D92" s="9"/>
      <c r="E92" s="22">
        <v>12</v>
      </c>
      <c r="F92">
        <f>E92/4</f>
        <v>3</v>
      </c>
      <c r="I92">
        <f t="shared" si="0"/>
        <v>300000</v>
      </c>
      <c r="K92" t="s">
        <v>88</v>
      </c>
    </row>
    <row r="93" spans="1:12" x14ac:dyDescent="0.2">
      <c r="A93" s="9" t="s">
        <v>41</v>
      </c>
      <c r="B93" s="19">
        <v>4</v>
      </c>
      <c r="C93" s="21">
        <v>1</v>
      </c>
      <c r="D93" s="9"/>
      <c r="E93" s="23">
        <v>4</v>
      </c>
      <c r="F93">
        <f t="shared" si="1"/>
        <v>1</v>
      </c>
      <c r="I93">
        <f t="shared" si="0"/>
        <v>100000</v>
      </c>
      <c r="K93" t="s">
        <v>85</v>
      </c>
    </row>
    <row r="94" spans="1:12" x14ac:dyDescent="0.2">
      <c r="A94" s="6" t="s">
        <v>41</v>
      </c>
      <c r="B94" s="6">
        <v>4</v>
      </c>
      <c r="C94" s="6">
        <v>1</v>
      </c>
      <c r="D94" s="9"/>
      <c r="E94" s="6">
        <v>9</v>
      </c>
      <c r="F94">
        <f t="shared" si="1"/>
        <v>2.25</v>
      </c>
      <c r="I94">
        <f t="shared" si="0"/>
        <v>225000</v>
      </c>
      <c r="K94" t="s">
        <v>88</v>
      </c>
    </row>
    <row r="95" spans="1:12" x14ac:dyDescent="0.2">
      <c r="A95" s="9" t="s">
        <v>41</v>
      </c>
      <c r="B95" s="9">
        <v>4</v>
      </c>
      <c r="C95" s="14">
        <v>1</v>
      </c>
      <c r="D95" s="9"/>
      <c r="E95" s="9">
        <v>7</v>
      </c>
      <c r="F95">
        <f t="shared" si="1"/>
        <v>1.75</v>
      </c>
      <c r="I95">
        <f t="shared" si="0"/>
        <v>175000</v>
      </c>
      <c r="K95" t="s">
        <v>89</v>
      </c>
    </row>
    <row r="96" spans="1:12" x14ac:dyDescent="0.2">
      <c r="A96" s="6" t="s">
        <v>41</v>
      </c>
      <c r="B96" s="6">
        <v>4</v>
      </c>
      <c r="C96" s="6">
        <v>1</v>
      </c>
      <c r="D96" s="9"/>
      <c r="E96" s="6">
        <v>9</v>
      </c>
      <c r="F96">
        <f t="shared" si="1"/>
        <v>2.25</v>
      </c>
      <c r="I96">
        <f t="shared" si="0"/>
        <v>225000</v>
      </c>
      <c r="K96" t="s">
        <v>90</v>
      </c>
    </row>
    <row r="97" spans="1:12" x14ac:dyDescent="0.2">
      <c r="A97" s="9" t="s">
        <v>41</v>
      </c>
      <c r="B97" s="9">
        <v>4</v>
      </c>
      <c r="C97" s="14">
        <v>1</v>
      </c>
      <c r="D97" s="9"/>
      <c r="E97" s="9">
        <v>5</v>
      </c>
      <c r="F97">
        <f t="shared" si="1"/>
        <v>1.25</v>
      </c>
      <c r="I97">
        <f t="shared" si="0"/>
        <v>125000</v>
      </c>
      <c r="K97" t="s">
        <v>87</v>
      </c>
    </row>
    <row r="98" spans="1:12" x14ac:dyDescent="0.2">
      <c r="A98" s="6" t="s">
        <v>41</v>
      </c>
      <c r="B98" s="6">
        <v>4</v>
      </c>
      <c r="C98" s="6">
        <v>1</v>
      </c>
      <c r="D98" s="9"/>
      <c r="E98" s="6">
        <v>9</v>
      </c>
      <c r="F98">
        <f t="shared" si="1"/>
        <v>2.25</v>
      </c>
      <c r="I98">
        <f t="shared" si="0"/>
        <v>225000</v>
      </c>
      <c r="K98" t="s">
        <v>84</v>
      </c>
    </row>
    <row r="99" spans="1:12" x14ac:dyDescent="0.2">
      <c r="A99" s="9" t="s">
        <v>41</v>
      </c>
      <c r="B99" s="9">
        <v>4</v>
      </c>
      <c r="C99" s="14">
        <v>1</v>
      </c>
      <c r="D99" s="9"/>
      <c r="E99" s="9">
        <v>2</v>
      </c>
      <c r="F99">
        <f t="shared" si="1"/>
        <v>0.5</v>
      </c>
      <c r="I99">
        <f t="shared" si="0"/>
        <v>50000</v>
      </c>
      <c r="K99" t="s">
        <v>94</v>
      </c>
    </row>
    <row r="100" spans="1:12" x14ac:dyDescent="0.2">
      <c r="A100" s="6" t="s">
        <v>41</v>
      </c>
      <c r="B100" s="6">
        <v>4</v>
      </c>
      <c r="C100" s="6">
        <v>1</v>
      </c>
      <c r="D100" s="9"/>
      <c r="E100" s="6">
        <v>5</v>
      </c>
      <c r="F100">
        <f t="shared" si="1"/>
        <v>1.25</v>
      </c>
      <c r="I100">
        <f t="shared" si="0"/>
        <v>125000</v>
      </c>
      <c r="K100" t="s">
        <v>86</v>
      </c>
    </row>
    <row r="101" spans="1:12" x14ac:dyDescent="0.2">
      <c r="A101" s="9" t="s">
        <v>45</v>
      </c>
      <c r="B101" s="9">
        <v>1</v>
      </c>
      <c r="C101" s="14">
        <v>1</v>
      </c>
      <c r="D101" s="9"/>
      <c r="E101" s="9">
        <v>19</v>
      </c>
      <c r="F101">
        <f t="shared" si="1"/>
        <v>4.75</v>
      </c>
      <c r="I101">
        <f t="shared" si="0"/>
        <v>475000</v>
      </c>
      <c r="K101" t="s">
        <v>86</v>
      </c>
    </row>
    <row r="102" spans="1:12" x14ac:dyDescent="0.2">
      <c r="A102" s="6" t="s">
        <v>45</v>
      </c>
      <c r="B102" s="6">
        <v>1</v>
      </c>
      <c r="C102" s="6">
        <v>1</v>
      </c>
      <c r="D102" s="9"/>
      <c r="E102" s="6">
        <v>28</v>
      </c>
      <c r="F102">
        <f t="shared" si="1"/>
        <v>7</v>
      </c>
      <c r="I102">
        <f t="shared" si="0"/>
        <v>700000</v>
      </c>
      <c r="K102" t="s">
        <v>89</v>
      </c>
    </row>
    <row r="103" spans="1:12" x14ac:dyDescent="0.2">
      <c r="A103" s="9" t="s">
        <v>45</v>
      </c>
      <c r="B103" s="9">
        <v>1</v>
      </c>
      <c r="C103" s="14">
        <v>1</v>
      </c>
      <c r="D103" s="9"/>
      <c r="E103" s="9">
        <v>18</v>
      </c>
      <c r="F103">
        <f t="shared" si="1"/>
        <v>4.5</v>
      </c>
      <c r="I103">
        <f t="shared" si="0"/>
        <v>450000</v>
      </c>
      <c r="K103" t="s">
        <v>87</v>
      </c>
    </row>
    <row r="104" spans="1:12" x14ac:dyDescent="0.2">
      <c r="A104" s="6" t="s">
        <v>45</v>
      </c>
      <c r="B104" s="6">
        <v>1</v>
      </c>
      <c r="C104" s="6">
        <v>1</v>
      </c>
      <c r="D104" s="9"/>
      <c r="E104" s="6">
        <v>17</v>
      </c>
      <c r="F104">
        <f t="shared" si="1"/>
        <v>4.25</v>
      </c>
      <c r="I104">
        <f t="shared" si="0"/>
        <v>425000</v>
      </c>
      <c r="K104" t="s">
        <v>90</v>
      </c>
    </row>
    <row r="105" spans="1:12" x14ac:dyDescent="0.2">
      <c r="A105" s="9" t="s">
        <v>45</v>
      </c>
      <c r="B105" s="9">
        <v>1</v>
      </c>
      <c r="C105" s="14">
        <v>1</v>
      </c>
      <c r="D105" s="9"/>
      <c r="E105" s="9">
        <v>7</v>
      </c>
      <c r="F105">
        <f t="shared" si="1"/>
        <v>1.75</v>
      </c>
      <c r="I105">
        <f t="shared" si="0"/>
        <v>175000</v>
      </c>
      <c r="K105" t="s">
        <v>88</v>
      </c>
    </row>
    <row r="106" spans="1:12" x14ac:dyDescent="0.2">
      <c r="A106" s="6" t="s">
        <v>45</v>
      </c>
      <c r="B106" s="6">
        <v>1</v>
      </c>
      <c r="C106" s="6">
        <v>1</v>
      </c>
      <c r="D106" s="9"/>
      <c r="E106" s="6">
        <v>22</v>
      </c>
      <c r="F106">
        <f t="shared" si="1"/>
        <v>5.5</v>
      </c>
      <c r="I106">
        <f t="shared" si="0"/>
        <v>550000</v>
      </c>
      <c r="K106" t="s">
        <v>84</v>
      </c>
    </row>
    <row r="107" spans="1:12" x14ac:dyDescent="0.2">
      <c r="A107" s="9" t="s">
        <v>45</v>
      </c>
      <c r="B107" s="9">
        <v>1</v>
      </c>
      <c r="C107" s="14">
        <v>1</v>
      </c>
      <c r="D107" s="9"/>
      <c r="E107" s="9">
        <v>13</v>
      </c>
      <c r="F107">
        <f t="shared" si="1"/>
        <v>3.25</v>
      </c>
      <c r="I107">
        <f t="shared" si="0"/>
        <v>325000</v>
      </c>
      <c r="K107" t="s">
        <v>85</v>
      </c>
    </row>
    <row r="108" spans="1:12" x14ac:dyDescent="0.2">
      <c r="A108" s="6" t="s">
        <v>45</v>
      </c>
      <c r="B108" s="6">
        <v>1</v>
      </c>
      <c r="C108" s="6">
        <v>1</v>
      </c>
      <c r="D108" s="9"/>
      <c r="E108" s="6"/>
      <c r="F108">
        <f t="shared" si="1"/>
        <v>0</v>
      </c>
      <c r="I108">
        <f t="shared" si="0"/>
        <v>0</v>
      </c>
      <c r="K108" t="s">
        <v>94</v>
      </c>
      <c r="L108" t="s">
        <v>99</v>
      </c>
    </row>
    <row r="109" spans="1:12" x14ac:dyDescent="0.2">
      <c r="A109" s="9" t="s">
        <v>45</v>
      </c>
      <c r="B109" s="9">
        <v>2</v>
      </c>
      <c r="C109" s="14">
        <v>1</v>
      </c>
      <c r="D109" s="9"/>
      <c r="E109" s="9">
        <v>11</v>
      </c>
      <c r="F109">
        <f t="shared" si="1"/>
        <v>2.75</v>
      </c>
      <c r="K109" t="s">
        <v>85</v>
      </c>
    </row>
    <row r="110" spans="1:12" x14ac:dyDescent="0.2">
      <c r="A110" s="6" t="s">
        <v>45</v>
      </c>
      <c r="B110" s="6">
        <v>2</v>
      </c>
      <c r="C110" s="6">
        <v>1</v>
      </c>
      <c r="D110" s="9"/>
      <c r="E110" s="6">
        <v>2</v>
      </c>
      <c r="F110">
        <f t="shared" si="1"/>
        <v>0.5</v>
      </c>
      <c r="I110">
        <f t="shared" ref="I110:I132" si="2">F110*10^5</f>
        <v>50000</v>
      </c>
      <c r="K110" t="s">
        <v>90</v>
      </c>
    </row>
    <row r="111" spans="1:12" x14ac:dyDescent="0.2">
      <c r="A111" s="9" t="s">
        <v>45</v>
      </c>
      <c r="B111" s="9">
        <v>2</v>
      </c>
      <c r="C111" s="14">
        <v>1</v>
      </c>
      <c r="D111" s="9"/>
      <c r="E111" s="9">
        <v>10</v>
      </c>
      <c r="F111">
        <f t="shared" si="1"/>
        <v>2.5</v>
      </c>
      <c r="I111">
        <f t="shared" si="2"/>
        <v>250000</v>
      </c>
      <c r="K111" t="s">
        <v>86</v>
      </c>
    </row>
    <row r="112" spans="1:12" x14ac:dyDescent="0.2">
      <c r="A112" s="6" t="s">
        <v>45</v>
      </c>
      <c r="B112" s="6">
        <v>2</v>
      </c>
      <c r="C112" s="6">
        <v>1</v>
      </c>
      <c r="D112" s="9"/>
      <c r="E112" s="6">
        <v>4</v>
      </c>
      <c r="F112">
        <f t="shared" si="1"/>
        <v>1</v>
      </c>
      <c r="I112">
        <f t="shared" si="2"/>
        <v>100000</v>
      </c>
      <c r="K112" t="s">
        <v>94</v>
      </c>
    </row>
    <row r="113" spans="1:12" x14ac:dyDescent="0.2">
      <c r="A113" s="9" t="s">
        <v>45</v>
      </c>
      <c r="B113" s="9">
        <v>2</v>
      </c>
      <c r="C113" s="14">
        <v>1</v>
      </c>
      <c r="D113" s="9"/>
      <c r="E113" s="9">
        <v>4</v>
      </c>
      <c r="F113">
        <f t="shared" si="1"/>
        <v>1</v>
      </c>
      <c r="I113">
        <f t="shared" si="2"/>
        <v>100000</v>
      </c>
      <c r="K113" t="s">
        <v>87</v>
      </c>
    </row>
    <row r="114" spans="1:12" x14ac:dyDescent="0.2">
      <c r="A114" s="6" t="s">
        <v>45</v>
      </c>
      <c r="B114" s="6">
        <v>2</v>
      </c>
      <c r="C114" s="6">
        <v>1</v>
      </c>
      <c r="D114" s="9"/>
      <c r="E114" s="6">
        <v>5</v>
      </c>
      <c r="F114">
        <f t="shared" si="1"/>
        <v>1.25</v>
      </c>
      <c r="I114">
        <f t="shared" si="2"/>
        <v>125000</v>
      </c>
      <c r="K114" t="s">
        <v>89</v>
      </c>
    </row>
    <row r="115" spans="1:12" x14ac:dyDescent="0.2">
      <c r="A115" s="9" t="s">
        <v>45</v>
      </c>
      <c r="B115" s="9">
        <v>2</v>
      </c>
      <c r="C115" s="14">
        <v>1</v>
      </c>
      <c r="D115" s="9"/>
      <c r="E115" s="9">
        <v>8</v>
      </c>
      <c r="F115">
        <f t="shared" si="1"/>
        <v>2</v>
      </c>
      <c r="I115">
        <f t="shared" si="2"/>
        <v>200000</v>
      </c>
      <c r="K115" t="s">
        <v>88</v>
      </c>
    </row>
    <row r="116" spans="1:12" x14ac:dyDescent="0.2">
      <c r="A116" s="6" t="s">
        <v>45</v>
      </c>
      <c r="B116" s="6">
        <v>2</v>
      </c>
      <c r="C116" s="6">
        <v>1</v>
      </c>
      <c r="D116" s="9"/>
      <c r="E116" s="6"/>
      <c r="F116">
        <f t="shared" si="1"/>
        <v>0</v>
      </c>
      <c r="I116">
        <f t="shared" si="2"/>
        <v>0</v>
      </c>
      <c r="L116" t="s">
        <v>99</v>
      </c>
    </row>
    <row r="117" spans="1:12" x14ac:dyDescent="0.2">
      <c r="A117" s="9" t="s">
        <v>45</v>
      </c>
      <c r="B117" s="9">
        <v>3</v>
      </c>
      <c r="C117" s="14">
        <v>1</v>
      </c>
      <c r="D117" s="9"/>
      <c r="E117" s="9">
        <v>18</v>
      </c>
      <c r="F117">
        <f t="shared" si="1"/>
        <v>4.5</v>
      </c>
      <c r="I117">
        <f t="shared" si="2"/>
        <v>450000</v>
      </c>
      <c r="K117" t="s">
        <v>88</v>
      </c>
    </row>
    <row r="118" spans="1:12" x14ac:dyDescent="0.2">
      <c r="A118" s="6" t="s">
        <v>45</v>
      </c>
      <c r="B118" s="6">
        <v>3</v>
      </c>
      <c r="C118" s="6">
        <v>1</v>
      </c>
      <c r="D118" s="9"/>
      <c r="E118" s="6">
        <v>36</v>
      </c>
      <c r="F118">
        <f t="shared" si="1"/>
        <v>9</v>
      </c>
      <c r="I118">
        <f t="shared" si="2"/>
        <v>900000</v>
      </c>
      <c r="K118" t="s">
        <v>94</v>
      </c>
    </row>
    <row r="119" spans="1:12" x14ac:dyDescent="0.2">
      <c r="A119" s="9" t="s">
        <v>45</v>
      </c>
      <c r="B119" s="9">
        <v>3</v>
      </c>
      <c r="C119" s="14">
        <v>1</v>
      </c>
      <c r="D119" s="9"/>
      <c r="E119" s="9">
        <v>37</v>
      </c>
      <c r="F119">
        <f t="shared" si="1"/>
        <v>9.25</v>
      </c>
      <c r="I119">
        <f t="shared" si="2"/>
        <v>925000</v>
      </c>
      <c r="K119" t="s">
        <v>90</v>
      </c>
    </row>
    <row r="120" spans="1:12" x14ac:dyDescent="0.2">
      <c r="A120" s="6" t="s">
        <v>45</v>
      </c>
      <c r="B120" s="6">
        <v>3</v>
      </c>
      <c r="C120" s="6">
        <v>1</v>
      </c>
      <c r="D120" s="9"/>
      <c r="E120" s="6">
        <v>25</v>
      </c>
      <c r="F120">
        <f t="shared" si="1"/>
        <v>6.25</v>
      </c>
      <c r="I120">
        <f t="shared" si="2"/>
        <v>625000</v>
      </c>
      <c r="K120" t="s">
        <v>89</v>
      </c>
    </row>
    <row r="121" spans="1:12" x14ac:dyDescent="0.2">
      <c r="A121" s="9" t="s">
        <v>45</v>
      </c>
      <c r="B121" s="9">
        <v>3</v>
      </c>
      <c r="C121" s="14">
        <v>1</v>
      </c>
      <c r="D121" s="9"/>
      <c r="E121" s="9">
        <v>29</v>
      </c>
      <c r="F121">
        <f t="shared" si="1"/>
        <v>7.25</v>
      </c>
      <c r="I121">
        <f t="shared" si="2"/>
        <v>725000</v>
      </c>
      <c r="K121" t="s">
        <v>86</v>
      </c>
    </row>
    <row r="122" spans="1:12" s="16" customFormat="1" x14ac:dyDescent="0.2">
      <c r="A122" s="6" t="s">
        <v>45</v>
      </c>
      <c r="B122" s="6">
        <v>3</v>
      </c>
      <c r="C122" s="3">
        <v>1</v>
      </c>
      <c r="D122" s="9"/>
      <c r="E122" s="6">
        <v>17</v>
      </c>
      <c r="F122" s="16">
        <f t="shared" ref="F122:F132" si="3">E122/4</f>
        <v>4.25</v>
      </c>
      <c r="I122" s="16">
        <f t="shared" si="2"/>
        <v>425000</v>
      </c>
      <c r="K122" s="16" t="s">
        <v>85</v>
      </c>
    </row>
    <row r="123" spans="1:12" x14ac:dyDescent="0.2">
      <c r="A123" s="9" t="s">
        <v>45</v>
      </c>
      <c r="B123" s="9">
        <v>3</v>
      </c>
      <c r="C123" s="14">
        <v>1</v>
      </c>
      <c r="D123" s="9"/>
      <c r="E123" s="9">
        <v>19</v>
      </c>
      <c r="F123">
        <f t="shared" si="3"/>
        <v>4.75</v>
      </c>
      <c r="I123">
        <f t="shared" si="2"/>
        <v>475000</v>
      </c>
      <c r="K123" t="s">
        <v>84</v>
      </c>
    </row>
    <row r="124" spans="1:12" s="16" customFormat="1" x14ac:dyDescent="0.2">
      <c r="A124" s="6" t="s">
        <v>45</v>
      </c>
      <c r="B124" s="6">
        <v>3</v>
      </c>
      <c r="C124" s="3">
        <v>1</v>
      </c>
      <c r="D124" s="9"/>
      <c r="E124" s="6">
        <v>15</v>
      </c>
      <c r="F124" s="16">
        <f t="shared" si="3"/>
        <v>3.75</v>
      </c>
      <c r="I124" s="16">
        <f t="shared" si="2"/>
        <v>375000</v>
      </c>
      <c r="K124" s="16" t="s">
        <v>87</v>
      </c>
    </row>
    <row r="125" spans="1:12" x14ac:dyDescent="0.2">
      <c r="A125" s="9" t="s">
        <v>45</v>
      </c>
      <c r="B125" s="9">
        <v>4</v>
      </c>
      <c r="C125" s="14">
        <v>1</v>
      </c>
      <c r="D125" s="9"/>
      <c r="E125" s="9">
        <v>19</v>
      </c>
      <c r="F125">
        <f t="shared" si="3"/>
        <v>4.75</v>
      </c>
      <c r="I125">
        <f t="shared" si="2"/>
        <v>475000</v>
      </c>
      <c r="K125" t="s">
        <v>84</v>
      </c>
    </row>
    <row r="126" spans="1:12" x14ac:dyDescent="0.2">
      <c r="A126" s="6" t="s">
        <v>45</v>
      </c>
      <c r="B126" s="6">
        <v>4</v>
      </c>
      <c r="C126" s="6">
        <v>1</v>
      </c>
      <c r="D126" s="9"/>
      <c r="E126" s="6">
        <v>40</v>
      </c>
      <c r="F126">
        <f t="shared" si="3"/>
        <v>10</v>
      </c>
      <c r="I126">
        <f t="shared" si="2"/>
        <v>1000000</v>
      </c>
      <c r="K126" t="s">
        <v>89</v>
      </c>
    </row>
    <row r="127" spans="1:12" x14ac:dyDescent="0.2">
      <c r="A127" s="9" t="s">
        <v>45</v>
      </c>
      <c r="B127" s="9">
        <v>4</v>
      </c>
      <c r="C127" s="14">
        <v>1</v>
      </c>
      <c r="D127" s="9"/>
      <c r="E127" s="9">
        <v>34</v>
      </c>
      <c r="F127">
        <f t="shared" si="3"/>
        <v>8.5</v>
      </c>
      <c r="I127">
        <f t="shared" si="2"/>
        <v>850000</v>
      </c>
      <c r="K127" t="s">
        <v>86</v>
      </c>
    </row>
    <row r="128" spans="1:12" x14ac:dyDescent="0.2">
      <c r="A128" s="6" t="s">
        <v>45</v>
      </c>
      <c r="B128" s="6">
        <v>4</v>
      </c>
      <c r="C128" s="6">
        <v>1</v>
      </c>
      <c r="D128" s="9"/>
      <c r="E128" s="6">
        <v>34</v>
      </c>
      <c r="F128">
        <f t="shared" si="3"/>
        <v>8.5</v>
      </c>
      <c r="I128">
        <f t="shared" si="2"/>
        <v>850000</v>
      </c>
      <c r="K128" t="s">
        <v>85</v>
      </c>
    </row>
    <row r="129" spans="1:11" x14ac:dyDescent="0.2">
      <c r="A129" s="9" t="s">
        <v>45</v>
      </c>
      <c r="B129" s="9">
        <v>4</v>
      </c>
      <c r="C129" s="14">
        <v>1</v>
      </c>
      <c r="D129" s="9"/>
      <c r="E129" s="9">
        <v>43</v>
      </c>
      <c r="F129">
        <f t="shared" si="3"/>
        <v>10.75</v>
      </c>
      <c r="I129">
        <f t="shared" si="2"/>
        <v>1075000</v>
      </c>
      <c r="K129" t="s">
        <v>94</v>
      </c>
    </row>
    <row r="130" spans="1:11" s="16" customFormat="1" x14ac:dyDescent="0.2">
      <c r="A130" s="6" t="s">
        <v>45</v>
      </c>
      <c r="B130" s="6">
        <v>4</v>
      </c>
      <c r="C130" s="3">
        <v>1</v>
      </c>
      <c r="D130" s="9"/>
      <c r="E130" s="6">
        <v>42</v>
      </c>
      <c r="F130" s="16">
        <f t="shared" si="3"/>
        <v>10.5</v>
      </c>
      <c r="I130" s="16">
        <f t="shared" si="2"/>
        <v>1050000</v>
      </c>
      <c r="K130" s="16" t="s">
        <v>90</v>
      </c>
    </row>
    <row r="131" spans="1:11" x14ac:dyDescent="0.2">
      <c r="A131" s="9" t="s">
        <v>45</v>
      </c>
      <c r="B131" s="9">
        <v>4</v>
      </c>
      <c r="C131" s="14">
        <v>1</v>
      </c>
      <c r="D131" s="9"/>
      <c r="E131" s="9">
        <v>15</v>
      </c>
      <c r="F131">
        <f t="shared" si="3"/>
        <v>3.75</v>
      </c>
      <c r="I131">
        <f t="shared" si="2"/>
        <v>375000</v>
      </c>
      <c r="K131" t="s">
        <v>87</v>
      </c>
    </row>
    <row r="132" spans="1:11" s="16" customFormat="1" x14ac:dyDescent="0.2">
      <c r="A132" s="6" t="s">
        <v>45</v>
      </c>
      <c r="B132" s="6">
        <v>4</v>
      </c>
      <c r="C132" s="3">
        <v>1</v>
      </c>
      <c r="D132" s="9"/>
      <c r="E132" s="6">
        <v>66</v>
      </c>
      <c r="F132" s="16">
        <f t="shared" si="3"/>
        <v>16.5</v>
      </c>
      <c r="I132" s="16">
        <f t="shared" si="2"/>
        <v>1650000</v>
      </c>
      <c r="K132" s="16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F452-26B7-DA48-A912-0485451A6164}">
  <dimension ref="A1:L68"/>
  <sheetViews>
    <sheetView workbookViewId="0">
      <selection activeCell="E46" sqref="E46"/>
    </sheetView>
  </sheetViews>
  <sheetFormatPr baseColWidth="10" defaultColWidth="8.83203125" defaultRowHeight="16" x14ac:dyDescent="0.2"/>
  <cols>
    <col min="3" max="3" width="10.83203125" bestFit="1" customWidth="1"/>
    <col min="4" max="4" width="12" bestFit="1" customWidth="1"/>
    <col min="5" max="6" width="12.1640625" bestFit="1" customWidth="1"/>
    <col min="7" max="7" width="12" bestFit="1" customWidth="1"/>
    <col min="8" max="8" width="13.1640625" bestFit="1" customWidth="1"/>
    <col min="9" max="9" width="9.5" bestFit="1" customWidth="1"/>
  </cols>
  <sheetData>
    <row r="1" spans="1:12" x14ac:dyDescent="0.2">
      <c r="A1" s="24" t="s">
        <v>2</v>
      </c>
      <c r="B1" s="24" t="s">
        <v>0</v>
      </c>
      <c r="C1" s="24" t="s">
        <v>73</v>
      </c>
      <c r="D1" s="24" t="s">
        <v>74</v>
      </c>
      <c r="E1" s="24" t="s">
        <v>75</v>
      </c>
      <c r="F1" s="24" t="s">
        <v>76</v>
      </c>
      <c r="G1" s="24" t="s">
        <v>77</v>
      </c>
      <c r="H1" s="24" t="s">
        <v>78</v>
      </c>
      <c r="I1" s="24" t="s">
        <v>52</v>
      </c>
    </row>
    <row r="2" spans="1:12" x14ac:dyDescent="0.2">
      <c r="A2" s="25">
        <v>4</v>
      </c>
      <c r="B2" s="25">
        <v>1</v>
      </c>
      <c r="C2" s="25">
        <v>11</v>
      </c>
      <c r="D2" s="26">
        <v>10.5</v>
      </c>
      <c r="E2" s="26">
        <v>0.70710678000000005</v>
      </c>
      <c r="F2" s="26">
        <f t="shared" ref="F2:F43" si="0">E2/(D2/100)</f>
        <v>6.7343502857142861</v>
      </c>
      <c r="G2" s="26">
        <f>D2*10^5</f>
        <v>1050000</v>
      </c>
      <c r="H2" s="26">
        <f>E2*10^5</f>
        <v>70710.678</v>
      </c>
      <c r="I2" s="26" t="s">
        <v>100</v>
      </c>
      <c r="J2" s="26"/>
      <c r="K2" s="26"/>
      <c r="L2" s="26"/>
    </row>
    <row r="3" spans="1:12" x14ac:dyDescent="0.2">
      <c r="A3" s="25">
        <v>4</v>
      </c>
      <c r="B3" s="25">
        <v>2</v>
      </c>
      <c r="C3" s="25">
        <v>17</v>
      </c>
      <c r="D3" s="26">
        <f>C3/4</f>
        <v>4.25</v>
      </c>
      <c r="E3" s="26">
        <f>STDEV(4,5,6,2)</f>
        <v>1.707825127659933</v>
      </c>
      <c r="F3" s="26">
        <f t="shared" si="0"/>
        <v>40.184120650821953</v>
      </c>
      <c r="G3" s="26">
        <f t="shared" ref="G3:G10" si="1">D3*10^5</f>
        <v>425000</v>
      </c>
      <c r="H3" s="26">
        <f t="shared" ref="H3:H43" si="2">E3*10^5</f>
        <v>170782.51276599331</v>
      </c>
      <c r="I3" s="26" t="s">
        <v>100</v>
      </c>
      <c r="J3" s="26"/>
      <c r="K3" s="26"/>
      <c r="L3" s="26"/>
    </row>
    <row r="4" spans="1:12" x14ac:dyDescent="0.2">
      <c r="A4" s="25">
        <v>4</v>
      </c>
      <c r="B4" s="25">
        <v>3</v>
      </c>
      <c r="C4" s="25">
        <v>8</v>
      </c>
      <c r="D4" s="26">
        <f>C4/4</f>
        <v>2</v>
      </c>
      <c r="E4" s="26">
        <f>STDEV(5,3,0,0)</f>
        <v>2.4494897427831779</v>
      </c>
      <c r="F4" s="26">
        <f t="shared" si="0"/>
        <v>122.4744871391589</v>
      </c>
      <c r="G4" s="26">
        <f>D4*10^5</f>
        <v>200000</v>
      </c>
      <c r="H4" s="26">
        <f t="shared" si="2"/>
        <v>244948.97427831779</v>
      </c>
      <c r="I4" s="26" t="s">
        <v>100</v>
      </c>
      <c r="J4" s="26"/>
      <c r="K4" s="26"/>
      <c r="L4" s="26"/>
    </row>
    <row r="5" spans="1:12" x14ac:dyDescent="0.2">
      <c r="A5" s="25">
        <v>4</v>
      </c>
      <c r="B5" s="25">
        <v>4</v>
      </c>
      <c r="C5" s="25">
        <v>13</v>
      </c>
      <c r="D5" s="26">
        <f>C5/4</f>
        <v>3.25</v>
      </c>
      <c r="E5" s="26">
        <f>STDEV(3,4,1,5)</f>
        <v>1.707825127659933</v>
      </c>
      <c r="F5" s="26">
        <f t="shared" si="0"/>
        <v>52.548465466459476</v>
      </c>
      <c r="G5" s="26">
        <f t="shared" si="1"/>
        <v>325000</v>
      </c>
      <c r="H5" s="26">
        <f t="shared" si="2"/>
        <v>170782.51276599331</v>
      </c>
      <c r="I5" s="26" t="s">
        <v>100</v>
      </c>
      <c r="J5" s="26"/>
      <c r="K5" s="26"/>
      <c r="L5" s="26"/>
    </row>
    <row r="6" spans="1:12" x14ac:dyDescent="0.2">
      <c r="A6" s="6">
        <v>6</v>
      </c>
      <c r="B6" s="6">
        <v>1</v>
      </c>
      <c r="C6" s="6">
        <v>133</v>
      </c>
      <c r="D6">
        <v>26.25</v>
      </c>
      <c r="E6">
        <v>43.535659000000003</v>
      </c>
      <c r="F6" s="26">
        <f t="shared" si="0"/>
        <v>165.85012952380953</v>
      </c>
      <c r="G6">
        <f t="shared" si="1"/>
        <v>2625000</v>
      </c>
      <c r="H6" s="26">
        <f t="shared" si="2"/>
        <v>4353565.9000000004</v>
      </c>
      <c r="I6" t="s">
        <v>84</v>
      </c>
    </row>
    <row r="7" spans="1:12" x14ac:dyDescent="0.2">
      <c r="A7" s="5">
        <v>6</v>
      </c>
      <c r="B7" s="5">
        <v>1</v>
      </c>
      <c r="C7" s="5">
        <f>SUM(2,1,1,1,1,1,1)</f>
        <v>8</v>
      </c>
      <c r="D7">
        <v>11.75</v>
      </c>
      <c r="E7">
        <v>5.8979415299999998</v>
      </c>
      <c r="F7" s="26">
        <f t="shared" si="0"/>
        <v>50.19524706382979</v>
      </c>
      <c r="G7">
        <f t="shared" si="1"/>
        <v>1175000</v>
      </c>
      <c r="H7" s="26">
        <f t="shared" si="2"/>
        <v>589794.15299999993</v>
      </c>
      <c r="I7" t="s">
        <v>85</v>
      </c>
    </row>
    <row r="8" spans="1:12" x14ac:dyDescent="0.2">
      <c r="A8" s="6">
        <v>6</v>
      </c>
      <c r="B8" s="6">
        <v>1</v>
      </c>
      <c r="C8" s="6">
        <v>6</v>
      </c>
      <c r="D8">
        <v>6</v>
      </c>
      <c r="E8">
        <v>2.13808994</v>
      </c>
      <c r="F8" s="26">
        <f t="shared" si="0"/>
        <v>35.634832333333335</v>
      </c>
      <c r="G8">
        <f t="shared" si="1"/>
        <v>600000</v>
      </c>
      <c r="H8" s="26">
        <f t="shared" si="2"/>
        <v>213808.99400000001</v>
      </c>
      <c r="I8" t="s">
        <v>86</v>
      </c>
    </row>
    <row r="9" spans="1:12" x14ac:dyDescent="0.2">
      <c r="A9" s="5">
        <v>6</v>
      </c>
      <c r="B9" s="5">
        <v>1</v>
      </c>
      <c r="C9" s="5">
        <v>11</v>
      </c>
      <c r="D9">
        <v>12.125</v>
      </c>
      <c r="E9">
        <v>4.5178218499999998</v>
      </c>
      <c r="F9" s="26">
        <f t="shared" si="0"/>
        <v>37.260386391752576</v>
      </c>
      <c r="G9">
        <f t="shared" si="1"/>
        <v>1212500</v>
      </c>
      <c r="H9" s="26">
        <f t="shared" si="2"/>
        <v>451782.185</v>
      </c>
      <c r="I9" t="s">
        <v>87</v>
      </c>
    </row>
    <row r="10" spans="1:12" x14ac:dyDescent="0.2">
      <c r="A10" s="6">
        <v>6</v>
      </c>
      <c r="B10" s="6">
        <v>1</v>
      </c>
      <c r="C10" s="6">
        <v>0</v>
      </c>
      <c r="D10">
        <v>2.5</v>
      </c>
      <c r="E10">
        <v>3</v>
      </c>
      <c r="F10" s="26">
        <f t="shared" si="0"/>
        <v>120</v>
      </c>
      <c r="G10">
        <f t="shared" si="1"/>
        <v>250000</v>
      </c>
      <c r="H10" s="26">
        <f t="shared" si="2"/>
        <v>300000</v>
      </c>
      <c r="I10" t="s">
        <v>88</v>
      </c>
    </row>
    <row r="11" spans="1:12" x14ac:dyDescent="0.2">
      <c r="A11" s="9">
        <v>6</v>
      </c>
      <c r="B11" s="9">
        <v>1</v>
      </c>
      <c r="C11" s="9">
        <v>9</v>
      </c>
      <c r="D11">
        <f t="shared" ref="D11:D43" si="3">C11/4</f>
        <v>2.25</v>
      </c>
      <c r="E11" t="s">
        <v>28</v>
      </c>
      <c r="F11" s="26" t="e">
        <f t="shared" si="0"/>
        <v>#VALUE!</v>
      </c>
      <c r="G11">
        <v>900000</v>
      </c>
      <c r="H11" s="26" t="e">
        <f t="shared" si="2"/>
        <v>#VALUE!</v>
      </c>
      <c r="I11" t="s">
        <v>89</v>
      </c>
    </row>
    <row r="12" spans="1:12" x14ac:dyDescent="0.2">
      <c r="A12" s="12">
        <v>6</v>
      </c>
      <c r="B12" s="12">
        <v>1</v>
      </c>
      <c r="C12" s="12">
        <v>12</v>
      </c>
      <c r="D12">
        <f t="shared" si="3"/>
        <v>3</v>
      </c>
      <c r="E12" t="s">
        <v>28</v>
      </c>
      <c r="F12" s="26" t="e">
        <f t="shared" si="0"/>
        <v>#VALUE!</v>
      </c>
      <c r="G12">
        <f t="shared" ref="G12:G43" si="4">D12*10^5</f>
        <v>300000</v>
      </c>
      <c r="H12" s="26" t="e">
        <f t="shared" si="2"/>
        <v>#VALUE!</v>
      </c>
      <c r="I12" t="s">
        <v>90</v>
      </c>
    </row>
    <row r="13" spans="1:12" x14ac:dyDescent="0.2">
      <c r="A13" s="5">
        <v>6</v>
      </c>
      <c r="B13" s="5">
        <v>2</v>
      </c>
      <c r="C13" s="5">
        <v>11</v>
      </c>
      <c r="D13">
        <f t="shared" si="3"/>
        <v>2.75</v>
      </c>
      <c r="E13">
        <f>STDEV(2,1,-3,1)</f>
        <v>2.2173557826083452</v>
      </c>
      <c r="F13" s="26">
        <f t="shared" si="0"/>
        <v>80.63111936757619</v>
      </c>
      <c r="G13">
        <f t="shared" si="4"/>
        <v>275000</v>
      </c>
      <c r="H13" s="26">
        <f t="shared" si="2"/>
        <v>221735.57826083453</v>
      </c>
      <c r="I13" t="s">
        <v>87</v>
      </c>
    </row>
    <row r="14" spans="1:12" x14ac:dyDescent="0.2">
      <c r="A14" s="10">
        <v>6</v>
      </c>
      <c r="B14" s="10">
        <v>2</v>
      </c>
      <c r="C14" s="10">
        <v>5</v>
      </c>
      <c r="D14">
        <f t="shared" si="3"/>
        <v>1.25</v>
      </c>
      <c r="E14">
        <f>STDEV(0,0,2,3)</f>
        <v>1.5</v>
      </c>
      <c r="F14" s="26">
        <f t="shared" si="0"/>
        <v>120</v>
      </c>
      <c r="G14">
        <f t="shared" si="4"/>
        <v>125000</v>
      </c>
      <c r="H14" s="26">
        <f t="shared" si="2"/>
        <v>150000</v>
      </c>
      <c r="I14" t="s">
        <v>84</v>
      </c>
    </row>
    <row r="15" spans="1:12" x14ac:dyDescent="0.2">
      <c r="A15" s="5">
        <v>6</v>
      </c>
      <c r="B15" s="5">
        <v>2</v>
      </c>
      <c r="C15" s="5">
        <v>10</v>
      </c>
      <c r="D15">
        <f t="shared" si="3"/>
        <v>2.5</v>
      </c>
      <c r="E15">
        <f>STDEV(1,2,3,4)</f>
        <v>1.2909944487358056</v>
      </c>
      <c r="F15" s="26">
        <f t="shared" si="0"/>
        <v>51.639777949432222</v>
      </c>
      <c r="G15">
        <f t="shared" si="4"/>
        <v>250000</v>
      </c>
      <c r="H15" s="26">
        <f t="shared" si="2"/>
        <v>129099.44487358056</v>
      </c>
      <c r="I15" t="s">
        <v>89</v>
      </c>
    </row>
    <row r="16" spans="1:12" x14ac:dyDescent="0.2">
      <c r="A16" s="6">
        <v>6</v>
      </c>
      <c r="B16" s="6">
        <v>2</v>
      </c>
      <c r="C16" s="6">
        <v>14</v>
      </c>
      <c r="D16">
        <f t="shared" si="3"/>
        <v>3.5</v>
      </c>
      <c r="E16">
        <f>STDEV(3,1,9,1)</f>
        <v>3.7859388972001824</v>
      </c>
      <c r="F16" s="26">
        <f t="shared" si="0"/>
        <v>108.16968277714805</v>
      </c>
      <c r="G16">
        <f t="shared" si="4"/>
        <v>350000</v>
      </c>
      <c r="H16" s="26">
        <f t="shared" si="2"/>
        <v>378593.88972001825</v>
      </c>
      <c r="I16" t="s">
        <v>94</v>
      </c>
    </row>
    <row r="17" spans="1:12" x14ac:dyDescent="0.2">
      <c r="A17" s="9">
        <v>6</v>
      </c>
      <c r="B17" s="9">
        <v>2</v>
      </c>
      <c r="C17" s="9">
        <v>13</v>
      </c>
      <c r="D17">
        <f t="shared" si="3"/>
        <v>3.25</v>
      </c>
      <c r="E17" s="16">
        <f>STDEV(2,0,0,1)</f>
        <v>0.9574271077563381</v>
      </c>
      <c r="F17" s="26">
        <f t="shared" si="0"/>
        <v>29.459295623271942</v>
      </c>
      <c r="G17" s="16">
        <f t="shared" si="4"/>
        <v>325000</v>
      </c>
      <c r="H17" s="26">
        <f t="shared" si="2"/>
        <v>95742.710775633808</v>
      </c>
      <c r="I17" s="16" t="s">
        <v>90</v>
      </c>
      <c r="J17" s="16"/>
      <c r="K17" s="16"/>
      <c r="L17" s="16"/>
    </row>
    <row r="18" spans="1:12" x14ac:dyDescent="0.2">
      <c r="A18" s="6">
        <v>6</v>
      </c>
      <c r="B18" s="6">
        <v>2</v>
      </c>
      <c r="C18" s="6">
        <v>12</v>
      </c>
      <c r="D18" s="16">
        <f t="shared" si="3"/>
        <v>3</v>
      </c>
      <c r="E18" s="16">
        <f>STDEV(2,1,4,4)</f>
        <v>1.5</v>
      </c>
      <c r="F18" s="26">
        <f t="shared" si="0"/>
        <v>50</v>
      </c>
      <c r="G18" s="16">
        <f t="shared" si="4"/>
        <v>300000</v>
      </c>
      <c r="H18" s="26">
        <f t="shared" si="2"/>
        <v>150000</v>
      </c>
      <c r="I18" s="16" t="s">
        <v>85</v>
      </c>
      <c r="J18" s="16"/>
      <c r="K18" s="16"/>
      <c r="L18" s="16"/>
    </row>
    <row r="19" spans="1:12" x14ac:dyDescent="0.2">
      <c r="A19" s="15">
        <v>6</v>
      </c>
      <c r="B19" s="15">
        <v>2</v>
      </c>
      <c r="C19" s="15">
        <v>66</v>
      </c>
      <c r="D19">
        <f t="shared" si="3"/>
        <v>16.5</v>
      </c>
      <c r="E19" s="17" t="s">
        <v>28</v>
      </c>
      <c r="F19" s="26" t="e">
        <f t="shared" si="0"/>
        <v>#VALUE!</v>
      </c>
      <c r="G19" s="17">
        <f t="shared" si="4"/>
        <v>1650000</v>
      </c>
      <c r="H19" s="26" t="e">
        <f t="shared" si="2"/>
        <v>#VALUE!</v>
      </c>
      <c r="I19" s="17" t="s">
        <v>86</v>
      </c>
      <c r="J19" s="17"/>
      <c r="K19" s="17"/>
      <c r="L19" s="17"/>
    </row>
    <row r="20" spans="1:12" x14ac:dyDescent="0.2">
      <c r="A20" s="6">
        <v>6</v>
      </c>
      <c r="B20" s="6">
        <v>2</v>
      </c>
      <c r="C20" s="6">
        <v>16</v>
      </c>
      <c r="D20">
        <f t="shared" si="3"/>
        <v>4</v>
      </c>
      <c r="E20">
        <f>STDEV(-1,5,6,6)</f>
        <v>3.3665016461206929</v>
      </c>
      <c r="F20" s="26">
        <f t="shared" si="0"/>
        <v>84.162541153017315</v>
      </c>
      <c r="G20">
        <f t="shared" si="4"/>
        <v>400000</v>
      </c>
      <c r="H20" s="26">
        <f t="shared" si="2"/>
        <v>336650.16461206932</v>
      </c>
      <c r="I20" t="s">
        <v>88</v>
      </c>
    </row>
    <row r="21" spans="1:12" x14ac:dyDescent="0.2">
      <c r="A21" s="5">
        <v>6</v>
      </c>
      <c r="B21" s="5">
        <v>3</v>
      </c>
      <c r="C21" s="5">
        <v>16</v>
      </c>
      <c r="D21">
        <f t="shared" si="3"/>
        <v>4</v>
      </c>
      <c r="E21">
        <f>STDEV(3,3,0,11)</f>
        <v>4.7169905660283016</v>
      </c>
      <c r="F21" s="26">
        <f t="shared" si="0"/>
        <v>117.92476415070753</v>
      </c>
      <c r="G21">
        <f t="shared" si="4"/>
        <v>400000</v>
      </c>
      <c r="H21" s="26">
        <f t="shared" si="2"/>
        <v>471699.05660283018</v>
      </c>
      <c r="I21" t="s">
        <v>90</v>
      </c>
    </row>
    <row r="22" spans="1:12" x14ac:dyDescent="0.2">
      <c r="A22" s="12">
        <v>6</v>
      </c>
      <c r="B22" s="12">
        <v>3</v>
      </c>
      <c r="C22" s="12">
        <v>5</v>
      </c>
      <c r="D22">
        <f t="shared" si="3"/>
        <v>1.25</v>
      </c>
      <c r="E22">
        <f>STDEV(1,0,0,4)</f>
        <v>1.8929694486000912</v>
      </c>
      <c r="F22" s="26">
        <f t="shared" si="0"/>
        <v>151.4375558880073</v>
      </c>
      <c r="G22">
        <f t="shared" si="4"/>
        <v>125000</v>
      </c>
      <c r="H22" s="26">
        <f t="shared" si="2"/>
        <v>189296.94486000913</v>
      </c>
      <c r="I22" t="s">
        <v>84</v>
      </c>
    </row>
    <row r="23" spans="1:12" x14ac:dyDescent="0.2">
      <c r="A23" s="5">
        <v>6</v>
      </c>
      <c r="B23" s="5">
        <v>3</v>
      </c>
      <c r="C23" s="5">
        <v>9</v>
      </c>
      <c r="D23">
        <f t="shared" si="3"/>
        <v>2.25</v>
      </c>
      <c r="E23">
        <f>STDEV(2,4,1,2)</f>
        <v>1.2583057392117916</v>
      </c>
      <c r="F23" s="26">
        <f t="shared" si="0"/>
        <v>55.924699520524072</v>
      </c>
      <c r="G23">
        <f t="shared" si="4"/>
        <v>225000</v>
      </c>
      <c r="H23" s="26">
        <f t="shared" si="2"/>
        <v>125830.57392117915</v>
      </c>
      <c r="I23" t="s">
        <v>85</v>
      </c>
    </row>
    <row r="24" spans="1:12" x14ac:dyDescent="0.2">
      <c r="A24" s="6">
        <v>6</v>
      </c>
      <c r="B24" s="6">
        <v>3</v>
      </c>
      <c r="C24" s="6">
        <v>0</v>
      </c>
      <c r="D24">
        <f t="shared" si="3"/>
        <v>0</v>
      </c>
      <c r="E24" s="38">
        <v>0</v>
      </c>
      <c r="F24" s="26" t="e">
        <f t="shared" si="0"/>
        <v>#DIV/0!</v>
      </c>
      <c r="G24">
        <f t="shared" si="4"/>
        <v>0</v>
      </c>
      <c r="H24" s="26">
        <f t="shared" si="2"/>
        <v>0</v>
      </c>
      <c r="I24" t="s">
        <v>86</v>
      </c>
    </row>
    <row r="25" spans="1:12" x14ac:dyDescent="0.2">
      <c r="A25" s="5">
        <v>6</v>
      </c>
      <c r="B25" s="5">
        <v>3</v>
      </c>
      <c r="C25" s="5">
        <v>2</v>
      </c>
      <c r="D25">
        <f t="shared" si="3"/>
        <v>0.5</v>
      </c>
      <c r="E25" t="s">
        <v>28</v>
      </c>
      <c r="F25" s="26" t="e">
        <f t="shared" si="0"/>
        <v>#VALUE!</v>
      </c>
      <c r="G25">
        <f t="shared" si="4"/>
        <v>50000</v>
      </c>
      <c r="H25" s="26" t="e">
        <f t="shared" si="2"/>
        <v>#VALUE!</v>
      </c>
      <c r="I25" t="s">
        <v>87</v>
      </c>
    </row>
    <row r="26" spans="1:12" x14ac:dyDescent="0.2">
      <c r="A26" s="6">
        <v>6</v>
      </c>
      <c r="B26" s="6">
        <v>3</v>
      </c>
      <c r="C26" s="6">
        <v>7</v>
      </c>
      <c r="D26">
        <f t="shared" si="3"/>
        <v>1.75</v>
      </c>
      <c r="E26">
        <f>STDEV(0,1,3,3)</f>
        <v>1.5</v>
      </c>
      <c r="F26" s="26">
        <f t="shared" si="0"/>
        <v>85.714285714285708</v>
      </c>
      <c r="G26">
        <f t="shared" si="4"/>
        <v>175000</v>
      </c>
      <c r="H26" s="26">
        <f t="shared" si="2"/>
        <v>150000</v>
      </c>
      <c r="I26" t="s">
        <v>89</v>
      </c>
    </row>
    <row r="27" spans="1:12" x14ac:dyDescent="0.2">
      <c r="A27" s="5">
        <v>6</v>
      </c>
      <c r="B27" s="18">
        <v>3</v>
      </c>
      <c r="C27" s="18">
        <v>0</v>
      </c>
      <c r="D27">
        <f t="shared" si="3"/>
        <v>0</v>
      </c>
      <c r="E27">
        <f>STDEV(0,0,0,0)</f>
        <v>0</v>
      </c>
      <c r="F27" s="26" t="e">
        <f t="shared" si="0"/>
        <v>#DIV/0!</v>
      </c>
      <c r="G27">
        <f t="shared" si="4"/>
        <v>0</v>
      </c>
      <c r="H27" s="26">
        <f t="shared" si="2"/>
        <v>0</v>
      </c>
      <c r="I27" t="s">
        <v>94</v>
      </c>
    </row>
    <row r="28" spans="1:12" x14ac:dyDescent="0.2">
      <c r="A28" s="20">
        <v>6</v>
      </c>
      <c r="B28" s="6">
        <v>3</v>
      </c>
      <c r="C28" s="22">
        <v>12</v>
      </c>
      <c r="D28">
        <f t="shared" si="3"/>
        <v>3</v>
      </c>
      <c r="E28">
        <f>STDEV(6,0,3,3)</f>
        <v>2.4494897427831779</v>
      </c>
      <c r="F28" s="26">
        <f t="shared" si="0"/>
        <v>81.649658092772597</v>
      </c>
      <c r="G28">
        <f t="shared" si="4"/>
        <v>300000</v>
      </c>
      <c r="H28" s="26">
        <f t="shared" si="2"/>
        <v>244948.97427831779</v>
      </c>
      <c r="I28" t="s">
        <v>88</v>
      </c>
    </row>
    <row r="29" spans="1:12" x14ac:dyDescent="0.2">
      <c r="A29" s="9">
        <v>6</v>
      </c>
      <c r="B29" s="19">
        <v>4</v>
      </c>
      <c r="C29" s="23">
        <v>4</v>
      </c>
      <c r="D29">
        <f t="shared" si="3"/>
        <v>1</v>
      </c>
      <c r="E29">
        <f>STDEV(0,1,0,3)</f>
        <v>1.4142135623730951</v>
      </c>
      <c r="F29" s="26">
        <f t="shared" si="0"/>
        <v>141.42135623730951</v>
      </c>
      <c r="G29">
        <f t="shared" si="4"/>
        <v>100000</v>
      </c>
      <c r="H29" s="26">
        <f t="shared" si="2"/>
        <v>141421.35623730952</v>
      </c>
      <c r="I29" t="s">
        <v>85</v>
      </c>
    </row>
    <row r="30" spans="1:12" x14ac:dyDescent="0.2">
      <c r="A30" s="6">
        <v>6</v>
      </c>
      <c r="B30" s="6">
        <v>4</v>
      </c>
      <c r="C30" s="6">
        <v>9</v>
      </c>
      <c r="D30">
        <f t="shared" si="3"/>
        <v>2.25</v>
      </c>
      <c r="E30">
        <f>STDEV(1,3,3,2)</f>
        <v>0.9574271077563381</v>
      </c>
      <c r="F30" s="26">
        <f t="shared" si="0"/>
        <v>42.552315900281698</v>
      </c>
      <c r="G30">
        <f t="shared" si="4"/>
        <v>225000</v>
      </c>
      <c r="H30" s="26">
        <f t="shared" si="2"/>
        <v>95742.710775633808</v>
      </c>
      <c r="I30" t="s">
        <v>88</v>
      </c>
    </row>
    <row r="31" spans="1:12" x14ac:dyDescent="0.2">
      <c r="A31" s="9">
        <v>6</v>
      </c>
      <c r="B31" s="9">
        <v>4</v>
      </c>
      <c r="C31" s="9">
        <v>7</v>
      </c>
      <c r="D31">
        <f t="shared" si="3"/>
        <v>1.75</v>
      </c>
      <c r="F31" s="26">
        <f t="shared" si="0"/>
        <v>0</v>
      </c>
      <c r="G31">
        <f t="shared" si="4"/>
        <v>175000</v>
      </c>
      <c r="H31" s="26">
        <f t="shared" si="2"/>
        <v>0</v>
      </c>
      <c r="I31" t="s">
        <v>89</v>
      </c>
    </row>
    <row r="32" spans="1:12" x14ac:dyDescent="0.2">
      <c r="A32" s="6">
        <v>6</v>
      </c>
      <c r="B32" s="6">
        <v>4</v>
      </c>
      <c r="C32" s="6">
        <v>9</v>
      </c>
      <c r="D32">
        <f t="shared" si="3"/>
        <v>2.25</v>
      </c>
      <c r="E32">
        <f>STDEV(0,2,4,3)</f>
        <v>1.707825127659933</v>
      </c>
      <c r="F32" s="26">
        <f t="shared" si="0"/>
        <v>75.90333900710813</v>
      </c>
      <c r="G32">
        <f t="shared" si="4"/>
        <v>225000</v>
      </c>
      <c r="H32" s="26">
        <f t="shared" si="2"/>
        <v>170782.51276599331</v>
      </c>
      <c r="I32" t="s">
        <v>90</v>
      </c>
    </row>
    <row r="33" spans="1:9" x14ac:dyDescent="0.2">
      <c r="A33" s="9">
        <v>6</v>
      </c>
      <c r="B33" s="9">
        <v>4</v>
      </c>
      <c r="C33" s="9">
        <v>5</v>
      </c>
      <c r="D33">
        <f t="shared" si="3"/>
        <v>1.25</v>
      </c>
      <c r="E33">
        <f>STDEV(0,1,1,3)</f>
        <v>1.2583057392117916</v>
      </c>
      <c r="F33" s="26">
        <f t="shared" si="0"/>
        <v>100.66445913694332</v>
      </c>
      <c r="G33">
        <f t="shared" si="4"/>
        <v>125000</v>
      </c>
      <c r="H33" s="26">
        <f t="shared" si="2"/>
        <v>125830.57392117915</v>
      </c>
      <c r="I33" t="s">
        <v>87</v>
      </c>
    </row>
    <row r="34" spans="1:9" x14ac:dyDescent="0.2">
      <c r="A34" s="6">
        <v>6</v>
      </c>
      <c r="B34" s="6">
        <v>4</v>
      </c>
      <c r="C34" s="6">
        <v>9</v>
      </c>
      <c r="D34">
        <f t="shared" si="3"/>
        <v>2.25</v>
      </c>
      <c r="E34">
        <f>STDEV(1,4,1,3)</f>
        <v>1.5</v>
      </c>
      <c r="F34" s="26">
        <f t="shared" si="0"/>
        <v>66.666666666666671</v>
      </c>
      <c r="G34">
        <f t="shared" si="4"/>
        <v>225000</v>
      </c>
      <c r="H34" s="26">
        <f t="shared" si="2"/>
        <v>150000</v>
      </c>
      <c r="I34" t="s">
        <v>84</v>
      </c>
    </row>
    <row r="35" spans="1:9" x14ac:dyDescent="0.2">
      <c r="A35" s="9">
        <v>6</v>
      </c>
      <c r="B35" s="9">
        <v>4</v>
      </c>
      <c r="C35" s="9">
        <v>2</v>
      </c>
      <c r="D35">
        <f t="shared" si="3"/>
        <v>0.5</v>
      </c>
      <c r="E35">
        <f>STDEV(1,1,0,0)</f>
        <v>0.57735026918962573</v>
      </c>
      <c r="F35" s="26">
        <f t="shared" si="0"/>
        <v>115.47005383792515</v>
      </c>
      <c r="G35">
        <f t="shared" si="4"/>
        <v>50000</v>
      </c>
      <c r="H35" s="26">
        <f t="shared" si="2"/>
        <v>57735.026918962576</v>
      </c>
      <c r="I35" t="s">
        <v>94</v>
      </c>
    </row>
    <row r="36" spans="1:9" x14ac:dyDescent="0.2">
      <c r="A36" s="6">
        <v>6</v>
      </c>
      <c r="B36" s="6">
        <v>4</v>
      </c>
      <c r="C36" s="6">
        <v>5</v>
      </c>
      <c r="D36">
        <f t="shared" si="3"/>
        <v>1.25</v>
      </c>
      <c r="E36">
        <f>STDEV(1,2,2,0)</f>
        <v>0.9574271077563381</v>
      </c>
      <c r="F36" s="26">
        <f t="shared" si="0"/>
        <v>76.594168620507048</v>
      </c>
      <c r="G36">
        <f t="shared" si="4"/>
        <v>125000</v>
      </c>
      <c r="H36" s="26">
        <f t="shared" si="2"/>
        <v>95742.710775633808</v>
      </c>
      <c r="I36" t="s">
        <v>86</v>
      </c>
    </row>
    <row r="37" spans="1:9" x14ac:dyDescent="0.2">
      <c r="A37" s="9">
        <v>7</v>
      </c>
      <c r="B37" s="9">
        <v>1</v>
      </c>
      <c r="C37" s="9">
        <v>19</v>
      </c>
      <c r="D37">
        <f t="shared" si="3"/>
        <v>4.75</v>
      </c>
      <c r="E37">
        <f>STDEV(4,5,5,5)</f>
        <v>0.5</v>
      </c>
      <c r="F37" s="26">
        <f t="shared" si="0"/>
        <v>10.526315789473685</v>
      </c>
      <c r="G37">
        <f t="shared" si="4"/>
        <v>475000</v>
      </c>
      <c r="H37" s="26">
        <f t="shared" si="2"/>
        <v>50000</v>
      </c>
      <c r="I37" t="s">
        <v>86</v>
      </c>
    </row>
    <row r="38" spans="1:9" x14ac:dyDescent="0.2">
      <c r="A38" s="6">
        <v>7</v>
      </c>
      <c r="B38" s="6">
        <v>1</v>
      </c>
      <c r="C38" s="6">
        <v>28</v>
      </c>
      <c r="D38">
        <f t="shared" si="3"/>
        <v>7</v>
      </c>
      <c r="E38">
        <f>STDEV(9,7,5,7)</f>
        <v>1.6329931618554521</v>
      </c>
      <c r="F38" s="26">
        <f t="shared" si="0"/>
        <v>23.32847374079217</v>
      </c>
      <c r="G38">
        <f t="shared" si="4"/>
        <v>700000</v>
      </c>
      <c r="H38" s="26">
        <f t="shared" si="2"/>
        <v>163299.31618554521</v>
      </c>
      <c r="I38" t="s">
        <v>89</v>
      </c>
    </row>
    <row r="39" spans="1:9" x14ac:dyDescent="0.2">
      <c r="A39" s="9">
        <v>7</v>
      </c>
      <c r="B39" s="9">
        <v>1</v>
      </c>
      <c r="C39" s="9">
        <v>18</v>
      </c>
      <c r="D39">
        <f t="shared" si="3"/>
        <v>4.5</v>
      </c>
      <c r="E39">
        <f>STDEV(6,5,4,3)</f>
        <v>1.2909944487358056</v>
      </c>
      <c r="F39" s="26">
        <f t="shared" si="0"/>
        <v>28.688765527462348</v>
      </c>
      <c r="G39">
        <f t="shared" si="4"/>
        <v>450000</v>
      </c>
      <c r="H39" s="26">
        <f t="shared" si="2"/>
        <v>129099.44487358056</v>
      </c>
      <c r="I39" t="s">
        <v>87</v>
      </c>
    </row>
    <row r="40" spans="1:9" x14ac:dyDescent="0.2">
      <c r="A40" s="6">
        <v>7</v>
      </c>
      <c r="B40" s="6">
        <v>1</v>
      </c>
      <c r="C40" s="6">
        <v>17</v>
      </c>
      <c r="D40">
        <f t="shared" si="3"/>
        <v>4.25</v>
      </c>
      <c r="E40">
        <f>STDEV(3,5,4,5)</f>
        <v>0.9574271077563381</v>
      </c>
      <c r="F40" s="26">
        <f t="shared" si="0"/>
        <v>22.527696653090306</v>
      </c>
      <c r="G40">
        <f t="shared" si="4"/>
        <v>425000</v>
      </c>
      <c r="H40" s="26">
        <f t="shared" si="2"/>
        <v>95742.710775633808</v>
      </c>
      <c r="I40" t="s">
        <v>90</v>
      </c>
    </row>
    <row r="41" spans="1:9" x14ac:dyDescent="0.2">
      <c r="A41" s="9">
        <v>7</v>
      </c>
      <c r="B41" s="9">
        <v>1</v>
      </c>
      <c r="C41" s="9">
        <v>7</v>
      </c>
      <c r="D41">
        <f t="shared" si="3"/>
        <v>1.75</v>
      </c>
      <c r="E41">
        <f>STDEV(0,2,2,3)</f>
        <v>1.2583057392117916</v>
      </c>
      <c r="F41" s="26">
        <f t="shared" si="0"/>
        <v>71.90318509781666</v>
      </c>
      <c r="G41">
        <f t="shared" si="4"/>
        <v>175000</v>
      </c>
      <c r="H41" s="26">
        <f t="shared" si="2"/>
        <v>125830.57392117915</v>
      </c>
      <c r="I41" t="s">
        <v>88</v>
      </c>
    </row>
    <row r="42" spans="1:9" x14ac:dyDescent="0.2">
      <c r="A42" s="6">
        <v>7</v>
      </c>
      <c r="B42" s="6">
        <v>1</v>
      </c>
      <c r="C42" s="6">
        <v>22</v>
      </c>
      <c r="D42">
        <f t="shared" si="3"/>
        <v>5.5</v>
      </c>
      <c r="E42">
        <f>STDEV(5,6,4,7)</f>
        <v>1.2909944487358056</v>
      </c>
      <c r="F42" s="26">
        <f t="shared" si="0"/>
        <v>23.472626340651011</v>
      </c>
      <c r="G42">
        <f t="shared" si="4"/>
        <v>550000</v>
      </c>
      <c r="H42" s="26">
        <f t="shared" si="2"/>
        <v>129099.44487358056</v>
      </c>
      <c r="I42" t="s">
        <v>84</v>
      </c>
    </row>
    <row r="43" spans="1:9" x14ac:dyDescent="0.2">
      <c r="A43" s="9">
        <v>7</v>
      </c>
      <c r="B43" s="9">
        <v>1</v>
      </c>
      <c r="C43" s="9">
        <v>13</v>
      </c>
      <c r="D43">
        <f t="shared" si="3"/>
        <v>3.25</v>
      </c>
      <c r="E43">
        <f>STDEV(0,0,0,0)</f>
        <v>0</v>
      </c>
      <c r="F43" s="26">
        <f t="shared" si="0"/>
        <v>0</v>
      </c>
      <c r="G43">
        <f t="shared" si="4"/>
        <v>325000</v>
      </c>
      <c r="H43" s="26">
        <f t="shared" si="2"/>
        <v>0</v>
      </c>
      <c r="I43" t="s">
        <v>85</v>
      </c>
    </row>
    <row r="44" spans="1:9" x14ac:dyDescent="0.2">
      <c r="A44" s="6">
        <v>7</v>
      </c>
      <c r="B44" s="6">
        <v>1</v>
      </c>
      <c r="C44" s="6" t="s">
        <v>28</v>
      </c>
      <c r="D44" t="s">
        <v>28</v>
      </c>
      <c r="E44" t="s">
        <v>28</v>
      </c>
      <c r="F44" t="s">
        <v>28</v>
      </c>
      <c r="G44" t="s">
        <v>28</v>
      </c>
      <c r="H44" t="s">
        <v>28</v>
      </c>
      <c r="I44" t="s">
        <v>94</v>
      </c>
    </row>
    <row r="45" spans="1:9" x14ac:dyDescent="0.2">
      <c r="A45" s="9">
        <v>7</v>
      </c>
      <c r="B45" s="9">
        <v>2</v>
      </c>
      <c r="C45" s="9">
        <v>11</v>
      </c>
      <c r="D45">
        <f t="shared" ref="D45:D51" si="5">C45/4</f>
        <v>2.75</v>
      </c>
      <c r="E45">
        <f>STDEV(2,1,4,4)</f>
        <v>1.5</v>
      </c>
      <c r="F45" s="26">
        <f t="shared" ref="F45:F51" si="6">E45/(D45/100)</f>
        <v>54.545454545454547</v>
      </c>
      <c r="G45">
        <f t="shared" ref="G45:G51" si="7">D45*10^5</f>
        <v>275000</v>
      </c>
      <c r="H45" s="26">
        <f t="shared" ref="H45:H51" si="8">E45*10^5</f>
        <v>150000</v>
      </c>
      <c r="I45" t="s">
        <v>85</v>
      </c>
    </row>
    <row r="46" spans="1:9" x14ac:dyDescent="0.2">
      <c r="A46" s="6">
        <v>7</v>
      </c>
      <c r="B46" s="6">
        <v>2</v>
      </c>
      <c r="C46" s="6">
        <v>2</v>
      </c>
      <c r="D46">
        <f t="shared" si="5"/>
        <v>0.5</v>
      </c>
      <c r="E46">
        <f>STDEV(0,0,2,0)</f>
        <v>1</v>
      </c>
      <c r="F46" s="26">
        <f t="shared" si="6"/>
        <v>200</v>
      </c>
      <c r="G46">
        <f t="shared" si="7"/>
        <v>50000</v>
      </c>
      <c r="H46" s="26">
        <f t="shared" si="8"/>
        <v>100000</v>
      </c>
      <c r="I46" t="s">
        <v>90</v>
      </c>
    </row>
    <row r="47" spans="1:9" x14ac:dyDescent="0.2">
      <c r="A47" s="9">
        <v>7</v>
      </c>
      <c r="B47" s="9">
        <v>2</v>
      </c>
      <c r="C47" s="9">
        <v>10</v>
      </c>
      <c r="D47">
        <f t="shared" si="5"/>
        <v>2.5</v>
      </c>
      <c r="E47">
        <f>STDEV(2,1,4,3)</f>
        <v>1.2909944487358056</v>
      </c>
      <c r="F47" s="26">
        <f t="shared" si="6"/>
        <v>51.639777949432222</v>
      </c>
      <c r="G47">
        <f t="shared" si="7"/>
        <v>250000</v>
      </c>
      <c r="H47" s="26">
        <f t="shared" si="8"/>
        <v>129099.44487358056</v>
      </c>
      <c r="I47" t="s">
        <v>86</v>
      </c>
    </row>
    <row r="48" spans="1:9" x14ac:dyDescent="0.2">
      <c r="A48" s="6">
        <v>7</v>
      </c>
      <c r="B48" s="6">
        <v>2</v>
      </c>
      <c r="C48" s="6">
        <v>4</v>
      </c>
      <c r="D48">
        <f t="shared" si="5"/>
        <v>1</v>
      </c>
      <c r="E48">
        <f>STDEV(2,2,0,0)</f>
        <v>1.1547005383792515</v>
      </c>
      <c r="F48" s="26">
        <f t="shared" si="6"/>
        <v>115.47005383792515</v>
      </c>
      <c r="G48">
        <f t="shared" si="7"/>
        <v>100000</v>
      </c>
      <c r="H48" s="26">
        <f t="shared" si="8"/>
        <v>115470.05383792515</v>
      </c>
      <c r="I48" t="s">
        <v>94</v>
      </c>
    </row>
    <row r="49" spans="1:12" x14ac:dyDescent="0.2">
      <c r="A49" s="9">
        <v>7</v>
      </c>
      <c r="B49" s="9">
        <v>2</v>
      </c>
      <c r="C49" s="9">
        <v>4</v>
      </c>
      <c r="D49">
        <f t="shared" si="5"/>
        <v>1</v>
      </c>
      <c r="E49">
        <f>STDEV(2,1,0,1)</f>
        <v>0.81649658092772603</v>
      </c>
      <c r="F49" s="26">
        <f t="shared" si="6"/>
        <v>81.649658092772597</v>
      </c>
      <c r="G49">
        <f t="shared" si="7"/>
        <v>100000</v>
      </c>
      <c r="H49" s="26">
        <f t="shared" si="8"/>
        <v>81649.658092772603</v>
      </c>
      <c r="I49" t="s">
        <v>87</v>
      </c>
    </row>
    <row r="50" spans="1:12" x14ac:dyDescent="0.2">
      <c r="A50" s="6">
        <v>7</v>
      </c>
      <c r="B50" s="6">
        <v>2</v>
      </c>
      <c r="C50" s="6">
        <v>5</v>
      </c>
      <c r="D50">
        <f t="shared" si="5"/>
        <v>1.25</v>
      </c>
      <c r="E50">
        <f>STDEV(0,4,0,1)</f>
        <v>1.8929694486000912</v>
      </c>
      <c r="F50" s="26">
        <f t="shared" si="6"/>
        <v>151.4375558880073</v>
      </c>
      <c r="G50">
        <f t="shared" si="7"/>
        <v>125000</v>
      </c>
      <c r="H50" s="26">
        <f t="shared" si="8"/>
        <v>189296.94486000913</v>
      </c>
      <c r="I50" t="s">
        <v>89</v>
      </c>
    </row>
    <row r="51" spans="1:12" x14ac:dyDescent="0.2">
      <c r="A51" s="9">
        <v>7</v>
      </c>
      <c r="B51" s="9">
        <v>2</v>
      </c>
      <c r="C51" s="9">
        <v>8</v>
      </c>
      <c r="D51">
        <f t="shared" si="5"/>
        <v>2</v>
      </c>
      <c r="E51">
        <f>STDEV(2,2,2,2)</f>
        <v>0</v>
      </c>
      <c r="F51" s="26">
        <f t="shared" si="6"/>
        <v>0</v>
      </c>
      <c r="G51">
        <f t="shared" si="7"/>
        <v>200000</v>
      </c>
      <c r="H51" s="26">
        <f t="shared" si="8"/>
        <v>0</v>
      </c>
      <c r="I51" t="s">
        <v>88</v>
      </c>
    </row>
    <row r="52" spans="1:12" x14ac:dyDescent="0.2">
      <c r="A52" s="6">
        <v>7</v>
      </c>
      <c r="B52" s="6">
        <v>2</v>
      </c>
      <c r="C52" s="6" t="s">
        <v>28</v>
      </c>
      <c r="D52" t="s">
        <v>28</v>
      </c>
      <c r="E52" t="s">
        <v>28</v>
      </c>
      <c r="F52" s="26" t="s">
        <v>28</v>
      </c>
      <c r="G52" t="s">
        <v>28</v>
      </c>
      <c r="H52" s="26" t="s">
        <v>28</v>
      </c>
      <c r="I52" t="s">
        <v>88</v>
      </c>
    </row>
    <row r="53" spans="1:12" x14ac:dyDescent="0.2">
      <c r="A53" s="9">
        <v>7</v>
      </c>
      <c r="B53" s="9">
        <v>3</v>
      </c>
      <c r="C53" s="9">
        <v>18</v>
      </c>
      <c r="D53">
        <f t="shared" ref="D53:D68" si="9">C53/4</f>
        <v>4.5</v>
      </c>
      <c r="E53">
        <f>STDEV(5,3,4,6)</f>
        <v>1.2909944487358056</v>
      </c>
      <c r="F53" s="26">
        <f t="shared" ref="F53:F68" si="10">E53/(D53/100)</f>
        <v>28.688765527462348</v>
      </c>
      <c r="G53">
        <f t="shared" ref="G53:G68" si="11">D53*10^5</f>
        <v>450000</v>
      </c>
      <c r="H53" s="26">
        <f t="shared" ref="H53:H68" si="12">E53*10^5</f>
        <v>129099.44487358056</v>
      </c>
      <c r="I53" t="s">
        <v>88</v>
      </c>
    </row>
    <row r="54" spans="1:12" x14ac:dyDescent="0.2">
      <c r="A54" s="6">
        <v>7</v>
      </c>
      <c r="B54" s="6">
        <v>3</v>
      </c>
      <c r="C54" s="6">
        <v>36</v>
      </c>
      <c r="D54">
        <f t="shared" si="9"/>
        <v>9</v>
      </c>
      <c r="E54">
        <f>STDEV(11,5,6,14)</f>
        <v>4.2426406871192848</v>
      </c>
      <c r="F54" s="26">
        <f t="shared" si="10"/>
        <v>47.140452079103163</v>
      </c>
      <c r="G54">
        <f t="shared" si="11"/>
        <v>900000</v>
      </c>
      <c r="H54" s="26">
        <f t="shared" si="12"/>
        <v>424264.0687119285</v>
      </c>
      <c r="I54" t="s">
        <v>94</v>
      </c>
    </row>
    <row r="55" spans="1:12" x14ac:dyDescent="0.2">
      <c r="A55" s="9">
        <v>7</v>
      </c>
      <c r="B55" s="9">
        <v>3</v>
      </c>
      <c r="C55" s="9">
        <v>37</v>
      </c>
      <c r="D55">
        <f t="shared" si="9"/>
        <v>9.25</v>
      </c>
      <c r="E55">
        <f>STDEV(7,7,8,15)</f>
        <v>3.8622100754188224</v>
      </c>
      <c r="F55" s="26">
        <f t="shared" si="10"/>
        <v>41.753622436960242</v>
      </c>
      <c r="G55">
        <f t="shared" si="11"/>
        <v>925000</v>
      </c>
      <c r="H55" s="26">
        <f t="shared" si="12"/>
        <v>386221.00754188222</v>
      </c>
      <c r="I55" t="s">
        <v>90</v>
      </c>
    </row>
    <row r="56" spans="1:12" x14ac:dyDescent="0.2">
      <c r="A56" s="6">
        <v>7</v>
      </c>
      <c r="B56" s="6">
        <v>3</v>
      </c>
      <c r="C56" s="6">
        <v>25</v>
      </c>
      <c r="D56">
        <f t="shared" si="9"/>
        <v>6.25</v>
      </c>
      <c r="E56">
        <f>STDEV(10,2,6,7)</f>
        <v>3.3040379335998349</v>
      </c>
      <c r="F56" s="26">
        <f t="shared" si="10"/>
        <v>52.864606937597358</v>
      </c>
      <c r="G56">
        <f t="shared" si="11"/>
        <v>625000</v>
      </c>
      <c r="H56" s="26">
        <f t="shared" si="12"/>
        <v>330403.79335998348</v>
      </c>
      <c r="I56" t="s">
        <v>89</v>
      </c>
    </row>
    <row r="57" spans="1:12" x14ac:dyDescent="0.2">
      <c r="A57" s="9">
        <v>7</v>
      </c>
      <c r="B57" s="9">
        <v>3</v>
      </c>
      <c r="C57" s="9">
        <v>29</v>
      </c>
      <c r="D57">
        <f t="shared" si="9"/>
        <v>7.25</v>
      </c>
      <c r="E57">
        <f>STDEV(10,8,3,8)</f>
        <v>2.9860788111948193</v>
      </c>
      <c r="F57" s="26">
        <f t="shared" si="10"/>
        <v>41.187293947514753</v>
      </c>
      <c r="G57">
        <f t="shared" si="11"/>
        <v>725000</v>
      </c>
      <c r="H57" s="26">
        <f t="shared" si="12"/>
        <v>298607.88111948193</v>
      </c>
      <c r="I57" t="s">
        <v>86</v>
      </c>
    </row>
    <row r="58" spans="1:12" x14ac:dyDescent="0.2">
      <c r="A58" s="6">
        <v>7</v>
      </c>
      <c r="B58" s="6">
        <v>3</v>
      </c>
      <c r="C58" s="6">
        <v>17</v>
      </c>
      <c r="D58" s="16">
        <f t="shared" si="9"/>
        <v>4.25</v>
      </c>
      <c r="E58" s="16">
        <f>STDEV(4,7,2,4)</f>
        <v>2.0615528128088303</v>
      </c>
      <c r="F58" s="26">
        <f t="shared" si="10"/>
        <v>48.507125007266595</v>
      </c>
      <c r="G58" s="16">
        <f t="shared" si="11"/>
        <v>425000</v>
      </c>
      <c r="H58" s="26">
        <f t="shared" si="12"/>
        <v>206155.28128088303</v>
      </c>
      <c r="I58" s="16" t="s">
        <v>85</v>
      </c>
      <c r="J58" s="16"/>
      <c r="K58" s="16"/>
      <c r="L58" s="16"/>
    </row>
    <row r="59" spans="1:12" x14ac:dyDescent="0.2">
      <c r="A59" s="9">
        <v>7</v>
      </c>
      <c r="B59" s="9">
        <v>3</v>
      </c>
      <c r="C59" s="9">
        <v>19</v>
      </c>
      <c r="D59">
        <f t="shared" si="9"/>
        <v>4.75</v>
      </c>
      <c r="E59">
        <f>STDEV(4,3,7,5)</f>
        <v>1.707825127659933</v>
      </c>
      <c r="F59" s="26">
        <f t="shared" si="10"/>
        <v>35.954213213893325</v>
      </c>
      <c r="G59">
        <f t="shared" si="11"/>
        <v>475000</v>
      </c>
      <c r="H59" s="26">
        <f t="shared" si="12"/>
        <v>170782.51276599331</v>
      </c>
      <c r="I59" t="s">
        <v>84</v>
      </c>
    </row>
    <row r="60" spans="1:12" x14ac:dyDescent="0.2">
      <c r="A60" s="6">
        <v>7</v>
      </c>
      <c r="B60" s="6">
        <v>3</v>
      </c>
      <c r="C60" s="6">
        <v>15</v>
      </c>
      <c r="D60" s="16">
        <f t="shared" si="9"/>
        <v>3.75</v>
      </c>
      <c r="E60" s="16">
        <f>STDEV(2,6,3,4)</f>
        <v>1.707825127659933</v>
      </c>
      <c r="F60" s="26">
        <f t="shared" si="10"/>
        <v>45.542003404264882</v>
      </c>
      <c r="G60" s="16">
        <f t="shared" si="11"/>
        <v>375000</v>
      </c>
      <c r="H60" s="26">
        <f t="shared" si="12"/>
        <v>170782.51276599331</v>
      </c>
      <c r="I60" s="16" t="s">
        <v>87</v>
      </c>
      <c r="J60" s="16"/>
      <c r="K60" s="16"/>
      <c r="L60" s="16"/>
    </row>
    <row r="61" spans="1:12" x14ac:dyDescent="0.2">
      <c r="A61" s="9">
        <v>7</v>
      </c>
      <c r="B61" s="9">
        <v>4</v>
      </c>
      <c r="C61" s="9">
        <v>19</v>
      </c>
      <c r="D61">
        <f t="shared" si="9"/>
        <v>4.75</v>
      </c>
      <c r="E61">
        <f>STDEV(3,5,6,5)</f>
        <v>1.2583057392117916</v>
      </c>
      <c r="F61" s="26">
        <f t="shared" si="10"/>
        <v>26.490647141300876</v>
      </c>
      <c r="G61">
        <f t="shared" si="11"/>
        <v>475000</v>
      </c>
      <c r="H61" s="26">
        <f t="shared" si="12"/>
        <v>125830.57392117915</v>
      </c>
      <c r="I61" t="s">
        <v>84</v>
      </c>
    </row>
    <row r="62" spans="1:12" x14ac:dyDescent="0.2">
      <c r="A62" s="6">
        <v>7</v>
      </c>
      <c r="B62" s="6">
        <v>4</v>
      </c>
      <c r="C62" s="6">
        <v>40</v>
      </c>
      <c r="D62">
        <f t="shared" si="9"/>
        <v>10</v>
      </c>
      <c r="E62">
        <f>STDEV(7,13,11,9)</f>
        <v>2.5819888974716112</v>
      </c>
      <c r="F62" s="26">
        <f t="shared" si="10"/>
        <v>25.819888974716111</v>
      </c>
      <c r="G62">
        <f t="shared" si="11"/>
        <v>1000000</v>
      </c>
      <c r="H62" s="26">
        <f t="shared" si="12"/>
        <v>258198.88974716113</v>
      </c>
      <c r="I62" t="s">
        <v>89</v>
      </c>
    </row>
    <row r="63" spans="1:12" x14ac:dyDescent="0.2">
      <c r="A63" s="9">
        <v>7</v>
      </c>
      <c r="B63" s="9">
        <v>4</v>
      </c>
      <c r="C63" s="9">
        <v>34</v>
      </c>
      <c r="D63">
        <f t="shared" si="9"/>
        <v>8.5</v>
      </c>
      <c r="E63">
        <f>STDEV(6,11,7,10)</f>
        <v>2.3804761428476167</v>
      </c>
      <c r="F63" s="26">
        <f t="shared" si="10"/>
        <v>28.005601680560194</v>
      </c>
      <c r="G63">
        <f t="shared" si="11"/>
        <v>850000</v>
      </c>
      <c r="H63" s="26">
        <f t="shared" si="12"/>
        <v>238047.61428476166</v>
      </c>
      <c r="I63" t="s">
        <v>86</v>
      </c>
    </row>
    <row r="64" spans="1:12" x14ac:dyDescent="0.2">
      <c r="A64" s="6">
        <v>7</v>
      </c>
      <c r="B64" s="6">
        <v>4</v>
      </c>
      <c r="C64" s="6">
        <v>34</v>
      </c>
      <c r="D64">
        <f t="shared" si="9"/>
        <v>8.5</v>
      </c>
      <c r="E64">
        <f>STDEV(12,7,5,10)</f>
        <v>3.1091263510296048</v>
      </c>
      <c r="F64" s="26">
        <f t="shared" si="10"/>
        <v>36.577957070936527</v>
      </c>
      <c r="G64">
        <f t="shared" si="11"/>
        <v>850000</v>
      </c>
      <c r="H64" s="26">
        <f t="shared" si="12"/>
        <v>310912.63510296046</v>
      </c>
      <c r="I64" t="s">
        <v>85</v>
      </c>
    </row>
    <row r="65" spans="1:12" x14ac:dyDescent="0.2">
      <c r="A65" s="9">
        <v>7</v>
      </c>
      <c r="B65" s="9">
        <v>4</v>
      </c>
      <c r="C65" s="9">
        <v>43</v>
      </c>
      <c r="D65">
        <f t="shared" si="9"/>
        <v>10.75</v>
      </c>
      <c r="E65">
        <f>STDEV(14,8,13,8)</f>
        <v>3.2015621187164243</v>
      </c>
      <c r="F65" s="26">
        <f t="shared" si="10"/>
        <v>29.781973197362088</v>
      </c>
      <c r="G65">
        <f t="shared" si="11"/>
        <v>1075000</v>
      </c>
      <c r="H65" s="26">
        <f t="shared" si="12"/>
        <v>320156.21187164244</v>
      </c>
      <c r="I65" t="s">
        <v>94</v>
      </c>
    </row>
    <row r="66" spans="1:12" x14ac:dyDescent="0.2">
      <c r="A66" s="6">
        <v>7</v>
      </c>
      <c r="B66" s="6">
        <v>4</v>
      </c>
      <c r="C66" s="6">
        <v>42</v>
      </c>
      <c r="D66" s="16">
        <f t="shared" si="9"/>
        <v>10.5</v>
      </c>
      <c r="E66" s="16">
        <f>STDEV(10,6,13,13)</f>
        <v>3.3166247903553998</v>
      </c>
      <c r="F66" s="26">
        <f t="shared" si="10"/>
        <v>31.586902765289523</v>
      </c>
      <c r="G66" s="16">
        <f t="shared" si="11"/>
        <v>1050000</v>
      </c>
      <c r="H66" s="26">
        <f t="shared" si="12"/>
        <v>331662.47903553996</v>
      </c>
      <c r="I66" s="16" t="s">
        <v>90</v>
      </c>
      <c r="J66" s="16"/>
      <c r="K66" s="16"/>
      <c r="L66" s="16"/>
    </row>
    <row r="67" spans="1:12" x14ac:dyDescent="0.2">
      <c r="A67" s="9">
        <v>7</v>
      </c>
      <c r="B67" s="9">
        <v>4</v>
      </c>
      <c r="C67" s="9">
        <v>15</v>
      </c>
      <c r="D67">
        <f t="shared" si="9"/>
        <v>3.75</v>
      </c>
      <c r="E67" t="e" cm="1">
        <f t="array" ref="E67">STDEV71</f>
        <v>#NAME?</v>
      </c>
      <c r="F67" s="26" t="e">
        <f t="shared" si="10"/>
        <v>#NAME?</v>
      </c>
      <c r="G67">
        <f t="shared" si="11"/>
        <v>375000</v>
      </c>
      <c r="H67" s="26" t="e">
        <f t="shared" si="12"/>
        <v>#NAME?</v>
      </c>
      <c r="I67" t="s">
        <v>87</v>
      </c>
    </row>
    <row r="68" spans="1:12" x14ac:dyDescent="0.2">
      <c r="A68" s="6">
        <v>7</v>
      </c>
      <c r="B68" s="6">
        <v>4</v>
      </c>
      <c r="C68" s="6">
        <v>66</v>
      </c>
      <c r="D68" s="16">
        <f t="shared" si="9"/>
        <v>16.5</v>
      </c>
      <c r="E68" s="16">
        <f>STDEV(16,2,19,9)</f>
        <v>7.5938571665963446</v>
      </c>
      <c r="F68" s="26">
        <f t="shared" si="10"/>
        <v>46.023376767250568</v>
      </c>
      <c r="G68" s="16">
        <f t="shared" si="11"/>
        <v>1650000</v>
      </c>
      <c r="H68" s="26">
        <f t="shared" si="12"/>
        <v>759385.71665963449</v>
      </c>
      <c r="I68" s="16" t="s">
        <v>88</v>
      </c>
      <c r="J68" s="16"/>
      <c r="K68" s="16"/>
      <c r="L68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A2EB0-6D68-409F-BF29-2873558BA579}">
  <dimension ref="A1:G5"/>
  <sheetViews>
    <sheetView workbookViewId="0">
      <selection activeCell="G12" sqref="G12"/>
    </sheetView>
  </sheetViews>
  <sheetFormatPr baseColWidth="10" defaultColWidth="11" defaultRowHeight="16" x14ac:dyDescent="0.2"/>
  <sheetData>
    <row r="1" spans="1:7" x14ac:dyDescent="0.2">
      <c r="A1" t="s">
        <v>30</v>
      </c>
      <c r="B1" t="s">
        <v>101</v>
      </c>
      <c r="C1" t="s">
        <v>102</v>
      </c>
      <c r="D1" t="s">
        <v>103</v>
      </c>
      <c r="E1" t="s">
        <v>104</v>
      </c>
      <c r="F1" t="s">
        <v>14</v>
      </c>
      <c r="G1" t="s">
        <v>13</v>
      </c>
    </row>
    <row r="2" spans="1:7" x14ac:dyDescent="0.2">
      <c r="A2">
        <v>1</v>
      </c>
      <c r="B2">
        <v>2.665</v>
      </c>
      <c r="C2">
        <v>0.13200000000000001</v>
      </c>
      <c r="D2">
        <v>0.6</v>
      </c>
      <c r="E2">
        <v>4.3999999999999997E-2</v>
      </c>
      <c r="F2">
        <v>1.26512</v>
      </c>
      <c r="G2">
        <v>6.93</v>
      </c>
    </row>
    <row r="3" spans="1:7" x14ac:dyDescent="0.2">
      <c r="A3">
        <v>2</v>
      </c>
      <c r="B3">
        <v>2.2349999999999999</v>
      </c>
      <c r="C3">
        <v>0.104</v>
      </c>
      <c r="D3">
        <v>0.505</v>
      </c>
      <c r="E3">
        <v>3.4000000000000002E-2</v>
      </c>
      <c r="F3">
        <v>1.25966</v>
      </c>
      <c r="G3">
        <f t="shared" ref="G3" si="0">AVERAGE(7,6.99)</f>
        <v>6.9950000000000001</v>
      </c>
    </row>
    <row r="4" spans="1:7" x14ac:dyDescent="0.2">
      <c r="A4">
        <v>3</v>
      </c>
      <c r="B4">
        <v>1.5860000000000001</v>
      </c>
      <c r="C4">
        <v>5.5E-2</v>
      </c>
      <c r="D4">
        <v>0.35799999999999998</v>
      </c>
      <c r="E4">
        <v>1.7999999999999999E-2</v>
      </c>
      <c r="F4">
        <v>1.2613399999999999</v>
      </c>
      <c r="G4">
        <f t="shared" ref="G4" si="1">AVERAGE(7.04,6.9)</f>
        <v>6.9700000000000006</v>
      </c>
    </row>
    <row r="5" spans="1:7" x14ac:dyDescent="0.2">
      <c r="A5">
        <v>4</v>
      </c>
      <c r="B5">
        <v>4.47</v>
      </c>
      <c r="C5">
        <v>0.28599999999999998</v>
      </c>
      <c r="D5">
        <v>1.01</v>
      </c>
      <c r="E5">
        <v>9.4E-2</v>
      </c>
      <c r="F5">
        <v>1.2605</v>
      </c>
      <c r="G5">
        <f t="shared" ref="G5" si="2">AVERAGE(7,7.06)</f>
        <v>7.0299999999999994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FDC61-47F1-3F4A-A527-1CFD7465BB53}">
  <dimension ref="A1:F97"/>
  <sheetViews>
    <sheetView tabSelected="1" topLeftCell="A72" workbookViewId="0">
      <selection activeCell="L17" sqref="L1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105</v>
      </c>
      <c r="F1" t="s">
        <v>5</v>
      </c>
    </row>
    <row r="2" spans="1:6" x14ac:dyDescent="0.2">
      <c r="A2">
        <v>1</v>
      </c>
      <c r="B2" t="s">
        <v>16</v>
      </c>
      <c r="C2" t="s">
        <v>17</v>
      </c>
      <c r="D2">
        <v>84</v>
      </c>
      <c r="E2">
        <v>1</v>
      </c>
      <c r="F2">
        <v>20.9</v>
      </c>
    </row>
    <row r="3" spans="1:6" x14ac:dyDescent="0.2">
      <c r="A3">
        <v>1</v>
      </c>
      <c r="B3" t="s">
        <v>18</v>
      </c>
      <c r="C3" t="s">
        <v>17</v>
      </c>
      <c r="D3">
        <v>84</v>
      </c>
      <c r="E3">
        <v>1</v>
      </c>
      <c r="F3">
        <v>20.9</v>
      </c>
    </row>
    <row r="4" spans="1:6" x14ac:dyDescent="0.2">
      <c r="A4">
        <v>1</v>
      </c>
      <c r="B4" t="s">
        <v>19</v>
      </c>
      <c r="C4" t="s">
        <v>20</v>
      </c>
      <c r="D4">
        <v>84</v>
      </c>
      <c r="E4">
        <v>1</v>
      </c>
      <c r="F4">
        <v>20.9</v>
      </c>
    </row>
    <row r="5" spans="1:6" x14ac:dyDescent="0.2">
      <c r="A5">
        <v>1</v>
      </c>
      <c r="B5" t="s">
        <v>21</v>
      </c>
      <c r="C5" t="s">
        <v>20</v>
      </c>
      <c r="D5">
        <v>84</v>
      </c>
      <c r="E5">
        <v>1</v>
      </c>
      <c r="F5">
        <v>20.9</v>
      </c>
    </row>
    <row r="6" spans="1:6" x14ac:dyDescent="0.2">
      <c r="A6">
        <v>1</v>
      </c>
      <c r="B6" t="s">
        <v>22</v>
      </c>
      <c r="C6" t="s">
        <v>20</v>
      </c>
      <c r="D6">
        <v>84</v>
      </c>
      <c r="E6">
        <v>1</v>
      </c>
      <c r="F6">
        <v>20.9</v>
      </c>
    </row>
    <row r="7" spans="1:6" x14ac:dyDescent="0.2">
      <c r="A7">
        <v>1</v>
      </c>
      <c r="B7" t="s">
        <v>23</v>
      </c>
      <c r="C7" t="s">
        <v>20</v>
      </c>
      <c r="D7">
        <v>84</v>
      </c>
      <c r="E7">
        <v>1</v>
      </c>
      <c r="F7">
        <v>20.9</v>
      </c>
    </row>
    <row r="8" spans="1:6" x14ac:dyDescent="0.2">
      <c r="A8">
        <v>1</v>
      </c>
      <c r="B8" t="s">
        <v>24</v>
      </c>
      <c r="C8" t="s">
        <v>20</v>
      </c>
      <c r="D8">
        <v>84</v>
      </c>
      <c r="E8">
        <v>1</v>
      </c>
      <c r="F8">
        <v>20.9</v>
      </c>
    </row>
    <row r="9" spans="1:6" x14ac:dyDescent="0.2">
      <c r="A9">
        <v>1</v>
      </c>
      <c r="B9" t="s">
        <v>25</v>
      </c>
      <c r="C9" t="s">
        <v>20</v>
      </c>
      <c r="D9">
        <v>84</v>
      </c>
      <c r="E9">
        <v>1</v>
      </c>
      <c r="F9">
        <v>20.9</v>
      </c>
    </row>
    <row r="10" spans="1:6" x14ac:dyDescent="0.2">
      <c r="A10">
        <v>2</v>
      </c>
      <c r="B10" t="s">
        <v>16</v>
      </c>
      <c r="C10" t="s">
        <v>20</v>
      </c>
      <c r="D10">
        <v>88</v>
      </c>
      <c r="E10">
        <v>1</v>
      </c>
      <c r="F10">
        <v>18</v>
      </c>
    </row>
    <row r="11" spans="1:6" x14ac:dyDescent="0.2">
      <c r="A11">
        <v>2</v>
      </c>
      <c r="B11" t="s">
        <v>18</v>
      </c>
      <c r="C11" t="s">
        <v>20</v>
      </c>
      <c r="D11">
        <v>88</v>
      </c>
      <c r="E11">
        <v>1</v>
      </c>
      <c r="F11">
        <v>18</v>
      </c>
    </row>
    <row r="12" spans="1:6" x14ac:dyDescent="0.2">
      <c r="A12">
        <v>2</v>
      </c>
      <c r="B12" t="s">
        <v>19</v>
      </c>
      <c r="C12" t="s">
        <v>20</v>
      </c>
      <c r="D12">
        <v>88</v>
      </c>
      <c r="E12">
        <v>1</v>
      </c>
      <c r="F12">
        <v>18</v>
      </c>
    </row>
    <row r="13" spans="1:6" x14ac:dyDescent="0.2">
      <c r="A13">
        <v>2</v>
      </c>
      <c r="B13" t="s">
        <v>21</v>
      </c>
      <c r="C13" t="s">
        <v>20</v>
      </c>
      <c r="D13">
        <v>88</v>
      </c>
      <c r="E13">
        <v>1</v>
      </c>
      <c r="F13">
        <v>18</v>
      </c>
    </row>
    <row r="14" spans="1:6" x14ac:dyDescent="0.2">
      <c r="A14">
        <v>2</v>
      </c>
      <c r="B14" t="s">
        <v>22</v>
      </c>
      <c r="C14" t="s">
        <v>20</v>
      </c>
      <c r="D14">
        <v>88</v>
      </c>
      <c r="E14">
        <v>1</v>
      </c>
      <c r="F14">
        <v>18</v>
      </c>
    </row>
    <row r="15" spans="1:6" x14ac:dyDescent="0.2">
      <c r="A15">
        <v>2</v>
      </c>
      <c r="B15" t="s">
        <v>23</v>
      </c>
      <c r="C15" t="s">
        <v>20</v>
      </c>
      <c r="D15">
        <v>88</v>
      </c>
      <c r="E15">
        <v>1</v>
      </c>
      <c r="F15">
        <v>18</v>
      </c>
    </row>
    <row r="16" spans="1:6" x14ac:dyDescent="0.2">
      <c r="A16">
        <v>2</v>
      </c>
      <c r="B16" t="s">
        <v>24</v>
      </c>
      <c r="C16" t="s">
        <v>20</v>
      </c>
      <c r="D16">
        <v>88</v>
      </c>
      <c r="E16">
        <v>1</v>
      </c>
      <c r="F16">
        <v>18</v>
      </c>
    </row>
    <row r="17" spans="1:6" x14ac:dyDescent="0.2">
      <c r="A17">
        <v>2</v>
      </c>
      <c r="B17" t="s">
        <v>25</v>
      </c>
      <c r="C17" t="s">
        <v>20</v>
      </c>
      <c r="D17">
        <v>88</v>
      </c>
      <c r="E17">
        <v>1</v>
      </c>
      <c r="F17">
        <v>18</v>
      </c>
    </row>
    <row r="18" spans="1:6" x14ac:dyDescent="0.2">
      <c r="A18">
        <v>3</v>
      </c>
      <c r="B18" t="s">
        <v>16</v>
      </c>
      <c r="C18" t="s">
        <v>20</v>
      </c>
      <c r="D18">
        <v>75</v>
      </c>
      <c r="E18">
        <v>1</v>
      </c>
      <c r="F18">
        <v>21.2</v>
      </c>
    </row>
    <row r="19" spans="1:6" x14ac:dyDescent="0.2">
      <c r="A19">
        <v>3</v>
      </c>
      <c r="B19" t="s">
        <v>18</v>
      </c>
      <c r="C19" t="s">
        <v>20</v>
      </c>
      <c r="D19">
        <v>75</v>
      </c>
      <c r="E19">
        <v>1</v>
      </c>
      <c r="F19">
        <v>21.2</v>
      </c>
    </row>
    <row r="20" spans="1:6" x14ac:dyDescent="0.2">
      <c r="A20">
        <v>3</v>
      </c>
      <c r="B20" t="s">
        <v>19</v>
      </c>
      <c r="C20" t="s">
        <v>20</v>
      </c>
      <c r="D20">
        <v>75</v>
      </c>
      <c r="E20">
        <v>1</v>
      </c>
      <c r="F20">
        <v>21.2</v>
      </c>
    </row>
    <row r="21" spans="1:6" x14ac:dyDescent="0.2">
      <c r="A21">
        <v>3</v>
      </c>
      <c r="B21" t="s">
        <v>21</v>
      </c>
      <c r="C21" t="s">
        <v>20</v>
      </c>
      <c r="D21">
        <v>75</v>
      </c>
      <c r="E21">
        <v>1</v>
      </c>
      <c r="F21">
        <v>21.2</v>
      </c>
    </row>
    <row r="22" spans="1:6" x14ac:dyDescent="0.2">
      <c r="A22">
        <v>3</v>
      </c>
      <c r="B22" t="s">
        <v>22</v>
      </c>
      <c r="C22" t="s">
        <v>20</v>
      </c>
      <c r="D22">
        <v>75</v>
      </c>
      <c r="E22">
        <v>1</v>
      </c>
      <c r="F22">
        <v>21.2</v>
      </c>
    </row>
    <row r="23" spans="1:6" x14ac:dyDescent="0.2">
      <c r="A23">
        <v>3</v>
      </c>
      <c r="B23" t="s">
        <v>23</v>
      </c>
      <c r="C23" t="s">
        <v>20</v>
      </c>
      <c r="D23">
        <v>75</v>
      </c>
      <c r="E23">
        <v>1</v>
      </c>
      <c r="F23">
        <v>21.2</v>
      </c>
    </row>
    <row r="24" spans="1:6" x14ac:dyDescent="0.2">
      <c r="A24">
        <v>3</v>
      </c>
      <c r="B24" t="s">
        <v>24</v>
      </c>
      <c r="C24" t="s">
        <v>20</v>
      </c>
      <c r="D24">
        <v>75</v>
      </c>
      <c r="E24">
        <v>1</v>
      </c>
      <c r="F24">
        <v>21.2</v>
      </c>
    </row>
    <row r="25" spans="1:6" x14ac:dyDescent="0.2">
      <c r="A25">
        <v>3</v>
      </c>
      <c r="B25" t="s">
        <v>25</v>
      </c>
      <c r="C25" t="s">
        <v>20</v>
      </c>
      <c r="D25">
        <v>75</v>
      </c>
      <c r="E25">
        <v>1</v>
      </c>
      <c r="F25">
        <v>21.2</v>
      </c>
    </row>
    <row r="26" spans="1:6" x14ac:dyDescent="0.2">
      <c r="A26">
        <v>4</v>
      </c>
      <c r="B26" t="s">
        <v>16</v>
      </c>
      <c r="C26" t="s">
        <v>20</v>
      </c>
      <c r="D26">
        <v>92</v>
      </c>
      <c r="E26">
        <v>1</v>
      </c>
      <c r="F26">
        <v>17</v>
      </c>
    </row>
    <row r="27" spans="1:6" x14ac:dyDescent="0.2">
      <c r="A27">
        <v>4</v>
      </c>
      <c r="B27" t="s">
        <v>18</v>
      </c>
      <c r="C27" t="s">
        <v>20</v>
      </c>
      <c r="D27">
        <v>92</v>
      </c>
      <c r="E27">
        <v>1</v>
      </c>
      <c r="F27">
        <v>17</v>
      </c>
    </row>
    <row r="28" spans="1:6" x14ac:dyDescent="0.2">
      <c r="A28">
        <v>4</v>
      </c>
      <c r="B28" t="s">
        <v>19</v>
      </c>
      <c r="C28" t="s">
        <v>20</v>
      </c>
      <c r="D28">
        <v>92</v>
      </c>
      <c r="E28">
        <v>1</v>
      </c>
      <c r="F28">
        <v>17</v>
      </c>
    </row>
    <row r="29" spans="1:6" x14ac:dyDescent="0.2">
      <c r="A29">
        <v>4</v>
      </c>
      <c r="B29" t="s">
        <v>21</v>
      </c>
      <c r="C29" t="s">
        <v>20</v>
      </c>
      <c r="D29">
        <v>92</v>
      </c>
      <c r="E29">
        <v>1</v>
      </c>
      <c r="F29">
        <v>17</v>
      </c>
    </row>
    <row r="30" spans="1:6" x14ac:dyDescent="0.2">
      <c r="A30">
        <v>4</v>
      </c>
      <c r="B30" t="s">
        <v>22</v>
      </c>
      <c r="C30" t="s">
        <v>20</v>
      </c>
      <c r="D30">
        <v>92</v>
      </c>
      <c r="E30">
        <v>1</v>
      </c>
      <c r="F30">
        <v>17</v>
      </c>
    </row>
    <row r="31" spans="1:6" x14ac:dyDescent="0.2">
      <c r="A31">
        <v>4</v>
      </c>
      <c r="B31" t="s">
        <v>23</v>
      </c>
      <c r="C31" t="s">
        <v>20</v>
      </c>
      <c r="D31">
        <v>92</v>
      </c>
      <c r="E31">
        <v>1</v>
      </c>
      <c r="F31">
        <v>17</v>
      </c>
    </row>
    <row r="32" spans="1:6" x14ac:dyDescent="0.2">
      <c r="A32">
        <v>4</v>
      </c>
      <c r="B32" t="s">
        <v>24</v>
      </c>
      <c r="C32" t="s">
        <v>20</v>
      </c>
      <c r="D32">
        <v>92</v>
      </c>
      <c r="E32">
        <v>1</v>
      </c>
      <c r="F32">
        <v>17</v>
      </c>
    </row>
    <row r="33" spans="1:6" x14ac:dyDescent="0.2">
      <c r="A33">
        <v>4</v>
      </c>
      <c r="B33" t="s">
        <v>25</v>
      </c>
      <c r="C33" t="s">
        <v>20</v>
      </c>
      <c r="D33">
        <v>92</v>
      </c>
      <c r="E33">
        <v>1</v>
      </c>
      <c r="F33">
        <v>17</v>
      </c>
    </row>
    <row r="34" spans="1:6" x14ac:dyDescent="0.2">
      <c r="A34">
        <v>1</v>
      </c>
      <c r="B34" t="s">
        <v>16</v>
      </c>
      <c r="C34" t="s">
        <v>27</v>
      </c>
      <c r="E34">
        <v>3</v>
      </c>
      <c r="F34" t="s">
        <v>28</v>
      </c>
    </row>
    <row r="35" spans="1:6" x14ac:dyDescent="0.2">
      <c r="A35">
        <v>1</v>
      </c>
      <c r="B35" t="s">
        <v>18</v>
      </c>
      <c r="C35" t="s">
        <v>27</v>
      </c>
      <c r="D35">
        <v>83</v>
      </c>
      <c r="E35">
        <v>3</v>
      </c>
      <c r="F35">
        <v>17.8</v>
      </c>
    </row>
    <row r="36" spans="1:6" x14ac:dyDescent="0.2">
      <c r="A36">
        <v>1</v>
      </c>
      <c r="B36" t="s">
        <v>19</v>
      </c>
      <c r="C36" t="s">
        <v>27</v>
      </c>
      <c r="D36">
        <v>80</v>
      </c>
      <c r="E36">
        <v>3</v>
      </c>
      <c r="F36">
        <v>19.100000000000001</v>
      </c>
    </row>
    <row r="37" spans="1:6" x14ac:dyDescent="0.2">
      <c r="A37">
        <v>1</v>
      </c>
      <c r="B37" t="s">
        <v>21</v>
      </c>
      <c r="C37" t="s">
        <v>27</v>
      </c>
      <c r="D37">
        <v>83</v>
      </c>
      <c r="E37">
        <v>3</v>
      </c>
      <c r="F37">
        <v>18.8</v>
      </c>
    </row>
    <row r="38" spans="1:6" x14ac:dyDescent="0.2">
      <c r="A38">
        <v>1</v>
      </c>
      <c r="B38" t="s">
        <v>22</v>
      </c>
      <c r="C38" t="s">
        <v>27</v>
      </c>
      <c r="D38">
        <v>85</v>
      </c>
      <c r="E38">
        <v>3</v>
      </c>
      <c r="F38">
        <v>17.8</v>
      </c>
    </row>
    <row r="39" spans="1:6" x14ac:dyDescent="0.2">
      <c r="A39">
        <v>1</v>
      </c>
      <c r="B39" t="s">
        <v>23</v>
      </c>
      <c r="C39" t="s">
        <v>27</v>
      </c>
      <c r="D39">
        <v>77</v>
      </c>
      <c r="E39">
        <v>3</v>
      </c>
      <c r="F39">
        <v>19.399999999999999</v>
      </c>
    </row>
    <row r="40" spans="1:6" x14ac:dyDescent="0.2">
      <c r="A40">
        <v>1</v>
      </c>
      <c r="B40" t="s">
        <v>24</v>
      </c>
      <c r="C40" t="s">
        <v>27</v>
      </c>
      <c r="D40">
        <v>80</v>
      </c>
      <c r="E40">
        <v>3</v>
      </c>
      <c r="F40">
        <v>17.3</v>
      </c>
    </row>
    <row r="41" spans="1:6" x14ac:dyDescent="0.2">
      <c r="A41">
        <v>1</v>
      </c>
      <c r="B41" t="s">
        <v>25</v>
      </c>
      <c r="C41" t="s">
        <v>27</v>
      </c>
      <c r="D41">
        <v>78</v>
      </c>
      <c r="E41">
        <v>3</v>
      </c>
      <c r="F41">
        <v>18.8</v>
      </c>
    </row>
    <row r="42" spans="1:6" x14ac:dyDescent="0.2">
      <c r="A42">
        <v>2</v>
      </c>
      <c r="B42" t="s">
        <v>16</v>
      </c>
      <c r="C42" t="s">
        <v>27</v>
      </c>
      <c r="D42">
        <v>73</v>
      </c>
      <c r="E42">
        <v>3</v>
      </c>
      <c r="F42">
        <v>18.100000000000001</v>
      </c>
    </row>
    <row r="43" spans="1:6" x14ac:dyDescent="0.2">
      <c r="A43">
        <v>2</v>
      </c>
      <c r="B43" t="s">
        <v>18</v>
      </c>
      <c r="C43" t="s">
        <v>27</v>
      </c>
      <c r="D43">
        <v>87</v>
      </c>
      <c r="E43">
        <v>3</v>
      </c>
      <c r="F43">
        <v>18</v>
      </c>
    </row>
    <row r="44" spans="1:6" x14ac:dyDescent="0.2">
      <c r="A44">
        <v>2</v>
      </c>
      <c r="B44" t="s">
        <v>19</v>
      </c>
      <c r="C44" t="s">
        <v>27</v>
      </c>
      <c r="D44">
        <v>77</v>
      </c>
      <c r="E44">
        <v>3</v>
      </c>
      <c r="F44">
        <v>18</v>
      </c>
    </row>
    <row r="45" spans="1:6" x14ac:dyDescent="0.2">
      <c r="A45">
        <v>2</v>
      </c>
      <c r="B45" t="s">
        <v>21</v>
      </c>
      <c r="C45" t="s">
        <v>27</v>
      </c>
      <c r="D45">
        <v>82</v>
      </c>
      <c r="E45">
        <v>3</v>
      </c>
      <c r="F45">
        <v>19.100000000000001</v>
      </c>
    </row>
    <row r="46" spans="1:6" x14ac:dyDescent="0.2">
      <c r="A46">
        <v>2</v>
      </c>
      <c r="B46" t="s">
        <v>22</v>
      </c>
      <c r="C46" t="s">
        <v>27</v>
      </c>
      <c r="D46">
        <v>83</v>
      </c>
      <c r="E46">
        <v>3</v>
      </c>
      <c r="F46">
        <v>17.7</v>
      </c>
    </row>
    <row r="47" spans="1:6" x14ac:dyDescent="0.2">
      <c r="A47">
        <v>2</v>
      </c>
      <c r="B47" t="s">
        <v>23</v>
      </c>
      <c r="C47" t="s">
        <v>27</v>
      </c>
      <c r="E47">
        <v>3</v>
      </c>
      <c r="F47" t="s">
        <v>28</v>
      </c>
    </row>
    <row r="48" spans="1:6" x14ac:dyDescent="0.2">
      <c r="A48">
        <v>2</v>
      </c>
      <c r="B48" t="s">
        <v>24</v>
      </c>
      <c r="C48" t="s">
        <v>27</v>
      </c>
      <c r="D48">
        <v>75</v>
      </c>
      <c r="E48">
        <v>3</v>
      </c>
      <c r="F48">
        <v>17.7</v>
      </c>
    </row>
    <row r="49" spans="1:6" x14ac:dyDescent="0.2">
      <c r="A49">
        <v>2</v>
      </c>
      <c r="B49" t="s">
        <v>25</v>
      </c>
      <c r="C49" t="s">
        <v>27</v>
      </c>
      <c r="D49">
        <v>80</v>
      </c>
      <c r="E49">
        <v>3</v>
      </c>
      <c r="F49">
        <v>17.7</v>
      </c>
    </row>
    <row r="50" spans="1:6" x14ac:dyDescent="0.2">
      <c r="A50">
        <v>3</v>
      </c>
      <c r="B50" t="s">
        <v>16</v>
      </c>
      <c r="C50" t="s">
        <v>27</v>
      </c>
      <c r="D50">
        <v>82</v>
      </c>
      <c r="E50">
        <v>3</v>
      </c>
      <c r="F50">
        <v>17.7</v>
      </c>
    </row>
    <row r="51" spans="1:6" x14ac:dyDescent="0.2">
      <c r="A51">
        <v>3</v>
      </c>
      <c r="B51" t="s">
        <v>18</v>
      </c>
      <c r="C51" t="s">
        <v>27</v>
      </c>
      <c r="D51">
        <v>82</v>
      </c>
      <c r="E51">
        <v>3</v>
      </c>
      <c r="F51">
        <v>17.8</v>
      </c>
    </row>
    <row r="52" spans="1:6" x14ac:dyDescent="0.2">
      <c r="A52">
        <v>3</v>
      </c>
      <c r="B52" t="s">
        <v>19</v>
      </c>
      <c r="C52" t="s">
        <v>27</v>
      </c>
      <c r="D52">
        <v>88</v>
      </c>
      <c r="E52">
        <v>3</v>
      </c>
      <c r="F52">
        <v>17.2</v>
      </c>
    </row>
    <row r="53" spans="1:6" x14ac:dyDescent="0.2">
      <c r="A53">
        <v>3</v>
      </c>
      <c r="B53" t="s">
        <v>21</v>
      </c>
      <c r="C53" t="s">
        <v>27</v>
      </c>
      <c r="D53">
        <v>84</v>
      </c>
      <c r="E53">
        <v>3</v>
      </c>
      <c r="F53">
        <v>17.399999999999999</v>
      </c>
    </row>
    <row r="54" spans="1:6" x14ac:dyDescent="0.2">
      <c r="A54">
        <v>3</v>
      </c>
      <c r="B54" t="s">
        <v>22</v>
      </c>
      <c r="C54" t="s">
        <v>27</v>
      </c>
      <c r="D54">
        <v>87</v>
      </c>
      <c r="E54">
        <v>3</v>
      </c>
      <c r="F54">
        <v>16.7</v>
      </c>
    </row>
    <row r="55" spans="1:6" x14ac:dyDescent="0.2">
      <c r="A55">
        <v>3</v>
      </c>
      <c r="B55" t="s">
        <v>23</v>
      </c>
      <c r="C55" t="s">
        <v>27</v>
      </c>
      <c r="D55">
        <v>82</v>
      </c>
      <c r="E55">
        <v>3</v>
      </c>
      <c r="F55">
        <v>17.8</v>
      </c>
    </row>
    <row r="56" spans="1:6" x14ac:dyDescent="0.2">
      <c r="A56">
        <v>3</v>
      </c>
      <c r="B56" t="s">
        <v>24</v>
      </c>
      <c r="C56" t="s">
        <v>27</v>
      </c>
      <c r="D56">
        <v>87</v>
      </c>
      <c r="E56">
        <v>3</v>
      </c>
      <c r="F56">
        <v>17.100000000000001</v>
      </c>
    </row>
    <row r="57" spans="1:6" x14ac:dyDescent="0.2">
      <c r="A57">
        <v>3</v>
      </c>
      <c r="B57" t="s">
        <v>25</v>
      </c>
      <c r="C57" t="s">
        <v>27</v>
      </c>
      <c r="D57">
        <v>86</v>
      </c>
      <c r="E57">
        <v>3</v>
      </c>
      <c r="F57">
        <v>17.5</v>
      </c>
    </row>
    <row r="58" spans="1:6" x14ac:dyDescent="0.2">
      <c r="A58">
        <v>4</v>
      </c>
      <c r="B58" t="s">
        <v>16</v>
      </c>
      <c r="C58" t="s">
        <v>27</v>
      </c>
      <c r="D58">
        <v>89.4</v>
      </c>
      <c r="E58">
        <v>3</v>
      </c>
      <c r="F58">
        <v>19.2</v>
      </c>
    </row>
    <row r="59" spans="1:6" x14ac:dyDescent="0.2">
      <c r="A59">
        <v>4</v>
      </c>
      <c r="B59" t="s">
        <v>18</v>
      </c>
      <c r="C59" t="s">
        <v>27</v>
      </c>
      <c r="D59">
        <v>96.7</v>
      </c>
      <c r="E59">
        <v>3</v>
      </c>
      <c r="F59">
        <v>21</v>
      </c>
    </row>
    <row r="60" spans="1:6" x14ac:dyDescent="0.2">
      <c r="A60">
        <v>4</v>
      </c>
      <c r="B60" t="s">
        <v>19</v>
      </c>
      <c r="C60" t="s">
        <v>27</v>
      </c>
      <c r="D60">
        <v>91</v>
      </c>
      <c r="E60">
        <v>3</v>
      </c>
      <c r="F60">
        <v>20</v>
      </c>
    </row>
    <row r="61" spans="1:6" x14ac:dyDescent="0.2">
      <c r="A61">
        <v>4</v>
      </c>
      <c r="B61" t="s">
        <v>21</v>
      </c>
      <c r="C61" t="s">
        <v>27</v>
      </c>
      <c r="D61">
        <v>93.6</v>
      </c>
      <c r="E61">
        <v>3</v>
      </c>
      <c r="F61">
        <v>19.5</v>
      </c>
    </row>
    <row r="62" spans="1:6" x14ac:dyDescent="0.2">
      <c r="A62">
        <v>4</v>
      </c>
      <c r="B62" t="s">
        <v>22</v>
      </c>
      <c r="C62" t="s">
        <v>27</v>
      </c>
      <c r="D62">
        <v>84.2</v>
      </c>
      <c r="E62">
        <v>3</v>
      </c>
      <c r="F62">
        <v>21.8</v>
      </c>
    </row>
    <row r="63" spans="1:6" x14ac:dyDescent="0.2">
      <c r="A63">
        <v>4</v>
      </c>
      <c r="B63" t="s">
        <v>23</v>
      </c>
      <c r="C63" t="s">
        <v>27</v>
      </c>
      <c r="D63">
        <v>100.7</v>
      </c>
      <c r="E63">
        <v>3</v>
      </c>
      <c r="F63">
        <v>20.100000000000001</v>
      </c>
    </row>
    <row r="64" spans="1:6" x14ac:dyDescent="0.2">
      <c r="A64">
        <v>4</v>
      </c>
      <c r="B64" t="s">
        <v>24</v>
      </c>
      <c r="C64" t="s">
        <v>27</v>
      </c>
      <c r="D64">
        <v>89.2</v>
      </c>
      <c r="E64">
        <v>3</v>
      </c>
      <c r="F64">
        <v>20.2</v>
      </c>
    </row>
    <row r="65" spans="1:6" x14ac:dyDescent="0.2">
      <c r="A65">
        <v>4</v>
      </c>
      <c r="B65" t="s">
        <v>25</v>
      </c>
      <c r="C65" t="s">
        <v>27</v>
      </c>
      <c r="D65">
        <v>108.4</v>
      </c>
      <c r="E65">
        <v>3</v>
      </c>
      <c r="F65">
        <v>18.899999999999999</v>
      </c>
    </row>
    <row r="66" spans="1:6" x14ac:dyDescent="0.2">
      <c r="A66">
        <v>1</v>
      </c>
      <c r="B66" t="s">
        <v>16</v>
      </c>
      <c r="C66" t="s">
        <v>29</v>
      </c>
      <c r="E66">
        <v>4</v>
      </c>
      <c r="F66" t="s">
        <v>28</v>
      </c>
    </row>
    <row r="67" spans="1:6" x14ac:dyDescent="0.2">
      <c r="A67">
        <v>1</v>
      </c>
      <c r="B67" t="s">
        <v>18</v>
      </c>
      <c r="C67" t="s">
        <v>29</v>
      </c>
      <c r="D67">
        <v>91</v>
      </c>
      <c r="E67">
        <v>4</v>
      </c>
      <c r="F67">
        <v>18.600000000000001</v>
      </c>
    </row>
    <row r="68" spans="1:6" x14ac:dyDescent="0.2">
      <c r="A68">
        <v>1</v>
      </c>
      <c r="B68" t="s">
        <v>19</v>
      </c>
      <c r="C68" t="s">
        <v>29</v>
      </c>
      <c r="D68">
        <v>89</v>
      </c>
      <c r="E68">
        <v>4</v>
      </c>
      <c r="F68">
        <v>18.3</v>
      </c>
    </row>
    <row r="69" spans="1:6" x14ac:dyDescent="0.2">
      <c r="A69">
        <v>1</v>
      </c>
      <c r="B69" t="s">
        <v>21</v>
      </c>
      <c r="C69" t="s">
        <v>29</v>
      </c>
      <c r="D69">
        <v>88</v>
      </c>
      <c r="E69">
        <v>4</v>
      </c>
      <c r="F69">
        <v>18.3</v>
      </c>
    </row>
    <row r="70" spans="1:6" x14ac:dyDescent="0.2">
      <c r="A70">
        <v>1</v>
      </c>
      <c r="B70" t="s">
        <v>22</v>
      </c>
      <c r="C70" t="s">
        <v>29</v>
      </c>
      <c r="D70">
        <v>91</v>
      </c>
      <c r="E70">
        <v>4</v>
      </c>
      <c r="F70">
        <v>18.399999999999999</v>
      </c>
    </row>
    <row r="71" spans="1:6" x14ac:dyDescent="0.2">
      <c r="A71">
        <v>1</v>
      </c>
      <c r="B71" t="s">
        <v>23</v>
      </c>
      <c r="C71" t="s">
        <v>29</v>
      </c>
      <c r="D71">
        <v>87</v>
      </c>
      <c r="E71">
        <v>4</v>
      </c>
      <c r="F71">
        <v>18.8</v>
      </c>
    </row>
    <row r="72" spans="1:6" x14ac:dyDescent="0.2">
      <c r="A72">
        <v>1</v>
      </c>
      <c r="B72" t="s">
        <v>24</v>
      </c>
      <c r="C72" t="s">
        <v>29</v>
      </c>
      <c r="D72">
        <v>87</v>
      </c>
      <c r="E72">
        <v>4</v>
      </c>
      <c r="F72">
        <v>18.899999999999999</v>
      </c>
    </row>
    <row r="73" spans="1:6" x14ac:dyDescent="0.2">
      <c r="A73">
        <v>1</v>
      </c>
      <c r="B73" t="s">
        <v>25</v>
      </c>
      <c r="C73" t="s">
        <v>29</v>
      </c>
      <c r="D73">
        <v>87</v>
      </c>
      <c r="E73">
        <v>4</v>
      </c>
      <c r="F73">
        <v>18.899999999999999</v>
      </c>
    </row>
    <row r="74" spans="1:6" x14ac:dyDescent="0.2">
      <c r="A74">
        <v>2</v>
      </c>
      <c r="B74" t="s">
        <v>16</v>
      </c>
      <c r="C74" t="s">
        <v>29</v>
      </c>
      <c r="D74">
        <v>81</v>
      </c>
      <c r="E74">
        <v>4</v>
      </c>
      <c r="F74">
        <v>20</v>
      </c>
    </row>
    <row r="75" spans="1:6" x14ac:dyDescent="0.2">
      <c r="A75">
        <v>2</v>
      </c>
      <c r="B75" t="s">
        <v>18</v>
      </c>
      <c r="C75" t="s">
        <v>29</v>
      </c>
      <c r="E75">
        <v>4</v>
      </c>
      <c r="F75" t="s">
        <v>28</v>
      </c>
    </row>
    <row r="76" spans="1:6" x14ac:dyDescent="0.2">
      <c r="A76">
        <v>2</v>
      </c>
      <c r="B76" t="s">
        <v>19</v>
      </c>
      <c r="C76" t="s">
        <v>29</v>
      </c>
      <c r="D76">
        <v>87.6</v>
      </c>
      <c r="E76">
        <v>4</v>
      </c>
      <c r="F76">
        <v>21</v>
      </c>
    </row>
    <row r="77" spans="1:6" x14ac:dyDescent="0.2">
      <c r="A77">
        <v>2</v>
      </c>
      <c r="B77" t="s">
        <v>21</v>
      </c>
      <c r="C77" t="s">
        <v>29</v>
      </c>
      <c r="D77">
        <v>88</v>
      </c>
      <c r="E77">
        <v>4</v>
      </c>
      <c r="F77">
        <v>19.899999999999999</v>
      </c>
    </row>
    <row r="78" spans="1:6" x14ac:dyDescent="0.2">
      <c r="A78">
        <v>2</v>
      </c>
      <c r="B78" t="s">
        <v>22</v>
      </c>
      <c r="C78" t="s">
        <v>29</v>
      </c>
      <c r="E78">
        <v>4</v>
      </c>
      <c r="F78" t="s">
        <v>28</v>
      </c>
    </row>
    <row r="79" spans="1:6" x14ac:dyDescent="0.2">
      <c r="A79">
        <v>2</v>
      </c>
      <c r="B79" t="s">
        <v>23</v>
      </c>
      <c r="C79" t="s">
        <v>29</v>
      </c>
      <c r="E79">
        <v>4</v>
      </c>
      <c r="F79" t="s">
        <v>28</v>
      </c>
    </row>
    <row r="80" spans="1:6" x14ac:dyDescent="0.2">
      <c r="A80">
        <v>2</v>
      </c>
      <c r="B80" t="s">
        <v>24</v>
      </c>
      <c r="C80" t="s">
        <v>29</v>
      </c>
      <c r="D80">
        <v>99.3</v>
      </c>
      <c r="E80">
        <v>4</v>
      </c>
      <c r="F80">
        <v>21.3</v>
      </c>
    </row>
    <row r="81" spans="1:6" x14ac:dyDescent="0.2">
      <c r="A81">
        <v>2</v>
      </c>
      <c r="B81" t="s">
        <v>25</v>
      </c>
      <c r="C81" t="s">
        <v>29</v>
      </c>
      <c r="D81">
        <v>103</v>
      </c>
      <c r="E81">
        <v>4</v>
      </c>
      <c r="F81">
        <v>21.5</v>
      </c>
    </row>
    <row r="82" spans="1:6" x14ac:dyDescent="0.2">
      <c r="A82">
        <v>3</v>
      </c>
      <c r="B82" t="s">
        <v>16</v>
      </c>
      <c r="C82" t="s">
        <v>29</v>
      </c>
      <c r="D82">
        <v>82</v>
      </c>
      <c r="E82">
        <v>4</v>
      </c>
      <c r="F82">
        <v>18.2</v>
      </c>
    </row>
    <row r="83" spans="1:6" x14ac:dyDescent="0.2">
      <c r="A83">
        <v>3</v>
      </c>
      <c r="B83" t="s">
        <v>18</v>
      </c>
      <c r="C83" t="s">
        <v>29</v>
      </c>
      <c r="D83">
        <v>85</v>
      </c>
      <c r="E83">
        <v>4</v>
      </c>
      <c r="F83">
        <v>18.3</v>
      </c>
    </row>
    <row r="84" spans="1:6" x14ac:dyDescent="0.2">
      <c r="A84">
        <v>3</v>
      </c>
      <c r="B84" t="s">
        <v>19</v>
      </c>
      <c r="C84" t="s">
        <v>29</v>
      </c>
      <c r="D84">
        <v>72</v>
      </c>
      <c r="E84">
        <v>4</v>
      </c>
      <c r="F84">
        <v>21.7</v>
      </c>
    </row>
    <row r="85" spans="1:6" x14ac:dyDescent="0.2">
      <c r="A85">
        <v>3</v>
      </c>
      <c r="B85" t="s">
        <v>21</v>
      </c>
      <c r="C85" t="s">
        <v>29</v>
      </c>
      <c r="D85">
        <v>93</v>
      </c>
      <c r="E85">
        <v>4</v>
      </c>
      <c r="F85">
        <v>18.3</v>
      </c>
    </row>
    <row r="86" spans="1:6" x14ac:dyDescent="0.2">
      <c r="A86">
        <v>3</v>
      </c>
      <c r="B86" t="s">
        <v>22</v>
      </c>
      <c r="C86" t="s">
        <v>29</v>
      </c>
      <c r="D86">
        <v>76</v>
      </c>
      <c r="E86">
        <v>4</v>
      </c>
      <c r="F86">
        <v>19.100000000000001</v>
      </c>
    </row>
    <row r="87" spans="1:6" x14ac:dyDescent="0.2">
      <c r="A87">
        <v>3</v>
      </c>
      <c r="B87" t="s">
        <v>23</v>
      </c>
      <c r="C87" t="s">
        <v>29</v>
      </c>
      <c r="D87">
        <v>81</v>
      </c>
      <c r="E87">
        <v>4</v>
      </c>
      <c r="F87">
        <v>18.399999999999999</v>
      </c>
    </row>
    <row r="88" spans="1:6" x14ac:dyDescent="0.2">
      <c r="A88">
        <v>3</v>
      </c>
      <c r="B88" t="s">
        <v>24</v>
      </c>
      <c r="C88" t="s">
        <v>29</v>
      </c>
      <c r="D88">
        <v>79</v>
      </c>
      <c r="E88">
        <v>4</v>
      </c>
      <c r="F88">
        <v>18.7</v>
      </c>
    </row>
    <row r="89" spans="1:6" x14ac:dyDescent="0.2">
      <c r="A89">
        <v>3</v>
      </c>
      <c r="B89" t="s">
        <v>25</v>
      </c>
      <c r="C89" t="s">
        <v>29</v>
      </c>
      <c r="D89">
        <v>82</v>
      </c>
      <c r="E89">
        <v>4</v>
      </c>
      <c r="F89">
        <v>18.2</v>
      </c>
    </row>
    <row r="90" spans="1:6" x14ac:dyDescent="0.2">
      <c r="A90">
        <v>4</v>
      </c>
      <c r="B90" t="s">
        <v>16</v>
      </c>
      <c r="C90" t="s">
        <v>29</v>
      </c>
      <c r="D90">
        <v>80</v>
      </c>
      <c r="E90">
        <v>4</v>
      </c>
      <c r="F90">
        <v>17.399999999999999</v>
      </c>
    </row>
    <row r="91" spans="1:6" x14ac:dyDescent="0.2">
      <c r="A91">
        <v>4</v>
      </c>
      <c r="B91" t="s">
        <v>18</v>
      </c>
      <c r="C91" t="s">
        <v>29</v>
      </c>
      <c r="D91">
        <v>81</v>
      </c>
      <c r="E91">
        <v>4</v>
      </c>
      <c r="F91">
        <v>17.899999999999999</v>
      </c>
    </row>
    <row r="92" spans="1:6" x14ac:dyDescent="0.2">
      <c r="A92">
        <v>4</v>
      </c>
      <c r="B92" t="s">
        <v>19</v>
      </c>
      <c r="C92" t="s">
        <v>29</v>
      </c>
      <c r="D92">
        <v>80</v>
      </c>
      <c r="E92">
        <v>4</v>
      </c>
      <c r="F92">
        <v>18.399999999999999</v>
      </c>
    </row>
    <row r="93" spans="1:6" x14ac:dyDescent="0.2">
      <c r="A93">
        <v>4</v>
      </c>
      <c r="B93" t="s">
        <v>21</v>
      </c>
      <c r="C93" t="s">
        <v>29</v>
      </c>
      <c r="D93">
        <v>80</v>
      </c>
      <c r="E93">
        <v>4</v>
      </c>
      <c r="F93">
        <v>17.399999999999999</v>
      </c>
    </row>
    <row r="94" spans="1:6" x14ac:dyDescent="0.2">
      <c r="A94">
        <v>4</v>
      </c>
      <c r="B94" t="s">
        <v>22</v>
      </c>
      <c r="C94" t="s">
        <v>29</v>
      </c>
      <c r="D94">
        <v>79</v>
      </c>
      <c r="E94">
        <v>4</v>
      </c>
      <c r="F94">
        <v>19.899999999999999</v>
      </c>
    </row>
    <row r="95" spans="1:6" x14ac:dyDescent="0.2">
      <c r="A95">
        <v>4</v>
      </c>
      <c r="B95" t="s">
        <v>23</v>
      </c>
      <c r="C95" t="s">
        <v>29</v>
      </c>
      <c r="D95">
        <v>76</v>
      </c>
      <c r="E95">
        <v>4</v>
      </c>
      <c r="F95">
        <v>17.600000000000001</v>
      </c>
    </row>
    <row r="96" spans="1:6" x14ac:dyDescent="0.2">
      <c r="A96">
        <v>4</v>
      </c>
      <c r="B96" t="s">
        <v>24</v>
      </c>
      <c r="C96" t="s">
        <v>29</v>
      </c>
      <c r="D96">
        <v>81</v>
      </c>
      <c r="E96">
        <v>4</v>
      </c>
      <c r="F96">
        <v>18.3</v>
      </c>
    </row>
    <row r="97" spans="1:6" x14ac:dyDescent="0.2">
      <c r="A97">
        <v>4</v>
      </c>
      <c r="B97" t="s">
        <v>25</v>
      </c>
      <c r="C97" t="s">
        <v>29</v>
      </c>
      <c r="D97">
        <v>75</v>
      </c>
      <c r="E97">
        <v>4</v>
      </c>
      <c r="F97">
        <v>17.7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183DCE904DE143B3A2C976B42902F2" ma:contentTypeVersion="3" ma:contentTypeDescription="Create a new document." ma:contentTypeScope="" ma:versionID="44fe69c13fa61b3d797b46df26c294ed">
  <xsd:schema xmlns:xsd="http://www.w3.org/2001/XMLSchema" xmlns:xs="http://www.w3.org/2001/XMLSchema" xmlns:p="http://schemas.microsoft.com/office/2006/metadata/properties" xmlns:ns2="077cb69d-755b-4efc-ad66-a8809b03850c" targetNamespace="http://schemas.microsoft.com/office/2006/metadata/properties" ma:root="true" ma:fieldsID="91360591476b20012fdcef89e475f93a" ns2:_="">
    <xsd:import namespace="077cb69d-755b-4efc-ad66-a8809b0385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7cb69d-755b-4efc-ad66-a8809b0385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4E8EC9-8CA8-4104-B095-87CAEC0217EF}"/>
</file>

<file path=customXml/itemProps2.xml><?xml version="1.0" encoding="utf-8"?>
<ds:datastoreItem xmlns:ds="http://schemas.openxmlformats.org/officeDocument/2006/customXml" ds:itemID="{6B1874DC-D939-4131-BEE7-2D898FF93C36}"/>
</file>

<file path=customXml/itemProps3.xml><?xml version="1.0" encoding="utf-8"?>
<ds:datastoreItem xmlns:ds="http://schemas.openxmlformats.org/officeDocument/2006/customXml" ds:itemID="{FB5003D5-FE8F-4074-BD1B-CB7FF841F8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Metadata</vt:lpstr>
      <vt:lpstr>DO_Calculations</vt:lpstr>
      <vt:lpstr>GPP_Calculations</vt:lpstr>
      <vt:lpstr>R_friendly_npp</vt:lpstr>
      <vt:lpstr>gpp</vt:lpstr>
      <vt:lpstr>Plankton_Counts</vt:lpstr>
      <vt:lpstr>Pretty_Plankton</vt:lpstr>
      <vt:lpstr>N and P Concentrations</vt:lpstr>
      <vt:lpstr>time</vt:lpstr>
      <vt:lpstr>Date</vt:lpstr>
      <vt:lpstr>Datw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Ainhoa Jiménez Molina</dc:creator>
  <cp:keywords/>
  <dc:description/>
  <cp:lastModifiedBy>Carla Leone</cp:lastModifiedBy>
  <cp:revision/>
  <dcterms:created xsi:type="dcterms:W3CDTF">2023-09-06T20:22:43Z</dcterms:created>
  <dcterms:modified xsi:type="dcterms:W3CDTF">2023-10-04T13:41:56Z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0x01010013183DCE904DE143B3A2C976B42902F2</vt:lpwstr>
  </property>
</Properties>
</file>